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niel\Развитие\hf_sch_generator\materials\"/>
    </mc:Choice>
  </mc:AlternateContent>
  <bookViews>
    <workbookView xWindow="0" yWindow="0" windowWidth="24075" windowHeight="12435" tabRatio="848" activeTab="4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ЛЕГЕНДА" sheetId="25" r:id="rId25"/>
  </sheets>
  <externalReferences>
    <externalReference r:id="rId26"/>
  </externalReferences>
  <calcPr calcId="162913"/>
</workbook>
</file>

<file path=xl/calcChain.xml><?xml version="1.0" encoding="utf-8"?>
<calcChain xmlns="http://schemas.openxmlformats.org/spreadsheetml/2006/main">
  <c r="G104" i="24" l="1"/>
  <c r="G103" i="24"/>
  <c r="J77" i="24"/>
  <c r="G76" i="24"/>
  <c r="S5" i="24" s="1"/>
  <c r="F76" i="24"/>
  <c r="AF54" i="24"/>
  <c r="AF53" i="24"/>
  <c r="AE53" i="24"/>
  <c r="AF52" i="24"/>
  <c r="AF51" i="24"/>
  <c r="AE51" i="24"/>
  <c r="AF50" i="24"/>
  <c r="AF49" i="24"/>
  <c r="AE49" i="24"/>
  <c r="AF48" i="24"/>
  <c r="AF47" i="24"/>
  <c r="AE47" i="24"/>
  <c r="AF46" i="24"/>
  <c r="AF45" i="24"/>
  <c r="AE45" i="24"/>
  <c r="AF44" i="24"/>
  <c r="AF43" i="24"/>
  <c r="AE43" i="24"/>
  <c r="AF42" i="24"/>
  <c r="AF41" i="24"/>
  <c r="AE41" i="24"/>
  <c r="AF40" i="24"/>
  <c r="AF39" i="24"/>
  <c r="AE39" i="24"/>
  <c r="AF38" i="24"/>
  <c r="AF37" i="24"/>
  <c r="AE37" i="24"/>
  <c r="AF36" i="24"/>
  <c r="Q36" i="24"/>
  <c r="AF35" i="24"/>
  <c r="AE35" i="24"/>
  <c r="Q35" i="24"/>
  <c r="AF34" i="24"/>
  <c r="AF33" i="24"/>
  <c r="AE33" i="24"/>
  <c r="AF32" i="24"/>
  <c r="AF31" i="24"/>
  <c r="AE31" i="24"/>
  <c r="AF30" i="24"/>
  <c r="AF29" i="24"/>
  <c r="AE29" i="24"/>
  <c r="AF28" i="24"/>
  <c r="AF27" i="24"/>
  <c r="AE27" i="24"/>
  <c r="AF26" i="24"/>
  <c r="AF25" i="24"/>
  <c r="AE25" i="24"/>
  <c r="AF24" i="24"/>
  <c r="AF23" i="24"/>
  <c r="AE23" i="24"/>
  <c r="AF22" i="24"/>
  <c r="AF21" i="24"/>
  <c r="AE21" i="24"/>
  <c r="AF20" i="24"/>
  <c r="AF19" i="24"/>
  <c r="AE19" i="24"/>
  <c r="AI18" i="24"/>
  <c r="AF18" i="24"/>
  <c r="AF17" i="24"/>
  <c r="AE17" i="24"/>
  <c r="AF16" i="24"/>
  <c r="AF15" i="24"/>
  <c r="AE15" i="24"/>
  <c r="AF14" i="24"/>
  <c r="AF13" i="24"/>
  <c r="AE13" i="24"/>
  <c r="F13" i="24"/>
  <c r="AF12" i="24"/>
  <c r="E12" i="24"/>
  <c r="AF11" i="24"/>
  <c r="AE11" i="24"/>
  <c r="E11" i="24"/>
  <c r="AF10" i="24"/>
  <c r="AF9" i="24"/>
  <c r="AE9" i="24"/>
  <c r="AF8" i="24"/>
  <c r="AF7" i="24"/>
  <c r="AE7" i="24"/>
  <c r="E7" i="24"/>
  <c r="AF6" i="24"/>
  <c r="E6" i="24"/>
  <c r="AF5" i="24"/>
  <c r="AE5" i="24"/>
  <c r="P5" i="24"/>
  <c r="E5" i="24"/>
  <c r="AF4" i="24"/>
  <c r="AE4" i="24"/>
  <c r="G104" i="23"/>
  <c r="G103" i="23"/>
  <c r="J83" i="23"/>
  <c r="J82" i="23"/>
  <c r="J81" i="23"/>
  <c r="J79" i="23"/>
  <c r="J78" i="23"/>
  <c r="J77" i="23"/>
  <c r="AF54" i="23"/>
  <c r="AF53" i="23"/>
  <c r="AE53" i="23"/>
  <c r="AF52" i="23"/>
  <c r="AF51" i="23"/>
  <c r="AE51" i="23"/>
  <c r="AF50" i="23"/>
  <c r="AF49" i="23"/>
  <c r="AE49" i="23"/>
  <c r="AF48" i="23"/>
  <c r="AF47" i="23"/>
  <c r="AE47" i="23"/>
  <c r="AF46" i="23"/>
  <c r="AF45" i="23"/>
  <c r="AE45" i="23"/>
  <c r="AF44" i="23"/>
  <c r="AF43" i="23"/>
  <c r="AE43" i="23"/>
  <c r="AF42" i="23"/>
  <c r="AF41" i="23"/>
  <c r="AE41" i="23"/>
  <c r="AF40" i="23"/>
  <c r="AF39" i="23"/>
  <c r="AE39" i="23"/>
  <c r="AF38" i="23"/>
  <c r="AF37" i="23"/>
  <c r="AE37" i="23"/>
  <c r="AF36" i="23"/>
  <c r="AF35" i="23"/>
  <c r="AE35" i="23"/>
  <c r="Q35" i="23"/>
  <c r="Q36" i="23" s="1"/>
  <c r="AF34" i="23"/>
  <c r="AF33" i="23"/>
  <c r="AE33" i="23"/>
  <c r="AF32" i="23"/>
  <c r="AF31" i="23"/>
  <c r="AE31" i="23"/>
  <c r="AF30" i="23"/>
  <c r="AF29" i="23"/>
  <c r="AE29" i="23"/>
  <c r="AF28" i="23"/>
  <c r="AF27" i="23"/>
  <c r="AE27" i="23"/>
  <c r="AF26" i="23"/>
  <c r="AF25" i="23"/>
  <c r="AE25" i="23"/>
  <c r="AF24" i="23"/>
  <c r="AF23" i="23"/>
  <c r="AE23" i="23"/>
  <c r="AF22" i="23"/>
  <c r="AF21" i="23"/>
  <c r="AE21" i="23"/>
  <c r="AF20" i="23"/>
  <c r="AF19" i="23"/>
  <c r="AE19" i="23"/>
  <c r="AI18" i="23"/>
  <c r="AF18" i="23"/>
  <c r="AF17" i="23"/>
  <c r="AE17" i="23"/>
  <c r="AF16" i="23"/>
  <c r="AF15" i="23"/>
  <c r="AE15" i="23"/>
  <c r="AF14" i="23"/>
  <c r="AF13" i="23"/>
  <c r="AE13" i="23"/>
  <c r="F13" i="23"/>
  <c r="AF12" i="23"/>
  <c r="E12" i="23"/>
  <c r="AF11" i="23"/>
  <c r="AE11" i="23"/>
  <c r="E11" i="23"/>
  <c r="AF10" i="23"/>
  <c r="AF9" i="23"/>
  <c r="AE9" i="23"/>
  <c r="AF8" i="23"/>
  <c r="AF7" i="23"/>
  <c r="AE7" i="23"/>
  <c r="E7" i="23"/>
  <c r="AF6" i="23"/>
  <c r="AE6" i="23"/>
  <c r="E6" i="23"/>
  <c r="AF5" i="23"/>
  <c r="AE5" i="23"/>
  <c r="P5" i="23"/>
  <c r="E5" i="23"/>
  <c r="F5" i="23" s="1"/>
  <c r="AF4" i="23"/>
  <c r="AE4" i="23"/>
  <c r="G104" i="22"/>
  <c r="G103" i="22"/>
  <c r="J77" i="22"/>
  <c r="AF54" i="22"/>
  <c r="AF53" i="22"/>
  <c r="AE53" i="22"/>
  <c r="AF52" i="22"/>
  <c r="AF51" i="22"/>
  <c r="AE51" i="22"/>
  <c r="AF50" i="22"/>
  <c r="AF49" i="22"/>
  <c r="AE49" i="22"/>
  <c r="AF48" i="22"/>
  <c r="AF47" i="22"/>
  <c r="AE47" i="22"/>
  <c r="AF46" i="22"/>
  <c r="AF45" i="22"/>
  <c r="AE45" i="22"/>
  <c r="AF44" i="22"/>
  <c r="AF43" i="22"/>
  <c r="AE43" i="22"/>
  <c r="AF42" i="22"/>
  <c r="AF41" i="22"/>
  <c r="AE41" i="22"/>
  <c r="AF40" i="22"/>
  <c r="AF39" i="22"/>
  <c r="AE39" i="22"/>
  <c r="AF38" i="22"/>
  <c r="AF37" i="22"/>
  <c r="AE37" i="22"/>
  <c r="AF36" i="22"/>
  <c r="Q36" i="22"/>
  <c r="AF35" i="22"/>
  <c r="AE35" i="22"/>
  <c r="Q35" i="22"/>
  <c r="AF34" i="22"/>
  <c r="AF33" i="22"/>
  <c r="AE33" i="22"/>
  <c r="AF32" i="22"/>
  <c r="AF31" i="22"/>
  <c r="AE31" i="22"/>
  <c r="AF30" i="22"/>
  <c r="AF29" i="22"/>
  <c r="AE29" i="22"/>
  <c r="AF28" i="22"/>
  <c r="AF27" i="22"/>
  <c r="AE27" i="22"/>
  <c r="AF26" i="22"/>
  <c r="AF25" i="22"/>
  <c r="AE25" i="22"/>
  <c r="AF24" i="22"/>
  <c r="AF23" i="22"/>
  <c r="AE23" i="22"/>
  <c r="AF22" i="22"/>
  <c r="AF21" i="22"/>
  <c r="AE21" i="22"/>
  <c r="AF20" i="22"/>
  <c r="AF19" i="22"/>
  <c r="AE19" i="22"/>
  <c r="AI18" i="22"/>
  <c r="AF18" i="22"/>
  <c r="AF17" i="22"/>
  <c r="AE17" i="22"/>
  <c r="AF16" i="22"/>
  <c r="AF15" i="22"/>
  <c r="AE15" i="22"/>
  <c r="AF14" i="22"/>
  <c r="AF13" i="22"/>
  <c r="AE13" i="22"/>
  <c r="F13" i="22"/>
  <c r="AF12" i="22"/>
  <c r="E12" i="22"/>
  <c r="AF11" i="22"/>
  <c r="AE11" i="22"/>
  <c r="E11" i="22"/>
  <c r="AF10" i="22"/>
  <c r="AF9" i="22"/>
  <c r="AE9" i="22"/>
  <c r="AF8" i="22"/>
  <c r="AF7" i="22"/>
  <c r="AE7" i="22"/>
  <c r="E7" i="22"/>
  <c r="AF6" i="22"/>
  <c r="P6" i="22"/>
  <c r="E6" i="22"/>
  <c r="AF5" i="22"/>
  <c r="AE5" i="22"/>
  <c r="E5" i="22"/>
  <c r="AF4" i="22"/>
  <c r="AE4" i="22"/>
  <c r="G104" i="21"/>
  <c r="G103" i="21"/>
  <c r="J83" i="21"/>
  <c r="J81" i="21" s="1"/>
  <c r="J82" i="21"/>
  <c r="J78" i="21"/>
  <c r="M77" i="21"/>
  <c r="J77" i="21"/>
  <c r="J79" i="21" s="1"/>
  <c r="M76" i="21"/>
  <c r="G76" i="21"/>
  <c r="AF54" i="21"/>
  <c r="AF53" i="21"/>
  <c r="AE53" i="21"/>
  <c r="AF52" i="21"/>
  <c r="AF51" i="21"/>
  <c r="AE51" i="21"/>
  <c r="AF50" i="21"/>
  <c r="AF49" i="21"/>
  <c r="AE49" i="21"/>
  <c r="AF48" i="21"/>
  <c r="AF47" i="21"/>
  <c r="AE47" i="21"/>
  <c r="AF46" i="21"/>
  <c r="AF45" i="21"/>
  <c r="AE45" i="21"/>
  <c r="AF44" i="21"/>
  <c r="AF43" i="21"/>
  <c r="AE43" i="21"/>
  <c r="AF42" i="21"/>
  <c r="AF41" i="21"/>
  <c r="AE41" i="21"/>
  <c r="AF40" i="21"/>
  <c r="AF39" i="21"/>
  <c r="AE39" i="21"/>
  <c r="AF38" i="21"/>
  <c r="AF37" i="21"/>
  <c r="AE37" i="21"/>
  <c r="AF36" i="21"/>
  <c r="AF35" i="21"/>
  <c r="AE35" i="21"/>
  <c r="Q35" i="21"/>
  <c r="Q36" i="21" s="1"/>
  <c r="AF34" i="21"/>
  <c r="AF33" i="21"/>
  <c r="AE33" i="21"/>
  <c r="AF32" i="21"/>
  <c r="AF31" i="21"/>
  <c r="AE31" i="21"/>
  <c r="AF30" i="21"/>
  <c r="AF29" i="21"/>
  <c r="AE29" i="21"/>
  <c r="AF28" i="21"/>
  <c r="AF27" i="21"/>
  <c r="AE27" i="21"/>
  <c r="AF26" i="21"/>
  <c r="AF25" i="21"/>
  <c r="AE25" i="21"/>
  <c r="AF24" i="21"/>
  <c r="AF23" i="21"/>
  <c r="AE23" i="21"/>
  <c r="AF22" i="21"/>
  <c r="AF21" i="21"/>
  <c r="AE21" i="21"/>
  <c r="AF20" i="21"/>
  <c r="AF19" i="21"/>
  <c r="AE19" i="21"/>
  <c r="AI18" i="21"/>
  <c r="AF18" i="21"/>
  <c r="AF17" i="21"/>
  <c r="AE17" i="21"/>
  <c r="AF16" i="21"/>
  <c r="AF15" i="21"/>
  <c r="AE15" i="21"/>
  <c r="AF14" i="21"/>
  <c r="AF13" i="21"/>
  <c r="AE13" i="21"/>
  <c r="F13" i="21"/>
  <c r="AF12" i="21"/>
  <c r="E12" i="21"/>
  <c r="AF11" i="21"/>
  <c r="AE11" i="21"/>
  <c r="E11" i="21"/>
  <c r="AF10" i="21"/>
  <c r="AF9" i="21"/>
  <c r="AE9" i="21"/>
  <c r="AF8" i="21"/>
  <c r="AE8" i="21"/>
  <c r="AF7" i="21"/>
  <c r="AE7" i="21"/>
  <c r="P7" i="21"/>
  <c r="E7" i="21"/>
  <c r="AF6" i="21"/>
  <c r="AE6" i="21"/>
  <c r="S6" i="21"/>
  <c r="P6" i="21"/>
  <c r="F76" i="21" s="1"/>
  <c r="O6" i="21"/>
  <c r="N6" i="21"/>
  <c r="E6" i="21"/>
  <c r="AF5" i="21"/>
  <c r="AE5" i="21"/>
  <c r="E5" i="21"/>
  <c r="F5" i="21" s="1"/>
  <c r="AF4" i="21"/>
  <c r="AE4" i="21"/>
  <c r="R124" i="20"/>
  <c r="R123" i="20"/>
  <c r="Q123" i="20"/>
  <c r="R122" i="20"/>
  <c r="R121" i="20"/>
  <c r="Q121" i="20"/>
  <c r="R120" i="20"/>
  <c r="R119" i="20"/>
  <c r="Q119" i="20"/>
  <c r="R118" i="20"/>
  <c r="R117" i="20"/>
  <c r="Q117" i="20"/>
  <c r="R116" i="20"/>
  <c r="R115" i="20"/>
  <c r="Q115" i="20"/>
  <c r="R114" i="20"/>
  <c r="R113" i="20"/>
  <c r="Q113" i="20"/>
  <c r="R112" i="20"/>
  <c r="R111" i="20"/>
  <c r="Q111" i="20"/>
  <c r="R110" i="20"/>
  <c r="R109" i="20"/>
  <c r="Q109" i="20"/>
  <c r="R108" i="20"/>
  <c r="R107" i="20"/>
  <c r="Q107" i="20"/>
  <c r="R106" i="20"/>
  <c r="R105" i="20"/>
  <c r="Q105" i="20"/>
  <c r="R104" i="20"/>
  <c r="G104" i="20"/>
  <c r="R103" i="20"/>
  <c r="Q103" i="20"/>
  <c r="G103" i="20"/>
  <c r="R102" i="20"/>
  <c r="R101" i="20"/>
  <c r="Q101" i="20"/>
  <c r="R100" i="20"/>
  <c r="R99" i="20"/>
  <c r="Q99" i="20"/>
  <c r="R98" i="20"/>
  <c r="R97" i="20"/>
  <c r="Q97" i="20"/>
  <c r="R96" i="20"/>
  <c r="R95" i="20"/>
  <c r="Q95" i="20"/>
  <c r="R94" i="20"/>
  <c r="R93" i="20"/>
  <c r="Q93" i="20"/>
  <c r="R92" i="20"/>
  <c r="R91" i="20"/>
  <c r="Q91" i="20"/>
  <c r="R90" i="20"/>
  <c r="R89" i="20"/>
  <c r="Q89" i="20"/>
  <c r="R88" i="20"/>
  <c r="R87" i="20"/>
  <c r="Q87" i="20"/>
  <c r="R86" i="20"/>
  <c r="R85" i="20"/>
  <c r="Q85" i="20"/>
  <c r="R84" i="20"/>
  <c r="R83" i="20"/>
  <c r="Q83" i="20"/>
  <c r="R82" i="20"/>
  <c r="R81" i="20"/>
  <c r="Q81" i="20"/>
  <c r="R80" i="20"/>
  <c r="R79" i="20"/>
  <c r="Q79" i="20"/>
  <c r="R78" i="20"/>
  <c r="R77" i="20"/>
  <c r="Q77" i="20"/>
  <c r="J77" i="20"/>
  <c r="R76" i="20"/>
  <c r="R75" i="20"/>
  <c r="Q75" i="20"/>
  <c r="R74" i="20"/>
  <c r="Q74" i="20"/>
  <c r="Q36" i="20"/>
  <c r="Q35" i="20"/>
  <c r="AI18" i="20"/>
  <c r="F13" i="20"/>
  <c r="E12" i="20"/>
  <c r="E11" i="20"/>
  <c r="E7" i="20"/>
  <c r="P6" i="20"/>
  <c r="E6" i="20"/>
  <c r="F5" i="20"/>
  <c r="E5" i="20"/>
  <c r="M4" i="20"/>
  <c r="L4" i="20"/>
  <c r="K4" i="20" s="1"/>
  <c r="I4" i="20" s="1"/>
  <c r="J4" i="20"/>
  <c r="G104" i="19"/>
  <c r="G103" i="19"/>
  <c r="J83" i="19"/>
  <c r="J82" i="19"/>
  <c r="J81" i="19"/>
  <c r="J78" i="19"/>
  <c r="J77" i="19"/>
  <c r="J79" i="19" s="1"/>
  <c r="AF54" i="19"/>
  <c r="AF53" i="19"/>
  <c r="AE53" i="19"/>
  <c r="AF52" i="19"/>
  <c r="AF51" i="19"/>
  <c r="AE51" i="19"/>
  <c r="AF50" i="19"/>
  <c r="AF49" i="19"/>
  <c r="AE49" i="19"/>
  <c r="AF48" i="19"/>
  <c r="AF47" i="19"/>
  <c r="AE47" i="19"/>
  <c r="AF46" i="19"/>
  <c r="AF45" i="19"/>
  <c r="AE45" i="19"/>
  <c r="AF44" i="19"/>
  <c r="AF43" i="19"/>
  <c r="AE43" i="19"/>
  <c r="AF42" i="19"/>
  <c r="AF41" i="19"/>
  <c r="AE41" i="19"/>
  <c r="AF40" i="19"/>
  <c r="AF39" i="19"/>
  <c r="AE39" i="19"/>
  <c r="AF38" i="19"/>
  <c r="AF37" i="19"/>
  <c r="AE37" i="19"/>
  <c r="AF36" i="19"/>
  <c r="AF35" i="19"/>
  <c r="AE35" i="19"/>
  <c r="Q35" i="19"/>
  <c r="AF34" i="19"/>
  <c r="AF33" i="19"/>
  <c r="AE33" i="19"/>
  <c r="AF32" i="19"/>
  <c r="AF31" i="19"/>
  <c r="AE31" i="19"/>
  <c r="AF30" i="19"/>
  <c r="AF29" i="19"/>
  <c r="AE29" i="19"/>
  <c r="AF28" i="19"/>
  <c r="AF27" i="19"/>
  <c r="AE27" i="19"/>
  <c r="AF26" i="19"/>
  <c r="AF25" i="19"/>
  <c r="AE25" i="19"/>
  <c r="AF24" i="19"/>
  <c r="AF23" i="19"/>
  <c r="AE23" i="19"/>
  <c r="AF22" i="19"/>
  <c r="AF21" i="19"/>
  <c r="AE21" i="19"/>
  <c r="AF20" i="19"/>
  <c r="AF19" i="19"/>
  <c r="AE19" i="19"/>
  <c r="AI18" i="19"/>
  <c r="AF18" i="19"/>
  <c r="AF17" i="19"/>
  <c r="AE17" i="19"/>
  <c r="AF16" i="19"/>
  <c r="AF15" i="19"/>
  <c r="AE15" i="19"/>
  <c r="AF14" i="19"/>
  <c r="AF13" i="19"/>
  <c r="AE13" i="19"/>
  <c r="F13" i="19"/>
  <c r="AF12" i="19"/>
  <c r="E12" i="19"/>
  <c r="AF11" i="19"/>
  <c r="AE11" i="19"/>
  <c r="E11" i="19"/>
  <c r="AF10" i="19"/>
  <c r="AF9" i="19"/>
  <c r="AE9" i="19"/>
  <c r="AF8" i="19"/>
  <c r="AF7" i="19"/>
  <c r="AE7" i="19"/>
  <c r="E7" i="19"/>
  <c r="AF6" i="19"/>
  <c r="AE6" i="19"/>
  <c r="P6" i="19"/>
  <c r="M75" i="19" s="1"/>
  <c r="O6" i="19"/>
  <c r="P7" i="19" s="1"/>
  <c r="N6" i="19"/>
  <c r="E6" i="19"/>
  <c r="AF5" i="19"/>
  <c r="AE5" i="19"/>
  <c r="E5" i="19"/>
  <c r="AF4" i="19"/>
  <c r="AE4" i="19"/>
  <c r="M4" i="19"/>
  <c r="L4" i="19"/>
  <c r="K4" i="19" s="1"/>
  <c r="J4" i="19"/>
  <c r="I4" i="19"/>
  <c r="R124" i="18"/>
  <c r="R123" i="18"/>
  <c r="Q123" i="18"/>
  <c r="R122" i="18"/>
  <c r="R121" i="18"/>
  <c r="Q121" i="18"/>
  <c r="R120" i="18"/>
  <c r="R119" i="18"/>
  <c r="Q119" i="18"/>
  <c r="R118" i="18"/>
  <c r="R117" i="18"/>
  <c r="Q117" i="18"/>
  <c r="R116" i="18"/>
  <c r="R115" i="18"/>
  <c r="Q115" i="18"/>
  <c r="R114" i="18"/>
  <c r="R113" i="18"/>
  <c r="Q113" i="18"/>
  <c r="R112" i="18"/>
  <c r="R111" i="18"/>
  <c r="Q111" i="18"/>
  <c r="R110" i="18"/>
  <c r="R109" i="18"/>
  <c r="Q109" i="18"/>
  <c r="R108" i="18"/>
  <c r="R107" i="18"/>
  <c r="Q107" i="18"/>
  <c r="R106" i="18"/>
  <c r="R105" i="18"/>
  <c r="Q105" i="18"/>
  <c r="R104" i="18"/>
  <c r="G104" i="18"/>
  <c r="R103" i="18"/>
  <c r="Q103" i="18"/>
  <c r="G103" i="18"/>
  <c r="R102" i="18"/>
  <c r="R101" i="18"/>
  <c r="Q101" i="18"/>
  <c r="R100" i="18"/>
  <c r="R99" i="18"/>
  <c r="Q99" i="18"/>
  <c r="R98" i="18"/>
  <c r="R97" i="18"/>
  <c r="Q97" i="18"/>
  <c r="R96" i="18"/>
  <c r="R95" i="18"/>
  <c r="Q95" i="18"/>
  <c r="R94" i="18"/>
  <c r="R93" i="18"/>
  <c r="Q93" i="18"/>
  <c r="R92" i="18"/>
  <c r="R91" i="18"/>
  <c r="Q91" i="18"/>
  <c r="R90" i="18"/>
  <c r="R89" i="18"/>
  <c r="Q89" i="18"/>
  <c r="R88" i="18"/>
  <c r="R87" i="18"/>
  <c r="Q87" i="18"/>
  <c r="R86" i="18"/>
  <c r="R85" i="18"/>
  <c r="Q85" i="18"/>
  <c r="R84" i="18"/>
  <c r="R83" i="18"/>
  <c r="Q83" i="18"/>
  <c r="R82" i="18"/>
  <c r="R81" i="18"/>
  <c r="Q81" i="18"/>
  <c r="R80" i="18"/>
  <c r="R79" i="18"/>
  <c r="Q79" i="18"/>
  <c r="R78" i="18"/>
  <c r="R77" i="18"/>
  <c r="Q77" i="18"/>
  <c r="J77" i="18"/>
  <c r="P7" i="18" s="1"/>
  <c r="Q76" i="18" s="1"/>
  <c r="R76" i="18"/>
  <c r="R75" i="18"/>
  <c r="Q75" i="18"/>
  <c r="R74" i="18"/>
  <c r="Q74" i="18"/>
  <c r="Q36" i="18"/>
  <c r="Q35" i="18"/>
  <c r="C21" i="18"/>
  <c r="AI18" i="18"/>
  <c r="F13" i="18"/>
  <c r="E12" i="18"/>
  <c r="E11" i="18"/>
  <c r="O7" i="18"/>
  <c r="E7" i="18"/>
  <c r="E6" i="18"/>
  <c r="E5" i="18"/>
  <c r="F5" i="18" s="1"/>
  <c r="M4" i="18"/>
  <c r="L4" i="18"/>
  <c r="K4" i="18" s="1"/>
  <c r="I4" i="18" s="1"/>
  <c r="J4" i="18"/>
  <c r="G104" i="17"/>
  <c r="G103" i="17"/>
  <c r="J83" i="17"/>
  <c r="J82" i="17"/>
  <c r="J81" i="17"/>
  <c r="J78" i="17"/>
  <c r="J77" i="17"/>
  <c r="J79" i="17" s="1"/>
  <c r="AF54" i="17"/>
  <c r="AF53" i="17"/>
  <c r="AE53" i="17"/>
  <c r="AF52" i="17"/>
  <c r="AF51" i="17"/>
  <c r="AE51" i="17"/>
  <c r="AF50" i="17"/>
  <c r="AF49" i="17"/>
  <c r="AE49" i="17"/>
  <c r="AF48" i="17"/>
  <c r="AF47" i="17"/>
  <c r="AE47" i="17"/>
  <c r="AF46" i="17"/>
  <c r="AF45" i="17"/>
  <c r="AE45" i="17"/>
  <c r="AF44" i="17"/>
  <c r="AF43" i="17"/>
  <c r="AE43" i="17"/>
  <c r="AF42" i="17"/>
  <c r="AF41" i="17"/>
  <c r="AE41" i="17"/>
  <c r="AF40" i="17"/>
  <c r="AF39" i="17"/>
  <c r="AE39" i="17"/>
  <c r="AF38" i="17"/>
  <c r="AF37" i="17"/>
  <c r="AE37" i="17"/>
  <c r="AF36" i="17"/>
  <c r="Q36" i="17"/>
  <c r="AF35" i="17"/>
  <c r="AE35" i="17"/>
  <c r="Q35" i="17"/>
  <c r="AF34" i="17"/>
  <c r="AF33" i="17"/>
  <c r="AE33" i="17"/>
  <c r="AF32" i="17"/>
  <c r="AF31" i="17"/>
  <c r="AE31" i="17"/>
  <c r="AF30" i="17"/>
  <c r="AF29" i="17"/>
  <c r="AE29" i="17"/>
  <c r="AF28" i="17"/>
  <c r="AF27" i="17"/>
  <c r="AE27" i="17"/>
  <c r="AF26" i="17"/>
  <c r="AF25" i="17"/>
  <c r="AE25" i="17"/>
  <c r="AF24" i="17"/>
  <c r="AF23" i="17"/>
  <c r="AE23" i="17"/>
  <c r="AF22" i="17"/>
  <c r="C22" i="17"/>
  <c r="AF21" i="17"/>
  <c r="AE21" i="17"/>
  <c r="AF20" i="17"/>
  <c r="AF19" i="17"/>
  <c r="AE19" i="17"/>
  <c r="AI18" i="17"/>
  <c r="AF18" i="17"/>
  <c r="AF17" i="17"/>
  <c r="AE17" i="17"/>
  <c r="AF16" i="17"/>
  <c r="AF15" i="17"/>
  <c r="AE15" i="17"/>
  <c r="AF14" i="17"/>
  <c r="AF13" i="17"/>
  <c r="AE13" i="17"/>
  <c r="F13" i="17"/>
  <c r="AF12" i="17"/>
  <c r="E12" i="17"/>
  <c r="AF11" i="17"/>
  <c r="AE11" i="17"/>
  <c r="E11" i="17"/>
  <c r="AF10" i="17"/>
  <c r="AF9" i="17"/>
  <c r="AE9" i="17"/>
  <c r="AF8" i="17"/>
  <c r="AF7" i="17"/>
  <c r="AE7" i="17"/>
  <c r="P7" i="17"/>
  <c r="E7" i="17"/>
  <c r="AF6" i="17"/>
  <c r="E6" i="17"/>
  <c r="AF5" i="17"/>
  <c r="AE5" i="17"/>
  <c r="E5" i="17"/>
  <c r="AF4" i="17"/>
  <c r="AE4" i="17"/>
  <c r="M4" i="17"/>
  <c r="L4" i="17"/>
  <c r="K4" i="17" s="1"/>
  <c r="J4" i="17"/>
  <c r="G104" i="16"/>
  <c r="G103" i="16"/>
  <c r="J77" i="16"/>
  <c r="AF54" i="16"/>
  <c r="AF53" i="16"/>
  <c r="AE53" i="16"/>
  <c r="AF52" i="16"/>
  <c r="AF51" i="16"/>
  <c r="AE51" i="16"/>
  <c r="AF50" i="16"/>
  <c r="AF49" i="16"/>
  <c r="AE49" i="16"/>
  <c r="AF48" i="16"/>
  <c r="AF47" i="16"/>
  <c r="AE47" i="16"/>
  <c r="AF46" i="16"/>
  <c r="AF45" i="16"/>
  <c r="AE45" i="16"/>
  <c r="AF44" i="16"/>
  <c r="AF43" i="16"/>
  <c r="AE43" i="16"/>
  <c r="AF42" i="16"/>
  <c r="AF41" i="16"/>
  <c r="AE41" i="16"/>
  <c r="AF40" i="16"/>
  <c r="AF39" i="16"/>
  <c r="AE39" i="16"/>
  <c r="AF38" i="16"/>
  <c r="AF37" i="16"/>
  <c r="AE37" i="16"/>
  <c r="AF36" i="16"/>
  <c r="AF35" i="16"/>
  <c r="AE35" i="16"/>
  <c r="AF34" i="16"/>
  <c r="AF33" i="16"/>
  <c r="AE33" i="16"/>
  <c r="AF32" i="16"/>
  <c r="AF31" i="16"/>
  <c r="AE31" i="16"/>
  <c r="AF30" i="16"/>
  <c r="AF29" i="16"/>
  <c r="AE29" i="16"/>
  <c r="AF28" i="16"/>
  <c r="AF27" i="16"/>
  <c r="AE27" i="16"/>
  <c r="AF26" i="16"/>
  <c r="AF25" i="16"/>
  <c r="AE25" i="16"/>
  <c r="AF24" i="16"/>
  <c r="AF23" i="16"/>
  <c r="AE23" i="16"/>
  <c r="AF22" i="16"/>
  <c r="AF21" i="16"/>
  <c r="AE21" i="16"/>
  <c r="AF20" i="16"/>
  <c r="AF19" i="16"/>
  <c r="AE19" i="16"/>
  <c r="AI18" i="16"/>
  <c r="AF18" i="16"/>
  <c r="AF17" i="16"/>
  <c r="AE17" i="16"/>
  <c r="AF16" i="16"/>
  <c r="AF15" i="16"/>
  <c r="AE15" i="16"/>
  <c r="AF14" i="16"/>
  <c r="AF13" i="16"/>
  <c r="AE13" i="16"/>
  <c r="F13" i="16"/>
  <c r="AF12" i="16"/>
  <c r="E12" i="16"/>
  <c r="AF11" i="16"/>
  <c r="AE11" i="16"/>
  <c r="E11" i="16"/>
  <c r="AF10" i="16"/>
  <c r="AF9" i="16"/>
  <c r="AE9" i="16"/>
  <c r="AF8" i="16"/>
  <c r="AF7" i="16"/>
  <c r="AE7" i="16"/>
  <c r="E7" i="16"/>
  <c r="AF6" i="16"/>
  <c r="P6" i="16"/>
  <c r="M77" i="16" s="1"/>
  <c r="E6" i="16"/>
  <c r="AF5" i="16"/>
  <c r="AE5" i="16"/>
  <c r="P5" i="16"/>
  <c r="F76" i="16" s="1"/>
  <c r="G76" i="16" s="1"/>
  <c r="S5" i="16" s="1"/>
  <c r="O5" i="16"/>
  <c r="N5" i="16" s="1"/>
  <c r="E5" i="16"/>
  <c r="AF4" i="16"/>
  <c r="AE4" i="16"/>
  <c r="G104" i="15"/>
  <c r="G103" i="15"/>
  <c r="J83" i="15"/>
  <c r="J82" i="15"/>
  <c r="J81" i="15" s="1"/>
  <c r="J79" i="15"/>
  <c r="J78" i="15"/>
  <c r="J77" i="15"/>
  <c r="AF54" i="15"/>
  <c r="AF53" i="15"/>
  <c r="AE53" i="15"/>
  <c r="AF52" i="15"/>
  <c r="AF51" i="15"/>
  <c r="AE51" i="15"/>
  <c r="AF50" i="15"/>
  <c r="AF49" i="15"/>
  <c r="AE49" i="15"/>
  <c r="AF48" i="15"/>
  <c r="AF47" i="15"/>
  <c r="AE47" i="15"/>
  <c r="AF46" i="15"/>
  <c r="AF45" i="15"/>
  <c r="AE45" i="15"/>
  <c r="AF44" i="15"/>
  <c r="AF43" i="15"/>
  <c r="AE43" i="15"/>
  <c r="AF42" i="15"/>
  <c r="AF41" i="15"/>
  <c r="AE41" i="15"/>
  <c r="AF40" i="15"/>
  <c r="AF39" i="15"/>
  <c r="AE39" i="15"/>
  <c r="AF38" i="15"/>
  <c r="AF37" i="15"/>
  <c r="AE37" i="15"/>
  <c r="AF36" i="15"/>
  <c r="AF35" i="15"/>
  <c r="AE35" i="15"/>
  <c r="AF34" i="15"/>
  <c r="AF33" i="15"/>
  <c r="AE33" i="15"/>
  <c r="AF32" i="15"/>
  <c r="AF31" i="15"/>
  <c r="AE31" i="15"/>
  <c r="AF30" i="15"/>
  <c r="AF29" i="15"/>
  <c r="AE29" i="15"/>
  <c r="AF28" i="15"/>
  <c r="AF27" i="15"/>
  <c r="AE27" i="15"/>
  <c r="AF26" i="15"/>
  <c r="AF25" i="15"/>
  <c r="AE25" i="15"/>
  <c r="AF24" i="15"/>
  <c r="AF23" i="15"/>
  <c r="AE23" i="15"/>
  <c r="AF22" i="15"/>
  <c r="AF21" i="15"/>
  <c r="AE21" i="15"/>
  <c r="AF20" i="15"/>
  <c r="AF19" i="15"/>
  <c r="AE19" i="15"/>
  <c r="AI18" i="15"/>
  <c r="AF18" i="15"/>
  <c r="AF17" i="15"/>
  <c r="AE17" i="15"/>
  <c r="AF16" i="15"/>
  <c r="AF15" i="15"/>
  <c r="AE15" i="15"/>
  <c r="AF14" i="15"/>
  <c r="AF13" i="15"/>
  <c r="AE13" i="15"/>
  <c r="F13" i="15"/>
  <c r="AF12" i="15"/>
  <c r="E12" i="15"/>
  <c r="AF11" i="15"/>
  <c r="AE11" i="15"/>
  <c r="E11" i="15"/>
  <c r="AF10" i="15"/>
  <c r="AF9" i="15"/>
  <c r="AE9" i="15"/>
  <c r="AF8" i="15"/>
  <c r="AF7" i="15"/>
  <c r="AE7" i="15"/>
  <c r="E7" i="15"/>
  <c r="AF6" i="15"/>
  <c r="AE6" i="15"/>
  <c r="E6" i="15"/>
  <c r="AF5" i="15"/>
  <c r="AE5" i="15"/>
  <c r="P5" i="15"/>
  <c r="O5" i="15" s="1"/>
  <c r="N5" i="15" s="1"/>
  <c r="F5" i="15"/>
  <c r="E5" i="15"/>
  <c r="AF4" i="15"/>
  <c r="AE4" i="15"/>
  <c r="G104" i="14"/>
  <c r="G103" i="14"/>
  <c r="J83" i="14"/>
  <c r="J82" i="14"/>
  <c r="J81" i="14" s="1"/>
  <c r="J79" i="14"/>
  <c r="J78" i="14"/>
  <c r="J77" i="14"/>
  <c r="F77" i="14"/>
  <c r="G77" i="14" s="1"/>
  <c r="S6" i="14" s="1"/>
  <c r="AF54" i="14"/>
  <c r="AF53" i="14"/>
  <c r="AF52" i="14"/>
  <c r="AF51" i="14"/>
  <c r="AF50" i="14"/>
  <c r="AF49" i="14"/>
  <c r="AF48" i="14"/>
  <c r="AF47" i="14"/>
  <c r="AF46" i="14"/>
  <c r="AF45" i="14"/>
  <c r="AF44" i="14"/>
  <c r="AF43" i="14"/>
  <c r="AF42" i="14"/>
  <c r="AF41" i="14"/>
  <c r="AF40" i="14"/>
  <c r="AF39" i="14"/>
  <c r="AF38" i="14"/>
  <c r="AF37" i="14"/>
  <c r="AF36" i="14"/>
  <c r="AF35" i="14"/>
  <c r="AF34" i="14"/>
  <c r="AF33" i="14"/>
  <c r="AF32" i="14"/>
  <c r="AF31" i="14"/>
  <c r="AF30" i="14"/>
  <c r="AF29" i="14"/>
  <c r="AF28" i="14"/>
  <c r="AF27" i="14"/>
  <c r="AF26" i="14"/>
  <c r="AF25" i="14"/>
  <c r="AF24" i="14"/>
  <c r="AF23" i="14"/>
  <c r="AF22" i="14"/>
  <c r="AF21" i="14"/>
  <c r="AF20" i="14"/>
  <c r="AF19" i="14"/>
  <c r="AI18" i="14"/>
  <c r="AF18" i="14"/>
  <c r="AF17" i="14"/>
  <c r="AF16" i="14"/>
  <c r="AF15" i="14"/>
  <c r="AF14" i="14"/>
  <c r="AF13" i="14"/>
  <c r="F13" i="14"/>
  <c r="AF12" i="14"/>
  <c r="E12" i="14"/>
  <c r="AF11" i="14"/>
  <c r="E11" i="14"/>
  <c r="AF10" i="14"/>
  <c r="AF9" i="14"/>
  <c r="AF8" i="14"/>
  <c r="AF7" i="14"/>
  <c r="E7" i="14"/>
  <c r="AF6" i="14"/>
  <c r="AE6" i="14"/>
  <c r="O6" i="14"/>
  <c r="E6" i="14"/>
  <c r="AF5" i="14"/>
  <c r="AE5" i="14"/>
  <c r="P5" i="14"/>
  <c r="O5" i="14"/>
  <c r="F76" i="14" s="1"/>
  <c r="G76" i="14" s="1"/>
  <c r="S5" i="14" s="1"/>
  <c r="E5" i="14"/>
  <c r="F5" i="14" s="1"/>
  <c r="AF4" i="14"/>
  <c r="AE4" i="14"/>
  <c r="G104" i="13"/>
  <c r="G103" i="13"/>
  <c r="J83" i="13"/>
  <c r="J82" i="13"/>
  <c r="J81" i="13"/>
  <c r="J78" i="13"/>
  <c r="J77" i="13"/>
  <c r="J79" i="13" s="1"/>
  <c r="AF54" i="13"/>
  <c r="AF53" i="13"/>
  <c r="AF52" i="13"/>
  <c r="AF51" i="13"/>
  <c r="AF50" i="13"/>
  <c r="AF49" i="13"/>
  <c r="AF48" i="13"/>
  <c r="AF47" i="13"/>
  <c r="AF46" i="13"/>
  <c r="AF45" i="13"/>
  <c r="AF44" i="13"/>
  <c r="AF43" i="13"/>
  <c r="AF42" i="13"/>
  <c r="AF41" i="13"/>
  <c r="AF40" i="13"/>
  <c r="AF39" i="13"/>
  <c r="AF38" i="13"/>
  <c r="AF37" i="13"/>
  <c r="AF36" i="13"/>
  <c r="AF35" i="13"/>
  <c r="AF34" i="13"/>
  <c r="AF33" i="13"/>
  <c r="AF32" i="13"/>
  <c r="AF31" i="13"/>
  <c r="AF30" i="13"/>
  <c r="AF29" i="13"/>
  <c r="AF28" i="13"/>
  <c r="AF27" i="13"/>
  <c r="AF26" i="13"/>
  <c r="AF25" i="13"/>
  <c r="AF24" i="13"/>
  <c r="AF23" i="13"/>
  <c r="AF22" i="13"/>
  <c r="AF21" i="13"/>
  <c r="AF20" i="13"/>
  <c r="AF19" i="13"/>
  <c r="AI18" i="13"/>
  <c r="AF18" i="13"/>
  <c r="AF17" i="13"/>
  <c r="AF16" i="13"/>
  <c r="AF15" i="13"/>
  <c r="AF14" i="13"/>
  <c r="AF13" i="13"/>
  <c r="F13" i="13"/>
  <c r="AF12" i="13"/>
  <c r="E12" i="13"/>
  <c r="AF11" i="13"/>
  <c r="E11" i="13"/>
  <c r="AF10" i="13"/>
  <c r="AF9" i="13"/>
  <c r="AF8" i="13"/>
  <c r="AF7" i="13"/>
  <c r="E7" i="13"/>
  <c r="AF6" i="13"/>
  <c r="E6" i="13"/>
  <c r="AF5" i="13"/>
  <c r="AE5" i="13"/>
  <c r="O5" i="13"/>
  <c r="E5" i="13"/>
  <c r="F5" i="13" s="1"/>
  <c r="AF4" i="13"/>
  <c r="AE4" i="13"/>
  <c r="R124" i="12"/>
  <c r="R123" i="12"/>
  <c r="Q123" i="12"/>
  <c r="R122" i="12"/>
  <c r="R121" i="12"/>
  <c r="Q121" i="12"/>
  <c r="R120" i="12"/>
  <c r="R119" i="12"/>
  <c r="Q119" i="12"/>
  <c r="R118" i="12"/>
  <c r="R117" i="12"/>
  <c r="Q117" i="12"/>
  <c r="R116" i="12"/>
  <c r="R115" i="12"/>
  <c r="Q115" i="12"/>
  <c r="R114" i="12"/>
  <c r="R113" i="12"/>
  <c r="Q113" i="12"/>
  <c r="R112" i="12"/>
  <c r="R111" i="12"/>
  <c r="Q111" i="12"/>
  <c r="R110" i="12"/>
  <c r="R109" i="12"/>
  <c r="Q109" i="12"/>
  <c r="R108" i="12"/>
  <c r="R107" i="12"/>
  <c r="Q107" i="12"/>
  <c r="R106" i="12"/>
  <c r="R105" i="12"/>
  <c r="Q105" i="12"/>
  <c r="R104" i="12"/>
  <c r="G104" i="12"/>
  <c r="R103" i="12"/>
  <c r="Q103" i="12"/>
  <c r="G103" i="12"/>
  <c r="R102" i="12"/>
  <c r="R101" i="12"/>
  <c r="Q101" i="12"/>
  <c r="R100" i="12"/>
  <c r="R99" i="12"/>
  <c r="Q99" i="12"/>
  <c r="R98" i="12"/>
  <c r="R97" i="12"/>
  <c r="Q97" i="12"/>
  <c r="R96" i="12"/>
  <c r="R95" i="12"/>
  <c r="Q95" i="12"/>
  <c r="R94" i="12"/>
  <c r="R93" i="12"/>
  <c r="Q93" i="12"/>
  <c r="R92" i="12"/>
  <c r="R91" i="12"/>
  <c r="Q91" i="12"/>
  <c r="R90" i="12"/>
  <c r="R89" i="12"/>
  <c r="Q89" i="12"/>
  <c r="R88" i="12"/>
  <c r="R87" i="12"/>
  <c r="Q87" i="12"/>
  <c r="R86" i="12"/>
  <c r="R85" i="12"/>
  <c r="Q85" i="12"/>
  <c r="R84" i="12"/>
  <c r="R83" i="12"/>
  <c r="Q83" i="12"/>
  <c r="R82" i="12"/>
  <c r="R81" i="12"/>
  <c r="Q81" i="12"/>
  <c r="R80" i="12"/>
  <c r="R79" i="12"/>
  <c r="Q79" i="12"/>
  <c r="R78" i="12"/>
  <c r="R77" i="12"/>
  <c r="Q77" i="12"/>
  <c r="J77" i="12"/>
  <c r="R76" i="12"/>
  <c r="R75" i="12"/>
  <c r="Q75" i="12"/>
  <c r="R74" i="12"/>
  <c r="Q74" i="12"/>
  <c r="AI18" i="12"/>
  <c r="F13" i="12"/>
  <c r="E12" i="12"/>
  <c r="E11" i="12"/>
  <c r="E7" i="12"/>
  <c r="P6" i="12"/>
  <c r="Q76" i="12" s="1"/>
  <c r="E6" i="12"/>
  <c r="F5" i="12"/>
  <c r="E5" i="12"/>
  <c r="M4" i="12"/>
  <c r="L4" i="12"/>
  <c r="K4" i="12" s="1"/>
  <c r="I4" i="12" s="1"/>
  <c r="J4" i="12"/>
  <c r="G104" i="11"/>
  <c r="G103" i="11"/>
  <c r="J83" i="11"/>
  <c r="J82" i="11"/>
  <c r="J81" i="11"/>
  <c r="J78" i="11"/>
  <c r="P6" i="11" s="1"/>
  <c r="J77" i="11"/>
  <c r="J79" i="11" s="1"/>
  <c r="M76" i="11"/>
  <c r="AF54" i="11"/>
  <c r="AF53" i="11"/>
  <c r="AE53" i="11"/>
  <c r="AF52" i="11"/>
  <c r="AF51" i="11"/>
  <c r="AE51" i="11"/>
  <c r="AF50" i="11"/>
  <c r="AF49" i="11"/>
  <c r="AE49" i="11"/>
  <c r="AF48" i="11"/>
  <c r="AF47" i="11"/>
  <c r="AE47" i="11"/>
  <c r="AF46" i="11"/>
  <c r="AF45" i="11"/>
  <c r="AE45" i="11"/>
  <c r="AF44" i="11"/>
  <c r="AF43" i="11"/>
  <c r="AE43" i="11"/>
  <c r="AF42" i="11"/>
  <c r="AF41" i="11"/>
  <c r="AE41" i="11"/>
  <c r="AF40" i="11"/>
  <c r="AF39" i="11"/>
  <c r="AE39" i="11"/>
  <c r="AF38" i="11"/>
  <c r="AF37" i="11"/>
  <c r="AE37" i="11"/>
  <c r="AF36" i="11"/>
  <c r="AF35" i="11"/>
  <c r="AE35" i="11"/>
  <c r="AF34" i="11"/>
  <c r="AF33" i="11"/>
  <c r="AE33" i="11"/>
  <c r="AF32" i="11"/>
  <c r="AF31" i="11"/>
  <c r="AE31" i="11"/>
  <c r="AF30" i="11"/>
  <c r="AF29" i="11"/>
  <c r="AE29" i="11"/>
  <c r="AF28" i="11"/>
  <c r="AF27" i="11"/>
  <c r="AE27" i="11"/>
  <c r="AF26" i="11"/>
  <c r="AF25" i="11"/>
  <c r="AE25" i="11"/>
  <c r="AF24" i="11"/>
  <c r="AF23" i="11"/>
  <c r="AE23" i="11"/>
  <c r="AF22" i="11"/>
  <c r="AF21" i="11"/>
  <c r="AE21" i="11"/>
  <c r="AF20" i="11"/>
  <c r="AF19" i="11"/>
  <c r="AE19" i="11"/>
  <c r="AI18" i="11"/>
  <c r="AF18" i="11"/>
  <c r="AF17" i="11"/>
  <c r="AE17" i="11"/>
  <c r="AF16" i="11"/>
  <c r="AF15" i="11"/>
  <c r="AE15" i="11"/>
  <c r="AF14" i="11"/>
  <c r="AF13" i="11"/>
  <c r="AE13" i="11"/>
  <c r="F13" i="11"/>
  <c r="AF12" i="11"/>
  <c r="E12" i="11"/>
  <c r="AF11" i="11"/>
  <c r="AE11" i="11"/>
  <c r="E11" i="11"/>
  <c r="AF10" i="11"/>
  <c r="AF9" i="11"/>
  <c r="AE9" i="11"/>
  <c r="AF8" i="11"/>
  <c r="AF7" i="11"/>
  <c r="AE7" i="11"/>
  <c r="P7" i="11"/>
  <c r="E7" i="11"/>
  <c r="AF6" i="11"/>
  <c r="E6" i="11"/>
  <c r="AF5" i="11"/>
  <c r="AE5" i="11"/>
  <c r="E5" i="11"/>
  <c r="AF4" i="11"/>
  <c r="AE4" i="11"/>
  <c r="M4" i="11"/>
  <c r="L4" i="11"/>
  <c r="K4" i="11"/>
  <c r="I4" i="11" s="1"/>
  <c r="J4" i="11"/>
  <c r="G104" i="10"/>
  <c r="G103" i="10"/>
  <c r="J76" i="10"/>
  <c r="J75" i="10"/>
  <c r="J77" i="10" s="1"/>
  <c r="AF54" i="10"/>
  <c r="AF53" i="10"/>
  <c r="AF52" i="10"/>
  <c r="AF51" i="10"/>
  <c r="AF50" i="10"/>
  <c r="AF49" i="10"/>
  <c r="AF48" i="10"/>
  <c r="AF47" i="10"/>
  <c r="AF46" i="10"/>
  <c r="AF45" i="10"/>
  <c r="AF44" i="10"/>
  <c r="AF43" i="10"/>
  <c r="AF42" i="10"/>
  <c r="AF41" i="10"/>
  <c r="AF40" i="10"/>
  <c r="AF39" i="10"/>
  <c r="AF38" i="10"/>
  <c r="AF37" i="10"/>
  <c r="AF36" i="10"/>
  <c r="AF35" i="10"/>
  <c r="AF34" i="10"/>
  <c r="AF33" i="10"/>
  <c r="AF32" i="10"/>
  <c r="AF31" i="10"/>
  <c r="AF30" i="10"/>
  <c r="AF29" i="10"/>
  <c r="AF28" i="10"/>
  <c r="AF27" i="10"/>
  <c r="AF26" i="10"/>
  <c r="AF25" i="10"/>
  <c r="AF24" i="10"/>
  <c r="AF23" i="10"/>
  <c r="AF22" i="10"/>
  <c r="AF21" i="10"/>
  <c r="AF20" i="10"/>
  <c r="AF19" i="10"/>
  <c r="AI18" i="10"/>
  <c r="AF18" i="10"/>
  <c r="AF17" i="10"/>
  <c r="AF16" i="10"/>
  <c r="AF15" i="10"/>
  <c r="AF14" i="10"/>
  <c r="AF13" i="10"/>
  <c r="F13" i="10"/>
  <c r="AF12" i="10"/>
  <c r="E12" i="10"/>
  <c r="AF11" i="10"/>
  <c r="E11" i="10"/>
  <c r="AF10" i="10"/>
  <c r="AF9" i="10"/>
  <c r="AF8" i="10"/>
  <c r="AF7" i="10"/>
  <c r="E7" i="10"/>
  <c r="AF6" i="10"/>
  <c r="O6" i="10"/>
  <c r="E6" i="10"/>
  <c r="AF5" i="10"/>
  <c r="AE5" i="10"/>
  <c r="F5" i="10"/>
  <c r="E5" i="10"/>
  <c r="AF4" i="10"/>
  <c r="AE4" i="10"/>
  <c r="M4" i="10"/>
  <c r="L4" i="10"/>
  <c r="K4" i="10" s="1"/>
  <c r="I4" i="10" s="1"/>
  <c r="J4" i="10"/>
  <c r="G104" i="9"/>
  <c r="G103" i="9"/>
  <c r="J76" i="9"/>
  <c r="F76" i="9"/>
  <c r="G76" i="9" s="1"/>
  <c r="S6" i="9" s="1"/>
  <c r="Q6" i="9" s="1"/>
  <c r="L6" i="9" s="1"/>
  <c r="J75" i="9"/>
  <c r="J77" i="9" s="1"/>
  <c r="AF54" i="9"/>
  <c r="AF53" i="9"/>
  <c r="AF52" i="9"/>
  <c r="AF51" i="9"/>
  <c r="AF50" i="9"/>
  <c r="AF49" i="9"/>
  <c r="AF48" i="9"/>
  <c r="AF47" i="9"/>
  <c r="AF46" i="9"/>
  <c r="AF45" i="9"/>
  <c r="AF44" i="9"/>
  <c r="AF43" i="9"/>
  <c r="AF42" i="9"/>
  <c r="AF41" i="9"/>
  <c r="AF40" i="9"/>
  <c r="AF39" i="9"/>
  <c r="AF38" i="9"/>
  <c r="AF37" i="9"/>
  <c r="AF36" i="9"/>
  <c r="AF35" i="9"/>
  <c r="AF34" i="9"/>
  <c r="AF33" i="9"/>
  <c r="AF32" i="9"/>
  <c r="AF31" i="9"/>
  <c r="AF30" i="9"/>
  <c r="AF29" i="9"/>
  <c r="AF28" i="9"/>
  <c r="AF27" i="9"/>
  <c r="AF26" i="9"/>
  <c r="AF25" i="9"/>
  <c r="AF24" i="9"/>
  <c r="AF23" i="9"/>
  <c r="AF22" i="9"/>
  <c r="AF21" i="9"/>
  <c r="AF20" i="9"/>
  <c r="AF19" i="9"/>
  <c r="AI18" i="9"/>
  <c r="AF18" i="9"/>
  <c r="AF17" i="9"/>
  <c r="AF16" i="9"/>
  <c r="AF15" i="9"/>
  <c r="AF14" i="9"/>
  <c r="AF13" i="9"/>
  <c r="F13" i="9"/>
  <c r="AF12" i="9"/>
  <c r="E12" i="9"/>
  <c r="AF11" i="9"/>
  <c r="E11" i="9"/>
  <c r="AF10" i="9"/>
  <c r="AF9" i="9"/>
  <c r="AF8" i="9"/>
  <c r="AF7" i="9"/>
  <c r="E7" i="9"/>
  <c r="AF6" i="9"/>
  <c r="P6" i="9"/>
  <c r="O6" i="9"/>
  <c r="AE6" i="9" s="1"/>
  <c r="M6" i="9"/>
  <c r="E6" i="9"/>
  <c r="AF5" i="9"/>
  <c r="AE5" i="9"/>
  <c r="F5" i="9"/>
  <c r="E5" i="9"/>
  <c r="AF4" i="9"/>
  <c r="AE4" i="9"/>
  <c r="M4" i="9"/>
  <c r="L4" i="9"/>
  <c r="K4" i="9" s="1"/>
  <c r="I4" i="9" s="1"/>
  <c r="J4" i="9"/>
  <c r="G104" i="8"/>
  <c r="G103" i="8"/>
  <c r="J77" i="8"/>
  <c r="AF54" i="8"/>
  <c r="AF53" i="8"/>
  <c r="AE53" i="8"/>
  <c r="AF52" i="8"/>
  <c r="AF51" i="8"/>
  <c r="AE51" i="8"/>
  <c r="AF50" i="8"/>
  <c r="AF49" i="8"/>
  <c r="AE49" i="8"/>
  <c r="AF48" i="8"/>
  <c r="AF47" i="8"/>
  <c r="AE47" i="8"/>
  <c r="AF46" i="8"/>
  <c r="AF45" i="8"/>
  <c r="AE45" i="8"/>
  <c r="AF44" i="8"/>
  <c r="AF43" i="8"/>
  <c r="AE43" i="8"/>
  <c r="AF42" i="8"/>
  <c r="AF41" i="8"/>
  <c r="AE41" i="8"/>
  <c r="AF40" i="8"/>
  <c r="AF39" i="8"/>
  <c r="AE39" i="8"/>
  <c r="AF38" i="8"/>
  <c r="AF37" i="8"/>
  <c r="AE37" i="8"/>
  <c r="AF36" i="8"/>
  <c r="AF35" i="8"/>
  <c r="AE35" i="8"/>
  <c r="AF34" i="8"/>
  <c r="AF33" i="8"/>
  <c r="AE33" i="8"/>
  <c r="AF32" i="8"/>
  <c r="AF31" i="8"/>
  <c r="AE31" i="8"/>
  <c r="AF30" i="8"/>
  <c r="AF29" i="8"/>
  <c r="AE29" i="8"/>
  <c r="AF28" i="8"/>
  <c r="AF27" i="8"/>
  <c r="AE27" i="8"/>
  <c r="AF26" i="8"/>
  <c r="AF25" i="8"/>
  <c r="AE25" i="8"/>
  <c r="AF24" i="8"/>
  <c r="AF23" i="8"/>
  <c r="AE23" i="8"/>
  <c r="AF22" i="8"/>
  <c r="AF21" i="8"/>
  <c r="AE21" i="8"/>
  <c r="AF20" i="8"/>
  <c r="C20" i="8"/>
  <c r="AF19" i="8"/>
  <c r="AE19" i="8"/>
  <c r="AI18" i="8"/>
  <c r="AF18" i="8"/>
  <c r="AF17" i="8"/>
  <c r="AE17" i="8"/>
  <c r="AF16" i="8"/>
  <c r="AF15" i="8"/>
  <c r="AE15" i="8"/>
  <c r="AF14" i="8"/>
  <c r="AF13" i="8"/>
  <c r="AE13" i="8"/>
  <c r="F13" i="8"/>
  <c r="AF12" i="8"/>
  <c r="E12" i="8"/>
  <c r="AF11" i="8"/>
  <c r="AE11" i="8"/>
  <c r="E11" i="8"/>
  <c r="AF10" i="8"/>
  <c r="AF9" i="8"/>
  <c r="AE9" i="8"/>
  <c r="AF8" i="8"/>
  <c r="AF7" i="8"/>
  <c r="AE7" i="8"/>
  <c r="E7" i="8"/>
  <c r="AF6" i="8"/>
  <c r="P6" i="8"/>
  <c r="F76" i="8" s="1"/>
  <c r="G76" i="8" s="1"/>
  <c r="S6" i="8" s="1"/>
  <c r="E6" i="8"/>
  <c r="AF5" i="8"/>
  <c r="AE5" i="8"/>
  <c r="E5" i="8"/>
  <c r="AF4" i="8"/>
  <c r="AE4" i="8"/>
  <c r="G104" i="7"/>
  <c r="G103" i="7"/>
  <c r="J83" i="7"/>
  <c r="J81" i="7" s="1"/>
  <c r="J82" i="7"/>
  <c r="J79" i="7"/>
  <c r="J78" i="7"/>
  <c r="M77" i="7"/>
  <c r="J77" i="7"/>
  <c r="F76" i="7"/>
  <c r="G76" i="7" s="1"/>
  <c r="S6" i="7" s="1"/>
  <c r="AF54" i="7"/>
  <c r="AF53" i="7"/>
  <c r="AE53" i="7"/>
  <c r="AF52" i="7"/>
  <c r="AF51" i="7"/>
  <c r="AE51" i="7"/>
  <c r="AF50" i="7"/>
  <c r="AF49" i="7"/>
  <c r="AE49" i="7"/>
  <c r="AF48" i="7"/>
  <c r="AF47" i="7"/>
  <c r="AE47" i="7"/>
  <c r="AF46" i="7"/>
  <c r="AF45" i="7"/>
  <c r="AE45" i="7"/>
  <c r="AF44" i="7"/>
  <c r="AF43" i="7"/>
  <c r="AE43" i="7"/>
  <c r="AF42" i="7"/>
  <c r="AF41" i="7"/>
  <c r="AE41" i="7"/>
  <c r="AF40" i="7"/>
  <c r="AF39" i="7"/>
  <c r="AE39" i="7"/>
  <c r="AF38" i="7"/>
  <c r="AF37" i="7"/>
  <c r="AE37" i="7"/>
  <c r="AF36" i="7"/>
  <c r="AF35" i="7"/>
  <c r="AE35" i="7"/>
  <c r="AF34" i="7"/>
  <c r="AF33" i="7"/>
  <c r="AE33" i="7"/>
  <c r="AF32" i="7"/>
  <c r="AF31" i="7"/>
  <c r="AE31" i="7"/>
  <c r="AF30" i="7"/>
  <c r="AF29" i="7"/>
  <c r="AE29" i="7"/>
  <c r="AF28" i="7"/>
  <c r="AF27" i="7"/>
  <c r="AE27" i="7"/>
  <c r="AF26" i="7"/>
  <c r="AF25" i="7"/>
  <c r="AE25" i="7"/>
  <c r="AF24" i="7"/>
  <c r="AF23" i="7"/>
  <c r="AE23" i="7"/>
  <c r="AF22" i="7"/>
  <c r="AF21" i="7"/>
  <c r="AE21" i="7"/>
  <c r="AF20" i="7"/>
  <c r="AF19" i="7"/>
  <c r="AE19" i="7"/>
  <c r="AI18" i="7"/>
  <c r="AF18" i="7"/>
  <c r="AF17" i="7"/>
  <c r="AE17" i="7"/>
  <c r="AF16" i="7"/>
  <c r="AF15" i="7"/>
  <c r="AE15" i="7"/>
  <c r="AF14" i="7"/>
  <c r="AF13" i="7"/>
  <c r="AE13" i="7"/>
  <c r="F13" i="7"/>
  <c r="AF12" i="7"/>
  <c r="E12" i="7"/>
  <c r="AF11" i="7"/>
  <c r="AE11" i="7"/>
  <c r="E11" i="7"/>
  <c r="AF10" i="7"/>
  <c r="AF9" i="7"/>
  <c r="AE9" i="7"/>
  <c r="P9" i="7"/>
  <c r="O9" i="7" s="1"/>
  <c r="N9" i="7" s="1"/>
  <c r="AF8" i="7"/>
  <c r="AE8" i="7"/>
  <c r="O8" i="7"/>
  <c r="N8" i="7" s="1"/>
  <c r="AF7" i="7"/>
  <c r="AE7" i="7"/>
  <c r="P7" i="7"/>
  <c r="P8" i="7" s="1"/>
  <c r="F78" i="7" s="1"/>
  <c r="E7" i="7"/>
  <c r="AF6" i="7"/>
  <c r="AE6" i="7"/>
  <c r="P6" i="7"/>
  <c r="M76" i="7" s="1"/>
  <c r="O6" i="7"/>
  <c r="N6" i="7" s="1"/>
  <c r="E6" i="7"/>
  <c r="AF5" i="7"/>
  <c r="AE5" i="7"/>
  <c r="E5" i="7"/>
  <c r="F5" i="7" s="1"/>
  <c r="AF4" i="7"/>
  <c r="AE4" i="7"/>
  <c r="G104" i="6"/>
  <c r="G103" i="6"/>
  <c r="J83" i="6"/>
  <c r="J81" i="6" s="1"/>
  <c r="J82" i="6"/>
  <c r="J78" i="6"/>
  <c r="J77" i="6"/>
  <c r="J79" i="6" s="1"/>
  <c r="AF54" i="6"/>
  <c r="AF53" i="6"/>
  <c r="AF52" i="6"/>
  <c r="AF51" i="6"/>
  <c r="AF50" i="6"/>
  <c r="AF49" i="6"/>
  <c r="AF48" i="6"/>
  <c r="AF47" i="6"/>
  <c r="AF46" i="6"/>
  <c r="AF45" i="6"/>
  <c r="AF44" i="6"/>
  <c r="AF43" i="6"/>
  <c r="AF42" i="6"/>
  <c r="AF41" i="6"/>
  <c r="AF40" i="6"/>
  <c r="AF39" i="6"/>
  <c r="AF38" i="6"/>
  <c r="AF37" i="6"/>
  <c r="AF36" i="6"/>
  <c r="AF35" i="6"/>
  <c r="AF34" i="6"/>
  <c r="AF33" i="6"/>
  <c r="AF32" i="6"/>
  <c r="AF31" i="6"/>
  <c r="AF30" i="6"/>
  <c r="AF29" i="6"/>
  <c r="AF28" i="6"/>
  <c r="AF27" i="6"/>
  <c r="AF26" i="6"/>
  <c r="AF25" i="6"/>
  <c r="AF24" i="6"/>
  <c r="AF23" i="6"/>
  <c r="AF22" i="6"/>
  <c r="AF21" i="6"/>
  <c r="AF20" i="6"/>
  <c r="C20" i="6"/>
  <c r="AF19" i="6"/>
  <c r="AI18" i="6"/>
  <c r="AF18" i="6"/>
  <c r="AF17" i="6"/>
  <c r="AF16" i="6"/>
  <c r="AF15" i="6"/>
  <c r="AF14" i="6"/>
  <c r="AF13" i="6"/>
  <c r="F13" i="6"/>
  <c r="AF12" i="6"/>
  <c r="E12" i="6"/>
  <c r="AF11" i="6"/>
  <c r="E11" i="6"/>
  <c r="AF10" i="6"/>
  <c r="AF9" i="6"/>
  <c r="AF8" i="6"/>
  <c r="AF7" i="6"/>
  <c r="E7" i="6"/>
  <c r="AF6" i="6"/>
  <c r="AE6" i="6"/>
  <c r="P6" i="6"/>
  <c r="O6" i="6"/>
  <c r="E6" i="6"/>
  <c r="AF5" i="6"/>
  <c r="AE5" i="6"/>
  <c r="F5" i="6"/>
  <c r="E5" i="6"/>
  <c r="AF4" i="6"/>
  <c r="AE4" i="6"/>
  <c r="G104" i="5"/>
  <c r="G103" i="5"/>
  <c r="J83" i="5"/>
  <c r="J82" i="5"/>
  <c r="J81" i="5" s="1"/>
  <c r="J79" i="5"/>
  <c r="J78" i="5"/>
  <c r="J77" i="5"/>
  <c r="AF54" i="5"/>
  <c r="AF53" i="5"/>
  <c r="AF52" i="5"/>
  <c r="AF51" i="5"/>
  <c r="AF50" i="5"/>
  <c r="AF49" i="5"/>
  <c r="AF48" i="5"/>
  <c r="AF47" i="5"/>
  <c r="AF46" i="5"/>
  <c r="AF45" i="5"/>
  <c r="AF44" i="5"/>
  <c r="AF43" i="5"/>
  <c r="AF42" i="5"/>
  <c r="AF41" i="5"/>
  <c r="AF40" i="5"/>
  <c r="AF39" i="5"/>
  <c r="AF38" i="5"/>
  <c r="AF37" i="5"/>
  <c r="AF36" i="5"/>
  <c r="AF35" i="5"/>
  <c r="AF34" i="5"/>
  <c r="AF33" i="5"/>
  <c r="AF32" i="5"/>
  <c r="AF31" i="5"/>
  <c r="AF30" i="5"/>
  <c r="AF29" i="5"/>
  <c r="AF28" i="5"/>
  <c r="AF27" i="5"/>
  <c r="AF26" i="5"/>
  <c r="AF25" i="5"/>
  <c r="AF24" i="5"/>
  <c r="AF23" i="5"/>
  <c r="AF22" i="5"/>
  <c r="AF21" i="5"/>
  <c r="AF20" i="5"/>
  <c r="AF19" i="5"/>
  <c r="AI18" i="5"/>
  <c r="AF18" i="5"/>
  <c r="AF17" i="5"/>
  <c r="AF16" i="5"/>
  <c r="AF15" i="5"/>
  <c r="AF14" i="5"/>
  <c r="AF13" i="5"/>
  <c r="F13" i="5"/>
  <c r="AF12" i="5"/>
  <c r="E12" i="5"/>
  <c r="AF11" i="5"/>
  <c r="E11" i="5"/>
  <c r="AF10" i="5"/>
  <c r="AF9" i="5"/>
  <c r="AF8" i="5"/>
  <c r="AF7" i="5"/>
  <c r="AE7" i="5"/>
  <c r="O7" i="5"/>
  <c r="E7" i="5"/>
  <c r="AF6" i="5"/>
  <c r="O6" i="5"/>
  <c r="P6" i="5" s="1"/>
  <c r="N6" i="5" s="1"/>
  <c r="E6" i="5"/>
  <c r="AF5" i="5"/>
  <c r="AE5" i="5"/>
  <c r="E5" i="5"/>
  <c r="F5" i="5" s="1"/>
  <c r="AF4" i="5"/>
  <c r="AE4" i="5"/>
  <c r="R124" i="4"/>
  <c r="R123" i="4"/>
  <c r="Q123" i="4"/>
  <c r="R122" i="4"/>
  <c r="R121" i="4"/>
  <c r="Q121" i="4"/>
  <c r="R120" i="4"/>
  <c r="R119" i="4"/>
  <c r="Q119" i="4"/>
  <c r="R118" i="4"/>
  <c r="R117" i="4"/>
  <c r="Q117" i="4"/>
  <c r="R116" i="4"/>
  <c r="R115" i="4"/>
  <c r="Q115" i="4"/>
  <c r="R114" i="4"/>
  <c r="R113" i="4"/>
  <c r="Q113" i="4"/>
  <c r="R112" i="4"/>
  <c r="R111" i="4"/>
  <c r="Q111" i="4"/>
  <c r="R110" i="4"/>
  <c r="R109" i="4"/>
  <c r="Q109" i="4"/>
  <c r="R108" i="4"/>
  <c r="R107" i="4"/>
  <c r="Q107" i="4"/>
  <c r="R106" i="4"/>
  <c r="R105" i="4"/>
  <c r="Q105" i="4"/>
  <c r="R104" i="4"/>
  <c r="G104" i="4"/>
  <c r="R103" i="4"/>
  <c r="Q103" i="4"/>
  <c r="G103" i="4"/>
  <c r="R102" i="4"/>
  <c r="R101" i="4"/>
  <c r="Q101" i="4"/>
  <c r="R100" i="4"/>
  <c r="R99" i="4"/>
  <c r="Q99" i="4"/>
  <c r="R98" i="4"/>
  <c r="R97" i="4"/>
  <c r="Q97" i="4"/>
  <c r="R96" i="4"/>
  <c r="R95" i="4"/>
  <c r="Q95" i="4"/>
  <c r="R94" i="4"/>
  <c r="R93" i="4"/>
  <c r="Q93" i="4"/>
  <c r="R92" i="4"/>
  <c r="R91" i="4"/>
  <c r="Q91" i="4"/>
  <c r="R90" i="4"/>
  <c r="R89" i="4"/>
  <c r="Q89" i="4"/>
  <c r="R88" i="4"/>
  <c r="R87" i="4"/>
  <c r="Q87" i="4"/>
  <c r="R86" i="4"/>
  <c r="R85" i="4"/>
  <c r="Q85" i="4"/>
  <c r="R84" i="4"/>
  <c r="R83" i="4"/>
  <c r="Q83" i="4"/>
  <c r="R82" i="4"/>
  <c r="R81" i="4"/>
  <c r="Q81" i="4"/>
  <c r="R80" i="4"/>
  <c r="R79" i="4"/>
  <c r="Q79" i="4"/>
  <c r="R78" i="4"/>
  <c r="R77" i="4"/>
  <c r="Q77" i="4"/>
  <c r="J77" i="4"/>
  <c r="R76" i="4"/>
  <c r="R75" i="4"/>
  <c r="Q75" i="4"/>
  <c r="R74" i="4"/>
  <c r="Q74" i="4"/>
  <c r="AI18" i="4"/>
  <c r="F13" i="4"/>
  <c r="E12" i="4"/>
  <c r="E11" i="4"/>
  <c r="P7" i="4"/>
  <c r="E7" i="4"/>
  <c r="E6" i="4"/>
  <c r="F5" i="4"/>
  <c r="E5" i="4"/>
  <c r="M4" i="4"/>
  <c r="L4" i="4"/>
  <c r="K4" i="4" s="1"/>
  <c r="I4" i="4" s="1"/>
  <c r="J4" i="4"/>
  <c r="G104" i="3"/>
  <c r="G103" i="3"/>
  <c r="J83" i="3"/>
  <c r="J82" i="3"/>
  <c r="J81" i="3"/>
  <c r="J79" i="3"/>
  <c r="J78" i="3"/>
  <c r="P7" i="3" s="1"/>
  <c r="AE6" i="3" s="1"/>
  <c r="J77" i="3"/>
  <c r="M76" i="3"/>
  <c r="G76" i="3"/>
  <c r="S7" i="3" s="1"/>
  <c r="Q7" i="3" s="1"/>
  <c r="L7" i="3" s="1"/>
  <c r="F76" i="3"/>
  <c r="AF54" i="3"/>
  <c r="AF53" i="3"/>
  <c r="AE53" i="3"/>
  <c r="AF52" i="3"/>
  <c r="AF51" i="3"/>
  <c r="AE51" i="3"/>
  <c r="AF50" i="3"/>
  <c r="AF49" i="3"/>
  <c r="AE49" i="3"/>
  <c r="AF48" i="3"/>
  <c r="AF47" i="3"/>
  <c r="AE47" i="3"/>
  <c r="AF46" i="3"/>
  <c r="AF45" i="3"/>
  <c r="AE45" i="3"/>
  <c r="AF44" i="3"/>
  <c r="AF43" i="3"/>
  <c r="AE43" i="3"/>
  <c r="AF42" i="3"/>
  <c r="AF41" i="3"/>
  <c r="AE41" i="3"/>
  <c r="AF40" i="3"/>
  <c r="AF39" i="3"/>
  <c r="AE39" i="3"/>
  <c r="AF38" i="3"/>
  <c r="AF37" i="3"/>
  <c r="AE37" i="3"/>
  <c r="AF36" i="3"/>
  <c r="AF35" i="3"/>
  <c r="AE35" i="3"/>
  <c r="AF34" i="3"/>
  <c r="AF33" i="3"/>
  <c r="AE33" i="3"/>
  <c r="AF32" i="3"/>
  <c r="AF31" i="3"/>
  <c r="AE31" i="3"/>
  <c r="AF30" i="3"/>
  <c r="AF29" i="3"/>
  <c r="AE29" i="3"/>
  <c r="AF28" i="3"/>
  <c r="AF27" i="3"/>
  <c r="AE27" i="3"/>
  <c r="AF26" i="3"/>
  <c r="AF25" i="3"/>
  <c r="AE25" i="3"/>
  <c r="AF24" i="3"/>
  <c r="AF23" i="3"/>
  <c r="AE23" i="3"/>
  <c r="AF22" i="3"/>
  <c r="AF21" i="3"/>
  <c r="AE21" i="3"/>
  <c r="C21" i="3"/>
  <c r="AF20" i="3"/>
  <c r="AF19" i="3"/>
  <c r="AE19" i="3"/>
  <c r="AI18" i="3"/>
  <c r="AF18" i="3"/>
  <c r="AF17" i="3"/>
  <c r="AE17" i="3"/>
  <c r="AF16" i="3"/>
  <c r="AF15" i="3"/>
  <c r="AE15" i="3"/>
  <c r="AF14" i="3"/>
  <c r="AF13" i="3"/>
  <c r="AE13" i="3"/>
  <c r="F13" i="3"/>
  <c r="AF12" i="3"/>
  <c r="E12" i="3"/>
  <c r="AF11" i="3"/>
  <c r="AE11" i="3"/>
  <c r="E11" i="3"/>
  <c r="AF10" i="3"/>
  <c r="AF9" i="3"/>
  <c r="AE9" i="3"/>
  <c r="AF8" i="3"/>
  <c r="AF7" i="3"/>
  <c r="AE7" i="3"/>
  <c r="E7" i="3"/>
  <c r="AF6" i="3"/>
  <c r="E6" i="3"/>
  <c r="AF5" i="3"/>
  <c r="AE5" i="3"/>
  <c r="E5" i="3"/>
  <c r="AF4" i="3"/>
  <c r="AE4" i="3"/>
  <c r="M4" i="3"/>
  <c r="L4" i="3"/>
  <c r="K4" i="3"/>
  <c r="I4" i="3" s="1"/>
  <c r="J4" i="3"/>
  <c r="G104" i="2"/>
  <c r="G103" i="2"/>
  <c r="J78" i="2"/>
  <c r="J77" i="2"/>
  <c r="J79" i="2" s="1"/>
  <c r="F76" i="2"/>
  <c r="G76" i="2" s="1"/>
  <c r="S7" i="2" s="1"/>
  <c r="Q7" i="2" s="1"/>
  <c r="L7" i="2" s="1"/>
  <c r="AF54" i="2"/>
  <c r="AF53" i="2"/>
  <c r="AF52" i="2"/>
  <c r="AF51" i="2"/>
  <c r="AF50" i="2"/>
  <c r="AF49" i="2"/>
  <c r="AF48" i="2"/>
  <c r="AF47" i="2"/>
  <c r="AF46" i="2"/>
  <c r="AF45" i="2"/>
  <c r="AF44" i="2"/>
  <c r="AF43" i="2"/>
  <c r="AF42" i="2"/>
  <c r="AF41" i="2"/>
  <c r="AF40" i="2"/>
  <c r="AF39" i="2"/>
  <c r="AF38" i="2"/>
  <c r="AF37" i="2"/>
  <c r="AF36" i="2"/>
  <c r="AF35" i="2"/>
  <c r="AF34" i="2"/>
  <c r="AF33" i="2"/>
  <c r="AF32" i="2"/>
  <c r="AF31" i="2"/>
  <c r="AF30" i="2"/>
  <c r="AF29" i="2"/>
  <c r="AF28" i="2"/>
  <c r="AF27" i="2"/>
  <c r="AF26" i="2"/>
  <c r="AF25" i="2"/>
  <c r="AF24" i="2"/>
  <c r="AF23" i="2"/>
  <c r="AF22" i="2"/>
  <c r="AF21" i="2"/>
  <c r="AF20" i="2"/>
  <c r="C20" i="2"/>
  <c r="AF19" i="2"/>
  <c r="AI18" i="2"/>
  <c r="AF18" i="2"/>
  <c r="AF17" i="2"/>
  <c r="AF16" i="2"/>
  <c r="AF15" i="2"/>
  <c r="AF14" i="2"/>
  <c r="AF13" i="2"/>
  <c r="F13" i="2"/>
  <c r="AF12" i="2"/>
  <c r="E12" i="2"/>
  <c r="AF11" i="2"/>
  <c r="E11" i="2"/>
  <c r="AF10" i="2"/>
  <c r="AF9" i="2"/>
  <c r="AF8" i="2"/>
  <c r="AF7" i="2"/>
  <c r="P7" i="2"/>
  <c r="AE7" i="2" s="1"/>
  <c r="O7" i="2"/>
  <c r="O8" i="2" s="1"/>
  <c r="E7" i="2"/>
  <c r="AF6" i="2"/>
  <c r="AE6" i="2"/>
  <c r="E6" i="2"/>
  <c r="AF5" i="2"/>
  <c r="AE5" i="2"/>
  <c r="F5" i="2"/>
  <c r="E5" i="2"/>
  <c r="AF4" i="2"/>
  <c r="AE4" i="2"/>
  <c r="M4" i="2"/>
  <c r="L4" i="2"/>
  <c r="K4" i="2"/>
  <c r="I4" i="2" s="1"/>
  <c r="J4" i="2"/>
  <c r="G104" i="1"/>
  <c r="G103" i="1"/>
  <c r="J83" i="1"/>
  <c r="J82" i="1"/>
  <c r="J78" i="1"/>
  <c r="J77" i="1"/>
  <c r="J79" i="1" s="1"/>
  <c r="AF54" i="1"/>
  <c r="AF53" i="1"/>
  <c r="AF52" i="1"/>
  <c r="AF51" i="1"/>
  <c r="AF50" i="1"/>
  <c r="AF49" i="1"/>
  <c r="AF48" i="1"/>
  <c r="AF47" i="1"/>
  <c r="AF46" i="1"/>
  <c r="AF45" i="1"/>
  <c r="AF44" i="1"/>
  <c r="AF43" i="1"/>
  <c r="AF42" i="1"/>
  <c r="AF41" i="1"/>
  <c r="AF40" i="1"/>
  <c r="AF39" i="1"/>
  <c r="AF38" i="1"/>
  <c r="AF37" i="1"/>
  <c r="AF36" i="1"/>
  <c r="AF35" i="1"/>
  <c r="AF34" i="1"/>
  <c r="AF33" i="1"/>
  <c r="AF32" i="1"/>
  <c r="AF31" i="1"/>
  <c r="AF30" i="1"/>
  <c r="AF29" i="1"/>
  <c r="AF28" i="1"/>
  <c r="AF27" i="1"/>
  <c r="AF26" i="1"/>
  <c r="AF25" i="1"/>
  <c r="AF24" i="1"/>
  <c r="AF23" i="1"/>
  <c r="AF22" i="1"/>
  <c r="AF21" i="1"/>
  <c r="C21" i="1"/>
  <c r="J81" i="1" s="1"/>
  <c r="AF20" i="1"/>
  <c r="AF19" i="1"/>
  <c r="AI18" i="1"/>
  <c r="AF18" i="1"/>
  <c r="AF17" i="1"/>
  <c r="AF16" i="1"/>
  <c r="AF15" i="1"/>
  <c r="AF14" i="1"/>
  <c r="AF13" i="1"/>
  <c r="F13" i="1"/>
  <c r="AF12" i="1"/>
  <c r="E12" i="1"/>
  <c r="AF11" i="1"/>
  <c r="E11" i="1"/>
  <c r="AF10" i="1"/>
  <c r="AE10" i="1"/>
  <c r="O10" i="1"/>
  <c r="AF9" i="1"/>
  <c r="P9" i="1"/>
  <c r="O9" i="1"/>
  <c r="F78" i="1" s="1"/>
  <c r="G78" i="1" s="1"/>
  <c r="S9" i="1" s="1"/>
  <c r="Q9" i="1" s="1"/>
  <c r="L9" i="1" s="1"/>
  <c r="AF8" i="1"/>
  <c r="O8" i="1"/>
  <c r="F77" i="1" s="1"/>
  <c r="G77" i="1" s="1"/>
  <c r="S8" i="1" s="1"/>
  <c r="AF7" i="1"/>
  <c r="O7" i="1"/>
  <c r="F76" i="1" s="1"/>
  <c r="G76" i="1" s="1"/>
  <c r="S7" i="1" s="1"/>
  <c r="Q7" i="1" s="1"/>
  <c r="L7" i="1"/>
  <c r="E7" i="1"/>
  <c r="AF6" i="1"/>
  <c r="AE6" i="1"/>
  <c r="E6" i="1"/>
  <c r="AF5" i="1"/>
  <c r="AE5" i="1"/>
  <c r="E5" i="1"/>
  <c r="F5" i="1" s="1"/>
  <c r="AF4" i="1"/>
  <c r="AE4" i="1"/>
  <c r="M4" i="1"/>
  <c r="L4" i="1"/>
  <c r="K4" i="1" s="1"/>
  <c r="I4" i="1" s="1"/>
  <c r="J4" i="1"/>
  <c r="M9" i="1" l="1"/>
  <c r="K9" i="1"/>
  <c r="N9" i="1"/>
  <c r="AE11" i="1"/>
  <c r="F77" i="2"/>
  <c r="G77" i="2" s="1"/>
  <c r="S8" i="2" s="1"/>
  <c r="Q8" i="2" s="1"/>
  <c r="L8" i="2" s="1"/>
  <c r="P8" i="2"/>
  <c r="AE8" i="2"/>
  <c r="O9" i="2"/>
  <c r="AE12" i="1"/>
  <c r="F79" i="1"/>
  <c r="G79" i="1" s="1"/>
  <c r="S10" i="1" s="1"/>
  <c r="Q10" i="1" s="1"/>
  <c r="L10" i="1" s="1"/>
  <c r="O11" i="1"/>
  <c r="P10" i="1"/>
  <c r="Q8" i="1"/>
  <c r="L8" i="1" s="1"/>
  <c r="M7" i="2"/>
  <c r="Q76" i="4"/>
  <c r="P8" i="4"/>
  <c r="M76" i="4"/>
  <c r="N7" i="2"/>
  <c r="K7" i="2" s="1"/>
  <c r="P8" i="3"/>
  <c r="N6" i="6"/>
  <c r="AE7" i="6"/>
  <c r="P7" i="1"/>
  <c r="O7" i="3"/>
  <c r="N7" i="3" s="1"/>
  <c r="K7" i="3" s="1"/>
  <c r="F76" i="4"/>
  <c r="G76" i="4" s="1"/>
  <c r="S7" i="4" s="1"/>
  <c r="Q7" i="4" s="1"/>
  <c r="L7" i="4" s="1"/>
  <c r="F77" i="5"/>
  <c r="G77" i="5" s="1"/>
  <c r="S7" i="5" s="1"/>
  <c r="AE8" i="5"/>
  <c r="O8" i="5"/>
  <c r="AE8" i="1"/>
  <c r="P8" i="1"/>
  <c r="P7" i="5"/>
  <c r="O7" i="4"/>
  <c r="N7" i="4" s="1"/>
  <c r="F76" i="6"/>
  <c r="G76" i="6" s="1"/>
  <c r="S6" i="6" s="1"/>
  <c r="O7" i="6"/>
  <c r="Q6" i="8"/>
  <c r="L6" i="8" s="1"/>
  <c r="Q6" i="7"/>
  <c r="L6" i="7" s="1"/>
  <c r="M78" i="7"/>
  <c r="F76" i="5"/>
  <c r="G76" i="5" s="1"/>
  <c r="S6" i="5" s="1"/>
  <c r="G78" i="7"/>
  <c r="S8" i="7" s="1"/>
  <c r="AE6" i="8"/>
  <c r="O6" i="8"/>
  <c r="N6" i="8" s="1"/>
  <c r="M76" i="8"/>
  <c r="P7" i="8"/>
  <c r="K6" i="9"/>
  <c r="AE6" i="5"/>
  <c r="F79" i="7"/>
  <c r="G79" i="7" s="1"/>
  <c r="S9" i="7" s="1"/>
  <c r="AE12" i="7"/>
  <c r="M79" i="7"/>
  <c r="P10" i="7"/>
  <c r="AE10" i="7"/>
  <c r="N6" i="9"/>
  <c r="AE7" i="9"/>
  <c r="O7" i="9"/>
  <c r="O7" i="10"/>
  <c r="F76" i="10"/>
  <c r="G76" i="10" s="1"/>
  <c r="S6" i="10" s="1"/>
  <c r="Q6" i="10" s="1"/>
  <c r="L6" i="10" s="1"/>
  <c r="O7" i="7"/>
  <c r="N7" i="7" s="1"/>
  <c r="P6" i="10"/>
  <c r="F76" i="11"/>
  <c r="G76" i="11" s="1"/>
  <c r="S6" i="11" s="1"/>
  <c r="Q6" i="11" s="1"/>
  <c r="L6" i="11" s="1"/>
  <c r="M75" i="11"/>
  <c r="AE6" i="11"/>
  <c r="O6" i="11"/>
  <c r="N6" i="11" s="1"/>
  <c r="F77" i="7"/>
  <c r="G77" i="7" s="1"/>
  <c r="S7" i="7" s="1"/>
  <c r="F77" i="11"/>
  <c r="G77" i="11" s="1"/>
  <c r="S7" i="11" s="1"/>
  <c r="Q7" i="11" s="1"/>
  <c r="L7" i="11" s="1"/>
  <c r="AE8" i="11"/>
  <c r="O7" i="11"/>
  <c r="N7" i="11" s="1"/>
  <c r="AE6" i="10"/>
  <c r="P8" i="11"/>
  <c r="M76" i="12"/>
  <c r="F76" i="12"/>
  <c r="G76" i="12" s="1"/>
  <c r="S6" i="12" s="1"/>
  <c r="Q6" i="12" s="1"/>
  <c r="L6" i="12" s="1"/>
  <c r="P7" i="12"/>
  <c r="O6" i="12"/>
  <c r="N6" i="12" s="1"/>
  <c r="Q5" i="14"/>
  <c r="L5" i="14" s="1"/>
  <c r="N5" i="14"/>
  <c r="AE7" i="14"/>
  <c r="F76" i="13"/>
  <c r="G76" i="13" s="1"/>
  <c r="S5" i="13" s="1"/>
  <c r="AE6" i="13"/>
  <c r="O6" i="13"/>
  <c r="P5" i="13"/>
  <c r="Q6" i="14"/>
  <c r="L6" i="14" s="1"/>
  <c r="M76" i="17"/>
  <c r="O7" i="17"/>
  <c r="F76" i="17"/>
  <c r="G76" i="17" s="1"/>
  <c r="S7" i="17" s="1"/>
  <c r="AE6" i="17"/>
  <c r="AE8" i="14"/>
  <c r="P6" i="14"/>
  <c r="O7" i="14"/>
  <c r="Q5" i="16"/>
  <c r="L5" i="16" s="1"/>
  <c r="F76" i="15"/>
  <c r="G76" i="15" s="1"/>
  <c r="S5" i="15" s="1"/>
  <c r="M76" i="15"/>
  <c r="P6" i="15"/>
  <c r="O6" i="16"/>
  <c r="N6" i="16" s="1"/>
  <c r="AE8" i="16"/>
  <c r="F77" i="16"/>
  <c r="G77" i="16" s="1"/>
  <c r="S6" i="16" s="1"/>
  <c r="P7" i="16"/>
  <c r="M76" i="16"/>
  <c r="N7" i="18"/>
  <c r="P8" i="18"/>
  <c r="AE6" i="16"/>
  <c r="I4" i="17"/>
  <c r="F76" i="18"/>
  <c r="G76" i="18" s="1"/>
  <c r="S7" i="18" s="1"/>
  <c r="Q36" i="19"/>
  <c r="M76" i="18"/>
  <c r="Q76" i="20"/>
  <c r="O6" i="20"/>
  <c r="M76" i="20"/>
  <c r="F76" i="20"/>
  <c r="G76" i="20" s="1"/>
  <c r="F76" i="19"/>
  <c r="G76" i="19" s="1"/>
  <c r="S6" i="19" s="1"/>
  <c r="F77" i="19"/>
  <c r="G77" i="19" s="1"/>
  <c r="M76" i="19"/>
  <c r="AE8" i="19"/>
  <c r="O7" i="19"/>
  <c r="S6" i="20"/>
  <c r="Q6" i="21"/>
  <c r="L6" i="21" s="1"/>
  <c r="M76" i="22"/>
  <c r="O6" i="22"/>
  <c r="F76" i="22"/>
  <c r="G76" i="22" s="1"/>
  <c r="S6" i="22" s="1"/>
  <c r="AE6" i="22"/>
  <c r="F77" i="21"/>
  <c r="G77" i="21" s="1"/>
  <c r="S7" i="21" s="1"/>
  <c r="O7" i="21"/>
  <c r="M76" i="23"/>
  <c r="O5" i="23"/>
  <c r="F76" i="23"/>
  <c r="G76" i="23" s="1"/>
  <c r="S5" i="23" s="1"/>
  <c r="Q5" i="24"/>
  <c r="L5" i="24" s="1"/>
  <c r="AE6" i="24"/>
  <c r="M76" i="24"/>
  <c r="O5" i="24"/>
  <c r="Q7" i="21" l="1"/>
  <c r="L7" i="21" s="1"/>
  <c r="I7" i="3"/>
  <c r="H7" i="3" s="1"/>
  <c r="J7" i="3"/>
  <c r="S7" i="19"/>
  <c r="Q6" i="19"/>
  <c r="J7" i="2"/>
  <c r="I7" i="2"/>
  <c r="H7" i="2" s="1"/>
  <c r="Q78" i="18"/>
  <c r="O8" i="18"/>
  <c r="M77" i="18"/>
  <c r="F77" i="18"/>
  <c r="G77" i="18" s="1"/>
  <c r="F77" i="10"/>
  <c r="G77" i="10" s="1"/>
  <c r="S7" i="10" s="1"/>
  <c r="Q7" i="10" s="1"/>
  <c r="L7" i="10" s="1"/>
  <c r="AE8" i="10"/>
  <c r="O8" i="10"/>
  <c r="P7" i="10"/>
  <c r="M80" i="7"/>
  <c r="P11" i="7"/>
  <c r="F80" i="7"/>
  <c r="G80" i="7" s="1"/>
  <c r="S10" i="7" s="1"/>
  <c r="AE14" i="7"/>
  <c r="O10" i="7"/>
  <c r="N10" i="7" s="1"/>
  <c r="AE9" i="1"/>
  <c r="N8" i="1"/>
  <c r="Q6" i="20"/>
  <c r="L6" i="20" s="1"/>
  <c r="AE10" i="16"/>
  <c r="O7" i="16"/>
  <c r="N7" i="16" s="1"/>
  <c r="M78" i="16"/>
  <c r="F78" i="16"/>
  <c r="G78" i="16" s="1"/>
  <c r="S7" i="16" s="1"/>
  <c r="P8" i="16"/>
  <c r="AE8" i="9"/>
  <c r="O8" i="9"/>
  <c r="P7" i="9"/>
  <c r="F77" i="9"/>
  <c r="G77" i="9" s="1"/>
  <c r="S7" i="9" s="1"/>
  <c r="Q7" i="9" s="1"/>
  <c r="L7" i="9" s="1"/>
  <c r="AE7" i="1"/>
  <c r="N7" i="1"/>
  <c r="O8" i="4"/>
  <c r="N8" i="4" s="1"/>
  <c r="P9" i="4"/>
  <c r="F77" i="4"/>
  <c r="G77" i="4" s="1"/>
  <c r="S8" i="4" s="1"/>
  <c r="Q8" i="4" s="1"/>
  <c r="L8" i="4" s="1"/>
  <c r="Q78" i="4"/>
  <c r="M77" i="4"/>
  <c r="Q6" i="22"/>
  <c r="L6" i="22" s="1"/>
  <c r="S8" i="18"/>
  <c r="Q7" i="18"/>
  <c r="L7" i="18" s="1"/>
  <c r="Q6" i="16"/>
  <c r="L6" i="16" s="1"/>
  <c r="M77" i="11"/>
  <c r="F78" i="11"/>
  <c r="G78" i="11" s="1"/>
  <c r="S8" i="11" s="1"/>
  <c r="Q8" i="11" s="1"/>
  <c r="L8" i="11" s="1"/>
  <c r="AE10" i="11"/>
  <c r="P9" i="11"/>
  <c r="O8" i="11"/>
  <c r="N8" i="11" s="1"/>
  <c r="AE10" i="5"/>
  <c r="O9" i="5"/>
  <c r="P8" i="5"/>
  <c r="F78" i="5"/>
  <c r="G78" i="5" s="1"/>
  <c r="S8" i="5" s="1"/>
  <c r="M7" i="1"/>
  <c r="M5" i="24"/>
  <c r="M6" i="21"/>
  <c r="K6" i="21"/>
  <c r="Q5" i="15"/>
  <c r="L8" i="7"/>
  <c r="K8" i="7" s="1"/>
  <c r="Q7" i="7"/>
  <c r="L7" i="7" s="1"/>
  <c r="K6" i="8"/>
  <c r="M6" i="8"/>
  <c r="Q5" i="23"/>
  <c r="L5" i="23" s="1"/>
  <c r="P7" i="22"/>
  <c r="N6" i="22"/>
  <c r="N7" i="19"/>
  <c r="P8" i="19"/>
  <c r="P7" i="20"/>
  <c r="N6" i="20"/>
  <c r="K5" i="16"/>
  <c r="M5" i="16"/>
  <c r="AE9" i="14"/>
  <c r="N6" i="14"/>
  <c r="K6" i="14" s="1"/>
  <c r="Q9" i="7"/>
  <c r="L9" i="7" s="1"/>
  <c r="F77" i="6"/>
  <c r="G77" i="6" s="1"/>
  <c r="S7" i="6" s="1"/>
  <c r="AE8" i="6"/>
  <c r="O8" i="6"/>
  <c r="P7" i="6"/>
  <c r="M8" i="1"/>
  <c r="K8" i="1"/>
  <c r="P6" i="23"/>
  <c r="N5" i="23"/>
  <c r="P7" i="14"/>
  <c r="F78" i="14"/>
  <c r="G78" i="14" s="1"/>
  <c r="S7" i="14" s="1"/>
  <c r="AE10" i="14"/>
  <c r="O8" i="14"/>
  <c r="AE7" i="13"/>
  <c r="N5" i="13"/>
  <c r="K5" i="14"/>
  <c r="M6" i="11"/>
  <c r="K6" i="11"/>
  <c r="Q8" i="7"/>
  <c r="Q6" i="6"/>
  <c r="L6" i="6" s="1"/>
  <c r="Q7" i="5"/>
  <c r="L7" i="5" s="1"/>
  <c r="P9" i="3"/>
  <c r="M77" i="3"/>
  <c r="AE8" i="3"/>
  <c r="F77" i="3"/>
  <c r="G77" i="3" s="1"/>
  <c r="S8" i="3" s="1"/>
  <c r="Q8" i="3" s="1"/>
  <c r="L8" i="3" s="1"/>
  <c r="O8" i="3"/>
  <c r="N8" i="3" s="1"/>
  <c r="Q6" i="5"/>
  <c r="AE10" i="2"/>
  <c r="F78" i="2"/>
  <c r="G78" i="2" s="1"/>
  <c r="S9" i="2" s="1"/>
  <c r="Q9" i="2" s="1"/>
  <c r="L9" i="2" s="1"/>
  <c r="O10" i="2"/>
  <c r="P9" i="2"/>
  <c r="M77" i="15"/>
  <c r="AE8" i="15"/>
  <c r="P7" i="15"/>
  <c r="F77" i="15"/>
  <c r="G77" i="15" s="1"/>
  <c r="S6" i="15" s="1"/>
  <c r="O6" i="15"/>
  <c r="N6" i="15" s="1"/>
  <c r="F77" i="13"/>
  <c r="G77" i="13" s="1"/>
  <c r="S6" i="13" s="1"/>
  <c r="P6" i="13"/>
  <c r="O7" i="13"/>
  <c r="AE8" i="13"/>
  <c r="AE7" i="10"/>
  <c r="N6" i="10"/>
  <c r="M77" i="12"/>
  <c r="F77" i="12"/>
  <c r="G77" i="12" s="1"/>
  <c r="S7" i="12" s="1"/>
  <c r="Q7" i="12" s="1"/>
  <c r="L7" i="12" s="1"/>
  <c r="P8" i="12"/>
  <c r="Q78" i="12"/>
  <c r="O7" i="12"/>
  <c r="N7" i="12" s="1"/>
  <c r="N7" i="5"/>
  <c r="AE9" i="5"/>
  <c r="I9" i="1"/>
  <c r="H9" i="1" s="1"/>
  <c r="J9" i="1"/>
  <c r="Q7" i="17"/>
  <c r="L7" i="17" s="1"/>
  <c r="M7" i="11"/>
  <c r="K7" i="11"/>
  <c r="J6" i="9"/>
  <c r="I6" i="9"/>
  <c r="H6" i="9" s="1"/>
  <c r="N10" i="1"/>
  <c r="AE13" i="1"/>
  <c r="N7" i="21"/>
  <c r="P8" i="21"/>
  <c r="N7" i="17"/>
  <c r="P8" i="17"/>
  <c r="Q5" i="13"/>
  <c r="L5" i="13" s="1"/>
  <c r="K6" i="12"/>
  <c r="M6" i="12"/>
  <c r="M6" i="10"/>
  <c r="K6" i="10"/>
  <c r="F77" i="8"/>
  <c r="G77" i="8" s="1"/>
  <c r="S7" i="8" s="1"/>
  <c r="AE8" i="8"/>
  <c r="O7" i="8"/>
  <c r="N7" i="8" s="1"/>
  <c r="M77" i="8"/>
  <c r="P8" i="8"/>
  <c r="M6" i="7"/>
  <c r="K6" i="7"/>
  <c r="M7" i="4"/>
  <c r="K7" i="4"/>
  <c r="F80" i="1"/>
  <c r="G80" i="1" s="1"/>
  <c r="S11" i="1" s="1"/>
  <c r="Q11" i="1" s="1"/>
  <c r="L11" i="1" s="1"/>
  <c r="O12" i="1"/>
  <c r="AE14" i="1"/>
  <c r="P11" i="1"/>
  <c r="N8" i="2"/>
  <c r="AE9" i="2"/>
  <c r="P6" i="24"/>
  <c r="N5" i="24"/>
  <c r="M7" i="3"/>
  <c r="M10" i="1"/>
  <c r="K10" i="1"/>
  <c r="M8" i="2"/>
  <c r="M9" i="7" l="1"/>
  <c r="K9" i="7"/>
  <c r="K7" i="5"/>
  <c r="J6" i="14"/>
  <c r="J8" i="7"/>
  <c r="J10" i="1"/>
  <c r="I10" i="1"/>
  <c r="H10" i="1" s="1"/>
  <c r="AE15" i="1"/>
  <c r="N11" i="1"/>
  <c r="J6" i="7"/>
  <c r="F77" i="17"/>
  <c r="G77" i="17" s="1"/>
  <c r="S8" i="17" s="1"/>
  <c r="M77" i="17"/>
  <c r="AE8" i="17"/>
  <c r="O8" i="17"/>
  <c r="AE10" i="13"/>
  <c r="F78" i="13"/>
  <c r="G78" i="13" s="1"/>
  <c r="S7" i="13" s="1"/>
  <c r="O8" i="13"/>
  <c r="P7" i="13"/>
  <c r="N9" i="2"/>
  <c r="AE11" i="2"/>
  <c r="J5" i="14"/>
  <c r="O9" i="6"/>
  <c r="P8" i="6"/>
  <c r="F78" i="6"/>
  <c r="G78" i="6" s="1"/>
  <c r="S8" i="6" s="1"/>
  <c r="AE10" i="6"/>
  <c r="L5" i="15"/>
  <c r="Q8" i="18"/>
  <c r="L8" i="18" s="1"/>
  <c r="K8" i="4"/>
  <c r="M8" i="4"/>
  <c r="AE9" i="9"/>
  <c r="N7" i="9"/>
  <c r="Q7" i="16"/>
  <c r="M7" i="10"/>
  <c r="N6" i="13"/>
  <c r="AE9" i="13"/>
  <c r="AE12" i="2"/>
  <c r="F79" i="2"/>
  <c r="G79" i="2" s="1"/>
  <c r="S10" i="2" s="1"/>
  <c r="Q10" i="2" s="1"/>
  <c r="L10" i="2" s="1"/>
  <c r="O11" i="2"/>
  <c r="P10" i="2"/>
  <c r="F77" i="23"/>
  <c r="G77" i="23" s="1"/>
  <c r="S6" i="23" s="1"/>
  <c r="M77" i="23"/>
  <c r="O6" i="23"/>
  <c r="AE8" i="23"/>
  <c r="AE8" i="22"/>
  <c r="O7" i="22"/>
  <c r="M77" i="22"/>
  <c r="F77" i="22"/>
  <c r="G77" i="22" s="1"/>
  <c r="S7" i="22" s="1"/>
  <c r="J6" i="8"/>
  <c r="K8" i="11"/>
  <c r="M8" i="11"/>
  <c r="F78" i="4"/>
  <c r="G78" i="4" s="1"/>
  <c r="S9" i="4" s="1"/>
  <c r="Q9" i="4" s="1"/>
  <c r="L9" i="4" s="1"/>
  <c r="P10" i="4"/>
  <c r="M78" i="4"/>
  <c r="O9" i="4"/>
  <c r="N9" i="4" s="1"/>
  <c r="Q80" i="4"/>
  <c r="AE10" i="9"/>
  <c r="O9" i="9"/>
  <c r="F78" i="9"/>
  <c r="G78" i="9" s="1"/>
  <c r="S8" i="9" s="1"/>
  <c r="Q8" i="9" s="1"/>
  <c r="L8" i="9" s="1"/>
  <c r="P8" i="9"/>
  <c r="L6" i="19"/>
  <c r="K7" i="21"/>
  <c r="M7" i="21"/>
  <c r="M78" i="12"/>
  <c r="P9" i="12"/>
  <c r="F78" i="12"/>
  <c r="G78" i="12" s="1"/>
  <c r="S8" i="12" s="1"/>
  <c r="Q8" i="12" s="1"/>
  <c r="L8" i="12" s="1"/>
  <c r="Q80" i="12"/>
  <c r="O8" i="12"/>
  <c r="N8" i="12" s="1"/>
  <c r="Q6" i="13"/>
  <c r="L6" i="13" s="1"/>
  <c r="M9" i="2"/>
  <c r="L6" i="5"/>
  <c r="Q7" i="6"/>
  <c r="L7" i="6" s="1"/>
  <c r="K7" i="7"/>
  <c r="M7" i="7"/>
  <c r="J6" i="21"/>
  <c r="Q8" i="5"/>
  <c r="L8" i="5" s="1"/>
  <c r="Q10" i="7"/>
  <c r="L10" i="7" s="1"/>
  <c r="S8" i="19"/>
  <c r="Q7" i="19"/>
  <c r="L7" i="19" s="1"/>
  <c r="K11" i="1"/>
  <c r="M11" i="1"/>
  <c r="AE10" i="21"/>
  <c r="M78" i="21"/>
  <c r="F78" i="21"/>
  <c r="G78" i="21" s="1"/>
  <c r="S8" i="21" s="1"/>
  <c r="O8" i="21"/>
  <c r="J7" i="11"/>
  <c r="I7" i="11" s="1"/>
  <c r="H7" i="11" s="1"/>
  <c r="K7" i="12"/>
  <c r="M7" i="12"/>
  <c r="F79" i="14"/>
  <c r="G79" i="14" s="1"/>
  <c r="S8" i="14" s="1"/>
  <c r="AE12" i="14"/>
  <c r="P8" i="14"/>
  <c r="O9" i="14"/>
  <c r="J8" i="1"/>
  <c r="I8" i="1" s="1"/>
  <c r="H8" i="1" s="1"/>
  <c r="J5" i="16"/>
  <c r="M5" i="23"/>
  <c r="K5" i="23"/>
  <c r="AE11" i="5"/>
  <c r="N8" i="5"/>
  <c r="K6" i="16"/>
  <c r="M6" i="16"/>
  <c r="K7" i="1"/>
  <c r="F81" i="7"/>
  <c r="G81" i="7" s="1"/>
  <c r="S11" i="7" s="1"/>
  <c r="M81" i="7"/>
  <c r="AE16" i="7"/>
  <c r="O11" i="7"/>
  <c r="N11" i="7" s="1"/>
  <c r="P12" i="7"/>
  <c r="P9" i="18"/>
  <c r="N8" i="18"/>
  <c r="K6" i="6"/>
  <c r="O10" i="5"/>
  <c r="P9" i="5"/>
  <c r="F79" i="5"/>
  <c r="G79" i="5" s="1"/>
  <c r="S9" i="5" s="1"/>
  <c r="AE12" i="5"/>
  <c r="K6" i="22"/>
  <c r="M6" i="22"/>
  <c r="K6" i="20"/>
  <c r="M6" i="20"/>
  <c r="P12" i="1"/>
  <c r="AE16" i="1"/>
  <c r="F81" i="1"/>
  <c r="G81" i="1" s="1"/>
  <c r="S12" i="1" s="1"/>
  <c r="Q12" i="1" s="1"/>
  <c r="L12" i="1" s="1"/>
  <c r="O13" i="1"/>
  <c r="J6" i="12"/>
  <c r="I6" i="12" s="1"/>
  <c r="H6" i="12" s="1"/>
  <c r="Q6" i="15"/>
  <c r="L6" i="15" s="1"/>
  <c r="K8" i="3"/>
  <c r="M8" i="3"/>
  <c r="J6" i="11"/>
  <c r="I6" i="11"/>
  <c r="H6" i="11" s="1"/>
  <c r="K8" i="2"/>
  <c r="O6" i="24"/>
  <c r="F77" i="24"/>
  <c r="G77" i="24" s="1"/>
  <c r="S6" i="24" s="1"/>
  <c r="M77" i="24"/>
  <c r="AE8" i="24"/>
  <c r="J7" i="4"/>
  <c r="I7" i="4" s="1"/>
  <c r="H7" i="4" s="1"/>
  <c r="P8" i="15"/>
  <c r="O7" i="15"/>
  <c r="N7" i="15" s="1"/>
  <c r="F78" i="15"/>
  <c r="G78" i="15" s="1"/>
  <c r="S7" i="15" s="1"/>
  <c r="M78" i="15"/>
  <c r="AE10" i="15"/>
  <c r="Q7" i="14"/>
  <c r="L7" i="14" s="1"/>
  <c r="Q78" i="20"/>
  <c r="F77" i="20"/>
  <c r="G77" i="20" s="1"/>
  <c r="S7" i="20" s="1"/>
  <c r="O7" i="20"/>
  <c r="M77" i="20"/>
  <c r="M8" i="7"/>
  <c r="N7" i="10"/>
  <c r="K7" i="10" s="1"/>
  <c r="AE9" i="10"/>
  <c r="Q7" i="8"/>
  <c r="L7" i="8" s="1"/>
  <c r="N7" i="14"/>
  <c r="AE11" i="14"/>
  <c r="F78" i="19"/>
  <c r="G78" i="19" s="1"/>
  <c r="O8" i="19"/>
  <c r="AE10" i="19"/>
  <c r="M77" i="19"/>
  <c r="K5" i="24"/>
  <c r="O9" i="10"/>
  <c r="P8" i="10"/>
  <c r="F78" i="10"/>
  <c r="G78" i="10" s="1"/>
  <c r="S8" i="10" s="1"/>
  <c r="Q8" i="10" s="1"/>
  <c r="L8" i="10" s="1"/>
  <c r="AE10" i="10"/>
  <c r="AE10" i="8"/>
  <c r="P9" i="8"/>
  <c r="M78" i="8"/>
  <c r="O8" i="8"/>
  <c r="N8" i="8" s="1"/>
  <c r="F78" i="8"/>
  <c r="G78" i="8" s="1"/>
  <c r="S8" i="8" s="1"/>
  <c r="J6" i="10"/>
  <c r="I6" i="10"/>
  <c r="H6" i="10" s="1"/>
  <c r="K5" i="13"/>
  <c r="K7" i="17"/>
  <c r="M7" i="17"/>
  <c r="AE10" i="3"/>
  <c r="F78" i="3"/>
  <c r="G78" i="3" s="1"/>
  <c r="S9" i="3" s="1"/>
  <c r="Q9" i="3" s="1"/>
  <c r="L9" i="3" s="1"/>
  <c r="P10" i="3"/>
  <c r="O9" i="3"/>
  <c r="N9" i="3" s="1"/>
  <c r="M78" i="3"/>
  <c r="AE9" i="6"/>
  <c r="N7" i="6"/>
  <c r="P10" i="11"/>
  <c r="M78" i="11"/>
  <c r="F79" i="11"/>
  <c r="G79" i="11" s="1"/>
  <c r="S9" i="11" s="1"/>
  <c r="Q9" i="11" s="1"/>
  <c r="L9" i="11" s="1"/>
  <c r="AE12" i="11"/>
  <c r="O9" i="11"/>
  <c r="N9" i="11" s="1"/>
  <c r="M7" i="18"/>
  <c r="K7" i="18"/>
  <c r="K7" i="9"/>
  <c r="M7" i="9"/>
  <c r="M79" i="16"/>
  <c r="F79" i="16"/>
  <c r="G79" i="16" s="1"/>
  <c r="S8" i="16" s="1"/>
  <c r="P9" i="16"/>
  <c r="O8" i="16"/>
  <c r="N8" i="16" s="1"/>
  <c r="AE12" i="16"/>
  <c r="J7" i="10" l="1"/>
  <c r="I7" i="10" s="1"/>
  <c r="H7" i="10" s="1"/>
  <c r="Q8" i="14"/>
  <c r="L8" i="14" s="1"/>
  <c r="K6" i="13"/>
  <c r="P7" i="23"/>
  <c r="N6" i="23"/>
  <c r="AE14" i="11"/>
  <c r="F80" i="11"/>
  <c r="G80" i="11" s="1"/>
  <c r="S10" i="11" s="1"/>
  <c r="Q10" i="11" s="1"/>
  <c r="L10" i="11" s="1"/>
  <c r="O10" i="11"/>
  <c r="N10" i="11" s="1"/>
  <c r="M79" i="11"/>
  <c r="P11" i="11"/>
  <c r="Q7" i="20"/>
  <c r="L7" i="20" s="1"/>
  <c r="Q8" i="21"/>
  <c r="L8" i="21" s="1"/>
  <c r="J8" i="4"/>
  <c r="I8" i="4" s="1"/>
  <c r="H8" i="4" s="1"/>
  <c r="Q8" i="6"/>
  <c r="L8" i="6" s="1"/>
  <c r="N8" i="21"/>
  <c r="P9" i="21"/>
  <c r="J6" i="16"/>
  <c r="Q7" i="15"/>
  <c r="L7" i="15" s="1"/>
  <c r="K6" i="5"/>
  <c r="M8" i="10"/>
  <c r="M8" i="12"/>
  <c r="K8" i="12"/>
  <c r="N8" i="9"/>
  <c r="AE11" i="9"/>
  <c r="Q7" i="22"/>
  <c r="L7" i="22" s="1"/>
  <c r="F80" i="16"/>
  <c r="G80" i="16" s="1"/>
  <c r="S9" i="16" s="1"/>
  <c r="M80" i="16"/>
  <c r="P10" i="16"/>
  <c r="O9" i="16"/>
  <c r="N9" i="16" s="1"/>
  <c r="AE14" i="16"/>
  <c r="J7" i="17"/>
  <c r="I7" i="17" s="1"/>
  <c r="H7" i="17" s="1"/>
  <c r="Q6" i="24"/>
  <c r="L6" i="24" s="1"/>
  <c r="J6" i="6"/>
  <c r="J7" i="1"/>
  <c r="I7" i="1" s="1"/>
  <c r="H7" i="1" s="1"/>
  <c r="J7" i="12"/>
  <c r="I7" i="12"/>
  <c r="H7" i="12" s="1"/>
  <c r="M10" i="7"/>
  <c r="K10" i="7"/>
  <c r="J7" i="7"/>
  <c r="K9" i="2"/>
  <c r="M79" i="12"/>
  <c r="O9" i="12"/>
  <c r="N9" i="12" s="1"/>
  <c r="F79" i="12"/>
  <c r="G79" i="12" s="1"/>
  <c r="S9" i="12" s="1"/>
  <c r="Q9" i="12" s="1"/>
  <c r="L9" i="12" s="1"/>
  <c r="P10" i="12"/>
  <c r="Q82" i="12"/>
  <c r="M8" i="9"/>
  <c r="L7" i="16"/>
  <c r="F79" i="13"/>
  <c r="G79" i="13" s="1"/>
  <c r="S8" i="13" s="1"/>
  <c r="AE12" i="13"/>
  <c r="P8" i="13"/>
  <c r="O9" i="13"/>
  <c r="M9" i="3"/>
  <c r="K9" i="3"/>
  <c r="J6" i="20"/>
  <c r="I6" i="20"/>
  <c r="H6" i="20" s="1"/>
  <c r="K7" i="6"/>
  <c r="N8" i="19"/>
  <c r="P9" i="19"/>
  <c r="J6" i="22"/>
  <c r="K6" i="19"/>
  <c r="M6" i="19"/>
  <c r="N8" i="6"/>
  <c r="AE11" i="6"/>
  <c r="F79" i="6"/>
  <c r="G79" i="6" s="1"/>
  <c r="S9" i="6" s="1"/>
  <c r="AE12" i="6"/>
  <c r="O10" i="6"/>
  <c r="P9" i="6"/>
  <c r="F79" i="10"/>
  <c r="G79" i="10" s="1"/>
  <c r="S9" i="10" s="1"/>
  <c r="Q9" i="10" s="1"/>
  <c r="L9" i="10" s="1"/>
  <c r="O10" i="10"/>
  <c r="P9" i="10"/>
  <c r="AE12" i="10"/>
  <c r="N6" i="24"/>
  <c r="P7" i="24"/>
  <c r="F80" i="14"/>
  <c r="G80" i="14" s="1"/>
  <c r="S9" i="14" s="1"/>
  <c r="AE14" i="14"/>
  <c r="O10" i="14"/>
  <c r="P9" i="14"/>
  <c r="O10" i="9"/>
  <c r="P9" i="9"/>
  <c r="F79" i="9"/>
  <c r="G79" i="9" s="1"/>
  <c r="S9" i="9" s="1"/>
  <c r="Q9" i="9" s="1"/>
  <c r="L9" i="9" s="1"/>
  <c r="AE12" i="9"/>
  <c r="N7" i="22"/>
  <c r="P8" i="22"/>
  <c r="AE13" i="2"/>
  <c r="N10" i="2"/>
  <c r="M5" i="15"/>
  <c r="K5" i="15"/>
  <c r="Q7" i="13"/>
  <c r="L7" i="13" s="1"/>
  <c r="J9" i="7"/>
  <c r="M7" i="8"/>
  <c r="K7" i="8"/>
  <c r="F79" i="4"/>
  <c r="G79" i="4" s="1"/>
  <c r="S10" i="4" s="1"/>
  <c r="Q10" i="4" s="1"/>
  <c r="L10" i="4" s="1"/>
  <c r="M79" i="4"/>
  <c r="P11" i="4"/>
  <c r="O10" i="4"/>
  <c r="N10" i="4" s="1"/>
  <c r="Q82" i="4"/>
  <c r="M12" i="1"/>
  <c r="AE11" i="13"/>
  <c r="N7" i="13"/>
  <c r="Q8" i="16"/>
  <c r="L8" i="16" s="1"/>
  <c r="N12" i="1"/>
  <c r="AE17" i="1"/>
  <c r="Q9" i="5"/>
  <c r="L9" i="5" s="1"/>
  <c r="J5" i="23"/>
  <c r="J8" i="2"/>
  <c r="I8" i="2" s="1"/>
  <c r="H8" i="2" s="1"/>
  <c r="K6" i="15"/>
  <c r="M6" i="15"/>
  <c r="AE13" i="5"/>
  <c r="N9" i="5"/>
  <c r="O9" i="18"/>
  <c r="F78" i="18"/>
  <c r="G78" i="18" s="1"/>
  <c r="S9" i="18" s="1"/>
  <c r="Q80" i="18"/>
  <c r="M78" i="18"/>
  <c r="N8" i="14"/>
  <c r="AE13" i="14"/>
  <c r="J11" i="1"/>
  <c r="I11" i="1" s="1"/>
  <c r="H11" i="1" s="1"/>
  <c r="J8" i="11"/>
  <c r="I8" i="11" s="1"/>
  <c r="H8" i="11" s="1"/>
  <c r="O12" i="2"/>
  <c r="P11" i="2"/>
  <c r="AE14" i="2"/>
  <c r="F80" i="2"/>
  <c r="G80" i="2" s="1"/>
  <c r="S11" i="2" s="1"/>
  <c r="Q11" i="2" s="1"/>
  <c r="L11" i="2" s="1"/>
  <c r="N7" i="20"/>
  <c r="P8" i="20"/>
  <c r="Q8" i="19"/>
  <c r="L8" i="19" s="1"/>
  <c r="J7" i="9"/>
  <c r="I7" i="9" s="1"/>
  <c r="H7" i="9" s="1"/>
  <c r="AE18" i="1"/>
  <c r="F82" i="1"/>
  <c r="G82" i="1" s="1"/>
  <c r="S13" i="1" s="1"/>
  <c r="Q13" i="1" s="1"/>
  <c r="L13" i="1" s="1"/>
  <c r="O14" i="1"/>
  <c r="P13" i="1"/>
  <c r="Q6" i="23"/>
  <c r="L6" i="23" s="1"/>
  <c r="Q8" i="17"/>
  <c r="L8" i="17" s="1"/>
  <c r="J7" i="5"/>
  <c r="J7" i="18"/>
  <c r="I7" i="18" s="1"/>
  <c r="H7" i="18" s="1"/>
  <c r="F79" i="15"/>
  <c r="G79" i="15" s="1"/>
  <c r="S8" i="15" s="1"/>
  <c r="AE12" i="15"/>
  <c r="M79" i="15"/>
  <c r="O8" i="15"/>
  <c r="N8" i="15" s="1"/>
  <c r="P9" i="15"/>
  <c r="Q11" i="7"/>
  <c r="L11" i="7" s="1"/>
  <c r="K9" i="4"/>
  <c r="M9" i="4"/>
  <c r="M8" i="18"/>
  <c r="K8" i="18"/>
  <c r="Q8" i="8"/>
  <c r="L8" i="8" s="1"/>
  <c r="AE11" i="10"/>
  <c r="N8" i="10"/>
  <c r="K8" i="10" s="1"/>
  <c r="K7" i="14"/>
  <c r="J8" i="3"/>
  <c r="I8" i="3" s="1"/>
  <c r="H8" i="3" s="1"/>
  <c r="M9" i="11"/>
  <c r="K9" i="11"/>
  <c r="F79" i="3"/>
  <c r="G79" i="3" s="1"/>
  <c r="S10" i="3" s="1"/>
  <c r="Q10" i="3" s="1"/>
  <c r="L10" i="3" s="1"/>
  <c r="P11" i="3"/>
  <c r="M79" i="3"/>
  <c r="O10" i="3"/>
  <c r="N10" i="3" s="1"/>
  <c r="AE12" i="3"/>
  <c r="J5" i="13"/>
  <c r="O9" i="8"/>
  <c r="N9" i="8" s="1"/>
  <c r="M79" i="8"/>
  <c r="F79" i="8"/>
  <c r="G79" i="8" s="1"/>
  <c r="S9" i="8" s="1"/>
  <c r="P10" i="8"/>
  <c r="AE12" i="8"/>
  <c r="J5" i="24"/>
  <c r="F80" i="5"/>
  <c r="G80" i="5" s="1"/>
  <c r="S10" i="5" s="1"/>
  <c r="AE14" i="5"/>
  <c r="P10" i="5"/>
  <c r="O11" i="5"/>
  <c r="AE18" i="7"/>
  <c r="O12" i="7"/>
  <c r="N12" i="7" s="1"/>
  <c r="F82" i="7"/>
  <c r="G82" i="7" s="1"/>
  <c r="S12" i="7" s="1"/>
  <c r="P13" i="7"/>
  <c r="M82" i="7"/>
  <c r="M7" i="19"/>
  <c r="K7" i="19"/>
  <c r="K8" i="5"/>
  <c r="J7" i="21"/>
  <c r="M10" i="2"/>
  <c r="K10" i="2"/>
  <c r="N8" i="17"/>
  <c r="P9" i="17"/>
  <c r="J8" i="10" l="1"/>
  <c r="I8" i="10" s="1"/>
  <c r="H8" i="10" s="1"/>
  <c r="J7" i="19"/>
  <c r="I7" i="19" s="1"/>
  <c r="H7" i="19" s="1"/>
  <c r="O12" i="5"/>
  <c r="AE16" i="5"/>
  <c r="P11" i="5"/>
  <c r="F81" i="5"/>
  <c r="G81" i="5" s="1"/>
  <c r="S11" i="5" s="1"/>
  <c r="O10" i="8"/>
  <c r="N10" i="8" s="1"/>
  <c r="M80" i="8"/>
  <c r="P11" i="8"/>
  <c r="F80" i="8"/>
  <c r="G80" i="8" s="1"/>
  <c r="S10" i="8" s="1"/>
  <c r="AE14" i="8"/>
  <c r="N13" i="1"/>
  <c r="K13" i="1" s="1"/>
  <c r="AE19" i="1"/>
  <c r="M8" i="19"/>
  <c r="K8" i="19"/>
  <c r="K12" i="1"/>
  <c r="J7" i="8"/>
  <c r="O8" i="22"/>
  <c r="F78" i="22"/>
  <c r="G78" i="22" s="1"/>
  <c r="S8" i="22" s="1"/>
  <c r="M78" i="22"/>
  <c r="AE10" i="22"/>
  <c r="M78" i="19"/>
  <c r="AE12" i="19"/>
  <c r="O9" i="19"/>
  <c r="F79" i="19"/>
  <c r="G79" i="19" s="1"/>
  <c r="S9" i="19" s="1"/>
  <c r="J6" i="5"/>
  <c r="F81" i="11"/>
  <c r="G81" i="11" s="1"/>
  <c r="S11" i="11" s="1"/>
  <c r="Q11" i="11" s="1"/>
  <c r="L11" i="11" s="1"/>
  <c r="AE16" i="11"/>
  <c r="O11" i="11"/>
  <c r="N11" i="11" s="1"/>
  <c r="M80" i="11"/>
  <c r="P12" i="11"/>
  <c r="M80" i="12"/>
  <c r="F80" i="12"/>
  <c r="G80" i="12" s="1"/>
  <c r="S10" i="12" s="1"/>
  <c r="Q10" i="12" s="1"/>
  <c r="L10" i="12" s="1"/>
  <c r="P11" i="12"/>
  <c r="O10" i="12"/>
  <c r="N10" i="12" s="1"/>
  <c r="Q84" i="12"/>
  <c r="M79" i="21"/>
  <c r="AE12" i="21"/>
  <c r="O9" i="21"/>
  <c r="F79" i="21"/>
  <c r="G79" i="21" s="1"/>
  <c r="S9" i="21" s="1"/>
  <c r="J10" i="2"/>
  <c r="I10" i="2"/>
  <c r="H10" i="2" s="1"/>
  <c r="AE15" i="5"/>
  <c r="N10" i="5"/>
  <c r="Q9" i="8"/>
  <c r="L9" i="8" s="1"/>
  <c r="J9" i="4"/>
  <c r="I9" i="4"/>
  <c r="H9" i="4" s="1"/>
  <c r="M8" i="17"/>
  <c r="K8" i="17"/>
  <c r="F83" i="1"/>
  <c r="G83" i="1" s="1"/>
  <c r="S14" i="1" s="1"/>
  <c r="Q14" i="1" s="1"/>
  <c r="L14" i="1" s="1"/>
  <c r="AE20" i="1"/>
  <c r="O15" i="1"/>
  <c r="P14" i="1"/>
  <c r="M8" i="16"/>
  <c r="K8" i="16"/>
  <c r="Q9" i="14"/>
  <c r="L9" i="14" s="1"/>
  <c r="J9" i="3"/>
  <c r="I9" i="3" s="1"/>
  <c r="H9" i="3" s="1"/>
  <c r="M9" i="12"/>
  <c r="K9" i="12"/>
  <c r="Q9" i="16"/>
  <c r="L9" i="16" s="1"/>
  <c r="J8" i="12"/>
  <c r="I8" i="12"/>
  <c r="H8" i="12" s="1"/>
  <c r="K8" i="14"/>
  <c r="M80" i="3"/>
  <c r="AE14" i="3"/>
  <c r="F80" i="3"/>
  <c r="G80" i="3" s="1"/>
  <c r="S11" i="3" s="1"/>
  <c r="Q11" i="3" s="1"/>
  <c r="L11" i="3" s="1"/>
  <c r="P12" i="3"/>
  <c r="O11" i="3"/>
  <c r="N11" i="3" s="1"/>
  <c r="K7" i="15"/>
  <c r="M7" i="15"/>
  <c r="Q10" i="5"/>
  <c r="L10" i="5" s="1"/>
  <c r="P10" i="18"/>
  <c r="N9" i="18"/>
  <c r="M8" i="21"/>
  <c r="K8" i="21"/>
  <c r="K10" i="11"/>
  <c r="M10" i="11"/>
  <c r="P14" i="7"/>
  <c r="F83" i="7"/>
  <c r="G83" i="7" s="1"/>
  <c r="S13" i="7" s="1"/>
  <c r="AE20" i="7"/>
  <c r="O13" i="7"/>
  <c r="N13" i="7" s="1"/>
  <c r="M83" i="7"/>
  <c r="J7" i="14"/>
  <c r="J8" i="18"/>
  <c r="I8" i="18"/>
  <c r="H8" i="18" s="1"/>
  <c r="K11" i="2"/>
  <c r="M11" i="2"/>
  <c r="AE13" i="9"/>
  <c r="N9" i="9"/>
  <c r="F80" i="6"/>
  <c r="G80" i="6" s="1"/>
  <c r="S10" i="6" s="1"/>
  <c r="AE14" i="6"/>
  <c r="O11" i="6"/>
  <c r="P10" i="6"/>
  <c r="J6" i="19"/>
  <c r="I6" i="19"/>
  <c r="H6" i="19" s="1"/>
  <c r="O10" i="13"/>
  <c r="AE14" i="13"/>
  <c r="P9" i="13"/>
  <c r="F80" i="13"/>
  <c r="G80" i="13" s="1"/>
  <c r="S9" i="13" s="1"/>
  <c r="K8" i="9"/>
  <c r="J9" i="2"/>
  <c r="I9" i="2"/>
  <c r="H9" i="2" s="1"/>
  <c r="M6" i="24"/>
  <c r="K6" i="24"/>
  <c r="K8" i="6"/>
  <c r="Q8" i="15"/>
  <c r="L8" i="15" s="1"/>
  <c r="F78" i="20"/>
  <c r="G78" i="20" s="1"/>
  <c r="S8" i="20" s="1"/>
  <c r="M78" i="20"/>
  <c r="O8" i="20"/>
  <c r="Q80" i="20"/>
  <c r="Q9" i="18"/>
  <c r="L9" i="18" s="1"/>
  <c r="K8" i="8"/>
  <c r="M8" i="8"/>
  <c r="F80" i="9"/>
  <c r="G80" i="9" s="1"/>
  <c r="S10" i="9" s="1"/>
  <c r="Q10" i="9" s="1"/>
  <c r="L10" i="9" s="1"/>
  <c r="O11" i="9"/>
  <c r="AE14" i="9"/>
  <c r="P10" i="9"/>
  <c r="N9" i="10"/>
  <c r="AE13" i="10"/>
  <c r="AE13" i="13"/>
  <c r="N8" i="13"/>
  <c r="M13" i="1"/>
  <c r="AE10" i="24"/>
  <c r="M78" i="24"/>
  <c r="F78" i="24"/>
  <c r="G78" i="24" s="1"/>
  <c r="S7" i="24" s="1"/>
  <c r="O7" i="24"/>
  <c r="M9" i="9"/>
  <c r="J8" i="5"/>
  <c r="J9" i="11"/>
  <c r="I9" i="11" s="1"/>
  <c r="H9" i="11" s="1"/>
  <c r="P12" i="4"/>
  <c r="O11" i="4"/>
  <c r="N11" i="4" s="1"/>
  <c r="F80" i="4"/>
  <c r="G80" i="4" s="1"/>
  <c r="S11" i="4" s="1"/>
  <c r="Q11" i="4" s="1"/>
  <c r="L11" i="4" s="1"/>
  <c r="Q84" i="4"/>
  <c r="M80" i="4"/>
  <c r="M78" i="17"/>
  <c r="F78" i="17"/>
  <c r="G78" i="17" s="1"/>
  <c r="S9" i="17" s="1"/>
  <c r="AE10" i="17"/>
  <c r="O9" i="17"/>
  <c r="M80" i="15"/>
  <c r="F80" i="15"/>
  <c r="G80" i="15" s="1"/>
  <c r="S9" i="15" s="1"/>
  <c r="AE14" i="15"/>
  <c r="P10" i="15"/>
  <c r="O9" i="15"/>
  <c r="N9" i="15" s="1"/>
  <c r="AE15" i="2"/>
  <c r="N11" i="2"/>
  <c r="K9" i="5"/>
  <c r="K7" i="13"/>
  <c r="N9" i="14"/>
  <c r="AE15" i="14"/>
  <c r="O11" i="10"/>
  <c r="F80" i="10"/>
  <c r="G80" i="10" s="1"/>
  <c r="S10" i="10" s="1"/>
  <c r="Q10" i="10" s="1"/>
  <c r="L10" i="10" s="1"/>
  <c r="AE14" i="10"/>
  <c r="P10" i="10"/>
  <c r="Q9" i="6"/>
  <c r="L9" i="6" s="1"/>
  <c r="K7" i="22"/>
  <c r="M7" i="22"/>
  <c r="M78" i="23"/>
  <c r="F78" i="23"/>
  <c r="G78" i="23" s="1"/>
  <c r="S7" i="23" s="1"/>
  <c r="O7" i="23"/>
  <c r="AE10" i="23"/>
  <c r="M11" i="7"/>
  <c r="K11" i="7"/>
  <c r="J5" i="15"/>
  <c r="J7" i="6"/>
  <c r="M7" i="16"/>
  <c r="K7" i="16"/>
  <c r="K10" i="3"/>
  <c r="M10" i="3"/>
  <c r="N9" i="6"/>
  <c r="AE13" i="6"/>
  <c r="M13" i="7"/>
  <c r="K13" i="7"/>
  <c r="Q12" i="7"/>
  <c r="L12" i="7" s="1"/>
  <c r="L13" i="7"/>
  <c r="K6" i="23"/>
  <c r="M6" i="23"/>
  <c r="AE16" i="2"/>
  <c r="P12" i="2"/>
  <c r="F81" i="2"/>
  <c r="G81" i="2" s="1"/>
  <c r="S12" i="2" s="1"/>
  <c r="Q12" i="2" s="1"/>
  <c r="L12" i="2" s="1"/>
  <c r="O13" i="2"/>
  <c r="J6" i="15"/>
  <c r="M10" i="4"/>
  <c r="K10" i="4"/>
  <c r="F81" i="14"/>
  <c r="G81" i="14" s="1"/>
  <c r="S10" i="14" s="1"/>
  <c r="P10" i="14"/>
  <c r="O11" i="14"/>
  <c r="AE16" i="14"/>
  <c r="M9" i="10"/>
  <c r="Q8" i="13"/>
  <c r="L8" i="13" s="1"/>
  <c r="J10" i="7"/>
  <c r="F81" i="16"/>
  <c r="G81" i="16" s="1"/>
  <c r="S10" i="16" s="1"/>
  <c r="O10" i="16"/>
  <c r="N10" i="16" s="1"/>
  <c r="P11" i="16"/>
  <c r="AE16" i="16"/>
  <c r="M81" i="16"/>
  <c r="K7" i="20"/>
  <c r="M7" i="20"/>
  <c r="J6" i="13"/>
  <c r="J13" i="1" l="1"/>
  <c r="I13" i="1" s="1"/>
  <c r="H13" i="1" s="1"/>
  <c r="K8" i="13"/>
  <c r="M10" i="9"/>
  <c r="AE15" i="10"/>
  <c r="N10" i="10"/>
  <c r="K10" i="10" s="1"/>
  <c r="AE15" i="13"/>
  <c r="N9" i="13"/>
  <c r="J8" i="21"/>
  <c r="F82" i="16"/>
  <c r="G82" i="16" s="1"/>
  <c r="S11" i="16" s="1"/>
  <c r="M82" i="16"/>
  <c r="O11" i="16"/>
  <c r="N11" i="16" s="1"/>
  <c r="P12" i="16"/>
  <c r="AE18" i="16"/>
  <c r="N12" i="2"/>
  <c r="AE17" i="2"/>
  <c r="M12" i="7"/>
  <c r="K12" i="7"/>
  <c r="J9" i="5"/>
  <c r="Q9" i="15"/>
  <c r="L9" i="15" s="1"/>
  <c r="M11" i="4"/>
  <c r="K11" i="4"/>
  <c r="Q8" i="20"/>
  <c r="L8" i="20" s="1"/>
  <c r="K10" i="5"/>
  <c r="AE22" i="1"/>
  <c r="O16" i="1"/>
  <c r="P15" i="1"/>
  <c r="F84" i="1"/>
  <c r="G84" i="1" s="1"/>
  <c r="S15" i="1" s="1"/>
  <c r="Q15" i="1" s="1"/>
  <c r="L15" i="1" s="1"/>
  <c r="J12" i="1"/>
  <c r="I12" i="1" s="1"/>
  <c r="H12" i="1" s="1"/>
  <c r="O13" i="5"/>
  <c r="P12" i="5"/>
  <c r="F82" i="5"/>
  <c r="G82" i="5" s="1"/>
  <c r="S12" i="5" s="1"/>
  <c r="AE18" i="5"/>
  <c r="K9" i="14"/>
  <c r="N11" i="5"/>
  <c r="AE17" i="5"/>
  <c r="Q10" i="14"/>
  <c r="L10" i="14" s="1"/>
  <c r="Q7" i="23"/>
  <c r="L7" i="23" s="1"/>
  <c r="O12" i="6"/>
  <c r="F81" i="6"/>
  <c r="G81" i="6" s="1"/>
  <c r="S11" i="6" s="1"/>
  <c r="P11" i="6"/>
  <c r="AE16" i="6"/>
  <c r="I10" i="4"/>
  <c r="H10" i="4" s="1"/>
  <c r="J10" i="4"/>
  <c r="J13" i="7"/>
  <c r="J10" i="3"/>
  <c r="I10" i="3"/>
  <c r="H10" i="3" s="1"/>
  <c r="M10" i="10"/>
  <c r="J8" i="8"/>
  <c r="M8" i="15"/>
  <c r="K8" i="15"/>
  <c r="F81" i="13"/>
  <c r="G81" i="13" s="1"/>
  <c r="S10" i="13" s="1"/>
  <c r="AE16" i="13"/>
  <c r="O11" i="13"/>
  <c r="P10" i="13"/>
  <c r="Q10" i="6"/>
  <c r="L10" i="6" s="1"/>
  <c r="J8" i="14"/>
  <c r="M81" i="12"/>
  <c r="F81" i="12"/>
  <c r="G81" i="12" s="1"/>
  <c r="S11" i="12" s="1"/>
  <c r="Q11" i="12" s="1"/>
  <c r="L11" i="12" s="1"/>
  <c r="P12" i="12"/>
  <c r="Q86" i="12"/>
  <c r="O11" i="12"/>
  <c r="N11" i="12" s="1"/>
  <c r="M11" i="11"/>
  <c r="K11" i="11"/>
  <c r="Q10" i="8"/>
  <c r="L10" i="8" s="1"/>
  <c r="Q7" i="24"/>
  <c r="L7" i="24" s="1"/>
  <c r="AE15" i="6"/>
  <c r="N10" i="6"/>
  <c r="M12" i="2"/>
  <c r="K12" i="2"/>
  <c r="J6" i="24"/>
  <c r="J7" i="16"/>
  <c r="O12" i="4"/>
  <c r="N12" i="4" s="1"/>
  <c r="F81" i="4"/>
  <c r="G81" i="4" s="1"/>
  <c r="S12" i="4" s="1"/>
  <c r="Q12" i="4" s="1"/>
  <c r="L12" i="4" s="1"/>
  <c r="P13" i="4"/>
  <c r="Q86" i="4"/>
  <c r="M81" i="4"/>
  <c r="J7" i="15"/>
  <c r="M14" i="1"/>
  <c r="K10" i="12"/>
  <c r="M10" i="12"/>
  <c r="P12" i="8"/>
  <c r="AE16" i="8"/>
  <c r="O11" i="8"/>
  <c r="N11" i="8" s="1"/>
  <c r="F81" i="8"/>
  <c r="G81" i="8" s="1"/>
  <c r="S11" i="8" s="1"/>
  <c r="M81" i="8"/>
  <c r="J7" i="13"/>
  <c r="N8" i="20"/>
  <c r="P9" i="20"/>
  <c r="P10" i="19"/>
  <c r="N9" i="19"/>
  <c r="J11" i="2"/>
  <c r="I11" i="2"/>
  <c r="H11" i="2" s="1"/>
  <c r="AE21" i="1"/>
  <c r="N14" i="1"/>
  <c r="K14" i="1" s="1"/>
  <c r="Q10" i="16"/>
  <c r="L10" i="16" s="1"/>
  <c r="J7" i="22"/>
  <c r="Q13" i="7"/>
  <c r="K9" i="16"/>
  <c r="M9" i="16"/>
  <c r="J6" i="23"/>
  <c r="K9" i="9"/>
  <c r="N10" i="9"/>
  <c r="K10" i="9" s="1"/>
  <c r="AE15" i="9"/>
  <c r="M9" i="18"/>
  <c r="K9" i="18"/>
  <c r="F84" i="7"/>
  <c r="G84" i="7" s="1"/>
  <c r="S14" i="7" s="1"/>
  <c r="AE22" i="7"/>
  <c r="P15" i="7"/>
  <c r="M84" i="7"/>
  <c r="O14" i="7"/>
  <c r="N14" i="7" s="1"/>
  <c r="F79" i="18"/>
  <c r="G79" i="18" s="1"/>
  <c r="S10" i="18" s="1"/>
  <c r="M79" i="18"/>
  <c r="Q82" i="18"/>
  <c r="O10" i="18"/>
  <c r="J8" i="16"/>
  <c r="J8" i="17"/>
  <c r="I8" i="17"/>
  <c r="H8" i="17" s="1"/>
  <c r="K9" i="8"/>
  <c r="M9" i="8"/>
  <c r="Q9" i="21"/>
  <c r="L9" i="21" s="1"/>
  <c r="Q8" i="22"/>
  <c r="L8" i="22" s="1"/>
  <c r="AE17" i="14"/>
  <c r="N10" i="14"/>
  <c r="N7" i="23"/>
  <c r="P8" i="23"/>
  <c r="M11" i="3"/>
  <c r="K11" i="3"/>
  <c r="J11" i="7"/>
  <c r="AE16" i="10"/>
  <c r="F81" i="10"/>
  <c r="G81" i="10" s="1"/>
  <c r="S11" i="10" s="1"/>
  <c r="Q11" i="10" s="1"/>
  <c r="L11" i="10" s="1"/>
  <c r="O12" i="10"/>
  <c r="P11" i="10"/>
  <c r="N9" i="17"/>
  <c r="P10" i="17"/>
  <c r="K9" i="10"/>
  <c r="K9" i="6"/>
  <c r="Q9" i="17"/>
  <c r="L9" i="17" s="1"/>
  <c r="P10" i="21"/>
  <c r="N9" i="21"/>
  <c r="N8" i="22"/>
  <c r="P9" i="22"/>
  <c r="J8" i="19"/>
  <c r="I8" i="19"/>
  <c r="H8" i="19" s="1"/>
  <c r="AE18" i="2"/>
  <c r="F82" i="2"/>
  <c r="G82" i="2" s="1"/>
  <c r="S13" i="2" s="1"/>
  <c r="Q13" i="2" s="1"/>
  <c r="L13" i="2" s="1"/>
  <c r="O14" i="2"/>
  <c r="P13" i="2"/>
  <c r="M81" i="15"/>
  <c r="AE16" i="15"/>
  <c r="F81" i="15"/>
  <c r="G81" i="15" s="1"/>
  <c r="S10" i="15" s="1"/>
  <c r="O10" i="15"/>
  <c r="N10" i="15" s="1"/>
  <c r="P11" i="15"/>
  <c r="Q9" i="13"/>
  <c r="L9" i="13" s="1"/>
  <c r="J7" i="20"/>
  <c r="I7" i="20"/>
  <c r="H7" i="20" s="1"/>
  <c r="AE18" i="14"/>
  <c r="O12" i="14"/>
  <c r="F82" i="14"/>
  <c r="G82" i="14" s="1"/>
  <c r="S11" i="14" s="1"/>
  <c r="P11" i="14"/>
  <c r="N7" i="24"/>
  <c r="P8" i="24"/>
  <c r="F81" i="9"/>
  <c r="G81" i="9" s="1"/>
  <c r="S11" i="9" s="1"/>
  <c r="Q11" i="9" s="1"/>
  <c r="L11" i="9" s="1"/>
  <c r="P11" i="9"/>
  <c r="AE16" i="9"/>
  <c r="O12" i="9"/>
  <c r="J8" i="6"/>
  <c r="J8" i="9"/>
  <c r="I8" i="9"/>
  <c r="H8" i="9" s="1"/>
  <c r="J10" i="11"/>
  <c r="I10" i="11"/>
  <c r="H10" i="11" s="1"/>
  <c r="F81" i="3"/>
  <c r="G81" i="3" s="1"/>
  <c r="S12" i="3" s="1"/>
  <c r="Q12" i="3" s="1"/>
  <c r="L12" i="3" s="1"/>
  <c r="AE16" i="3"/>
  <c r="O12" i="3"/>
  <c r="N12" i="3" s="1"/>
  <c r="P13" i="3"/>
  <c r="M81" i="3"/>
  <c r="I9" i="12"/>
  <c r="H9" i="12" s="1"/>
  <c r="J9" i="12"/>
  <c r="F82" i="11"/>
  <c r="G82" i="11" s="1"/>
  <c r="S12" i="11" s="1"/>
  <c r="Q12" i="11" s="1"/>
  <c r="L12" i="11" s="1"/>
  <c r="AE18" i="11"/>
  <c r="P13" i="11"/>
  <c r="O12" i="11"/>
  <c r="N12" i="11" s="1"/>
  <c r="M81" i="11"/>
  <c r="Q9" i="19"/>
  <c r="L9" i="19" s="1"/>
  <c r="Q11" i="5"/>
  <c r="L11" i="5" s="1"/>
  <c r="J14" i="1" l="1"/>
  <c r="I14" i="1" s="1"/>
  <c r="H14" i="1" s="1"/>
  <c r="J10" i="10"/>
  <c r="I10" i="10"/>
  <c r="H10" i="10" s="1"/>
  <c r="J10" i="9"/>
  <c r="I10" i="9"/>
  <c r="H10" i="9" s="1"/>
  <c r="J9" i="16"/>
  <c r="K10" i="8"/>
  <c r="M10" i="8"/>
  <c r="K15" i="1"/>
  <c r="M15" i="1"/>
  <c r="J11" i="4"/>
  <c r="I11" i="4" s="1"/>
  <c r="H11" i="4" s="1"/>
  <c r="AE17" i="9"/>
  <c r="N11" i="9"/>
  <c r="AE18" i="15"/>
  <c r="O11" i="15"/>
  <c r="N11" i="15" s="1"/>
  <c r="M82" i="15"/>
  <c r="P12" i="15"/>
  <c r="F82" i="15"/>
  <c r="G82" i="15" s="1"/>
  <c r="S11" i="15" s="1"/>
  <c r="M80" i="21"/>
  <c r="AE14" i="21"/>
  <c r="F80" i="21"/>
  <c r="G80" i="21" s="1"/>
  <c r="S10" i="21" s="1"/>
  <c r="O10" i="21"/>
  <c r="K10" i="6"/>
  <c r="M8" i="20"/>
  <c r="K8" i="20"/>
  <c r="K9" i="17"/>
  <c r="M9" i="17"/>
  <c r="Q10" i="15"/>
  <c r="L10" i="15" s="1"/>
  <c r="M79" i="17"/>
  <c r="O10" i="17"/>
  <c r="F79" i="17"/>
  <c r="G79" i="17" s="1"/>
  <c r="S10" i="17" s="1"/>
  <c r="AE12" i="17"/>
  <c r="K8" i="22"/>
  <c r="M8" i="22"/>
  <c r="M82" i="12"/>
  <c r="P13" i="12"/>
  <c r="F82" i="12"/>
  <c r="G82" i="12" s="1"/>
  <c r="S12" i="12" s="1"/>
  <c r="Q12" i="12" s="1"/>
  <c r="L12" i="12" s="1"/>
  <c r="Q88" i="12"/>
  <c r="O12" i="12"/>
  <c r="N12" i="12" s="1"/>
  <c r="Q12" i="5"/>
  <c r="L12" i="5" s="1"/>
  <c r="AE23" i="1"/>
  <c r="N15" i="1"/>
  <c r="J12" i="7"/>
  <c r="J9" i="6"/>
  <c r="J11" i="3"/>
  <c r="I11" i="3" s="1"/>
  <c r="H11" i="3" s="1"/>
  <c r="M9" i="21"/>
  <c r="K9" i="21"/>
  <c r="P16" i="7"/>
  <c r="F85" i="7"/>
  <c r="G85" i="7" s="1"/>
  <c r="S15" i="7" s="1"/>
  <c r="O15" i="7"/>
  <c r="N15" i="7" s="1"/>
  <c r="M85" i="7"/>
  <c r="AE24" i="7"/>
  <c r="J9" i="9"/>
  <c r="I9" i="9" s="1"/>
  <c r="H9" i="9" s="1"/>
  <c r="K7" i="24"/>
  <c r="M7" i="24"/>
  <c r="M11" i="12"/>
  <c r="K11" i="12"/>
  <c r="F82" i="13"/>
  <c r="G82" i="13" s="1"/>
  <c r="S11" i="13" s="1"/>
  <c r="AE18" i="13"/>
  <c r="P11" i="13"/>
  <c r="O12" i="13"/>
  <c r="Q11" i="6"/>
  <c r="L11" i="6" s="1"/>
  <c r="K10" i="14"/>
  <c r="AE19" i="5"/>
  <c r="N12" i="5"/>
  <c r="AE24" i="1"/>
  <c r="F85" i="1"/>
  <c r="G85" i="1" s="1"/>
  <c r="S16" i="1" s="1"/>
  <c r="Q16" i="1" s="1"/>
  <c r="L16" i="1" s="1"/>
  <c r="O17" i="1"/>
  <c r="P16" i="1"/>
  <c r="Q11" i="16"/>
  <c r="L11" i="16" s="1"/>
  <c r="O13" i="3"/>
  <c r="N13" i="3" s="1"/>
  <c r="M82" i="3"/>
  <c r="AE18" i="3"/>
  <c r="F82" i="3"/>
  <c r="G82" i="3" s="1"/>
  <c r="S13" i="3" s="1"/>
  <c r="Q13" i="3" s="1"/>
  <c r="L13" i="3" s="1"/>
  <c r="P14" i="3"/>
  <c r="F79" i="24"/>
  <c r="G79" i="24" s="1"/>
  <c r="S8" i="24" s="1"/>
  <c r="AE12" i="24"/>
  <c r="M79" i="24"/>
  <c r="O8" i="24"/>
  <c r="AE17" i="13"/>
  <c r="N10" i="13"/>
  <c r="AE17" i="6"/>
  <c r="N11" i="6"/>
  <c r="K11" i="5"/>
  <c r="M12" i="11"/>
  <c r="K12" i="11"/>
  <c r="M12" i="3"/>
  <c r="R12" i="3"/>
  <c r="K12" i="3"/>
  <c r="N11" i="14"/>
  <c r="AE19" i="14"/>
  <c r="F79" i="22"/>
  <c r="G79" i="22" s="1"/>
  <c r="S9" i="22" s="1"/>
  <c r="M79" i="22"/>
  <c r="O9" i="22"/>
  <c r="AE12" i="22"/>
  <c r="N11" i="10"/>
  <c r="AE17" i="10"/>
  <c r="J10" i="12"/>
  <c r="I10" i="12"/>
  <c r="H10" i="12" s="1"/>
  <c r="O13" i="4"/>
  <c r="N13" i="4" s="1"/>
  <c r="F82" i="4"/>
  <c r="G82" i="4" s="1"/>
  <c r="S13" i="4" s="1"/>
  <c r="Q13" i="4" s="1"/>
  <c r="L13" i="4" s="1"/>
  <c r="P14" i="4"/>
  <c r="M82" i="4"/>
  <c r="Q88" i="4"/>
  <c r="F82" i="6"/>
  <c r="G82" i="6" s="1"/>
  <c r="S12" i="6" s="1"/>
  <c r="P12" i="6"/>
  <c r="O13" i="6"/>
  <c r="AE18" i="6"/>
  <c r="F83" i="5"/>
  <c r="G83" i="5" s="1"/>
  <c r="S13" i="5" s="1"/>
  <c r="AE20" i="5"/>
  <c r="O14" i="5"/>
  <c r="P13" i="5"/>
  <c r="M82" i="8"/>
  <c r="F82" i="8"/>
  <c r="G82" i="8" s="1"/>
  <c r="S12" i="8" s="1"/>
  <c r="P13" i="8"/>
  <c r="AE18" i="8"/>
  <c r="O12" i="8"/>
  <c r="N12" i="8" s="1"/>
  <c r="M82" i="11"/>
  <c r="O13" i="11"/>
  <c r="N13" i="11" s="1"/>
  <c r="F83" i="11"/>
  <c r="G83" i="11" s="1"/>
  <c r="S13" i="11" s="1"/>
  <c r="Q13" i="11" s="1"/>
  <c r="L13" i="11" s="1"/>
  <c r="P14" i="11"/>
  <c r="AE20" i="11"/>
  <c r="Q11" i="14"/>
  <c r="L11" i="14" s="1"/>
  <c r="K9" i="13"/>
  <c r="N13" i="2"/>
  <c r="AE19" i="2"/>
  <c r="J9" i="8"/>
  <c r="Q14" i="7"/>
  <c r="L14" i="7" s="1"/>
  <c r="Q11" i="8"/>
  <c r="L11" i="8" s="1"/>
  <c r="M12" i="4"/>
  <c r="K12" i="4"/>
  <c r="J11" i="11"/>
  <c r="I11" i="11" s="1"/>
  <c r="H11" i="11" s="1"/>
  <c r="Q10" i="13"/>
  <c r="L10" i="13" s="1"/>
  <c r="J10" i="5"/>
  <c r="Q10" i="18"/>
  <c r="L10" i="18" s="1"/>
  <c r="M83" i="16"/>
  <c r="F83" i="16"/>
  <c r="G83" i="16" s="1"/>
  <c r="S12" i="16" s="1"/>
  <c r="P13" i="16"/>
  <c r="AE20" i="16"/>
  <c r="O12" i="16"/>
  <c r="N12" i="16" s="1"/>
  <c r="K11" i="9"/>
  <c r="M11" i="9"/>
  <c r="P12" i="10"/>
  <c r="O13" i="10"/>
  <c r="F82" i="10"/>
  <c r="G82" i="10" s="1"/>
  <c r="S12" i="10" s="1"/>
  <c r="Q12" i="10" s="1"/>
  <c r="L12" i="10" s="1"/>
  <c r="AE18" i="10"/>
  <c r="P11" i="18"/>
  <c r="N10" i="18"/>
  <c r="M9" i="19"/>
  <c r="K9" i="19"/>
  <c r="O13" i="9"/>
  <c r="P12" i="9"/>
  <c r="F82" i="9"/>
  <c r="G82" i="9" s="1"/>
  <c r="S12" i="9" s="1"/>
  <c r="Q12" i="9" s="1"/>
  <c r="L12" i="9" s="1"/>
  <c r="AE18" i="9"/>
  <c r="P12" i="14"/>
  <c r="AE20" i="14"/>
  <c r="O13" i="14"/>
  <c r="F83" i="14"/>
  <c r="G83" i="14" s="1"/>
  <c r="S12" i="14" s="1"/>
  <c r="F83" i="2"/>
  <c r="G83" i="2" s="1"/>
  <c r="S14" i="2" s="1"/>
  <c r="Q14" i="2" s="1"/>
  <c r="L14" i="2" s="1"/>
  <c r="AE20" i="2"/>
  <c r="O15" i="2"/>
  <c r="P14" i="2"/>
  <c r="M11" i="10"/>
  <c r="M79" i="23"/>
  <c r="F79" i="23"/>
  <c r="G79" i="23" s="1"/>
  <c r="S8" i="23" s="1"/>
  <c r="O8" i="23"/>
  <c r="AE12" i="23"/>
  <c r="J9" i="18"/>
  <c r="I9" i="18" s="1"/>
  <c r="H9" i="18" s="1"/>
  <c r="K10" i="16"/>
  <c r="M10" i="16"/>
  <c r="F80" i="19"/>
  <c r="G80" i="19" s="1"/>
  <c r="S10" i="19" s="1"/>
  <c r="M79" i="19"/>
  <c r="O10" i="19"/>
  <c r="AE14" i="19"/>
  <c r="J12" i="2"/>
  <c r="I12" i="2" s="1"/>
  <c r="H12" i="2" s="1"/>
  <c r="J8" i="15"/>
  <c r="K7" i="23"/>
  <c r="M7" i="23"/>
  <c r="K9" i="15"/>
  <c r="M9" i="15"/>
  <c r="M13" i="2"/>
  <c r="K13" i="2"/>
  <c r="J9" i="10"/>
  <c r="I9" i="10" s="1"/>
  <c r="H9" i="10" s="1"/>
  <c r="F79" i="20"/>
  <c r="G79" i="20" s="1"/>
  <c r="S9" i="20" s="1"/>
  <c r="Q82" i="20"/>
  <c r="O9" i="20"/>
  <c r="M79" i="20"/>
  <c r="J9" i="14"/>
  <c r="J8" i="13"/>
  <c r="AE21" i="2" l="1"/>
  <c r="N14" i="2"/>
  <c r="K10" i="18"/>
  <c r="M10" i="18"/>
  <c r="P15" i="4"/>
  <c r="F83" i="4"/>
  <c r="G83" i="4" s="1"/>
  <c r="S14" i="4" s="1"/>
  <c r="Q14" i="4" s="1"/>
  <c r="L14" i="4" s="1"/>
  <c r="O14" i="4"/>
  <c r="N14" i="4" s="1"/>
  <c r="M83" i="4"/>
  <c r="Q90" i="4"/>
  <c r="J11" i="12"/>
  <c r="I11" i="12" s="1"/>
  <c r="H11" i="12" s="1"/>
  <c r="Q9" i="20"/>
  <c r="L9" i="20" s="1"/>
  <c r="J7" i="23"/>
  <c r="O15" i="5"/>
  <c r="P14" i="5"/>
  <c r="F84" i="5"/>
  <c r="G84" i="5" s="1"/>
  <c r="S14" i="5" s="1"/>
  <c r="AE22" i="5"/>
  <c r="Q8" i="24"/>
  <c r="L8" i="24" s="1"/>
  <c r="J10" i="14"/>
  <c r="Q11" i="13"/>
  <c r="L11" i="13" s="1"/>
  <c r="O12" i="15"/>
  <c r="N12" i="15" s="1"/>
  <c r="F83" i="15"/>
  <c r="G83" i="15" s="1"/>
  <c r="S12" i="15" s="1"/>
  <c r="AE20" i="15"/>
  <c r="P13" i="15"/>
  <c r="M83" i="15"/>
  <c r="P11" i="19"/>
  <c r="N10" i="19"/>
  <c r="K11" i="10"/>
  <c r="N12" i="14"/>
  <c r="AE21" i="14"/>
  <c r="I12" i="3"/>
  <c r="H12" i="3" s="1"/>
  <c r="T12" i="3"/>
  <c r="J12" i="3"/>
  <c r="AE20" i="3"/>
  <c r="O14" i="3"/>
  <c r="N14" i="3" s="1"/>
  <c r="F83" i="3"/>
  <c r="G83" i="3" s="1"/>
  <c r="S14" i="3" s="1"/>
  <c r="Q14" i="3" s="1"/>
  <c r="L14" i="3" s="1"/>
  <c r="P15" i="3"/>
  <c r="M83" i="3"/>
  <c r="M11" i="16"/>
  <c r="K11" i="16"/>
  <c r="J8" i="22"/>
  <c r="J10" i="6"/>
  <c r="J13" i="2"/>
  <c r="I13" i="2" s="1"/>
  <c r="H13" i="2" s="1"/>
  <c r="J11" i="9"/>
  <c r="I11" i="9" s="1"/>
  <c r="H11" i="9" s="1"/>
  <c r="K13" i="3"/>
  <c r="R13" i="3"/>
  <c r="M13" i="3"/>
  <c r="K12" i="5"/>
  <c r="Q10" i="19"/>
  <c r="L10" i="19" s="1"/>
  <c r="F84" i="2"/>
  <c r="G84" i="2" s="1"/>
  <c r="S15" i="2" s="1"/>
  <c r="Q15" i="2" s="1"/>
  <c r="L15" i="2" s="1"/>
  <c r="AE22" i="2"/>
  <c r="O16" i="2"/>
  <c r="P15" i="2"/>
  <c r="K11" i="14"/>
  <c r="M13" i="4"/>
  <c r="K13" i="4"/>
  <c r="F86" i="1"/>
  <c r="G86" i="1" s="1"/>
  <c r="S17" i="1" s="1"/>
  <c r="Q17" i="1" s="1"/>
  <c r="L17" i="1" s="1"/>
  <c r="O18" i="1"/>
  <c r="P17" i="1"/>
  <c r="AE26" i="1"/>
  <c r="P11" i="21"/>
  <c r="N10" i="21"/>
  <c r="N8" i="23"/>
  <c r="P9" i="23"/>
  <c r="K12" i="10"/>
  <c r="M12" i="10"/>
  <c r="Q12" i="8"/>
  <c r="L12" i="8" s="1"/>
  <c r="F83" i="6"/>
  <c r="G83" i="6" s="1"/>
  <c r="S13" i="6" s="1"/>
  <c r="AE20" i="6"/>
  <c r="O14" i="6"/>
  <c r="P13" i="6"/>
  <c r="P10" i="22"/>
  <c r="N9" i="22"/>
  <c r="K11" i="6"/>
  <c r="Q10" i="17"/>
  <c r="L10" i="17" s="1"/>
  <c r="Q10" i="21"/>
  <c r="L10" i="21" s="1"/>
  <c r="J15" i="1"/>
  <c r="I15" i="1"/>
  <c r="H15" i="1" s="1"/>
  <c r="J9" i="15"/>
  <c r="J10" i="16"/>
  <c r="Q8" i="23"/>
  <c r="L8" i="23" s="1"/>
  <c r="K14" i="2"/>
  <c r="M14" i="2"/>
  <c r="F83" i="9"/>
  <c r="G83" i="9" s="1"/>
  <c r="S13" i="9" s="1"/>
  <c r="Q13" i="9" s="1"/>
  <c r="L13" i="9" s="1"/>
  <c r="P13" i="9"/>
  <c r="AE20" i="9"/>
  <c r="O14" i="9"/>
  <c r="F83" i="10"/>
  <c r="G83" i="10" s="1"/>
  <c r="S13" i="10" s="1"/>
  <c r="Q13" i="10" s="1"/>
  <c r="L13" i="10" s="1"/>
  <c r="O14" i="10"/>
  <c r="P13" i="10"/>
  <c r="AE20" i="10"/>
  <c r="O13" i="16"/>
  <c r="N13" i="16" s="1"/>
  <c r="AE22" i="16"/>
  <c r="M84" i="16"/>
  <c r="F84" i="16"/>
  <c r="G84" i="16" s="1"/>
  <c r="S13" i="16" s="1"/>
  <c r="P14" i="16"/>
  <c r="AE22" i="11"/>
  <c r="O14" i="11"/>
  <c r="N14" i="11" s="1"/>
  <c r="M83" i="11"/>
  <c r="P15" i="11"/>
  <c r="F84" i="11"/>
  <c r="G84" i="11" s="1"/>
  <c r="S14" i="11" s="1"/>
  <c r="Q14" i="11" s="1"/>
  <c r="L14" i="11" s="1"/>
  <c r="N12" i="6"/>
  <c r="AE19" i="6"/>
  <c r="P9" i="24"/>
  <c r="N8" i="24"/>
  <c r="O13" i="13"/>
  <c r="F83" i="13"/>
  <c r="G83" i="13" s="1"/>
  <c r="S12" i="13" s="1"/>
  <c r="AE20" i="13"/>
  <c r="P12" i="13"/>
  <c r="J7" i="24"/>
  <c r="Q15" i="7"/>
  <c r="L15" i="7" s="1"/>
  <c r="M12" i="12"/>
  <c r="K12" i="12"/>
  <c r="N10" i="17"/>
  <c r="P11" i="17"/>
  <c r="J9" i="17"/>
  <c r="I9" i="17" s="1"/>
  <c r="H9" i="17" s="1"/>
  <c r="Q84" i="18"/>
  <c r="F80" i="18"/>
  <c r="G80" i="18" s="1"/>
  <c r="S11" i="18" s="1"/>
  <c r="M80" i="18"/>
  <c r="O11" i="18"/>
  <c r="AE25" i="1"/>
  <c r="N16" i="1"/>
  <c r="O13" i="8"/>
  <c r="N13" i="8" s="1"/>
  <c r="AE20" i="8"/>
  <c r="P14" i="8"/>
  <c r="M83" i="8"/>
  <c r="F83" i="8"/>
  <c r="G83" i="8" s="1"/>
  <c r="S13" i="8" s="1"/>
  <c r="K16" i="1"/>
  <c r="M16" i="1"/>
  <c r="Q12" i="6"/>
  <c r="L12" i="6" s="1"/>
  <c r="Q9" i="22"/>
  <c r="L9" i="22" s="1"/>
  <c r="AE19" i="13"/>
  <c r="N11" i="13"/>
  <c r="AE26" i="7"/>
  <c r="F86" i="7"/>
  <c r="G86" i="7" s="1"/>
  <c r="S16" i="7" s="1"/>
  <c r="O16" i="7"/>
  <c r="N16" i="7" s="1"/>
  <c r="M86" i="7"/>
  <c r="P17" i="7"/>
  <c r="M83" i="12"/>
  <c r="O13" i="12"/>
  <c r="N13" i="12" s="1"/>
  <c r="F83" i="12"/>
  <c r="G83" i="12" s="1"/>
  <c r="S13" i="12" s="1"/>
  <c r="Q13" i="12" s="1"/>
  <c r="L13" i="12" s="1"/>
  <c r="Q90" i="12"/>
  <c r="P14" i="12"/>
  <c r="J8" i="20"/>
  <c r="I8" i="20"/>
  <c r="H8" i="20" s="1"/>
  <c r="J10" i="8"/>
  <c r="Q13" i="5"/>
  <c r="L13" i="5" s="1"/>
  <c r="L14" i="5"/>
  <c r="K14" i="5"/>
  <c r="M12" i="9"/>
  <c r="M11" i="8"/>
  <c r="K11" i="8"/>
  <c r="AE19" i="9"/>
  <c r="N12" i="9"/>
  <c r="K12" i="9" s="1"/>
  <c r="J12" i="11"/>
  <c r="I12" i="11" s="1"/>
  <c r="H12" i="11" s="1"/>
  <c r="P10" i="20"/>
  <c r="N9" i="20"/>
  <c r="Q12" i="14"/>
  <c r="L12" i="14" s="1"/>
  <c r="N12" i="10"/>
  <c r="AE19" i="10"/>
  <c r="Q12" i="16"/>
  <c r="L12" i="16" s="1"/>
  <c r="K10" i="13"/>
  <c r="J12" i="4"/>
  <c r="I12" i="4" s="1"/>
  <c r="H12" i="4" s="1"/>
  <c r="K13" i="11"/>
  <c r="M13" i="11"/>
  <c r="O14" i="14"/>
  <c r="P13" i="14"/>
  <c r="F84" i="14"/>
  <c r="G84" i="14" s="1"/>
  <c r="S13" i="14" s="1"/>
  <c r="AE22" i="14"/>
  <c r="J9" i="19"/>
  <c r="I9" i="19"/>
  <c r="H9" i="19" s="1"/>
  <c r="R14" i="7"/>
  <c r="M14" i="7"/>
  <c r="K14" i="7"/>
  <c r="J9" i="13"/>
  <c r="AE21" i="5"/>
  <c r="N13" i="5"/>
  <c r="J11" i="5"/>
  <c r="J9" i="21"/>
  <c r="M10" i="15"/>
  <c r="K10" i="15"/>
  <c r="Q11" i="15"/>
  <c r="L11" i="15" s="1"/>
  <c r="J12" i="9" l="1"/>
  <c r="I12" i="9" s="1"/>
  <c r="H12" i="9" s="1"/>
  <c r="R17" i="1"/>
  <c r="M17" i="1"/>
  <c r="F85" i="14"/>
  <c r="G85" i="14" s="1"/>
  <c r="S14" i="14" s="1"/>
  <c r="AE24" i="14"/>
  <c r="O15" i="14"/>
  <c r="P14" i="14"/>
  <c r="N11" i="18"/>
  <c r="P12" i="18"/>
  <c r="J13" i="4"/>
  <c r="I13" i="4" s="1"/>
  <c r="H13" i="4" s="1"/>
  <c r="F85" i="5"/>
  <c r="G85" i="5" s="1"/>
  <c r="S15" i="5" s="1"/>
  <c r="AE24" i="5"/>
  <c r="O16" i="5"/>
  <c r="P15" i="5"/>
  <c r="J10" i="13"/>
  <c r="J14" i="5"/>
  <c r="J16" i="1"/>
  <c r="I16" i="1" s="1"/>
  <c r="H16" i="1" s="1"/>
  <c r="Q12" i="13"/>
  <c r="L12" i="13" s="1"/>
  <c r="K13" i="13"/>
  <c r="L13" i="13"/>
  <c r="J13" i="3"/>
  <c r="I13" i="3" s="1"/>
  <c r="H13" i="3" s="1"/>
  <c r="T13" i="3"/>
  <c r="N14" i="5"/>
  <c r="AE23" i="5"/>
  <c r="M80" i="23"/>
  <c r="AE14" i="23"/>
  <c r="F80" i="23"/>
  <c r="G80" i="23" s="1"/>
  <c r="S9" i="23" s="1"/>
  <c r="O9" i="23"/>
  <c r="M15" i="2"/>
  <c r="J11" i="8"/>
  <c r="AE21" i="10"/>
  <c r="N13" i="10"/>
  <c r="K10" i="19"/>
  <c r="M10" i="19"/>
  <c r="O9" i="24"/>
  <c r="M80" i="24"/>
  <c r="F80" i="24"/>
  <c r="G80" i="24" s="1"/>
  <c r="S9" i="24" s="1"/>
  <c r="AE14" i="24"/>
  <c r="J14" i="2"/>
  <c r="I14" i="2"/>
  <c r="H14" i="2" s="1"/>
  <c r="F80" i="20"/>
  <c r="G80" i="20" s="1"/>
  <c r="S10" i="20" s="1"/>
  <c r="M80" i="20"/>
  <c r="Q84" i="20"/>
  <c r="O10" i="20"/>
  <c r="M13" i="12"/>
  <c r="K13" i="12"/>
  <c r="K12" i="6"/>
  <c r="M84" i="8"/>
  <c r="AE22" i="8"/>
  <c r="P15" i="8"/>
  <c r="F84" i="8"/>
  <c r="G84" i="8" s="1"/>
  <c r="S14" i="8" s="1"/>
  <c r="O14" i="8"/>
  <c r="N14" i="8" s="1"/>
  <c r="J12" i="12"/>
  <c r="I12" i="12"/>
  <c r="H12" i="12" s="1"/>
  <c r="AE24" i="16"/>
  <c r="M85" i="16"/>
  <c r="P15" i="16"/>
  <c r="O14" i="16"/>
  <c r="N14" i="16" s="1"/>
  <c r="F85" i="16"/>
  <c r="G85" i="16" s="1"/>
  <c r="S14" i="16" s="1"/>
  <c r="K13" i="10"/>
  <c r="M13" i="10"/>
  <c r="O11" i="21"/>
  <c r="M81" i="21"/>
  <c r="F81" i="21"/>
  <c r="G81" i="21" s="1"/>
  <c r="S11" i="21" s="1"/>
  <c r="AE16" i="21"/>
  <c r="J11" i="14"/>
  <c r="J12" i="5"/>
  <c r="J11" i="16"/>
  <c r="J11" i="10"/>
  <c r="I11" i="10" s="1"/>
  <c r="H11" i="10" s="1"/>
  <c r="K12" i="14"/>
  <c r="M9" i="22"/>
  <c r="K9" i="22"/>
  <c r="K13" i="9"/>
  <c r="M13" i="9"/>
  <c r="J12" i="10"/>
  <c r="I12" i="10" s="1"/>
  <c r="H12" i="10" s="1"/>
  <c r="F84" i="3"/>
  <c r="G84" i="3" s="1"/>
  <c r="S15" i="3" s="1"/>
  <c r="Q15" i="3" s="1"/>
  <c r="L15" i="3" s="1"/>
  <c r="AE22" i="3"/>
  <c r="P16" i="3"/>
  <c r="O15" i="3"/>
  <c r="N15" i="3" s="1"/>
  <c r="M84" i="3"/>
  <c r="F84" i="15"/>
  <c r="G84" i="15" s="1"/>
  <c r="S13" i="15" s="1"/>
  <c r="AE22" i="15"/>
  <c r="M84" i="15"/>
  <c r="P14" i="15"/>
  <c r="O13" i="15"/>
  <c r="N13" i="15" s="1"/>
  <c r="F84" i="13"/>
  <c r="G84" i="13" s="1"/>
  <c r="S13" i="13" s="1"/>
  <c r="AE22" i="13"/>
  <c r="O14" i="13"/>
  <c r="P13" i="13"/>
  <c r="M10" i="17"/>
  <c r="K10" i="17"/>
  <c r="M84" i="12"/>
  <c r="F84" i="12"/>
  <c r="G84" i="12" s="1"/>
  <c r="S14" i="12" s="1"/>
  <c r="Q14" i="12" s="1"/>
  <c r="L14" i="12" s="1"/>
  <c r="O14" i="12"/>
  <c r="N14" i="12" s="1"/>
  <c r="P15" i="12"/>
  <c r="Q92" i="12"/>
  <c r="Q13" i="8"/>
  <c r="L13" i="8" s="1"/>
  <c r="R15" i="7"/>
  <c r="M15" i="7"/>
  <c r="K15" i="7"/>
  <c r="J10" i="18"/>
  <c r="I10" i="18" s="1"/>
  <c r="H10" i="18" s="1"/>
  <c r="AE22" i="10"/>
  <c r="O15" i="10"/>
  <c r="P14" i="10"/>
  <c r="F84" i="10"/>
  <c r="G84" i="10" s="1"/>
  <c r="S14" i="10" s="1"/>
  <c r="Q14" i="10" s="1"/>
  <c r="L14" i="10" s="1"/>
  <c r="Q13" i="16"/>
  <c r="L13" i="16" s="1"/>
  <c r="F84" i="9"/>
  <c r="G84" i="9" s="1"/>
  <c r="S14" i="9" s="1"/>
  <c r="Q14" i="9" s="1"/>
  <c r="L14" i="9" s="1"/>
  <c r="AE22" i="9"/>
  <c r="O15" i="9"/>
  <c r="P14" i="9"/>
  <c r="K8" i="23"/>
  <c r="M8" i="23"/>
  <c r="F80" i="22"/>
  <c r="G80" i="22" s="1"/>
  <c r="S10" i="22" s="1"/>
  <c r="M80" i="22"/>
  <c r="AE14" i="22"/>
  <c r="O10" i="22"/>
  <c r="K12" i="8"/>
  <c r="M12" i="8"/>
  <c r="K11" i="13"/>
  <c r="M8" i="24"/>
  <c r="K8" i="24"/>
  <c r="J10" i="15"/>
  <c r="Q13" i="6"/>
  <c r="L13" i="6" s="1"/>
  <c r="R14" i="3"/>
  <c r="M14" i="3"/>
  <c r="K14" i="3"/>
  <c r="K13" i="5"/>
  <c r="Q16" i="7"/>
  <c r="L16" i="7" s="1"/>
  <c r="F80" i="17"/>
  <c r="G80" i="17" s="1"/>
  <c r="S11" i="17" s="1"/>
  <c r="O11" i="17"/>
  <c r="AE14" i="17"/>
  <c r="M80" i="17"/>
  <c r="J11" i="6"/>
  <c r="Q12" i="15"/>
  <c r="L12" i="15" s="1"/>
  <c r="J13" i="11"/>
  <c r="I13" i="11"/>
  <c r="H13" i="11" s="1"/>
  <c r="Q11" i="18"/>
  <c r="L11" i="18" s="1"/>
  <c r="K12" i="16"/>
  <c r="M12" i="16"/>
  <c r="M11" i="15"/>
  <c r="K11" i="15"/>
  <c r="N12" i="13"/>
  <c r="AE21" i="13"/>
  <c r="N13" i="6"/>
  <c r="AE21" i="6"/>
  <c r="N17" i="1"/>
  <c r="K17" i="1" s="1"/>
  <c r="AE27" i="1"/>
  <c r="AE23" i="2"/>
  <c r="N15" i="2"/>
  <c r="K15" i="2" s="1"/>
  <c r="AE16" i="19"/>
  <c r="F81" i="19"/>
  <c r="G81" i="19" s="1"/>
  <c r="S11" i="19" s="1"/>
  <c r="O11" i="19"/>
  <c r="M80" i="19"/>
  <c r="K9" i="20"/>
  <c r="M9" i="20"/>
  <c r="M14" i="4"/>
  <c r="K14" i="4"/>
  <c r="N13" i="14"/>
  <c r="AE23" i="14"/>
  <c r="F85" i="11"/>
  <c r="G85" i="11" s="1"/>
  <c r="S15" i="11" s="1"/>
  <c r="Q15" i="11" s="1"/>
  <c r="L15" i="11" s="1"/>
  <c r="M84" i="11"/>
  <c r="AE24" i="11"/>
  <c r="P16" i="11"/>
  <c r="O15" i="11"/>
  <c r="N15" i="11" s="1"/>
  <c r="T14" i="7"/>
  <c r="J14" i="7"/>
  <c r="Q13" i="14"/>
  <c r="L13" i="14" s="1"/>
  <c r="P18" i="7"/>
  <c r="O17" i="7"/>
  <c r="N17" i="7" s="1"/>
  <c r="F87" i="7"/>
  <c r="G87" i="7" s="1"/>
  <c r="S17" i="7" s="1"/>
  <c r="AE28" i="7"/>
  <c r="M87" i="7"/>
  <c r="K14" i="11"/>
  <c r="M14" i="11"/>
  <c r="N13" i="9"/>
  <c r="AE21" i="9"/>
  <c r="M10" i="21"/>
  <c r="K10" i="21"/>
  <c r="O15" i="6"/>
  <c r="P14" i="6"/>
  <c r="F84" i="6"/>
  <c r="G84" i="6" s="1"/>
  <c r="S14" i="6" s="1"/>
  <c r="AE22" i="6"/>
  <c r="P18" i="1"/>
  <c r="F87" i="1"/>
  <c r="G87" i="1" s="1"/>
  <c r="S18" i="1" s="1"/>
  <c r="Q18" i="1" s="1"/>
  <c r="L18" i="1" s="1"/>
  <c r="O19" i="1"/>
  <c r="AE28" i="1"/>
  <c r="AE24" i="2"/>
  <c r="O17" i="2"/>
  <c r="P16" i="2"/>
  <c r="F85" i="2"/>
  <c r="G85" i="2" s="1"/>
  <c r="S16" i="2" s="1"/>
  <c r="Q16" i="2" s="1"/>
  <c r="L16" i="2" s="1"/>
  <c r="Q14" i="5"/>
  <c r="O15" i="4"/>
  <c r="N15" i="4" s="1"/>
  <c r="P16" i="4"/>
  <c r="F84" i="4"/>
  <c r="G84" i="4" s="1"/>
  <c r="S15" i="4" s="1"/>
  <c r="Q15" i="4" s="1"/>
  <c r="L15" i="4" s="1"/>
  <c r="Q92" i="4"/>
  <c r="M84" i="4"/>
  <c r="J15" i="2" l="1"/>
  <c r="I15" i="2" s="1"/>
  <c r="H15" i="2" s="1"/>
  <c r="J17" i="1"/>
  <c r="I17" i="1" s="1"/>
  <c r="H17" i="1" s="1"/>
  <c r="T17" i="1"/>
  <c r="F88" i="7"/>
  <c r="G88" i="7" s="1"/>
  <c r="S18" i="7" s="1"/>
  <c r="O18" i="7"/>
  <c r="N18" i="7" s="1"/>
  <c r="AE30" i="7"/>
  <c r="M88" i="7"/>
  <c r="P19" i="7"/>
  <c r="J11" i="13"/>
  <c r="M14" i="9"/>
  <c r="K14" i="9"/>
  <c r="AE23" i="13"/>
  <c r="N13" i="13"/>
  <c r="Q13" i="15"/>
  <c r="L13" i="15" s="1"/>
  <c r="N11" i="21"/>
  <c r="P12" i="21"/>
  <c r="P16" i="8"/>
  <c r="O15" i="8"/>
  <c r="N15" i="8" s="1"/>
  <c r="M85" i="8"/>
  <c r="F85" i="8"/>
  <c r="G85" i="8" s="1"/>
  <c r="S15" i="8" s="1"/>
  <c r="AE24" i="8"/>
  <c r="N10" i="20"/>
  <c r="P11" i="20"/>
  <c r="L15" i="14"/>
  <c r="K15" i="14"/>
  <c r="Q14" i="14"/>
  <c r="L14" i="14" s="1"/>
  <c r="J10" i="21"/>
  <c r="J14" i="11"/>
  <c r="I14" i="11" s="1"/>
  <c r="H14" i="11" s="1"/>
  <c r="K13" i="14"/>
  <c r="K13" i="6"/>
  <c r="Q10" i="22"/>
  <c r="L10" i="22" s="1"/>
  <c r="T15" i="7"/>
  <c r="J15" i="7"/>
  <c r="M85" i="12"/>
  <c r="P16" i="12"/>
  <c r="F85" i="12"/>
  <c r="G85" i="12" s="1"/>
  <c r="S15" i="12" s="1"/>
  <c r="Q15" i="12" s="1"/>
  <c r="L15" i="12" s="1"/>
  <c r="Q94" i="12"/>
  <c r="O15" i="12"/>
  <c r="N15" i="12" s="1"/>
  <c r="F85" i="13"/>
  <c r="G85" i="13" s="1"/>
  <c r="S14" i="13" s="1"/>
  <c r="O15" i="13"/>
  <c r="AE24" i="13"/>
  <c r="P14" i="13"/>
  <c r="Q9" i="24"/>
  <c r="L9" i="24" s="1"/>
  <c r="N9" i="23"/>
  <c r="P10" i="23"/>
  <c r="J13" i="5"/>
  <c r="J13" i="13"/>
  <c r="Q86" i="18"/>
  <c r="F81" i="18"/>
  <c r="G81" i="18" s="1"/>
  <c r="S12" i="18" s="1"/>
  <c r="O12" i="18"/>
  <c r="M81" i="18"/>
  <c r="M15" i="11"/>
  <c r="R15" i="11"/>
  <c r="K15" i="11"/>
  <c r="J8" i="23"/>
  <c r="F85" i="3"/>
  <c r="G85" i="3" s="1"/>
  <c r="S16" i="3" s="1"/>
  <c r="Q16" i="3" s="1"/>
  <c r="L16" i="3" s="1"/>
  <c r="P17" i="3"/>
  <c r="M85" i="3"/>
  <c r="AE24" i="3"/>
  <c r="O16" i="3"/>
  <c r="N16" i="3" s="1"/>
  <c r="J13" i="10"/>
  <c r="I13" i="10"/>
  <c r="H13" i="10" s="1"/>
  <c r="S11" i="20"/>
  <c r="Q10" i="20"/>
  <c r="L10" i="20" s="1"/>
  <c r="N9" i="24"/>
  <c r="P10" i="24"/>
  <c r="N18" i="1"/>
  <c r="AE29" i="1"/>
  <c r="N11" i="19"/>
  <c r="P12" i="19"/>
  <c r="K12" i="15"/>
  <c r="M12" i="15"/>
  <c r="N11" i="17"/>
  <c r="P12" i="17"/>
  <c r="J14" i="3"/>
  <c r="T14" i="3"/>
  <c r="I14" i="3"/>
  <c r="H14" i="3" s="1"/>
  <c r="J12" i="8"/>
  <c r="J9" i="22"/>
  <c r="K12" i="13"/>
  <c r="N15" i="5"/>
  <c r="AE25" i="5"/>
  <c r="F85" i="6"/>
  <c r="G85" i="6" s="1"/>
  <c r="S15" i="6" s="1"/>
  <c r="AE24" i="6"/>
  <c r="O16" i="6"/>
  <c r="P15" i="6"/>
  <c r="Q9" i="23"/>
  <c r="L9" i="23" s="1"/>
  <c r="J12" i="16"/>
  <c r="K13" i="16"/>
  <c r="M13" i="16"/>
  <c r="K14" i="12"/>
  <c r="M14" i="12"/>
  <c r="J13" i="9"/>
  <c r="I13" i="9"/>
  <c r="H13" i="9" s="1"/>
  <c r="J12" i="6"/>
  <c r="Q11" i="19"/>
  <c r="L11" i="19" s="1"/>
  <c r="J8" i="24"/>
  <c r="N14" i="9"/>
  <c r="AE23" i="9"/>
  <c r="M13" i="8"/>
  <c r="K13" i="8"/>
  <c r="M15" i="3"/>
  <c r="R15" i="3"/>
  <c r="K15" i="3"/>
  <c r="M15" i="16"/>
  <c r="Q14" i="16"/>
  <c r="L14" i="16" s="1"/>
  <c r="L15" i="16"/>
  <c r="K15" i="16"/>
  <c r="J13" i="12"/>
  <c r="I13" i="12" s="1"/>
  <c r="H13" i="12" s="1"/>
  <c r="F86" i="5"/>
  <c r="G86" i="5" s="1"/>
  <c r="S16" i="5" s="1"/>
  <c r="AE26" i="5"/>
  <c r="P16" i="5"/>
  <c r="O17" i="5"/>
  <c r="AE25" i="14"/>
  <c r="N14" i="14"/>
  <c r="P19" i="1"/>
  <c r="AE30" i="1"/>
  <c r="O20" i="1"/>
  <c r="F88" i="1"/>
  <c r="G88" i="1" s="1"/>
  <c r="S19" i="1" s="1"/>
  <c r="Q19" i="1" s="1"/>
  <c r="L19" i="1" s="1"/>
  <c r="Q13" i="13"/>
  <c r="M16" i="2"/>
  <c r="J14" i="4"/>
  <c r="I14" i="4" s="1"/>
  <c r="H14" i="4" s="1"/>
  <c r="S12" i="17"/>
  <c r="Q11" i="17"/>
  <c r="L11" i="17" s="1"/>
  <c r="M14" i="10"/>
  <c r="J10" i="17"/>
  <c r="I10" i="17"/>
  <c r="H10" i="17" s="1"/>
  <c r="P15" i="15"/>
  <c r="F85" i="15"/>
  <c r="G85" i="15" s="1"/>
  <c r="S14" i="15" s="1"/>
  <c r="O14" i="15"/>
  <c r="N14" i="15" s="1"/>
  <c r="AE24" i="15"/>
  <c r="M85" i="15"/>
  <c r="AE25" i="2"/>
  <c r="N16" i="2"/>
  <c r="K16" i="2" s="1"/>
  <c r="Q14" i="6"/>
  <c r="L14" i="6" s="1"/>
  <c r="Q17" i="7"/>
  <c r="L17" i="7" s="1"/>
  <c r="M11" i="18"/>
  <c r="K11" i="18"/>
  <c r="P11" i="22"/>
  <c r="N10" i="22"/>
  <c r="AE24" i="9"/>
  <c r="O16" i="9"/>
  <c r="P15" i="9"/>
  <c r="F85" i="9"/>
  <c r="G85" i="9" s="1"/>
  <c r="S15" i="9" s="1"/>
  <c r="Q15" i="9" s="1"/>
  <c r="L15" i="9" s="1"/>
  <c r="AE23" i="10"/>
  <c r="N14" i="10"/>
  <c r="K14" i="10" s="1"/>
  <c r="Q11" i="21"/>
  <c r="L11" i="21" s="1"/>
  <c r="J10" i="19"/>
  <c r="I10" i="19"/>
  <c r="H10" i="19" s="1"/>
  <c r="F86" i="14"/>
  <c r="G86" i="14" s="1"/>
  <c r="S15" i="14" s="1"/>
  <c r="AE26" i="14"/>
  <c r="P15" i="14"/>
  <c r="O16" i="14"/>
  <c r="F85" i="4"/>
  <c r="G85" i="4" s="1"/>
  <c r="S16" i="4" s="1"/>
  <c r="Q16" i="4" s="1"/>
  <c r="L16" i="4" s="1"/>
  <c r="Q94" i="4"/>
  <c r="O16" i="4"/>
  <c r="N16" i="4" s="1"/>
  <c r="M85" i="4"/>
  <c r="P17" i="4"/>
  <c r="J9" i="20"/>
  <c r="I9" i="20" s="1"/>
  <c r="H9" i="20" s="1"/>
  <c r="M18" i="1"/>
  <c r="R18" i="1"/>
  <c r="K18" i="1"/>
  <c r="M15" i="4"/>
  <c r="K15" i="4"/>
  <c r="O18" i="2"/>
  <c r="P17" i="2"/>
  <c r="F86" i="2"/>
  <c r="G86" i="2" s="1"/>
  <c r="S17" i="2" s="1"/>
  <c r="Q17" i="2" s="1"/>
  <c r="L17" i="2" s="1"/>
  <c r="AE26" i="2"/>
  <c r="AE23" i="6"/>
  <c r="N14" i="6"/>
  <c r="P17" i="11"/>
  <c r="M85" i="11"/>
  <c r="O16" i="11"/>
  <c r="N16" i="11" s="1"/>
  <c r="AE26" i="11"/>
  <c r="F86" i="11"/>
  <c r="G86" i="11" s="1"/>
  <c r="S16" i="11" s="1"/>
  <c r="Q16" i="11" s="1"/>
  <c r="L16" i="11" s="1"/>
  <c r="J11" i="15"/>
  <c r="R16" i="7"/>
  <c r="K16" i="7"/>
  <c r="M16" i="7"/>
  <c r="O16" i="10"/>
  <c r="P15" i="10"/>
  <c r="AE24" i="10"/>
  <c r="F85" i="10"/>
  <c r="G85" i="10" s="1"/>
  <c r="S15" i="10" s="1"/>
  <c r="Q15" i="10" s="1"/>
  <c r="L15" i="10" s="1"/>
  <c r="J12" i="14"/>
  <c r="F86" i="16"/>
  <c r="G86" i="16" s="1"/>
  <c r="S15" i="16" s="1"/>
  <c r="AE26" i="16"/>
  <c r="P16" i="16"/>
  <c r="M86" i="16"/>
  <c r="O15" i="16"/>
  <c r="N15" i="16" s="1"/>
  <c r="Q14" i="8"/>
  <c r="L14" i="8" s="1"/>
  <c r="Q15" i="5"/>
  <c r="L15" i="5" s="1"/>
  <c r="J16" i="2" l="1"/>
  <c r="I16" i="2"/>
  <c r="H16" i="2" s="1"/>
  <c r="I14" i="10"/>
  <c r="H14" i="10" s="1"/>
  <c r="J14" i="10"/>
  <c r="M81" i="17"/>
  <c r="AE16" i="17"/>
  <c r="F81" i="17"/>
  <c r="G81" i="17" s="1"/>
  <c r="O12" i="17"/>
  <c r="M15" i="10"/>
  <c r="K11" i="17"/>
  <c r="M11" i="17"/>
  <c r="J14" i="12"/>
  <c r="I14" i="12"/>
  <c r="H14" i="12" s="1"/>
  <c r="F81" i="20"/>
  <c r="G81" i="20" s="1"/>
  <c r="Q86" i="20"/>
  <c r="O11" i="20"/>
  <c r="M81" i="20"/>
  <c r="J14" i="9"/>
  <c r="I14" i="9"/>
  <c r="H14" i="9" s="1"/>
  <c r="Q18" i="7"/>
  <c r="L18" i="7" s="1"/>
  <c r="AE16" i="22"/>
  <c r="O11" i="22"/>
  <c r="F81" i="22"/>
  <c r="G81" i="22" s="1"/>
  <c r="S11" i="22" s="1"/>
  <c r="M81" i="22"/>
  <c r="J13" i="8"/>
  <c r="M10" i="22"/>
  <c r="K10" i="22"/>
  <c r="M16" i="11"/>
  <c r="R16" i="11"/>
  <c r="K16" i="11"/>
  <c r="M17" i="2"/>
  <c r="K17" i="2"/>
  <c r="I11" i="18"/>
  <c r="H11" i="18" s="1"/>
  <c r="J11" i="18"/>
  <c r="Q12" i="17"/>
  <c r="L12" i="17" s="1"/>
  <c r="F87" i="5"/>
  <c r="G87" i="5" s="1"/>
  <c r="S17" i="5" s="1"/>
  <c r="AE28" i="5"/>
  <c r="O18" i="5"/>
  <c r="P17" i="5"/>
  <c r="M15" i="12"/>
  <c r="R15" i="12"/>
  <c r="K15" i="12"/>
  <c r="M13" i="15"/>
  <c r="K13" i="15"/>
  <c r="J15" i="11"/>
  <c r="T15" i="11"/>
  <c r="I15" i="11"/>
  <c r="H15" i="11" s="1"/>
  <c r="F86" i="15"/>
  <c r="G86" i="15" s="1"/>
  <c r="S15" i="15" s="1"/>
  <c r="M86" i="15"/>
  <c r="AE26" i="15"/>
  <c r="O15" i="15"/>
  <c r="N15" i="15" s="1"/>
  <c r="P16" i="15"/>
  <c r="M9" i="23"/>
  <c r="K9" i="23"/>
  <c r="R15" i="5"/>
  <c r="K15" i="5"/>
  <c r="AE25" i="10"/>
  <c r="N15" i="10"/>
  <c r="K15" i="10" s="1"/>
  <c r="N17" i="2"/>
  <c r="AE27" i="2"/>
  <c r="K16" i="4"/>
  <c r="R16" i="4"/>
  <c r="M16" i="4"/>
  <c r="M15" i="9"/>
  <c r="N16" i="5"/>
  <c r="AE27" i="5"/>
  <c r="K14" i="16"/>
  <c r="M14" i="16"/>
  <c r="J13" i="16"/>
  <c r="J12" i="15"/>
  <c r="K10" i="20"/>
  <c r="M10" i="20"/>
  <c r="F86" i="3"/>
  <c r="G86" i="3" s="1"/>
  <c r="S17" i="3" s="1"/>
  <c r="Q17" i="3" s="1"/>
  <c r="L17" i="3" s="1"/>
  <c r="O17" i="3"/>
  <c r="N17" i="3" s="1"/>
  <c r="AE26" i="3"/>
  <c r="P18" i="3"/>
  <c r="M86" i="3"/>
  <c r="M86" i="12"/>
  <c r="O16" i="12"/>
  <c r="N16" i="12" s="1"/>
  <c r="F86" i="12"/>
  <c r="G86" i="12" s="1"/>
  <c r="S16" i="12" s="1"/>
  <c r="Q16" i="12" s="1"/>
  <c r="L16" i="12" s="1"/>
  <c r="P17" i="12"/>
  <c r="Q96" i="12"/>
  <c r="K15" i="15"/>
  <c r="Q14" i="15"/>
  <c r="L14" i="15" s="1"/>
  <c r="M15" i="15"/>
  <c r="L15" i="15"/>
  <c r="K16" i="6"/>
  <c r="Q15" i="6"/>
  <c r="L15" i="6" s="1"/>
  <c r="L16" i="6"/>
  <c r="O10" i="24"/>
  <c r="F81" i="24"/>
  <c r="G81" i="24" s="1"/>
  <c r="S10" i="24" s="1"/>
  <c r="AE16" i="24"/>
  <c r="M81" i="24"/>
  <c r="N15" i="9"/>
  <c r="K15" i="9" s="1"/>
  <c r="AE25" i="9"/>
  <c r="M19" i="1"/>
  <c r="R19" i="1"/>
  <c r="Q11" i="20"/>
  <c r="L11" i="20" s="1"/>
  <c r="M16" i="3"/>
  <c r="K16" i="3"/>
  <c r="R16" i="3"/>
  <c r="P13" i="18"/>
  <c r="N12" i="18"/>
  <c r="N14" i="13"/>
  <c r="AE25" i="13"/>
  <c r="J13" i="6"/>
  <c r="L16" i="8"/>
  <c r="K16" i="8"/>
  <c r="Q15" i="8"/>
  <c r="L15" i="8" s="1"/>
  <c r="M16" i="8"/>
  <c r="M11" i="19"/>
  <c r="K11" i="19"/>
  <c r="F82" i="21"/>
  <c r="G82" i="21" s="1"/>
  <c r="S12" i="21" s="1"/>
  <c r="AE18" i="21"/>
  <c r="M82" i="21"/>
  <c r="O12" i="21"/>
  <c r="J15" i="16"/>
  <c r="AE26" i="10"/>
  <c r="F86" i="10"/>
  <c r="G86" i="10" s="1"/>
  <c r="S16" i="10" s="1"/>
  <c r="Q16" i="10" s="1"/>
  <c r="L16" i="10" s="1"/>
  <c r="O17" i="10"/>
  <c r="P16" i="10"/>
  <c r="O17" i="14"/>
  <c r="P16" i="14"/>
  <c r="F87" i="14"/>
  <c r="G87" i="14" s="1"/>
  <c r="S16" i="14" s="1"/>
  <c r="AE28" i="14"/>
  <c r="F86" i="9"/>
  <c r="G86" i="9" s="1"/>
  <c r="S16" i="9" s="1"/>
  <c r="Q16" i="9" s="1"/>
  <c r="L16" i="9" s="1"/>
  <c r="AE26" i="9"/>
  <c r="O17" i="9"/>
  <c r="P16" i="9"/>
  <c r="Q16" i="5"/>
  <c r="L16" i="5" s="1"/>
  <c r="I15" i="3"/>
  <c r="H15" i="3" s="1"/>
  <c r="J15" i="3"/>
  <c r="T15" i="3"/>
  <c r="AE25" i="6"/>
  <c r="N15" i="6"/>
  <c r="J12" i="13"/>
  <c r="F82" i="19"/>
  <c r="G82" i="19" s="1"/>
  <c r="S12" i="19" s="1"/>
  <c r="M81" i="19"/>
  <c r="AE18" i="19"/>
  <c r="O12" i="19"/>
  <c r="Q12" i="18"/>
  <c r="L12" i="18" s="1"/>
  <c r="F81" i="23"/>
  <c r="G81" i="23" s="1"/>
  <c r="S10" i="23" s="1"/>
  <c r="M81" i="23"/>
  <c r="AE16" i="23"/>
  <c r="O10" i="23"/>
  <c r="AE32" i="7"/>
  <c r="F89" i="7"/>
  <c r="G89" i="7" s="1"/>
  <c r="S19" i="7" s="1"/>
  <c r="P20" i="7"/>
  <c r="O19" i="7"/>
  <c r="N19" i="7" s="1"/>
  <c r="M89" i="7"/>
  <c r="K14" i="6"/>
  <c r="AE28" i="16"/>
  <c r="P17" i="16"/>
  <c r="O16" i="16"/>
  <c r="N16" i="16" s="1"/>
  <c r="M87" i="16"/>
  <c r="F87" i="16"/>
  <c r="G87" i="16" s="1"/>
  <c r="S16" i="16" s="1"/>
  <c r="F87" i="2"/>
  <c r="G87" i="2" s="1"/>
  <c r="S18" i="2" s="1"/>
  <c r="Q18" i="2" s="1"/>
  <c r="L18" i="2" s="1"/>
  <c r="P18" i="2"/>
  <c r="AE28" i="2"/>
  <c r="O19" i="2"/>
  <c r="M11" i="21"/>
  <c r="K11" i="21"/>
  <c r="N15" i="14"/>
  <c r="AE27" i="14"/>
  <c r="F89" i="1"/>
  <c r="G89" i="1" s="1"/>
  <c r="S20" i="1" s="1"/>
  <c r="Q20" i="1" s="1"/>
  <c r="L20" i="1" s="1"/>
  <c r="O21" i="1"/>
  <c r="P20" i="1"/>
  <c r="AE32" i="1"/>
  <c r="Q15" i="16"/>
  <c r="J16" i="7"/>
  <c r="T16" i="7"/>
  <c r="AE28" i="11"/>
  <c r="O17" i="11"/>
  <c r="N17" i="11" s="1"/>
  <c r="F87" i="11"/>
  <c r="G87" i="11" s="1"/>
  <c r="S17" i="11" s="1"/>
  <c r="Q17" i="11" s="1"/>
  <c r="L17" i="11" s="1"/>
  <c r="M86" i="11"/>
  <c r="P18" i="11"/>
  <c r="J15" i="4"/>
  <c r="I15" i="4" s="1"/>
  <c r="H15" i="4" s="1"/>
  <c r="O17" i="6"/>
  <c r="P16" i="6"/>
  <c r="F86" i="6"/>
  <c r="G86" i="6" s="1"/>
  <c r="S16" i="6" s="1"/>
  <c r="AE26" i="6"/>
  <c r="F86" i="13"/>
  <c r="G86" i="13" s="1"/>
  <c r="S15" i="13" s="1"/>
  <c r="O16" i="13"/>
  <c r="P15" i="13"/>
  <c r="AE26" i="13"/>
  <c r="J13" i="14"/>
  <c r="K14" i="14"/>
  <c r="T18" i="1"/>
  <c r="J18" i="1"/>
  <c r="I18" i="1" s="1"/>
  <c r="H18" i="1" s="1"/>
  <c r="M14" i="8"/>
  <c r="K14" i="8"/>
  <c r="P18" i="4"/>
  <c r="F86" i="4"/>
  <c r="G86" i="4" s="1"/>
  <c r="S17" i="4" s="1"/>
  <c r="Q17" i="4" s="1"/>
  <c r="L17" i="4" s="1"/>
  <c r="M86" i="4"/>
  <c r="Q96" i="4"/>
  <c r="O17" i="4"/>
  <c r="N17" i="4" s="1"/>
  <c r="Q15" i="14"/>
  <c r="R17" i="7"/>
  <c r="K17" i="7"/>
  <c r="M17" i="7"/>
  <c r="N19" i="1"/>
  <c r="K19" i="1" s="1"/>
  <c r="AE31" i="1"/>
  <c r="M9" i="24"/>
  <c r="K9" i="24"/>
  <c r="Q14" i="13"/>
  <c r="L14" i="13" s="1"/>
  <c r="J15" i="14"/>
  <c r="AE26" i="8"/>
  <c r="M86" i="8"/>
  <c r="P17" i="8"/>
  <c r="O16" i="8"/>
  <c r="N16" i="8" s="1"/>
  <c r="F86" i="8"/>
  <c r="G86" i="8" s="1"/>
  <c r="S16" i="8" s="1"/>
  <c r="J15" i="9" l="1"/>
  <c r="I15" i="9"/>
  <c r="H15" i="9" s="1"/>
  <c r="J15" i="10"/>
  <c r="I15" i="10"/>
  <c r="H15" i="10" s="1"/>
  <c r="T19" i="1"/>
  <c r="J19" i="1"/>
  <c r="I19" i="1" s="1"/>
  <c r="H19" i="1" s="1"/>
  <c r="AE33" i="1"/>
  <c r="N20" i="1"/>
  <c r="K20" i="1" s="1"/>
  <c r="J15" i="15"/>
  <c r="R18" i="7"/>
  <c r="M18" i="7"/>
  <c r="K18" i="7"/>
  <c r="O17" i="13"/>
  <c r="F87" i="13"/>
  <c r="G87" i="13" s="1"/>
  <c r="S16" i="13" s="1"/>
  <c r="P16" i="13"/>
  <c r="AE28" i="13"/>
  <c r="F90" i="1"/>
  <c r="G90" i="1" s="1"/>
  <c r="S21" i="1" s="1"/>
  <c r="Q21" i="1" s="1"/>
  <c r="L21" i="1" s="1"/>
  <c r="O22" i="1"/>
  <c r="P21" i="1"/>
  <c r="AE34" i="1"/>
  <c r="J14" i="6"/>
  <c r="Q12" i="19"/>
  <c r="L12" i="19" s="1"/>
  <c r="R16" i="5"/>
  <c r="K16" i="5"/>
  <c r="Q16" i="14"/>
  <c r="L16" i="14" s="1"/>
  <c r="T15" i="5"/>
  <c r="J15" i="5"/>
  <c r="J17" i="2"/>
  <c r="I17" i="2" s="1"/>
  <c r="H17" i="2" s="1"/>
  <c r="N11" i="20"/>
  <c r="K11" i="20" s="1"/>
  <c r="P12" i="20"/>
  <c r="Q16" i="8"/>
  <c r="T17" i="7"/>
  <c r="J17" i="7"/>
  <c r="M17" i="4"/>
  <c r="K17" i="4"/>
  <c r="R17" i="4"/>
  <c r="J14" i="14"/>
  <c r="Q15" i="13"/>
  <c r="L15" i="13" s="1"/>
  <c r="M20" i="1"/>
  <c r="R20" i="1"/>
  <c r="N18" i="2"/>
  <c r="AE29" i="2"/>
  <c r="AE29" i="14"/>
  <c r="N16" i="14"/>
  <c r="N12" i="21"/>
  <c r="P13" i="21"/>
  <c r="K15" i="8"/>
  <c r="M15" i="8"/>
  <c r="M82" i="18"/>
  <c r="Q88" i="18"/>
  <c r="F82" i="18"/>
  <c r="G82" i="18" s="1"/>
  <c r="S13" i="18" s="1"/>
  <c r="O13" i="18"/>
  <c r="M87" i="12"/>
  <c r="F87" i="12"/>
  <c r="G87" i="12" s="1"/>
  <c r="S17" i="12" s="1"/>
  <c r="Q17" i="12" s="1"/>
  <c r="L17" i="12" s="1"/>
  <c r="P18" i="12"/>
  <c r="Q98" i="12"/>
  <c r="O17" i="12"/>
  <c r="N17" i="12" s="1"/>
  <c r="K17" i="3"/>
  <c r="M17" i="3"/>
  <c r="R17" i="3"/>
  <c r="Q15" i="15"/>
  <c r="Q17" i="5"/>
  <c r="L17" i="5" s="1"/>
  <c r="I11" i="17"/>
  <c r="H11" i="17" s="1"/>
  <c r="J11" i="17"/>
  <c r="AE27" i="13"/>
  <c r="N15" i="13"/>
  <c r="M18" i="2"/>
  <c r="K18" i="2"/>
  <c r="O18" i="14"/>
  <c r="P17" i="14"/>
  <c r="F88" i="14"/>
  <c r="G88" i="14" s="1"/>
  <c r="S17" i="14" s="1"/>
  <c r="AE30" i="14"/>
  <c r="J16" i="8"/>
  <c r="K15" i="6"/>
  <c r="M16" i="12"/>
  <c r="K16" i="12"/>
  <c r="R16" i="12"/>
  <c r="J14" i="16"/>
  <c r="J9" i="23"/>
  <c r="T15" i="12"/>
  <c r="J15" i="12"/>
  <c r="I15" i="12"/>
  <c r="H15" i="12" s="1"/>
  <c r="N10" i="24"/>
  <c r="P11" i="24"/>
  <c r="Q16" i="16"/>
  <c r="L16" i="16" s="1"/>
  <c r="N16" i="10"/>
  <c r="AE27" i="10"/>
  <c r="J16" i="4"/>
  <c r="I16" i="4" s="1"/>
  <c r="H16" i="4" s="1"/>
  <c r="T16" i="4"/>
  <c r="K12" i="17"/>
  <c r="M12" i="17"/>
  <c r="T16" i="11"/>
  <c r="I16" i="11"/>
  <c r="H16" i="11" s="1"/>
  <c r="J16" i="11"/>
  <c r="Q10" i="23"/>
  <c r="L10" i="23" s="1"/>
  <c r="J9" i="24"/>
  <c r="J14" i="8"/>
  <c r="F88" i="11"/>
  <c r="G88" i="11" s="1"/>
  <c r="S18" i="11" s="1"/>
  <c r="Q18" i="11" s="1"/>
  <c r="L18" i="11" s="1"/>
  <c r="M87" i="11"/>
  <c r="O18" i="11"/>
  <c r="N18" i="11" s="1"/>
  <c r="AE30" i="11"/>
  <c r="P19" i="11"/>
  <c r="T16" i="3"/>
  <c r="J16" i="3"/>
  <c r="I16" i="3"/>
  <c r="H16" i="3" s="1"/>
  <c r="J16" i="6"/>
  <c r="J11" i="21"/>
  <c r="F90" i="7"/>
  <c r="G90" i="7" s="1"/>
  <c r="S20" i="7" s="1"/>
  <c r="AE34" i="7"/>
  <c r="P21" i="7"/>
  <c r="M90" i="7"/>
  <c r="O20" i="7"/>
  <c r="N20" i="7" s="1"/>
  <c r="M12" i="18"/>
  <c r="K12" i="18"/>
  <c r="P17" i="9"/>
  <c r="O18" i="9"/>
  <c r="AE28" i="9"/>
  <c r="F87" i="9"/>
  <c r="G87" i="9" s="1"/>
  <c r="S17" i="9" s="1"/>
  <c r="Q17" i="9" s="1"/>
  <c r="L17" i="9" s="1"/>
  <c r="F87" i="10"/>
  <c r="G87" i="10" s="1"/>
  <c r="S17" i="10" s="1"/>
  <c r="Q17" i="10" s="1"/>
  <c r="L17" i="10" s="1"/>
  <c r="P17" i="10"/>
  <c r="O18" i="10"/>
  <c r="AE28" i="10"/>
  <c r="Q12" i="21"/>
  <c r="L12" i="21" s="1"/>
  <c r="S13" i="21"/>
  <c r="I10" i="20"/>
  <c r="H10" i="20" s="1"/>
  <c r="J10" i="20"/>
  <c r="Q11" i="22"/>
  <c r="L11" i="22" s="1"/>
  <c r="F88" i="2"/>
  <c r="G88" i="2" s="1"/>
  <c r="S19" i="2" s="1"/>
  <c r="Q19" i="2" s="1"/>
  <c r="L19" i="2" s="1"/>
  <c r="AE30" i="2"/>
  <c r="O20" i="2"/>
  <c r="P19" i="2"/>
  <c r="O19" i="5"/>
  <c r="P18" i="5"/>
  <c r="AE30" i="5"/>
  <c r="F88" i="5"/>
  <c r="G88" i="5" s="1"/>
  <c r="S18" i="5" s="1"/>
  <c r="R14" i="13"/>
  <c r="K14" i="13"/>
  <c r="P18" i="8"/>
  <c r="O17" i="8"/>
  <c r="N17" i="8" s="1"/>
  <c r="AE28" i="8"/>
  <c r="M87" i="8"/>
  <c r="F87" i="8"/>
  <c r="G87" i="8" s="1"/>
  <c r="S17" i="8" s="1"/>
  <c r="Q16" i="6"/>
  <c r="K17" i="11"/>
  <c r="M17" i="11"/>
  <c r="R17" i="11"/>
  <c r="Q19" i="7"/>
  <c r="L19" i="7" s="1"/>
  <c r="N12" i="19"/>
  <c r="P13" i="19"/>
  <c r="K16" i="10"/>
  <c r="M16" i="10"/>
  <c r="O16" i="15"/>
  <c r="N16" i="15" s="1"/>
  <c r="F87" i="15"/>
  <c r="G87" i="15" s="1"/>
  <c r="S16" i="15" s="1"/>
  <c r="AE28" i="15"/>
  <c r="P17" i="15"/>
  <c r="M87" i="15"/>
  <c r="J13" i="15"/>
  <c r="N11" i="22"/>
  <c r="P12" i="22"/>
  <c r="N12" i="17"/>
  <c r="P13" i="17"/>
  <c r="AE28" i="6"/>
  <c r="P17" i="6"/>
  <c r="F87" i="6"/>
  <c r="G87" i="6" s="1"/>
  <c r="S17" i="6" s="1"/>
  <c r="O18" i="6"/>
  <c r="P11" i="23"/>
  <c r="N10" i="23"/>
  <c r="O18" i="4"/>
  <c r="N18" i="4" s="1"/>
  <c r="F87" i="4"/>
  <c r="G87" i="4" s="1"/>
  <c r="S18" i="4" s="1"/>
  <c r="Q18" i="4" s="1"/>
  <c r="L18" i="4" s="1"/>
  <c r="M87" i="4"/>
  <c r="P19" i="4"/>
  <c r="Q98" i="4"/>
  <c r="AE27" i="9"/>
  <c r="N16" i="9"/>
  <c r="N16" i="6"/>
  <c r="AE27" i="6"/>
  <c r="M88" i="16"/>
  <c r="O17" i="16"/>
  <c r="N17" i="16" s="1"/>
  <c r="AE30" i="16"/>
  <c r="P18" i="16"/>
  <c r="F88" i="16"/>
  <c r="G88" i="16" s="1"/>
  <c r="S17" i="16" s="1"/>
  <c r="K16" i="9"/>
  <c r="M16" i="9"/>
  <c r="J11" i="19"/>
  <c r="I11" i="19"/>
  <c r="H11" i="19" s="1"/>
  <c r="M11" i="20"/>
  <c r="Q10" i="24"/>
  <c r="L10" i="24" s="1"/>
  <c r="M14" i="15"/>
  <c r="K14" i="15"/>
  <c r="F87" i="3"/>
  <c r="G87" i="3" s="1"/>
  <c r="S18" i="3" s="1"/>
  <c r="Q18" i="3" s="1"/>
  <c r="L18" i="3" s="1"/>
  <c r="O18" i="3"/>
  <c r="N18" i="3" s="1"/>
  <c r="P19" i="3"/>
  <c r="AE28" i="3"/>
  <c r="M87" i="3"/>
  <c r="AE29" i="5"/>
  <c r="N17" i="5"/>
  <c r="J10" i="22"/>
  <c r="J11" i="20" l="1"/>
  <c r="I11" i="20" s="1"/>
  <c r="H11" i="20" s="1"/>
  <c r="T20" i="1"/>
  <c r="J20" i="1"/>
  <c r="I20" i="1" s="1"/>
  <c r="H20" i="1" s="1"/>
  <c r="AE20" i="21"/>
  <c r="M83" i="21"/>
  <c r="F83" i="21"/>
  <c r="G83" i="21" s="1"/>
  <c r="O13" i="21"/>
  <c r="O20" i="5"/>
  <c r="P19" i="5"/>
  <c r="F89" i="5"/>
  <c r="G89" i="5" s="1"/>
  <c r="S19" i="5" s="1"/>
  <c r="AE32" i="5"/>
  <c r="P18" i="6"/>
  <c r="F88" i="6"/>
  <c r="G88" i="6" s="1"/>
  <c r="S18" i="6" s="1"/>
  <c r="AE30" i="6"/>
  <c r="O19" i="6"/>
  <c r="AE31" i="5"/>
  <c r="N18" i="5"/>
  <c r="T18" i="7"/>
  <c r="J18" i="7"/>
  <c r="J16" i="10"/>
  <c r="I16" i="10" s="1"/>
  <c r="H16" i="10" s="1"/>
  <c r="K18" i="11"/>
  <c r="R18" i="11"/>
  <c r="M18" i="11"/>
  <c r="R16" i="16"/>
  <c r="K16" i="16"/>
  <c r="M16" i="16"/>
  <c r="J18" i="2"/>
  <c r="I18" i="2"/>
  <c r="H18" i="2" s="1"/>
  <c r="R15" i="13"/>
  <c r="K15" i="13"/>
  <c r="AE35" i="1"/>
  <c r="N21" i="1"/>
  <c r="O19" i="4"/>
  <c r="N19" i="4" s="1"/>
  <c r="F88" i="4"/>
  <c r="G88" i="4" s="1"/>
  <c r="S19" i="4" s="1"/>
  <c r="Q19" i="4" s="1"/>
  <c r="L19" i="4" s="1"/>
  <c r="P20" i="4"/>
  <c r="Q100" i="4"/>
  <c r="M88" i="4"/>
  <c r="AE29" i="6"/>
  <c r="N17" i="6"/>
  <c r="F83" i="19"/>
  <c r="G83" i="19" s="1"/>
  <c r="S13" i="19" s="1"/>
  <c r="AE20" i="19"/>
  <c r="M82" i="19"/>
  <c r="O13" i="19"/>
  <c r="T17" i="11"/>
  <c r="J17" i="11"/>
  <c r="I17" i="11"/>
  <c r="H17" i="11" s="1"/>
  <c r="AE31" i="2"/>
  <c r="N19" i="2"/>
  <c r="M11" i="22"/>
  <c r="K11" i="22"/>
  <c r="P22" i="7"/>
  <c r="AE36" i="7"/>
  <c r="F91" i="7"/>
  <c r="G91" i="7" s="1"/>
  <c r="S21" i="7" s="1"/>
  <c r="O21" i="7"/>
  <c r="N21" i="7" s="1"/>
  <c r="M91" i="7"/>
  <c r="R17" i="5"/>
  <c r="K17" i="5"/>
  <c r="J17" i="3"/>
  <c r="I17" i="3" s="1"/>
  <c r="H17" i="3" s="1"/>
  <c r="T17" i="3"/>
  <c r="Q13" i="18"/>
  <c r="L13" i="18" s="1"/>
  <c r="T16" i="5"/>
  <c r="J16" i="5"/>
  <c r="O23" i="1"/>
  <c r="P22" i="1"/>
  <c r="F91" i="1"/>
  <c r="G91" i="1" s="1"/>
  <c r="S22" i="1" s="1"/>
  <c r="Q22" i="1" s="1"/>
  <c r="L22" i="1" s="1"/>
  <c r="AE36" i="1"/>
  <c r="L14" i="21"/>
  <c r="M14" i="21"/>
  <c r="K14" i="21"/>
  <c r="Q13" i="21"/>
  <c r="L13" i="21" s="1"/>
  <c r="J15" i="6"/>
  <c r="Q17" i="6"/>
  <c r="L17" i="6" s="1"/>
  <c r="M12" i="21"/>
  <c r="K12" i="21"/>
  <c r="I12" i="17"/>
  <c r="H12" i="17" s="1"/>
  <c r="J12" i="17"/>
  <c r="P14" i="18"/>
  <c r="N13" i="18"/>
  <c r="R16" i="14"/>
  <c r="K16" i="14"/>
  <c r="F88" i="3"/>
  <c r="G88" i="3" s="1"/>
  <c r="S19" i="3" s="1"/>
  <c r="Q19" i="3" s="1"/>
  <c r="L19" i="3" s="1"/>
  <c r="AE30" i="3"/>
  <c r="O19" i="3"/>
  <c r="N19" i="3" s="1"/>
  <c r="M88" i="3"/>
  <c r="P20" i="3"/>
  <c r="F88" i="15"/>
  <c r="G88" i="15" s="1"/>
  <c r="S17" i="15" s="1"/>
  <c r="AE30" i="15"/>
  <c r="M88" i="15"/>
  <c r="O17" i="15"/>
  <c r="N17" i="15" s="1"/>
  <c r="P18" i="15"/>
  <c r="M88" i="8"/>
  <c r="AE30" i="8"/>
  <c r="F88" i="8"/>
  <c r="G88" i="8" s="1"/>
  <c r="S18" i="8" s="1"/>
  <c r="O18" i="8"/>
  <c r="N18" i="8" s="1"/>
  <c r="P19" i="8"/>
  <c r="O21" i="2"/>
  <c r="P20" i="2"/>
  <c r="AE32" i="2"/>
  <c r="F89" i="2"/>
  <c r="G89" i="2" s="1"/>
  <c r="S20" i="2" s="1"/>
  <c r="Q20" i="2" s="1"/>
  <c r="L20" i="2" s="1"/>
  <c r="F88" i="9"/>
  <c r="G88" i="9" s="1"/>
  <c r="S18" i="9" s="1"/>
  <c r="Q18" i="9" s="1"/>
  <c r="L18" i="9" s="1"/>
  <c r="O19" i="9"/>
  <c r="P18" i="9"/>
  <c r="AE30" i="9"/>
  <c r="M10" i="23"/>
  <c r="K10" i="23"/>
  <c r="M82" i="24"/>
  <c r="AE18" i="24"/>
  <c r="F82" i="24"/>
  <c r="G82" i="24" s="1"/>
  <c r="S11" i="24" s="1"/>
  <c r="O11" i="24"/>
  <c r="K21" i="1"/>
  <c r="R21" i="1"/>
  <c r="M21" i="1"/>
  <c r="M17" i="10"/>
  <c r="AE18" i="17"/>
  <c r="F82" i="17"/>
  <c r="G82" i="17" s="1"/>
  <c r="S13" i="17" s="1"/>
  <c r="O13" i="17"/>
  <c r="M82" i="17"/>
  <c r="T14" i="13"/>
  <c r="J14" i="13"/>
  <c r="N17" i="9"/>
  <c r="AE29" i="9"/>
  <c r="Q20" i="7"/>
  <c r="L20" i="7" s="1"/>
  <c r="M12" i="19"/>
  <c r="K12" i="19"/>
  <c r="F89" i="16"/>
  <c r="G89" i="16" s="1"/>
  <c r="S18" i="16" s="1"/>
  <c r="AE32" i="16"/>
  <c r="O18" i="16"/>
  <c r="N18" i="16" s="1"/>
  <c r="M89" i="16"/>
  <c r="P19" i="16"/>
  <c r="K17" i="9"/>
  <c r="M17" i="9"/>
  <c r="M18" i="3"/>
  <c r="R18" i="3"/>
  <c r="K18" i="3"/>
  <c r="Q16" i="15"/>
  <c r="L16" i="15" s="1"/>
  <c r="J12" i="18"/>
  <c r="I12" i="18" s="1"/>
  <c r="H12" i="18" s="1"/>
  <c r="M88" i="12"/>
  <c r="P19" i="12"/>
  <c r="F88" i="12"/>
  <c r="G88" i="12" s="1"/>
  <c r="S18" i="12" s="1"/>
  <c r="Q18" i="12" s="1"/>
  <c r="L18" i="12" s="1"/>
  <c r="Q100" i="12"/>
  <c r="O18" i="12"/>
  <c r="N18" i="12" s="1"/>
  <c r="AE29" i="13"/>
  <c r="N16" i="13"/>
  <c r="Q17" i="16"/>
  <c r="L17" i="16" s="1"/>
  <c r="K10" i="24"/>
  <c r="M10" i="24"/>
  <c r="J14" i="15"/>
  <c r="Q18" i="5"/>
  <c r="L18" i="5" s="1"/>
  <c r="AE30" i="10"/>
  <c r="P18" i="10"/>
  <c r="F88" i="10"/>
  <c r="G88" i="10" s="1"/>
  <c r="S18" i="10" s="1"/>
  <c r="Q18" i="10" s="1"/>
  <c r="L18" i="10" s="1"/>
  <c r="O19" i="10"/>
  <c r="J16" i="12"/>
  <c r="I16" i="12" s="1"/>
  <c r="H16" i="12" s="1"/>
  <c r="T16" i="12"/>
  <c r="AE31" i="14"/>
  <c r="N17" i="14"/>
  <c r="K17" i="12"/>
  <c r="R17" i="12"/>
  <c r="M17" i="12"/>
  <c r="J15" i="8"/>
  <c r="Q16" i="13"/>
  <c r="L16" i="13" s="1"/>
  <c r="M18" i="4"/>
  <c r="K18" i="4"/>
  <c r="R18" i="4"/>
  <c r="R19" i="7"/>
  <c r="M19" i="7"/>
  <c r="K19" i="7"/>
  <c r="M19" i="2"/>
  <c r="K19" i="2"/>
  <c r="R19" i="2"/>
  <c r="P20" i="11"/>
  <c r="M88" i="11"/>
  <c r="AE32" i="11"/>
  <c r="O19" i="11"/>
  <c r="N19" i="11" s="1"/>
  <c r="F89" i="11"/>
  <c r="G89" i="11" s="1"/>
  <c r="S19" i="11" s="1"/>
  <c r="Q19" i="11" s="1"/>
  <c r="L19" i="11" s="1"/>
  <c r="Q17" i="14"/>
  <c r="L17" i="14" s="1"/>
  <c r="F82" i="22"/>
  <c r="G82" i="22" s="1"/>
  <c r="S12" i="22" s="1"/>
  <c r="M82" i="22"/>
  <c r="AE18" i="22"/>
  <c r="O12" i="22"/>
  <c r="J16" i="9"/>
  <c r="I16" i="9" s="1"/>
  <c r="H16" i="9" s="1"/>
  <c r="M82" i="23"/>
  <c r="AE18" i="23"/>
  <c r="F82" i="23"/>
  <c r="G82" i="23" s="1"/>
  <c r="S11" i="23" s="1"/>
  <c r="O11" i="23"/>
  <c r="Q17" i="8"/>
  <c r="L17" i="8" s="1"/>
  <c r="N17" i="10"/>
  <c r="K17" i="10" s="1"/>
  <c r="AE29" i="10"/>
  <c r="P18" i="14"/>
  <c r="F89" i="14"/>
  <c r="G89" i="14" s="1"/>
  <c r="S18" i="14" s="1"/>
  <c r="AE32" i="14"/>
  <c r="O19" i="14"/>
  <c r="J17" i="4"/>
  <c r="I17" i="4" s="1"/>
  <c r="H17" i="4" s="1"/>
  <c r="T17" i="4"/>
  <c r="Q88" i="20"/>
  <c r="F82" i="20"/>
  <c r="G82" i="20" s="1"/>
  <c r="S12" i="20" s="1"/>
  <c r="O12" i="20"/>
  <c r="M82" i="20"/>
  <c r="F88" i="13"/>
  <c r="G88" i="13" s="1"/>
  <c r="S17" i="13" s="1"/>
  <c r="AE30" i="13"/>
  <c r="P17" i="13"/>
  <c r="O18" i="13"/>
  <c r="J17" i="10" l="1"/>
  <c r="I17" i="10"/>
  <c r="H17" i="10" s="1"/>
  <c r="N17" i="13"/>
  <c r="AE31" i="13"/>
  <c r="K19" i="3"/>
  <c r="R19" i="3"/>
  <c r="M19" i="3"/>
  <c r="R17" i="16"/>
  <c r="M17" i="16"/>
  <c r="K17" i="16"/>
  <c r="Q18" i="6"/>
  <c r="L18" i="6" s="1"/>
  <c r="J16" i="14"/>
  <c r="T16" i="14"/>
  <c r="M13" i="21"/>
  <c r="AE31" i="6"/>
  <c r="N18" i="6"/>
  <c r="Q17" i="13"/>
  <c r="L17" i="13" s="1"/>
  <c r="F90" i="14"/>
  <c r="G90" i="14" s="1"/>
  <c r="S19" i="14" s="1"/>
  <c r="O20" i="14"/>
  <c r="P19" i="14"/>
  <c r="AE34" i="14"/>
  <c r="M19" i="11"/>
  <c r="K19" i="11"/>
  <c r="R19" i="11"/>
  <c r="J19" i="7"/>
  <c r="T19" i="7"/>
  <c r="M89" i="12"/>
  <c r="O19" i="12"/>
  <c r="N19" i="12" s="1"/>
  <c r="Q102" i="12"/>
  <c r="F89" i="12"/>
  <c r="G89" i="12" s="1"/>
  <c r="S19" i="12" s="1"/>
  <c r="Q19" i="12" s="1"/>
  <c r="L19" i="12" s="1"/>
  <c r="P20" i="12"/>
  <c r="R20" i="7"/>
  <c r="M20" i="7"/>
  <c r="K20" i="7"/>
  <c r="P14" i="17"/>
  <c r="N13" i="17"/>
  <c r="T21" i="1"/>
  <c r="J21" i="1"/>
  <c r="I21" i="1"/>
  <c r="H21" i="1" s="1"/>
  <c r="O19" i="8"/>
  <c r="N19" i="8" s="1"/>
  <c r="AE32" i="8"/>
  <c r="P20" i="8"/>
  <c r="M89" i="8"/>
  <c r="F89" i="8"/>
  <c r="G89" i="8" s="1"/>
  <c r="S19" i="8" s="1"/>
  <c r="J14" i="21"/>
  <c r="Q13" i="19"/>
  <c r="L13" i="19" s="1"/>
  <c r="T16" i="16"/>
  <c r="J16" i="16"/>
  <c r="R16" i="13"/>
  <c r="K16" i="13"/>
  <c r="AE33" i="2"/>
  <c r="N20" i="2"/>
  <c r="R19" i="4"/>
  <c r="M19" i="4"/>
  <c r="K19" i="4"/>
  <c r="O22" i="2"/>
  <c r="P21" i="2"/>
  <c r="F90" i="2"/>
  <c r="G90" i="2" s="1"/>
  <c r="S21" i="2" s="1"/>
  <c r="Q21" i="2" s="1"/>
  <c r="L21" i="2" s="1"/>
  <c r="AE34" i="2"/>
  <c r="I18" i="3"/>
  <c r="H18" i="3" s="1"/>
  <c r="T18" i="3"/>
  <c r="J18" i="3"/>
  <c r="P12" i="24"/>
  <c r="N11" i="24"/>
  <c r="N18" i="9"/>
  <c r="AE31" i="9"/>
  <c r="Q17" i="15"/>
  <c r="L17" i="15" s="1"/>
  <c r="Q19" i="5"/>
  <c r="L19" i="5" s="1"/>
  <c r="T19" i="2"/>
  <c r="J19" i="2"/>
  <c r="I19" i="2"/>
  <c r="H19" i="2" s="1"/>
  <c r="J17" i="9"/>
  <c r="I17" i="9"/>
  <c r="H17" i="9" s="1"/>
  <c r="T17" i="5"/>
  <c r="J17" i="5"/>
  <c r="M18" i="12"/>
  <c r="R18" i="12"/>
  <c r="K18" i="12"/>
  <c r="N12" i="22"/>
  <c r="P13" i="22"/>
  <c r="R18" i="5"/>
  <c r="K18" i="5"/>
  <c r="Q13" i="17"/>
  <c r="L13" i="17" s="1"/>
  <c r="P13" i="20"/>
  <c r="N12" i="20"/>
  <c r="Q18" i="14"/>
  <c r="L18" i="14" s="1"/>
  <c r="N11" i="23"/>
  <c r="P12" i="23"/>
  <c r="Q11" i="24"/>
  <c r="L11" i="24" s="1"/>
  <c r="AE32" i="9"/>
  <c r="F89" i="9"/>
  <c r="G89" i="9" s="1"/>
  <c r="S19" i="9" s="1"/>
  <c r="Q19" i="9" s="1"/>
  <c r="L19" i="9" s="1"/>
  <c r="P19" i="9"/>
  <c r="O20" i="9"/>
  <c r="Q18" i="8"/>
  <c r="L18" i="8" s="1"/>
  <c r="P21" i="3"/>
  <c r="F89" i="3"/>
  <c r="G89" i="3" s="1"/>
  <c r="S20" i="3" s="1"/>
  <c r="Q20" i="3" s="1"/>
  <c r="L20" i="3" s="1"/>
  <c r="M89" i="3"/>
  <c r="O20" i="3"/>
  <c r="N20" i="3" s="1"/>
  <c r="AE32" i="3"/>
  <c r="O14" i="18"/>
  <c r="M83" i="18"/>
  <c r="Q90" i="18"/>
  <c r="F83" i="18"/>
  <c r="G83" i="18" s="1"/>
  <c r="S14" i="18" s="1"/>
  <c r="R17" i="6"/>
  <c r="K17" i="6"/>
  <c r="M13" i="18"/>
  <c r="K13" i="18"/>
  <c r="Q21" i="7"/>
  <c r="L21" i="7" s="1"/>
  <c r="T15" i="13"/>
  <c r="J15" i="13"/>
  <c r="AE33" i="5"/>
  <c r="N19" i="5"/>
  <c r="F89" i="10"/>
  <c r="G89" i="10" s="1"/>
  <c r="S19" i="10" s="1"/>
  <c r="Q19" i="10" s="1"/>
  <c r="L19" i="10" s="1"/>
  <c r="O20" i="10"/>
  <c r="P19" i="10"/>
  <c r="AE32" i="10"/>
  <c r="Q18" i="16"/>
  <c r="L18" i="16" s="1"/>
  <c r="M18" i="9"/>
  <c r="K18" i="9"/>
  <c r="R18" i="9"/>
  <c r="O21" i="5"/>
  <c r="P20" i="5"/>
  <c r="F90" i="5"/>
  <c r="G90" i="5" s="1"/>
  <c r="S20" i="5" s="1"/>
  <c r="AE34" i="5"/>
  <c r="R17" i="8"/>
  <c r="K17" i="8"/>
  <c r="M17" i="8"/>
  <c r="J12" i="21"/>
  <c r="AE38" i="1"/>
  <c r="O24" i="1"/>
  <c r="P23" i="1"/>
  <c r="F92" i="1"/>
  <c r="G92" i="1" s="1"/>
  <c r="S23" i="1" s="1"/>
  <c r="Q23" i="1" s="1"/>
  <c r="L23" i="1" s="1"/>
  <c r="Q12" i="20"/>
  <c r="L12" i="20" s="1"/>
  <c r="AE33" i="14"/>
  <c r="N18" i="14"/>
  <c r="AE34" i="11"/>
  <c r="O20" i="11"/>
  <c r="N20" i="11" s="1"/>
  <c r="M89" i="11"/>
  <c r="F90" i="11"/>
  <c r="G90" i="11" s="1"/>
  <c r="S20" i="11" s="1"/>
  <c r="Q20" i="11" s="1"/>
  <c r="L20" i="11" s="1"/>
  <c r="P21" i="11"/>
  <c r="J18" i="4"/>
  <c r="I18" i="4" s="1"/>
  <c r="H18" i="4" s="1"/>
  <c r="T18" i="4"/>
  <c r="K18" i="10"/>
  <c r="R18" i="10"/>
  <c r="M18" i="10"/>
  <c r="K20" i="2"/>
  <c r="R20" i="2"/>
  <c r="M20" i="2"/>
  <c r="R22" i="1"/>
  <c r="M22" i="1"/>
  <c r="F92" i="7"/>
  <c r="G92" i="7" s="1"/>
  <c r="S22" i="7" s="1"/>
  <c r="O22" i="7"/>
  <c r="N22" i="7" s="1"/>
  <c r="M92" i="7"/>
  <c r="AE38" i="7"/>
  <c r="P23" i="7"/>
  <c r="T18" i="11"/>
  <c r="J18" i="11"/>
  <c r="I18" i="11"/>
  <c r="H18" i="11" s="1"/>
  <c r="O20" i="6"/>
  <c r="F89" i="6"/>
  <c r="G89" i="6" s="1"/>
  <c r="S19" i="6" s="1"/>
  <c r="AE32" i="6"/>
  <c r="P19" i="6"/>
  <c r="N13" i="21"/>
  <c r="K13" i="21" s="1"/>
  <c r="P14" i="21"/>
  <c r="R17" i="14"/>
  <c r="K17" i="14"/>
  <c r="AE34" i="16"/>
  <c r="O19" i="16"/>
  <c r="N19" i="16" s="1"/>
  <c r="M90" i="16"/>
  <c r="F90" i="16"/>
  <c r="G90" i="16" s="1"/>
  <c r="S19" i="16" s="1"/>
  <c r="P20" i="16"/>
  <c r="Q11" i="23"/>
  <c r="L11" i="23" s="1"/>
  <c r="Q12" i="22"/>
  <c r="L12" i="22" s="1"/>
  <c r="S13" i="22"/>
  <c r="O19" i="13"/>
  <c r="F89" i="13"/>
  <c r="G89" i="13" s="1"/>
  <c r="S18" i="13" s="1"/>
  <c r="AE32" i="13"/>
  <c r="P18" i="13"/>
  <c r="T17" i="12"/>
  <c r="J17" i="12"/>
  <c r="I17" i="12" s="1"/>
  <c r="H17" i="12" s="1"/>
  <c r="N18" i="10"/>
  <c r="AE31" i="10"/>
  <c r="J10" i="24"/>
  <c r="R16" i="15"/>
  <c r="M16" i="15"/>
  <c r="K16" i="15"/>
  <c r="J12" i="19"/>
  <c r="I12" i="19"/>
  <c r="H12" i="19" s="1"/>
  <c r="J10" i="23"/>
  <c r="O18" i="15"/>
  <c r="N18" i="15" s="1"/>
  <c r="AE32" i="15"/>
  <c r="F89" i="15"/>
  <c r="G89" i="15" s="1"/>
  <c r="S18" i="15" s="1"/>
  <c r="P19" i="15"/>
  <c r="M89" i="15"/>
  <c r="AE37" i="1"/>
  <c r="N22" i="1"/>
  <c r="K22" i="1" s="1"/>
  <c r="J11" i="22"/>
  <c r="N13" i="19"/>
  <c r="P14" i="19"/>
  <c r="P21" i="4"/>
  <c r="F89" i="4"/>
  <c r="G89" i="4" s="1"/>
  <c r="S20" i="4" s="1"/>
  <c r="Q20" i="4" s="1"/>
  <c r="L20" i="4" s="1"/>
  <c r="O20" i="4"/>
  <c r="N20" i="4" s="1"/>
  <c r="M89" i="4"/>
  <c r="Q102" i="4"/>
  <c r="J13" i="21" l="1"/>
  <c r="J22" i="1"/>
  <c r="I22" i="1" s="1"/>
  <c r="H22" i="1" s="1"/>
  <c r="T22" i="1"/>
  <c r="K12" i="22"/>
  <c r="M12" i="22"/>
  <c r="R21" i="7"/>
  <c r="M21" i="7"/>
  <c r="K21" i="7"/>
  <c r="F83" i="24"/>
  <c r="G83" i="24" s="1"/>
  <c r="S12" i="24" s="1"/>
  <c r="O12" i="24"/>
  <c r="M83" i="24"/>
  <c r="AE20" i="24"/>
  <c r="Q19" i="16"/>
  <c r="L19" i="16" s="1"/>
  <c r="AE33" i="6"/>
  <c r="N19" i="6"/>
  <c r="O21" i="11"/>
  <c r="N21" i="11" s="1"/>
  <c r="F91" i="11"/>
  <c r="G91" i="11" s="1"/>
  <c r="S21" i="11" s="1"/>
  <c r="Q21" i="11" s="1"/>
  <c r="L21" i="11" s="1"/>
  <c r="M90" i="11"/>
  <c r="P22" i="11"/>
  <c r="AE36" i="11"/>
  <c r="M12" i="20"/>
  <c r="R12" i="20"/>
  <c r="K12" i="20"/>
  <c r="J17" i="8"/>
  <c r="T17" i="8"/>
  <c r="R19" i="10"/>
  <c r="M19" i="10"/>
  <c r="M83" i="22"/>
  <c r="F83" i="22"/>
  <c r="G83" i="22" s="1"/>
  <c r="AE20" i="22"/>
  <c r="O13" i="22"/>
  <c r="Q14" i="18"/>
  <c r="L14" i="18" s="1"/>
  <c r="J19" i="4"/>
  <c r="I19" i="4"/>
  <c r="H19" i="4" s="1"/>
  <c r="T19" i="4"/>
  <c r="AE33" i="13"/>
  <c r="N18" i="13"/>
  <c r="T20" i="2"/>
  <c r="J20" i="2"/>
  <c r="I20" i="2"/>
  <c r="H20" i="2" s="1"/>
  <c r="K20" i="11"/>
  <c r="M20" i="11"/>
  <c r="R20" i="11"/>
  <c r="M23" i="1"/>
  <c r="R23" i="1"/>
  <c r="K11" i="24"/>
  <c r="M11" i="24"/>
  <c r="K13" i="19"/>
  <c r="M13" i="19"/>
  <c r="M90" i="12"/>
  <c r="Q104" i="12"/>
  <c r="F90" i="12"/>
  <c r="G90" i="12" s="1"/>
  <c r="S20" i="12" s="1"/>
  <c r="Q20" i="12" s="1"/>
  <c r="L20" i="12" s="1"/>
  <c r="O20" i="12"/>
  <c r="N20" i="12" s="1"/>
  <c r="P21" i="12"/>
  <c r="J19" i="11"/>
  <c r="I19" i="11" s="1"/>
  <c r="H19" i="11" s="1"/>
  <c r="T19" i="11"/>
  <c r="R18" i="6"/>
  <c r="K18" i="6"/>
  <c r="T19" i="3"/>
  <c r="I19" i="3"/>
  <c r="H19" i="3" s="1"/>
  <c r="J19" i="3"/>
  <c r="O21" i="10"/>
  <c r="P20" i="10"/>
  <c r="AE34" i="10"/>
  <c r="F90" i="10"/>
  <c r="G90" i="10" s="1"/>
  <c r="S20" i="10" s="1"/>
  <c r="Q20" i="10" s="1"/>
  <c r="L20" i="10" s="1"/>
  <c r="R17" i="13"/>
  <c r="K17" i="13"/>
  <c r="K11" i="23"/>
  <c r="M11" i="23"/>
  <c r="Q19" i="6"/>
  <c r="L19" i="6" s="1"/>
  <c r="N23" i="1"/>
  <c r="K23" i="1" s="1"/>
  <c r="AE39" i="1"/>
  <c r="J13" i="18"/>
  <c r="I13" i="18" s="1"/>
  <c r="H13" i="18" s="1"/>
  <c r="N14" i="18"/>
  <c r="P15" i="18"/>
  <c r="T18" i="12"/>
  <c r="J18" i="12"/>
  <c r="I18" i="12"/>
  <c r="H18" i="12" s="1"/>
  <c r="M19" i="12"/>
  <c r="R19" i="12"/>
  <c r="K19" i="12"/>
  <c r="F91" i="16"/>
  <c r="G91" i="16" s="1"/>
  <c r="S20" i="16" s="1"/>
  <c r="AE36" i="16"/>
  <c r="M91" i="16"/>
  <c r="P21" i="16"/>
  <c r="O20" i="16"/>
  <c r="N20" i="16" s="1"/>
  <c r="R18" i="14"/>
  <c r="K18" i="14"/>
  <c r="Q18" i="13"/>
  <c r="L18" i="13" s="1"/>
  <c r="F90" i="6"/>
  <c r="G90" i="6" s="1"/>
  <c r="S20" i="6" s="1"/>
  <c r="O21" i="6"/>
  <c r="P20" i="6"/>
  <c r="AE34" i="6"/>
  <c r="Q22" i="7"/>
  <c r="L22" i="7" s="1"/>
  <c r="O25" i="1"/>
  <c r="P24" i="1"/>
  <c r="AE40" i="1"/>
  <c r="F93" i="1"/>
  <c r="G93" i="1" s="1"/>
  <c r="S24" i="1" s="1"/>
  <c r="Q24" i="1" s="1"/>
  <c r="L24" i="1" s="1"/>
  <c r="Q20" i="5"/>
  <c r="L20" i="5" s="1"/>
  <c r="R18" i="8"/>
  <c r="M18" i="8"/>
  <c r="K18" i="8"/>
  <c r="Q90" i="20"/>
  <c r="F83" i="20"/>
  <c r="G83" i="20" s="1"/>
  <c r="S13" i="20" s="1"/>
  <c r="O13" i="20"/>
  <c r="M83" i="20"/>
  <c r="R17" i="15"/>
  <c r="K17" i="15"/>
  <c r="M17" i="15"/>
  <c r="J16" i="15"/>
  <c r="T16" i="15"/>
  <c r="I18" i="9"/>
  <c r="H18" i="9" s="1"/>
  <c r="T18" i="9"/>
  <c r="J18" i="9"/>
  <c r="T18" i="10"/>
  <c r="J18" i="10"/>
  <c r="I18" i="10"/>
  <c r="H18" i="10" s="1"/>
  <c r="N20" i="5"/>
  <c r="AE35" i="5"/>
  <c r="AE34" i="9"/>
  <c r="F90" i="9"/>
  <c r="G90" i="9" s="1"/>
  <c r="S20" i="9" s="1"/>
  <c r="Q20" i="9" s="1"/>
  <c r="L20" i="9" s="1"/>
  <c r="O21" i="9"/>
  <c r="P20" i="9"/>
  <c r="R21" i="2"/>
  <c r="M21" i="2"/>
  <c r="T16" i="13"/>
  <c r="J16" i="13"/>
  <c r="Q19" i="8"/>
  <c r="L19" i="8" s="1"/>
  <c r="AE35" i="14"/>
  <c r="N19" i="14"/>
  <c r="T17" i="16"/>
  <c r="J17" i="16"/>
  <c r="AE40" i="7"/>
  <c r="P24" i="7"/>
  <c r="O23" i="7"/>
  <c r="N23" i="7" s="1"/>
  <c r="F93" i="7"/>
  <c r="G93" i="7" s="1"/>
  <c r="S23" i="7" s="1"/>
  <c r="M93" i="7"/>
  <c r="F90" i="3"/>
  <c r="G90" i="3" s="1"/>
  <c r="S21" i="3" s="1"/>
  <c r="Q21" i="3" s="1"/>
  <c r="L21" i="3" s="1"/>
  <c r="O21" i="3"/>
  <c r="N21" i="3" s="1"/>
  <c r="AE34" i="3"/>
  <c r="P22" i="3"/>
  <c r="M90" i="3"/>
  <c r="J17" i="14"/>
  <c r="T17" i="14"/>
  <c r="R18" i="16"/>
  <c r="M18" i="16"/>
  <c r="K18" i="16"/>
  <c r="O21" i="4"/>
  <c r="N21" i="4" s="1"/>
  <c r="P22" i="4"/>
  <c r="Q104" i="4"/>
  <c r="F90" i="4"/>
  <c r="G90" i="4" s="1"/>
  <c r="S21" i="4" s="1"/>
  <c r="Q21" i="4" s="1"/>
  <c r="L21" i="4" s="1"/>
  <c r="M90" i="4"/>
  <c r="F90" i="15"/>
  <c r="G90" i="15" s="1"/>
  <c r="S19" i="15" s="1"/>
  <c r="AE34" i="15"/>
  <c r="M90" i="15"/>
  <c r="P20" i="15"/>
  <c r="O19" i="15"/>
  <c r="N19" i="15" s="1"/>
  <c r="K14" i="22"/>
  <c r="M14" i="22"/>
  <c r="L14" i="22"/>
  <c r="Q13" i="22"/>
  <c r="L13" i="22" s="1"/>
  <c r="F91" i="5"/>
  <c r="G91" i="5" s="1"/>
  <c r="S21" i="5" s="1"/>
  <c r="O22" i="5"/>
  <c r="AE36" i="5"/>
  <c r="P21" i="5"/>
  <c r="J17" i="6"/>
  <c r="T17" i="6"/>
  <c r="N19" i="9"/>
  <c r="AE33" i="9"/>
  <c r="M83" i="23"/>
  <c r="F83" i="23"/>
  <c r="G83" i="23" s="1"/>
  <c r="S12" i="23" s="1"/>
  <c r="AE20" i="23"/>
  <c r="O12" i="23"/>
  <c r="R13" i="17"/>
  <c r="M13" i="17"/>
  <c r="K13" i="17"/>
  <c r="AE35" i="2"/>
  <c r="N21" i="2"/>
  <c r="K21" i="2" s="1"/>
  <c r="F83" i="17"/>
  <c r="G83" i="17" s="1"/>
  <c r="S14" i="17" s="1"/>
  <c r="M83" i="17"/>
  <c r="AE20" i="17"/>
  <c r="O14" i="17"/>
  <c r="O21" i="14"/>
  <c r="P20" i="14"/>
  <c r="F91" i="14"/>
  <c r="G91" i="14" s="1"/>
  <c r="S20" i="14" s="1"/>
  <c r="AE36" i="14"/>
  <c r="R19" i="5"/>
  <c r="K19" i="5"/>
  <c r="M20" i="4"/>
  <c r="R20" i="4"/>
  <c r="K20" i="4"/>
  <c r="F90" i="13"/>
  <c r="G90" i="13" s="1"/>
  <c r="S19" i="13" s="1"/>
  <c r="AE34" i="13"/>
  <c r="P19" i="13"/>
  <c r="O20" i="13"/>
  <c r="AE22" i="19"/>
  <c r="M83" i="19"/>
  <c r="O14" i="19"/>
  <c r="F84" i="19"/>
  <c r="G84" i="19" s="1"/>
  <c r="S14" i="19" s="1"/>
  <c r="Q18" i="15"/>
  <c r="L18" i="15" s="1"/>
  <c r="AE22" i="21"/>
  <c r="M84" i="21"/>
  <c r="O14" i="21"/>
  <c r="F84" i="21"/>
  <c r="G84" i="21" s="1"/>
  <c r="S14" i="21" s="1"/>
  <c r="N19" i="10"/>
  <c r="K19" i="10" s="1"/>
  <c r="AE33" i="10"/>
  <c r="R20" i="3"/>
  <c r="K20" i="3"/>
  <c r="M20" i="3"/>
  <c r="K19" i="9"/>
  <c r="R19" i="9"/>
  <c r="M19" i="9"/>
  <c r="J18" i="5"/>
  <c r="T18" i="5"/>
  <c r="O23" i="2"/>
  <c r="P22" i="2"/>
  <c r="F91" i="2"/>
  <c r="G91" i="2" s="1"/>
  <c r="S22" i="2" s="1"/>
  <c r="Q22" i="2" s="1"/>
  <c r="L22" i="2" s="1"/>
  <c r="AE36" i="2"/>
  <c r="M90" i="8"/>
  <c r="AE34" i="8"/>
  <c r="P21" i="8"/>
  <c r="F90" i="8"/>
  <c r="G90" i="8" s="1"/>
  <c r="S20" i="8" s="1"/>
  <c r="O20" i="8"/>
  <c r="N20" i="8" s="1"/>
  <c r="T20" i="7"/>
  <c r="J20" i="7"/>
  <c r="Q19" i="14"/>
  <c r="L19" i="14" s="1"/>
  <c r="J19" i="10" l="1"/>
  <c r="I19" i="10"/>
  <c r="H19" i="10" s="1"/>
  <c r="T19" i="10"/>
  <c r="T23" i="1"/>
  <c r="J23" i="1"/>
  <c r="I23" i="1" s="1"/>
  <c r="H23" i="1" s="1"/>
  <c r="J21" i="2"/>
  <c r="I21" i="2"/>
  <c r="H21" i="2" s="1"/>
  <c r="T21" i="2"/>
  <c r="Q13" i="20"/>
  <c r="L13" i="20" s="1"/>
  <c r="R18" i="15"/>
  <c r="M18" i="15"/>
  <c r="K18" i="15"/>
  <c r="Q21" i="5"/>
  <c r="L21" i="5" s="1"/>
  <c r="T18" i="16"/>
  <c r="J18" i="16"/>
  <c r="AE35" i="6"/>
  <c r="N20" i="6"/>
  <c r="J17" i="13"/>
  <c r="T17" i="13"/>
  <c r="K20" i="12"/>
  <c r="R20" i="12"/>
  <c r="M20" i="12"/>
  <c r="M14" i="18"/>
  <c r="K14" i="18"/>
  <c r="K21" i="11"/>
  <c r="R21" i="11"/>
  <c r="M21" i="11"/>
  <c r="J12" i="22"/>
  <c r="AE36" i="13"/>
  <c r="F91" i="13"/>
  <c r="G91" i="13" s="1"/>
  <c r="S20" i="13" s="1"/>
  <c r="O21" i="13"/>
  <c r="P20" i="13"/>
  <c r="M24" i="1"/>
  <c r="R24" i="1"/>
  <c r="J11" i="24"/>
  <c r="Q20" i="8"/>
  <c r="L20" i="8" s="1"/>
  <c r="Q20" i="14"/>
  <c r="L20" i="14" s="1"/>
  <c r="M13" i="22"/>
  <c r="M21" i="3"/>
  <c r="K21" i="3"/>
  <c r="R21" i="3"/>
  <c r="T18" i="8"/>
  <c r="J18" i="8"/>
  <c r="N24" i="1"/>
  <c r="K24" i="1" s="1"/>
  <c r="AE41" i="1"/>
  <c r="F91" i="6"/>
  <c r="G91" i="6" s="1"/>
  <c r="S21" i="6" s="1"/>
  <c r="P21" i="6"/>
  <c r="AE36" i="6"/>
  <c r="O22" i="6"/>
  <c r="M92" i="16"/>
  <c r="F92" i="16"/>
  <c r="G92" i="16" s="1"/>
  <c r="S21" i="16" s="1"/>
  <c r="P22" i="16"/>
  <c r="AE38" i="16"/>
  <c r="O21" i="16"/>
  <c r="N21" i="16" s="1"/>
  <c r="T18" i="6"/>
  <c r="J18" i="6"/>
  <c r="N13" i="22"/>
  <c r="K13" i="22" s="1"/>
  <c r="P14" i="22"/>
  <c r="AE37" i="2"/>
  <c r="N22" i="2"/>
  <c r="AE38" i="5"/>
  <c r="P22" i="5"/>
  <c r="F92" i="5"/>
  <c r="G92" i="5" s="1"/>
  <c r="S22" i="5" s="1"/>
  <c r="O23" i="5"/>
  <c r="O24" i="2"/>
  <c r="P23" i="2"/>
  <c r="F92" i="2"/>
  <c r="G92" i="2" s="1"/>
  <c r="S23" i="2" s="1"/>
  <c r="Q23" i="2" s="1"/>
  <c r="L23" i="2" s="1"/>
  <c r="AE38" i="2"/>
  <c r="N19" i="13"/>
  <c r="AE35" i="13"/>
  <c r="P22" i="8"/>
  <c r="AE36" i="8"/>
  <c r="O21" i="8"/>
  <c r="N21" i="8" s="1"/>
  <c r="M91" i="8"/>
  <c r="F91" i="8"/>
  <c r="G91" i="8" s="1"/>
  <c r="S21" i="8" s="1"/>
  <c r="Q19" i="13"/>
  <c r="L19" i="13" s="1"/>
  <c r="AE37" i="14"/>
  <c r="N20" i="14"/>
  <c r="J13" i="17"/>
  <c r="I13" i="17" s="1"/>
  <c r="H13" i="17" s="1"/>
  <c r="T13" i="17"/>
  <c r="Q19" i="15"/>
  <c r="L19" i="15" s="1"/>
  <c r="F94" i="1"/>
  <c r="G94" i="1" s="1"/>
  <c r="S25" i="1" s="1"/>
  <c r="Q25" i="1" s="1"/>
  <c r="L25" i="1" s="1"/>
  <c r="P25" i="1"/>
  <c r="AE42" i="1"/>
  <c r="O26" i="1"/>
  <c r="Q20" i="6"/>
  <c r="L20" i="6" s="1"/>
  <c r="M20" i="10"/>
  <c r="K20" i="10"/>
  <c r="R20" i="10"/>
  <c r="T12" i="20"/>
  <c r="J12" i="20"/>
  <c r="I12" i="20" s="1"/>
  <c r="H12" i="20" s="1"/>
  <c r="P13" i="24"/>
  <c r="N12" i="24"/>
  <c r="AE36" i="15"/>
  <c r="P21" i="15"/>
  <c r="F91" i="15"/>
  <c r="G91" i="15" s="1"/>
  <c r="S20" i="15" s="1"/>
  <c r="O20" i="15"/>
  <c r="N20" i="15" s="1"/>
  <c r="M91" i="15"/>
  <c r="R19" i="14"/>
  <c r="K19" i="14"/>
  <c r="Q14" i="21"/>
  <c r="Q14" i="19"/>
  <c r="L14" i="19" s="1"/>
  <c r="S15" i="19"/>
  <c r="T20" i="4"/>
  <c r="J20" i="4"/>
  <c r="I20" i="4" s="1"/>
  <c r="H20" i="4" s="1"/>
  <c r="F92" i="14"/>
  <c r="G92" i="14" s="1"/>
  <c r="S21" i="14" s="1"/>
  <c r="AE38" i="14"/>
  <c r="P21" i="14"/>
  <c r="O22" i="14"/>
  <c r="Q23" i="7"/>
  <c r="L23" i="7" s="1"/>
  <c r="T17" i="15"/>
  <c r="J17" i="15"/>
  <c r="Q92" i="18"/>
  <c r="M84" i="18"/>
  <c r="F84" i="18"/>
  <c r="G84" i="18" s="1"/>
  <c r="S15" i="18" s="1"/>
  <c r="O15" i="18"/>
  <c r="Q12" i="24"/>
  <c r="L12" i="24" s="1"/>
  <c r="S13" i="24"/>
  <c r="Q14" i="17"/>
  <c r="L14" i="17" s="1"/>
  <c r="P15" i="21"/>
  <c r="N14" i="21"/>
  <c r="J14" i="22"/>
  <c r="M21" i="4"/>
  <c r="K21" i="4"/>
  <c r="R21" i="4"/>
  <c r="R19" i="8"/>
  <c r="K19" i="8"/>
  <c r="M19" i="8"/>
  <c r="N20" i="9"/>
  <c r="AE35" i="9"/>
  <c r="R20" i="5"/>
  <c r="K20" i="5"/>
  <c r="R22" i="7"/>
  <c r="M22" i="7"/>
  <c r="K22" i="7"/>
  <c r="Q20" i="16"/>
  <c r="L20" i="16" s="1"/>
  <c r="R19" i="6"/>
  <c r="K19" i="6"/>
  <c r="N20" i="10"/>
  <c r="AE35" i="10"/>
  <c r="J13" i="19"/>
  <c r="I13" i="19"/>
  <c r="H13" i="19" s="1"/>
  <c r="T21" i="7"/>
  <c r="J21" i="7"/>
  <c r="S13" i="23"/>
  <c r="Q12" i="23"/>
  <c r="L12" i="23" s="1"/>
  <c r="P15" i="19"/>
  <c r="N14" i="19"/>
  <c r="P15" i="17"/>
  <c r="N14" i="17"/>
  <c r="T19" i="9"/>
  <c r="J19" i="9"/>
  <c r="I19" i="9" s="1"/>
  <c r="H19" i="9" s="1"/>
  <c r="N12" i="23"/>
  <c r="P13" i="23"/>
  <c r="N21" i="5"/>
  <c r="AE37" i="5"/>
  <c r="P25" i="7"/>
  <c r="F94" i="7"/>
  <c r="G94" i="7" s="1"/>
  <c r="S24" i="7" s="1"/>
  <c r="M94" i="7"/>
  <c r="AE42" i="7"/>
  <c r="O24" i="7"/>
  <c r="N24" i="7" s="1"/>
  <c r="AE36" i="9"/>
  <c r="F91" i="9"/>
  <c r="G91" i="9" s="1"/>
  <c r="S21" i="9" s="1"/>
  <c r="Q21" i="9" s="1"/>
  <c r="L21" i="9" s="1"/>
  <c r="O22" i="9"/>
  <c r="P21" i="9"/>
  <c r="R18" i="13"/>
  <c r="K18" i="13"/>
  <c r="T19" i="12"/>
  <c r="J19" i="12"/>
  <c r="I19" i="12" s="1"/>
  <c r="H19" i="12" s="1"/>
  <c r="O22" i="10"/>
  <c r="P21" i="10"/>
  <c r="F91" i="10"/>
  <c r="G91" i="10" s="1"/>
  <c r="S21" i="10" s="1"/>
  <c r="Q21" i="10" s="1"/>
  <c r="L21" i="10" s="1"/>
  <c r="AE36" i="10"/>
  <c r="R19" i="16"/>
  <c r="K19" i="16"/>
  <c r="M19" i="16"/>
  <c r="J20" i="3"/>
  <c r="I20" i="3" s="1"/>
  <c r="H20" i="3" s="1"/>
  <c r="T20" i="3"/>
  <c r="M22" i="2"/>
  <c r="K22" i="2"/>
  <c r="R22" i="2"/>
  <c r="T19" i="5"/>
  <c r="J19" i="5"/>
  <c r="Q106" i="4"/>
  <c r="F91" i="4"/>
  <c r="G91" i="4" s="1"/>
  <c r="S22" i="4" s="1"/>
  <c r="Q22" i="4" s="1"/>
  <c r="L22" i="4" s="1"/>
  <c r="M91" i="4"/>
  <c r="O22" i="4"/>
  <c r="N22" i="4" s="1"/>
  <c r="P23" i="4"/>
  <c r="O22" i="3"/>
  <c r="N22" i="3" s="1"/>
  <c r="F91" i="3"/>
  <c r="G91" i="3" s="1"/>
  <c r="S22" i="3" s="1"/>
  <c r="Q22" i="3" s="1"/>
  <c r="L22" i="3" s="1"/>
  <c r="M91" i="3"/>
  <c r="AE36" i="3"/>
  <c r="P23" i="3"/>
  <c r="M20" i="9"/>
  <c r="K20" i="9"/>
  <c r="R20" i="9"/>
  <c r="P14" i="20"/>
  <c r="N13" i="20"/>
  <c r="J18" i="14"/>
  <c r="T18" i="14"/>
  <c r="J11" i="23"/>
  <c r="M91" i="12"/>
  <c r="Q106" i="12"/>
  <c r="P22" i="12"/>
  <c r="F91" i="12"/>
  <c r="G91" i="12" s="1"/>
  <c r="S21" i="12" s="1"/>
  <c r="Q21" i="12" s="1"/>
  <c r="L21" i="12" s="1"/>
  <c r="O21" i="12"/>
  <c r="N21" i="12" s="1"/>
  <c r="T20" i="11"/>
  <c r="J20" i="11"/>
  <c r="I20" i="11" s="1"/>
  <c r="H20" i="11" s="1"/>
  <c r="AE38" i="11"/>
  <c r="P23" i="11"/>
  <c r="F92" i="11"/>
  <c r="G92" i="11" s="1"/>
  <c r="S22" i="11" s="1"/>
  <c r="Q22" i="11" s="1"/>
  <c r="L22" i="11" s="1"/>
  <c r="O22" i="11"/>
  <c r="N22" i="11" s="1"/>
  <c r="M91" i="11"/>
  <c r="T24" i="1" l="1"/>
  <c r="J24" i="1"/>
  <c r="I24" i="1" s="1"/>
  <c r="H24" i="1" s="1"/>
  <c r="J13" i="22"/>
  <c r="M14" i="24"/>
  <c r="L14" i="24"/>
  <c r="Q13" i="24"/>
  <c r="L13" i="24" s="1"/>
  <c r="K14" i="24"/>
  <c r="R20" i="16"/>
  <c r="M20" i="16"/>
  <c r="K20" i="16"/>
  <c r="R19" i="15"/>
  <c r="K19" i="15"/>
  <c r="M19" i="15"/>
  <c r="AE40" i="5"/>
  <c r="F93" i="5"/>
  <c r="G93" i="5" s="1"/>
  <c r="S23" i="5" s="1"/>
  <c r="O24" i="5"/>
  <c r="P23" i="5"/>
  <c r="T21" i="3"/>
  <c r="J21" i="3"/>
  <c r="I21" i="3"/>
  <c r="H21" i="3" s="1"/>
  <c r="F85" i="19"/>
  <c r="G85" i="19" s="1"/>
  <c r="M84" i="19"/>
  <c r="AE24" i="19"/>
  <c r="O15" i="19"/>
  <c r="AE38" i="6"/>
  <c r="F92" i="6"/>
  <c r="G92" i="6" s="1"/>
  <c r="S22" i="6" s="1"/>
  <c r="O23" i="6"/>
  <c r="P22" i="6"/>
  <c r="K22" i="3"/>
  <c r="R22" i="3"/>
  <c r="M22" i="3"/>
  <c r="T19" i="16"/>
  <c r="J19" i="16"/>
  <c r="M12" i="23"/>
  <c r="K12" i="23"/>
  <c r="M12" i="24"/>
  <c r="K12" i="24"/>
  <c r="M92" i="8"/>
  <c r="O22" i="8"/>
  <c r="N22" i="8" s="1"/>
  <c r="F92" i="8"/>
  <c r="G92" i="8" s="1"/>
  <c r="S22" i="8" s="1"/>
  <c r="AE38" i="8"/>
  <c r="P23" i="8"/>
  <c r="Q22" i="5"/>
  <c r="L22" i="5" s="1"/>
  <c r="N21" i="6"/>
  <c r="AE37" i="6"/>
  <c r="R20" i="8"/>
  <c r="M20" i="8"/>
  <c r="K20" i="8"/>
  <c r="N20" i="13"/>
  <c r="AE37" i="13"/>
  <c r="T21" i="11"/>
  <c r="I21" i="11"/>
  <c r="H21" i="11" s="1"/>
  <c r="J21" i="11"/>
  <c r="T18" i="15"/>
  <c r="J18" i="15"/>
  <c r="J20" i="10"/>
  <c r="I20" i="10" s="1"/>
  <c r="H20" i="10" s="1"/>
  <c r="T20" i="10"/>
  <c r="Q92" i="20"/>
  <c r="F84" i="20"/>
  <c r="G84" i="20" s="1"/>
  <c r="S14" i="20" s="1"/>
  <c r="M84" i="20"/>
  <c r="O14" i="20"/>
  <c r="T18" i="13"/>
  <c r="J18" i="13"/>
  <c r="J22" i="7"/>
  <c r="T22" i="7"/>
  <c r="T19" i="8"/>
  <c r="J19" i="8"/>
  <c r="F85" i="21"/>
  <c r="G85" i="21" s="1"/>
  <c r="S15" i="21" s="1"/>
  <c r="O15" i="21"/>
  <c r="AE24" i="21"/>
  <c r="M85" i="21"/>
  <c r="N15" i="18"/>
  <c r="P16" i="18"/>
  <c r="T19" i="14"/>
  <c r="J19" i="14"/>
  <c r="O13" i="24"/>
  <c r="M84" i="24"/>
  <c r="AE22" i="24"/>
  <c r="F84" i="24"/>
  <c r="G84" i="24" s="1"/>
  <c r="R20" i="6"/>
  <c r="K20" i="6"/>
  <c r="N22" i="5"/>
  <c r="AE39" i="5"/>
  <c r="Q21" i="6"/>
  <c r="L21" i="6" s="1"/>
  <c r="F92" i="13"/>
  <c r="G92" i="13" s="1"/>
  <c r="S21" i="13" s="1"/>
  <c r="O22" i="13"/>
  <c r="P21" i="13"/>
  <c r="AE38" i="13"/>
  <c r="J14" i="18"/>
  <c r="I14" i="18" s="1"/>
  <c r="H14" i="18" s="1"/>
  <c r="M25" i="1"/>
  <c r="R25" i="1"/>
  <c r="J20" i="12"/>
  <c r="I20" i="12"/>
  <c r="H20" i="12" s="1"/>
  <c r="T20" i="12"/>
  <c r="P24" i="11"/>
  <c r="AE40" i="11"/>
  <c r="O23" i="11"/>
  <c r="N23" i="11" s="1"/>
  <c r="M92" i="11"/>
  <c r="F93" i="11"/>
  <c r="G93" i="11" s="1"/>
  <c r="S23" i="11" s="1"/>
  <c r="Q23" i="11" s="1"/>
  <c r="L23" i="11" s="1"/>
  <c r="P24" i="4"/>
  <c r="F92" i="4"/>
  <c r="G92" i="4" s="1"/>
  <c r="S23" i="4" s="1"/>
  <c r="Q23" i="4" s="1"/>
  <c r="L23" i="4" s="1"/>
  <c r="M92" i="4"/>
  <c r="Q108" i="4"/>
  <c r="O23" i="4"/>
  <c r="N23" i="4" s="1"/>
  <c r="J22" i="2"/>
  <c r="I22" i="2" s="1"/>
  <c r="H22" i="2" s="1"/>
  <c r="T22" i="2"/>
  <c r="Q24" i="7"/>
  <c r="L24" i="7" s="1"/>
  <c r="S16" i="18"/>
  <c r="Q15" i="18"/>
  <c r="L15" i="18" s="1"/>
  <c r="R23" i="7"/>
  <c r="M23" i="7"/>
  <c r="K23" i="7"/>
  <c r="Q15" i="19"/>
  <c r="L15" i="19" s="1"/>
  <c r="Q20" i="13"/>
  <c r="L20" i="13" s="1"/>
  <c r="F92" i="15"/>
  <c r="G92" i="15" s="1"/>
  <c r="S21" i="15" s="1"/>
  <c r="M92" i="15"/>
  <c r="AE38" i="15"/>
  <c r="P22" i="15"/>
  <c r="O21" i="15"/>
  <c r="N21" i="15" s="1"/>
  <c r="F93" i="2"/>
  <c r="G93" i="2" s="1"/>
  <c r="S24" i="2" s="1"/>
  <c r="Q24" i="2" s="1"/>
  <c r="L24" i="2" s="1"/>
  <c r="AE40" i="2"/>
  <c r="P24" i="2"/>
  <c r="O25" i="2"/>
  <c r="M92" i="12"/>
  <c r="O22" i="12"/>
  <c r="N22" i="12" s="1"/>
  <c r="Q108" i="12"/>
  <c r="F92" i="12"/>
  <c r="G92" i="12" s="1"/>
  <c r="S22" i="12" s="1"/>
  <c r="Q22" i="12" s="1"/>
  <c r="L22" i="12" s="1"/>
  <c r="P23" i="12"/>
  <c r="R21" i="10"/>
  <c r="M21" i="10"/>
  <c r="AE37" i="9"/>
  <c r="N21" i="9"/>
  <c r="O25" i="7"/>
  <c r="N25" i="7" s="1"/>
  <c r="AE44" i="7"/>
  <c r="F95" i="7"/>
  <c r="G95" i="7" s="1"/>
  <c r="S25" i="7" s="1"/>
  <c r="M95" i="7"/>
  <c r="P26" i="7"/>
  <c r="Q13" i="23"/>
  <c r="L13" i="23" s="1"/>
  <c r="M14" i="23"/>
  <c r="L14" i="23"/>
  <c r="K14" i="23"/>
  <c r="T19" i="6"/>
  <c r="J19" i="6"/>
  <c r="R14" i="17"/>
  <c r="K14" i="17"/>
  <c r="M14" i="17"/>
  <c r="AE40" i="14"/>
  <c r="O23" i="14"/>
  <c r="P22" i="14"/>
  <c r="F93" i="14"/>
  <c r="G93" i="14" s="1"/>
  <c r="S22" i="14" s="1"/>
  <c r="M14" i="19"/>
  <c r="K14" i="19"/>
  <c r="F95" i="1"/>
  <c r="G95" i="1" s="1"/>
  <c r="S26" i="1" s="1"/>
  <c r="Q26" i="1" s="1"/>
  <c r="L26" i="1" s="1"/>
  <c r="O27" i="1"/>
  <c r="P26" i="1"/>
  <c r="AE44" i="1"/>
  <c r="R19" i="13"/>
  <c r="K19" i="13"/>
  <c r="M93" i="16"/>
  <c r="AE40" i="16"/>
  <c r="P23" i="16"/>
  <c r="O22" i="16"/>
  <c r="N22" i="16" s="1"/>
  <c r="F93" i="16"/>
  <c r="G93" i="16" s="1"/>
  <c r="S22" i="16" s="1"/>
  <c r="K13" i="20"/>
  <c r="R13" i="20"/>
  <c r="M13" i="20"/>
  <c r="M84" i="23"/>
  <c r="F84" i="23"/>
  <c r="G84" i="23" s="1"/>
  <c r="AE22" i="23"/>
  <c r="O13" i="23"/>
  <c r="R22" i="11"/>
  <c r="K22" i="11"/>
  <c r="M22" i="11"/>
  <c r="J20" i="9"/>
  <c r="I20" i="9"/>
  <c r="H20" i="9" s="1"/>
  <c r="T20" i="9"/>
  <c r="F92" i="9"/>
  <c r="G92" i="9" s="1"/>
  <c r="S22" i="9" s="1"/>
  <c r="Q22" i="9" s="1"/>
  <c r="L22" i="9" s="1"/>
  <c r="O23" i="9"/>
  <c r="P22" i="9"/>
  <c r="AE38" i="9"/>
  <c r="O15" i="17"/>
  <c r="M84" i="17"/>
  <c r="F84" i="17"/>
  <c r="G84" i="17" s="1"/>
  <c r="S15" i="17" s="1"/>
  <c r="AE22" i="17"/>
  <c r="T20" i="5"/>
  <c r="J20" i="5"/>
  <c r="T21" i="4"/>
  <c r="J21" i="4"/>
  <c r="I21" i="4"/>
  <c r="H21" i="4" s="1"/>
  <c r="AE39" i="14"/>
  <c r="N21" i="14"/>
  <c r="Q21" i="8"/>
  <c r="L21" i="8" s="1"/>
  <c r="M23" i="2"/>
  <c r="R23" i="2"/>
  <c r="Q21" i="16"/>
  <c r="L21" i="16" s="1"/>
  <c r="R20" i="14"/>
  <c r="K20" i="14"/>
  <c r="Q21" i="14"/>
  <c r="L21" i="14" s="1"/>
  <c r="M21" i="12"/>
  <c r="R21" i="12"/>
  <c r="K21" i="12"/>
  <c r="AE37" i="10"/>
  <c r="N21" i="10"/>
  <c r="K21" i="10" s="1"/>
  <c r="F92" i="3"/>
  <c r="G92" i="3" s="1"/>
  <c r="S23" i="3" s="1"/>
  <c r="Q23" i="3" s="1"/>
  <c r="L23" i="3" s="1"/>
  <c r="M92" i="3"/>
  <c r="P24" i="3"/>
  <c r="AE38" i="3"/>
  <c r="O23" i="3"/>
  <c r="N23" i="3" s="1"/>
  <c r="K22" i="4"/>
  <c r="R22" i="4"/>
  <c r="M22" i="4"/>
  <c r="AE38" i="10"/>
  <c r="F92" i="10"/>
  <c r="G92" i="10" s="1"/>
  <c r="S22" i="10" s="1"/>
  <c r="Q22" i="10" s="1"/>
  <c r="L22" i="10" s="1"/>
  <c r="O23" i="10"/>
  <c r="P22" i="10"/>
  <c r="M21" i="9"/>
  <c r="R21" i="9"/>
  <c r="K21" i="9"/>
  <c r="Q20" i="15"/>
  <c r="L20" i="15" s="1"/>
  <c r="AE43" i="1"/>
  <c r="N25" i="1"/>
  <c r="K25" i="1" s="1"/>
  <c r="N23" i="2"/>
  <c r="K23" i="2" s="1"/>
  <c r="AE39" i="2"/>
  <c r="F84" i="22"/>
  <c r="G84" i="22" s="1"/>
  <c r="S14" i="22" s="1"/>
  <c r="AE22" i="22"/>
  <c r="O14" i="22"/>
  <c r="M84" i="22"/>
  <c r="R21" i="5"/>
  <c r="K21" i="5"/>
  <c r="T23" i="2" l="1"/>
  <c r="J23" i="2"/>
  <c r="I23" i="2" s="1"/>
  <c r="H23" i="2" s="1"/>
  <c r="T25" i="1"/>
  <c r="J25" i="1"/>
  <c r="I25" i="1"/>
  <c r="H25" i="1" s="1"/>
  <c r="T21" i="10"/>
  <c r="J21" i="10"/>
  <c r="I21" i="10" s="1"/>
  <c r="H21" i="10" s="1"/>
  <c r="M23" i="11"/>
  <c r="K23" i="11"/>
  <c r="R23" i="11"/>
  <c r="M13" i="24"/>
  <c r="N22" i="10"/>
  <c r="K22" i="10" s="1"/>
  <c r="AE39" i="10"/>
  <c r="R21" i="16"/>
  <c r="M21" i="16"/>
  <c r="K21" i="16"/>
  <c r="J14" i="19"/>
  <c r="I14" i="19" s="1"/>
  <c r="H14" i="19" s="1"/>
  <c r="I14" i="17"/>
  <c r="H14" i="17" s="1"/>
  <c r="T14" i="17"/>
  <c r="J14" i="17"/>
  <c r="AE42" i="2"/>
  <c r="O26" i="2"/>
  <c r="P25" i="2"/>
  <c r="F94" i="2"/>
  <c r="G94" i="2" s="1"/>
  <c r="S25" i="2" s="1"/>
  <c r="Q25" i="2" s="1"/>
  <c r="L25" i="2" s="1"/>
  <c r="Q21" i="15"/>
  <c r="L21" i="15" s="1"/>
  <c r="Q21" i="13"/>
  <c r="L21" i="13" s="1"/>
  <c r="T20" i="8"/>
  <c r="J20" i="8"/>
  <c r="AE40" i="8"/>
  <c r="P24" i="8"/>
  <c r="O23" i="8"/>
  <c r="N23" i="8" s="1"/>
  <c r="M93" i="8"/>
  <c r="F93" i="8"/>
  <c r="G93" i="8" s="1"/>
  <c r="S23" i="8" s="1"/>
  <c r="J12" i="23"/>
  <c r="AE39" i="6"/>
  <c r="N22" i="6"/>
  <c r="J19" i="15"/>
  <c r="T19" i="15"/>
  <c r="M13" i="23"/>
  <c r="AE40" i="3"/>
  <c r="F93" i="3"/>
  <c r="G93" i="3" s="1"/>
  <c r="S24" i="3" s="1"/>
  <c r="Q24" i="3" s="1"/>
  <c r="L24" i="3" s="1"/>
  <c r="P25" i="3"/>
  <c r="O24" i="3"/>
  <c r="N24" i="3" s="1"/>
  <c r="M93" i="3"/>
  <c r="Q15" i="17"/>
  <c r="L15" i="17" s="1"/>
  <c r="O26" i="7"/>
  <c r="N26" i="7" s="1"/>
  <c r="F96" i="7"/>
  <c r="G96" i="7" s="1"/>
  <c r="S26" i="7" s="1"/>
  <c r="M96" i="7"/>
  <c r="AE46" i="7"/>
  <c r="P27" i="7"/>
  <c r="N24" i="2"/>
  <c r="AE41" i="2"/>
  <c r="M15" i="18"/>
  <c r="K15" i="18"/>
  <c r="AE40" i="6"/>
  <c r="F93" i="6"/>
  <c r="G93" i="6" s="1"/>
  <c r="S23" i="6" s="1"/>
  <c r="O24" i="6"/>
  <c r="P23" i="6"/>
  <c r="T21" i="5"/>
  <c r="J21" i="5"/>
  <c r="O24" i="10"/>
  <c r="P23" i="10"/>
  <c r="F93" i="10"/>
  <c r="G93" i="10" s="1"/>
  <c r="S23" i="10" s="1"/>
  <c r="Q23" i="10" s="1"/>
  <c r="L23" i="10" s="1"/>
  <c r="AE40" i="10"/>
  <c r="P15" i="22"/>
  <c r="N14" i="22"/>
  <c r="R22" i="10"/>
  <c r="M22" i="10"/>
  <c r="R21" i="14"/>
  <c r="K21" i="14"/>
  <c r="J19" i="13"/>
  <c r="T19" i="13"/>
  <c r="Q16" i="18"/>
  <c r="L16" i="18" s="1"/>
  <c r="P16" i="21"/>
  <c r="N15" i="21"/>
  <c r="P15" i="20"/>
  <c r="N14" i="20"/>
  <c r="Q22" i="8"/>
  <c r="L22" i="8" s="1"/>
  <c r="Q22" i="6"/>
  <c r="L22" i="6" s="1"/>
  <c r="J20" i="16"/>
  <c r="T20" i="16"/>
  <c r="R22" i="9"/>
  <c r="M22" i="9"/>
  <c r="T22" i="3"/>
  <c r="I22" i="3"/>
  <c r="H22" i="3" s="1"/>
  <c r="J22" i="3"/>
  <c r="R23" i="3"/>
  <c r="K23" i="3"/>
  <c r="M23" i="3"/>
  <c r="P16" i="17"/>
  <c r="N15" i="17"/>
  <c r="Q22" i="14"/>
  <c r="L22" i="14" s="1"/>
  <c r="Q25" i="7"/>
  <c r="L25" i="7" s="1"/>
  <c r="M93" i="12"/>
  <c r="F93" i="12"/>
  <c r="G93" i="12" s="1"/>
  <c r="S23" i="12" s="1"/>
  <c r="Q23" i="12" s="1"/>
  <c r="L23" i="12" s="1"/>
  <c r="P24" i="12"/>
  <c r="Q110" i="12"/>
  <c r="O23" i="12"/>
  <c r="N23" i="12" s="1"/>
  <c r="M24" i="2"/>
  <c r="K24" i="2"/>
  <c r="R24" i="2"/>
  <c r="R20" i="13"/>
  <c r="K20" i="13"/>
  <c r="AE42" i="11"/>
  <c r="F94" i="11"/>
  <c r="G94" i="11" s="1"/>
  <c r="S24" i="11" s="1"/>
  <c r="Q24" i="11" s="1"/>
  <c r="L24" i="11" s="1"/>
  <c r="O24" i="11"/>
  <c r="N24" i="11" s="1"/>
  <c r="P25" i="11"/>
  <c r="M93" i="11"/>
  <c r="R21" i="6"/>
  <c r="K21" i="6"/>
  <c r="N13" i="24"/>
  <c r="K13" i="24" s="1"/>
  <c r="P14" i="24"/>
  <c r="Q15" i="21"/>
  <c r="L15" i="21" s="1"/>
  <c r="AE41" i="5"/>
  <c r="N23" i="5"/>
  <c r="AE42" i="16"/>
  <c r="M94" i="16"/>
  <c r="O23" i="16"/>
  <c r="N23" i="16" s="1"/>
  <c r="F94" i="16"/>
  <c r="G94" i="16" s="1"/>
  <c r="S23" i="16" s="1"/>
  <c r="P24" i="16"/>
  <c r="Q14" i="22"/>
  <c r="T20" i="14"/>
  <c r="J20" i="14"/>
  <c r="J22" i="11"/>
  <c r="I22" i="11" s="1"/>
  <c r="H22" i="11" s="1"/>
  <c r="T22" i="11"/>
  <c r="T13" i="20"/>
  <c r="J13" i="20"/>
  <c r="I13" i="20" s="1"/>
  <c r="H13" i="20" s="1"/>
  <c r="AE41" i="14"/>
  <c r="N22" i="14"/>
  <c r="J14" i="23"/>
  <c r="M22" i="12"/>
  <c r="R22" i="12"/>
  <c r="K22" i="12"/>
  <c r="M15" i="19"/>
  <c r="K15" i="19"/>
  <c r="Q14" i="20"/>
  <c r="L14" i="20" s="1"/>
  <c r="N15" i="19"/>
  <c r="P16" i="19"/>
  <c r="F94" i="5"/>
  <c r="G94" i="5" s="1"/>
  <c r="S24" i="5" s="1"/>
  <c r="O25" i="5"/>
  <c r="P24" i="5"/>
  <c r="AE42" i="5"/>
  <c r="M26" i="1"/>
  <c r="R26" i="1"/>
  <c r="R20" i="15"/>
  <c r="M20" i="15"/>
  <c r="K20" i="15"/>
  <c r="T21" i="9"/>
  <c r="J21" i="9"/>
  <c r="I21" i="9"/>
  <c r="H21" i="9" s="1"/>
  <c r="N22" i="9"/>
  <c r="K22" i="9" s="1"/>
  <c r="AE39" i="9"/>
  <c r="Q22" i="16"/>
  <c r="L22" i="16" s="1"/>
  <c r="N26" i="1"/>
  <c r="K26" i="1" s="1"/>
  <c r="AE45" i="1"/>
  <c r="F94" i="14"/>
  <c r="G94" i="14" s="1"/>
  <c r="S23" i="14" s="1"/>
  <c r="AE42" i="14"/>
  <c r="O24" i="14"/>
  <c r="P23" i="14"/>
  <c r="O22" i="15"/>
  <c r="N22" i="15" s="1"/>
  <c r="F93" i="15"/>
  <c r="G93" i="15" s="1"/>
  <c r="S22" i="15" s="1"/>
  <c r="AE40" i="15"/>
  <c r="M93" i="15"/>
  <c r="P23" i="15"/>
  <c r="M23" i="4"/>
  <c r="K23" i="4"/>
  <c r="R23" i="4"/>
  <c r="R22" i="5"/>
  <c r="K22" i="5"/>
  <c r="J12" i="24"/>
  <c r="Q23" i="5"/>
  <c r="L23" i="5" s="1"/>
  <c r="R21" i="8"/>
  <c r="K21" i="8"/>
  <c r="M21" i="8"/>
  <c r="F93" i="13"/>
  <c r="G93" i="13" s="1"/>
  <c r="S22" i="13" s="1"/>
  <c r="O23" i="13"/>
  <c r="P22" i="13"/>
  <c r="AE40" i="13"/>
  <c r="J22" i="4"/>
  <c r="T22" i="4"/>
  <c r="I22" i="4"/>
  <c r="H22" i="4" s="1"/>
  <c r="T21" i="12"/>
  <c r="J21" i="12"/>
  <c r="I21" i="12" s="1"/>
  <c r="H21" i="12" s="1"/>
  <c r="O24" i="9"/>
  <c r="P23" i="9"/>
  <c r="AE40" i="9"/>
  <c r="F93" i="9"/>
  <c r="G93" i="9" s="1"/>
  <c r="S23" i="9" s="1"/>
  <c r="Q23" i="9" s="1"/>
  <c r="L23" i="9" s="1"/>
  <c r="P14" i="23"/>
  <c r="N13" i="23"/>
  <c r="K13" i="23" s="1"/>
  <c r="AE46" i="1"/>
  <c r="F96" i="1"/>
  <c r="G96" i="1" s="1"/>
  <c r="S27" i="1" s="1"/>
  <c r="Q27" i="1" s="1"/>
  <c r="L27" i="1" s="1"/>
  <c r="O28" i="1"/>
  <c r="P27" i="1"/>
  <c r="J23" i="7"/>
  <c r="T23" i="7"/>
  <c r="R24" i="7"/>
  <c r="M24" i="7"/>
  <c r="K24" i="7"/>
  <c r="Q110" i="4"/>
  <c r="P25" i="4"/>
  <c r="F93" i="4"/>
  <c r="G93" i="4" s="1"/>
  <c r="S24" i="4" s="1"/>
  <c r="Q24" i="4" s="1"/>
  <c r="L24" i="4" s="1"/>
  <c r="O24" i="4"/>
  <c r="N24" i="4" s="1"/>
  <c r="M93" i="4"/>
  <c r="AE39" i="13"/>
  <c r="N21" i="13"/>
  <c r="T20" i="6"/>
  <c r="J20" i="6"/>
  <c r="Q94" i="18"/>
  <c r="M85" i="18"/>
  <c r="O16" i="18"/>
  <c r="F85" i="18"/>
  <c r="G85" i="18" s="1"/>
  <c r="J14" i="24"/>
  <c r="J13" i="24" l="1"/>
  <c r="J13" i="23"/>
  <c r="J22" i="10"/>
  <c r="I22" i="10" s="1"/>
  <c r="H22" i="10" s="1"/>
  <c r="T22" i="10"/>
  <c r="T26" i="1"/>
  <c r="J26" i="1"/>
  <c r="I26" i="1" s="1"/>
  <c r="H26" i="1" s="1"/>
  <c r="T22" i="9"/>
  <c r="J22" i="9"/>
  <c r="I22" i="9" s="1"/>
  <c r="H22" i="9" s="1"/>
  <c r="M24" i="3"/>
  <c r="K24" i="3"/>
  <c r="R24" i="3"/>
  <c r="R23" i="9"/>
  <c r="M23" i="9"/>
  <c r="T20" i="15"/>
  <c r="J20" i="15"/>
  <c r="F95" i="5"/>
  <c r="G95" i="5" s="1"/>
  <c r="S25" i="5" s="1"/>
  <c r="O26" i="5"/>
  <c r="P25" i="5"/>
  <c r="AE44" i="5"/>
  <c r="M24" i="11"/>
  <c r="R24" i="11"/>
  <c r="K24" i="11"/>
  <c r="R22" i="6"/>
  <c r="K22" i="6"/>
  <c r="Q94" i="20"/>
  <c r="F85" i="20"/>
  <c r="G85" i="20" s="1"/>
  <c r="S15" i="20" s="1"/>
  <c r="M85" i="20"/>
  <c r="O15" i="20"/>
  <c r="N23" i="10"/>
  <c r="AE41" i="10"/>
  <c r="J15" i="18"/>
  <c r="I15" i="18"/>
  <c r="H15" i="18" s="1"/>
  <c r="Q26" i="7"/>
  <c r="L26" i="7" s="1"/>
  <c r="T21" i="8"/>
  <c r="J21" i="8"/>
  <c r="T21" i="14"/>
  <c r="J21" i="14"/>
  <c r="P17" i="18"/>
  <c r="N16" i="18"/>
  <c r="R23" i="5"/>
  <c r="K23" i="5"/>
  <c r="AE43" i="14"/>
  <c r="N23" i="14"/>
  <c r="R22" i="16"/>
  <c r="K22" i="16"/>
  <c r="M22" i="16"/>
  <c r="Q24" i="5"/>
  <c r="L24" i="5" s="1"/>
  <c r="J22" i="12"/>
  <c r="I22" i="12" s="1"/>
  <c r="H22" i="12" s="1"/>
  <c r="T22" i="12"/>
  <c r="F85" i="24"/>
  <c r="G85" i="24" s="1"/>
  <c r="S14" i="24" s="1"/>
  <c r="M85" i="24"/>
  <c r="O14" i="24"/>
  <c r="AE24" i="24"/>
  <c r="Q112" i="12"/>
  <c r="M94" i="12"/>
  <c r="O24" i="12"/>
  <c r="N24" i="12" s="1"/>
  <c r="P25" i="12"/>
  <c r="F94" i="12"/>
  <c r="G94" i="12" s="1"/>
  <c r="S24" i="12" s="1"/>
  <c r="Q24" i="12" s="1"/>
  <c r="L24" i="12" s="1"/>
  <c r="AE42" i="10"/>
  <c r="F94" i="10"/>
  <c r="G94" i="10" s="1"/>
  <c r="S24" i="10" s="1"/>
  <c r="Q24" i="10" s="1"/>
  <c r="L24" i="10" s="1"/>
  <c r="O25" i="10"/>
  <c r="P24" i="10"/>
  <c r="M25" i="2"/>
  <c r="R25" i="2"/>
  <c r="F85" i="23"/>
  <c r="G85" i="23" s="1"/>
  <c r="S14" i="23" s="1"/>
  <c r="M85" i="23"/>
  <c r="AE24" i="23"/>
  <c r="O14" i="23"/>
  <c r="M24" i="4"/>
  <c r="K24" i="4"/>
  <c r="R24" i="4"/>
  <c r="N27" i="1"/>
  <c r="AE47" i="1"/>
  <c r="AE41" i="9"/>
  <c r="N23" i="9"/>
  <c r="K23" i="9" s="1"/>
  <c r="F95" i="14"/>
  <c r="G95" i="14" s="1"/>
  <c r="S24" i="14" s="1"/>
  <c r="O25" i="14"/>
  <c r="P24" i="14"/>
  <c r="AE44" i="14"/>
  <c r="O16" i="19"/>
  <c r="F86" i="19"/>
  <c r="G86" i="19" s="1"/>
  <c r="S16" i="19" s="1"/>
  <c r="M85" i="19"/>
  <c r="AE26" i="19"/>
  <c r="J20" i="13"/>
  <c r="T20" i="13"/>
  <c r="K23" i="12"/>
  <c r="R23" i="12"/>
  <c r="M23" i="12"/>
  <c r="R22" i="14"/>
  <c r="K22" i="14"/>
  <c r="AE26" i="21"/>
  <c r="O16" i="21"/>
  <c r="M86" i="21"/>
  <c r="F86" i="21"/>
  <c r="G86" i="21" s="1"/>
  <c r="S16" i="21" s="1"/>
  <c r="M15" i="17"/>
  <c r="R15" i="17"/>
  <c r="K15" i="17"/>
  <c r="AE43" i="2"/>
  <c r="N25" i="2"/>
  <c r="K25" i="2" s="1"/>
  <c r="J15" i="19"/>
  <c r="I15" i="19"/>
  <c r="H15" i="19" s="1"/>
  <c r="M23" i="10"/>
  <c r="R23" i="10"/>
  <c r="K23" i="10"/>
  <c r="I23" i="4"/>
  <c r="H23" i="4" s="1"/>
  <c r="J23" i="4"/>
  <c r="T23" i="4"/>
  <c r="AE48" i="1"/>
  <c r="F97" i="1"/>
  <c r="G97" i="1" s="1"/>
  <c r="S28" i="1" s="1"/>
  <c r="Q28" i="1" s="1"/>
  <c r="L28" i="1" s="1"/>
  <c r="O29" i="1"/>
  <c r="P28" i="1"/>
  <c r="F94" i="9"/>
  <c r="G94" i="9" s="1"/>
  <c r="S24" i="9" s="1"/>
  <c r="Q24" i="9" s="1"/>
  <c r="L24" i="9" s="1"/>
  <c r="P24" i="9"/>
  <c r="AE42" i="9"/>
  <c r="O25" i="9"/>
  <c r="AE41" i="13"/>
  <c r="N22" i="13"/>
  <c r="F94" i="15"/>
  <c r="G94" i="15" s="1"/>
  <c r="S23" i="15" s="1"/>
  <c r="P24" i="15"/>
  <c r="M94" i="15"/>
  <c r="O23" i="15"/>
  <c r="N23" i="15" s="1"/>
  <c r="AE42" i="15"/>
  <c r="J21" i="6"/>
  <c r="T21" i="6"/>
  <c r="Q23" i="8"/>
  <c r="L23" i="8" s="1"/>
  <c r="R21" i="13"/>
  <c r="K21" i="13"/>
  <c r="F95" i="2"/>
  <c r="G95" i="2" s="1"/>
  <c r="S26" i="2" s="1"/>
  <c r="Q26" i="2" s="1"/>
  <c r="L26" i="2" s="1"/>
  <c r="AE44" i="2"/>
  <c r="O27" i="2"/>
  <c r="P26" i="2"/>
  <c r="J21" i="16"/>
  <c r="T21" i="16"/>
  <c r="AE43" i="5"/>
  <c r="N24" i="5"/>
  <c r="Q112" i="4"/>
  <c r="F94" i="4"/>
  <c r="G94" i="4" s="1"/>
  <c r="S25" i="4" s="1"/>
  <c r="Q25" i="4" s="1"/>
  <c r="L25" i="4" s="1"/>
  <c r="O25" i="4"/>
  <c r="N25" i="4" s="1"/>
  <c r="M94" i="4"/>
  <c r="P26" i="4"/>
  <c r="M27" i="1"/>
  <c r="K27" i="1"/>
  <c r="R27" i="1"/>
  <c r="F94" i="13"/>
  <c r="G94" i="13" s="1"/>
  <c r="S23" i="13" s="1"/>
  <c r="O24" i="13"/>
  <c r="P23" i="13"/>
  <c r="AE42" i="13"/>
  <c r="Q23" i="14"/>
  <c r="L23" i="14" s="1"/>
  <c r="O16" i="17"/>
  <c r="F85" i="17"/>
  <c r="G85" i="17" s="1"/>
  <c r="S16" i="17" s="1"/>
  <c r="M85" i="17"/>
  <c r="AE24" i="17"/>
  <c r="R22" i="8"/>
  <c r="M22" i="8"/>
  <c r="K22" i="8"/>
  <c r="M16" i="18"/>
  <c r="K16" i="18"/>
  <c r="AE41" i="6"/>
  <c r="N23" i="6"/>
  <c r="T23" i="11"/>
  <c r="J23" i="11"/>
  <c r="I23" i="11" s="1"/>
  <c r="H23" i="11" s="1"/>
  <c r="T24" i="7"/>
  <c r="J24" i="7"/>
  <c r="Q22" i="13"/>
  <c r="L22" i="13" s="1"/>
  <c r="K14" i="20"/>
  <c r="R14" i="20"/>
  <c r="M14" i="20"/>
  <c r="M95" i="16"/>
  <c r="F95" i="16"/>
  <c r="G95" i="16" s="1"/>
  <c r="S24" i="16" s="1"/>
  <c r="AE44" i="16"/>
  <c r="O24" i="16"/>
  <c r="N24" i="16" s="1"/>
  <c r="P25" i="16"/>
  <c r="T24" i="2"/>
  <c r="J24" i="2"/>
  <c r="I24" i="2"/>
  <c r="H24" i="2" s="1"/>
  <c r="R25" i="7"/>
  <c r="M25" i="7"/>
  <c r="K25" i="7"/>
  <c r="AE24" i="22"/>
  <c r="M85" i="22"/>
  <c r="F85" i="22"/>
  <c r="G85" i="22" s="1"/>
  <c r="S15" i="22" s="1"/>
  <c r="O15" i="22"/>
  <c r="O25" i="6"/>
  <c r="P24" i="6"/>
  <c r="F94" i="6"/>
  <c r="G94" i="6" s="1"/>
  <c r="S24" i="6" s="1"/>
  <c r="AE42" i="6"/>
  <c r="AE48" i="7"/>
  <c r="F97" i="7"/>
  <c r="G97" i="7" s="1"/>
  <c r="S27" i="7" s="1"/>
  <c r="P28" i="7"/>
  <c r="M97" i="7"/>
  <c r="O27" i="7"/>
  <c r="N27" i="7" s="1"/>
  <c r="T22" i="5"/>
  <c r="J22" i="5"/>
  <c r="Q22" i="15"/>
  <c r="L22" i="15" s="1"/>
  <c r="Q23" i="16"/>
  <c r="L23" i="16" s="1"/>
  <c r="R15" i="21"/>
  <c r="M15" i="21"/>
  <c r="K15" i="21"/>
  <c r="O25" i="11"/>
  <c r="N25" i="11" s="1"/>
  <c r="P26" i="11"/>
  <c r="F95" i="11"/>
  <c r="G95" i="11" s="1"/>
  <c r="S25" i="11" s="1"/>
  <c r="Q25" i="11" s="1"/>
  <c r="L25" i="11" s="1"/>
  <c r="AE44" i="11"/>
  <c r="M94" i="11"/>
  <c r="J23" i="3"/>
  <c r="T23" i="3"/>
  <c r="I23" i="3"/>
  <c r="H23" i="3" s="1"/>
  <c r="Q23" i="6"/>
  <c r="L23" i="6" s="1"/>
  <c r="F94" i="3"/>
  <c r="G94" i="3" s="1"/>
  <c r="S25" i="3" s="1"/>
  <c r="Q25" i="3" s="1"/>
  <c r="L25" i="3" s="1"/>
  <c r="M94" i="3"/>
  <c r="AE42" i="3"/>
  <c r="O25" i="3"/>
  <c r="N25" i="3" s="1"/>
  <c r="P26" i="3"/>
  <c r="P25" i="8"/>
  <c r="M94" i="8"/>
  <c r="F94" i="8"/>
  <c r="G94" i="8" s="1"/>
  <c r="S24" i="8" s="1"/>
  <c r="O24" i="8"/>
  <c r="N24" i="8" s="1"/>
  <c r="AE42" i="8"/>
  <c r="R21" i="15"/>
  <c r="K21" i="15"/>
  <c r="M21" i="15"/>
  <c r="J23" i="9" l="1"/>
  <c r="T23" i="9"/>
  <c r="I23" i="9"/>
  <c r="H23" i="9" s="1"/>
  <c r="T25" i="2"/>
  <c r="J25" i="2"/>
  <c r="I25" i="2" s="1"/>
  <c r="H25" i="2" s="1"/>
  <c r="Q15" i="20"/>
  <c r="L15" i="20" s="1"/>
  <c r="AE44" i="6"/>
  <c r="O26" i="6"/>
  <c r="F95" i="6"/>
  <c r="G95" i="6" s="1"/>
  <c r="S25" i="6" s="1"/>
  <c r="P25" i="6"/>
  <c r="R24" i="9"/>
  <c r="M24" i="9"/>
  <c r="J23" i="10"/>
  <c r="I23" i="10" s="1"/>
  <c r="H23" i="10" s="1"/>
  <c r="T23" i="10"/>
  <c r="T15" i="17"/>
  <c r="J15" i="17"/>
  <c r="I15" i="17"/>
  <c r="H15" i="17" s="1"/>
  <c r="Q16" i="19"/>
  <c r="L16" i="19" s="1"/>
  <c r="Q14" i="23"/>
  <c r="M24" i="12"/>
  <c r="K24" i="12"/>
  <c r="R24" i="12"/>
  <c r="Q14" i="24"/>
  <c r="T22" i="16"/>
  <c r="J22" i="16"/>
  <c r="AE46" i="5"/>
  <c r="O27" i="5"/>
  <c r="P26" i="5"/>
  <c r="F96" i="5"/>
  <c r="G96" i="5" s="1"/>
  <c r="S26" i="5" s="1"/>
  <c r="T24" i="3"/>
  <c r="J24" i="3"/>
  <c r="I24" i="3" s="1"/>
  <c r="H24" i="3" s="1"/>
  <c r="J22" i="14"/>
  <c r="T22" i="14"/>
  <c r="Q24" i="8"/>
  <c r="L24" i="8" s="1"/>
  <c r="AE46" i="11"/>
  <c r="O26" i="11"/>
  <c r="N26" i="11" s="1"/>
  <c r="F96" i="11"/>
  <c r="G96" i="11" s="1"/>
  <c r="S26" i="11" s="1"/>
  <c r="Q26" i="11" s="1"/>
  <c r="L26" i="11" s="1"/>
  <c r="M95" i="11"/>
  <c r="P27" i="11"/>
  <c r="N15" i="22"/>
  <c r="P16" i="22"/>
  <c r="R23" i="14"/>
  <c r="K23" i="14"/>
  <c r="O26" i="4"/>
  <c r="N26" i="4" s="1"/>
  <c r="Q114" i="4"/>
  <c r="F95" i="4"/>
  <c r="G95" i="4" s="1"/>
  <c r="S26" i="4" s="1"/>
  <c r="Q26" i="4" s="1"/>
  <c r="L26" i="4" s="1"/>
  <c r="M95" i="4"/>
  <c r="P27" i="4"/>
  <c r="AE44" i="15"/>
  <c r="F95" i="15"/>
  <c r="G95" i="15" s="1"/>
  <c r="S24" i="15" s="1"/>
  <c r="P25" i="15"/>
  <c r="O24" i="15"/>
  <c r="N24" i="15" s="1"/>
  <c r="M95" i="15"/>
  <c r="AE49" i="1"/>
  <c r="N28" i="1"/>
  <c r="P17" i="19"/>
  <c r="N16" i="19"/>
  <c r="M95" i="12"/>
  <c r="Q114" i="12"/>
  <c r="F95" i="12"/>
  <c r="G95" i="12" s="1"/>
  <c r="S25" i="12" s="1"/>
  <c r="Q25" i="12" s="1"/>
  <c r="L25" i="12" s="1"/>
  <c r="O25" i="12"/>
  <c r="N25" i="12" s="1"/>
  <c r="P26" i="12"/>
  <c r="J22" i="6"/>
  <c r="T22" i="6"/>
  <c r="Q25" i="5"/>
  <c r="L25" i="5" s="1"/>
  <c r="J22" i="8"/>
  <c r="T22" i="8"/>
  <c r="R23" i="6"/>
  <c r="K23" i="6"/>
  <c r="O25" i="8"/>
  <c r="N25" i="8" s="1"/>
  <c r="AE44" i="8"/>
  <c r="M95" i="8"/>
  <c r="F95" i="8"/>
  <c r="G95" i="8" s="1"/>
  <c r="S25" i="8" s="1"/>
  <c r="P26" i="8"/>
  <c r="F98" i="7"/>
  <c r="G98" i="7" s="1"/>
  <c r="S28" i="7" s="1"/>
  <c r="P29" i="7"/>
  <c r="M98" i="7"/>
  <c r="O28" i="7"/>
  <c r="N28" i="7" s="1"/>
  <c r="AE50" i="7"/>
  <c r="Q15" i="22"/>
  <c r="L15" i="22" s="1"/>
  <c r="J14" i="20"/>
  <c r="I14" i="20" s="1"/>
  <c r="H14" i="20" s="1"/>
  <c r="T14" i="20"/>
  <c r="AE45" i="2"/>
  <c r="N26" i="2"/>
  <c r="Q23" i="15"/>
  <c r="L23" i="15" s="1"/>
  <c r="F98" i="1"/>
  <c r="G98" i="1" s="1"/>
  <c r="S29" i="1" s="1"/>
  <c r="Q29" i="1" s="1"/>
  <c r="L29" i="1" s="1"/>
  <c r="O30" i="1"/>
  <c r="P29" i="1"/>
  <c r="AE50" i="1"/>
  <c r="AE45" i="5"/>
  <c r="N25" i="5"/>
  <c r="R22" i="15"/>
  <c r="K22" i="15"/>
  <c r="M22" i="15"/>
  <c r="P26" i="16"/>
  <c r="O25" i="16"/>
  <c r="N25" i="16" s="1"/>
  <c r="AE46" i="16"/>
  <c r="M96" i="16"/>
  <c r="F96" i="16"/>
  <c r="G96" i="16" s="1"/>
  <c r="S25" i="16" s="1"/>
  <c r="AE43" i="13"/>
  <c r="N23" i="13"/>
  <c r="F96" i="2"/>
  <c r="G96" i="2" s="1"/>
  <c r="S27" i="2" s="1"/>
  <c r="Q27" i="2" s="1"/>
  <c r="L27" i="2" s="1"/>
  <c r="O28" i="2"/>
  <c r="P27" i="2"/>
  <c r="AE46" i="2"/>
  <c r="R23" i="8"/>
  <c r="M23" i="8"/>
  <c r="K23" i="8"/>
  <c r="K28" i="1"/>
  <c r="R28" i="1"/>
  <c r="M28" i="1"/>
  <c r="Q16" i="21"/>
  <c r="L16" i="21" s="1"/>
  <c r="T23" i="12"/>
  <c r="J23" i="12"/>
  <c r="I23" i="12" s="1"/>
  <c r="H23" i="12" s="1"/>
  <c r="AE45" i="14"/>
  <c r="N24" i="14"/>
  <c r="I24" i="4"/>
  <c r="H24" i="4" s="1"/>
  <c r="T24" i="4"/>
  <c r="J24" i="4"/>
  <c r="T24" i="11"/>
  <c r="J24" i="11"/>
  <c r="I24" i="11" s="1"/>
  <c r="H24" i="11" s="1"/>
  <c r="R25" i="3"/>
  <c r="M25" i="3"/>
  <c r="K25" i="3"/>
  <c r="T27" i="1"/>
  <c r="J27" i="1"/>
  <c r="I27" i="1"/>
  <c r="H27" i="1" s="1"/>
  <c r="O17" i="18"/>
  <c r="F86" i="18"/>
  <c r="G86" i="18" s="1"/>
  <c r="S17" i="18" s="1"/>
  <c r="Q96" i="18"/>
  <c r="M86" i="18"/>
  <c r="K25" i="11"/>
  <c r="M25" i="11"/>
  <c r="R25" i="11"/>
  <c r="F95" i="3"/>
  <c r="G95" i="3" s="1"/>
  <c r="S26" i="3" s="1"/>
  <c r="Q26" i="3" s="1"/>
  <c r="L26" i="3" s="1"/>
  <c r="O26" i="3"/>
  <c r="N26" i="3" s="1"/>
  <c r="M95" i="3"/>
  <c r="P27" i="3"/>
  <c r="AE44" i="3"/>
  <c r="J21" i="15"/>
  <c r="T21" i="15"/>
  <c r="R22" i="13"/>
  <c r="K22" i="13"/>
  <c r="AE44" i="13"/>
  <c r="O25" i="13"/>
  <c r="P24" i="13"/>
  <c r="F95" i="13"/>
  <c r="G95" i="13" s="1"/>
  <c r="S24" i="13" s="1"/>
  <c r="K25" i="4"/>
  <c r="R25" i="4"/>
  <c r="M25" i="4"/>
  <c r="O26" i="14"/>
  <c r="P25" i="14"/>
  <c r="AE46" i="14"/>
  <c r="F96" i="14"/>
  <c r="G96" i="14" s="1"/>
  <c r="S25" i="14" s="1"/>
  <c r="AE43" i="10"/>
  <c r="N24" i="10"/>
  <c r="K24" i="10" s="1"/>
  <c r="T23" i="5"/>
  <c r="J23" i="5"/>
  <c r="N24" i="6"/>
  <c r="AE43" i="6"/>
  <c r="J15" i="21"/>
  <c r="T15" i="21"/>
  <c r="T25" i="7"/>
  <c r="J25" i="7"/>
  <c r="J16" i="18"/>
  <c r="I16" i="18"/>
  <c r="H16" i="18" s="1"/>
  <c r="Q16" i="17"/>
  <c r="L16" i="17" s="1"/>
  <c r="Q23" i="13"/>
  <c r="L23" i="13" s="1"/>
  <c r="M26" i="2"/>
  <c r="K26" i="2"/>
  <c r="R26" i="2"/>
  <c r="O26" i="9"/>
  <c r="P25" i="9"/>
  <c r="F95" i="9"/>
  <c r="G95" i="9" s="1"/>
  <c r="S25" i="9" s="1"/>
  <c r="Q25" i="9" s="1"/>
  <c r="L25" i="9" s="1"/>
  <c r="AE44" i="9"/>
  <c r="P17" i="21"/>
  <c r="N16" i="21"/>
  <c r="Q24" i="14"/>
  <c r="L24" i="14" s="1"/>
  <c r="P15" i="23"/>
  <c r="N14" i="23"/>
  <c r="F95" i="10"/>
  <c r="G95" i="10" s="1"/>
  <c r="S25" i="10" s="1"/>
  <c r="Q25" i="10" s="1"/>
  <c r="L25" i="10" s="1"/>
  <c r="O26" i="10"/>
  <c r="P25" i="10"/>
  <c r="AE44" i="10"/>
  <c r="R24" i="5"/>
  <c r="K24" i="5"/>
  <c r="R26" i="7"/>
  <c r="K26" i="7"/>
  <c r="M26" i="7"/>
  <c r="N15" i="20"/>
  <c r="P16" i="20"/>
  <c r="AE43" i="9"/>
  <c r="N24" i="9"/>
  <c r="K24" i="9" s="1"/>
  <c r="Q27" i="7"/>
  <c r="L27" i="7" s="1"/>
  <c r="R23" i="16"/>
  <c r="K23" i="16"/>
  <c r="M23" i="16"/>
  <c r="Q24" i="6"/>
  <c r="L24" i="6" s="1"/>
  <c r="Q24" i="16"/>
  <c r="L24" i="16" s="1"/>
  <c r="N16" i="17"/>
  <c r="P17" i="17"/>
  <c r="J21" i="13"/>
  <c r="T21" i="13"/>
  <c r="M24" i="10"/>
  <c r="R24" i="10"/>
  <c r="N14" i="24"/>
  <c r="P15" i="24"/>
  <c r="T24" i="10" l="1"/>
  <c r="J24" i="10"/>
  <c r="I24" i="10" s="1"/>
  <c r="H24" i="10" s="1"/>
  <c r="J24" i="9"/>
  <c r="I24" i="9"/>
  <c r="H24" i="9" s="1"/>
  <c r="T24" i="9"/>
  <c r="K26" i="3"/>
  <c r="M26" i="3"/>
  <c r="R26" i="3"/>
  <c r="P28" i="11"/>
  <c r="F97" i="11"/>
  <c r="G97" i="11" s="1"/>
  <c r="S27" i="11" s="1"/>
  <c r="Q27" i="11" s="1"/>
  <c r="L27" i="11" s="1"/>
  <c r="AE48" i="11"/>
  <c r="O27" i="11"/>
  <c r="N27" i="11" s="1"/>
  <c r="M96" i="11"/>
  <c r="O28" i="5"/>
  <c r="P27" i="5"/>
  <c r="AE48" i="5"/>
  <c r="F97" i="5"/>
  <c r="G97" i="5" s="1"/>
  <c r="S27" i="5" s="1"/>
  <c r="AE26" i="24"/>
  <c r="M86" i="24"/>
  <c r="O15" i="24"/>
  <c r="F86" i="24"/>
  <c r="G86" i="24" s="1"/>
  <c r="S15" i="24" s="1"/>
  <c r="R24" i="14"/>
  <c r="K24" i="14"/>
  <c r="T26" i="2"/>
  <c r="J26" i="2"/>
  <c r="I26" i="2" s="1"/>
  <c r="H26" i="2" s="1"/>
  <c r="J23" i="8"/>
  <c r="T23" i="8"/>
  <c r="P30" i="7"/>
  <c r="AE52" i="7"/>
  <c r="F99" i="7"/>
  <c r="G99" i="7" s="1"/>
  <c r="S29" i="7" s="1"/>
  <c r="O29" i="7"/>
  <c r="N29" i="7" s="1"/>
  <c r="M99" i="7"/>
  <c r="M96" i="12"/>
  <c r="P27" i="12"/>
  <c r="Q116" i="12"/>
  <c r="F96" i="12"/>
  <c r="G96" i="12" s="1"/>
  <c r="S26" i="12" s="1"/>
  <c r="Q26" i="12" s="1"/>
  <c r="L26" i="12" s="1"/>
  <c r="O26" i="12"/>
  <c r="N26" i="12" s="1"/>
  <c r="K26" i="4"/>
  <c r="R26" i="4"/>
  <c r="M26" i="4"/>
  <c r="M16" i="19"/>
  <c r="K16" i="19"/>
  <c r="R16" i="19"/>
  <c r="M15" i="20"/>
  <c r="R15" i="20"/>
  <c r="K15" i="20"/>
  <c r="T28" i="1"/>
  <c r="J28" i="1"/>
  <c r="I28" i="1" s="1"/>
  <c r="H28" i="1" s="1"/>
  <c r="T23" i="6"/>
  <c r="J23" i="6"/>
  <c r="R24" i="8"/>
  <c r="M24" i="8"/>
  <c r="K24" i="8"/>
  <c r="R24" i="16"/>
  <c r="K24" i="16"/>
  <c r="M24" i="16"/>
  <c r="T23" i="16"/>
  <c r="J23" i="16"/>
  <c r="Q96" i="20"/>
  <c r="F86" i="20"/>
  <c r="G86" i="20" s="1"/>
  <c r="S16" i="20" s="1"/>
  <c r="O16" i="20"/>
  <c r="M86" i="20"/>
  <c r="AE45" i="10"/>
  <c r="N25" i="10"/>
  <c r="Q25" i="16"/>
  <c r="L25" i="16" s="1"/>
  <c r="R15" i="22"/>
  <c r="M15" i="22"/>
  <c r="K15" i="22"/>
  <c r="Q28" i="7"/>
  <c r="L28" i="7" s="1"/>
  <c r="R26" i="11"/>
  <c r="K26" i="11"/>
  <c r="M26" i="11"/>
  <c r="T24" i="12"/>
  <c r="J24" i="12"/>
  <c r="I24" i="12"/>
  <c r="H24" i="12" s="1"/>
  <c r="M86" i="17"/>
  <c r="AE26" i="17"/>
  <c r="F86" i="17"/>
  <c r="G86" i="17" s="1"/>
  <c r="S17" i="17" s="1"/>
  <c r="O17" i="17"/>
  <c r="R25" i="12"/>
  <c r="K25" i="12"/>
  <c r="M25" i="12"/>
  <c r="J22" i="15"/>
  <c r="T22" i="15"/>
  <c r="F96" i="10"/>
  <c r="G96" i="10" s="1"/>
  <c r="S26" i="10" s="1"/>
  <c r="Q26" i="10" s="1"/>
  <c r="L26" i="10" s="1"/>
  <c r="AE46" i="10"/>
  <c r="O27" i="10"/>
  <c r="P26" i="10"/>
  <c r="O26" i="8"/>
  <c r="N26" i="8" s="1"/>
  <c r="M96" i="8"/>
  <c r="F96" i="8"/>
  <c r="G96" i="8" s="1"/>
  <c r="S26" i="8" s="1"/>
  <c r="AE46" i="8"/>
  <c r="P27" i="8"/>
  <c r="K25" i="10"/>
  <c r="R25" i="10"/>
  <c r="M25" i="10"/>
  <c r="R23" i="13"/>
  <c r="K23" i="13"/>
  <c r="Q24" i="13"/>
  <c r="L24" i="13" s="1"/>
  <c r="R16" i="21"/>
  <c r="M16" i="21"/>
  <c r="K16" i="21"/>
  <c r="Q25" i="8"/>
  <c r="L25" i="8" s="1"/>
  <c r="F96" i="15"/>
  <c r="G96" i="15" s="1"/>
  <c r="S25" i="15" s="1"/>
  <c r="O25" i="15"/>
  <c r="N25" i="15" s="1"/>
  <c r="M96" i="15"/>
  <c r="AE46" i="15"/>
  <c r="P26" i="15"/>
  <c r="J23" i="14"/>
  <c r="T23" i="14"/>
  <c r="AE45" i="6"/>
  <c r="N25" i="6"/>
  <c r="R24" i="6"/>
  <c r="K24" i="6"/>
  <c r="T25" i="3"/>
  <c r="J25" i="3"/>
  <c r="I25" i="3" s="1"/>
  <c r="H25" i="3" s="1"/>
  <c r="R23" i="15"/>
  <c r="M23" i="15"/>
  <c r="K23" i="15"/>
  <c r="R27" i="7"/>
  <c r="K27" i="7"/>
  <c r="M27" i="7"/>
  <c r="T26" i="7"/>
  <c r="J26" i="7"/>
  <c r="M25" i="9"/>
  <c r="K25" i="9"/>
  <c r="R25" i="9"/>
  <c r="Q25" i="14"/>
  <c r="L25" i="14" s="1"/>
  <c r="AE45" i="13"/>
  <c r="N24" i="13"/>
  <c r="F96" i="3"/>
  <c r="G96" i="3" s="1"/>
  <c r="S27" i="3" s="1"/>
  <c r="Q27" i="3" s="1"/>
  <c r="L27" i="3" s="1"/>
  <c r="AE46" i="3"/>
  <c r="O27" i="3"/>
  <c r="N27" i="3" s="1"/>
  <c r="P28" i="3"/>
  <c r="M96" i="3"/>
  <c r="AE47" i="2"/>
  <c r="N27" i="2"/>
  <c r="AE51" i="1"/>
  <c r="N29" i="1"/>
  <c r="Q24" i="15"/>
  <c r="L24" i="15" s="1"/>
  <c r="Q25" i="6"/>
  <c r="L25" i="6" s="1"/>
  <c r="T22" i="13"/>
  <c r="J22" i="13"/>
  <c r="F87" i="21"/>
  <c r="G87" i="21" s="1"/>
  <c r="S17" i="21" s="1"/>
  <c r="AE28" i="21"/>
  <c r="M87" i="21"/>
  <c r="O17" i="21"/>
  <c r="T25" i="11"/>
  <c r="J25" i="11"/>
  <c r="I25" i="11" s="1"/>
  <c r="H25" i="11" s="1"/>
  <c r="M86" i="23"/>
  <c r="AE26" i="23"/>
  <c r="F86" i="23"/>
  <c r="G86" i="23" s="1"/>
  <c r="S15" i="23" s="1"/>
  <c r="O15" i="23"/>
  <c r="N25" i="9"/>
  <c r="AE45" i="9"/>
  <c r="K16" i="17"/>
  <c r="R16" i="17"/>
  <c r="M16" i="17"/>
  <c r="F96" i="13"/>
  <c r="G96" i="13" s="1"/>
  <c r="S25" i="13" s="1"/>
  <c r="O26" i="13"/>
  <c r="P25" i="13"/>
  <c r="AE46" i="13"/>
  <c r="Q17" i="18"/>
  <c r="L17" i="18" s="1"/>
  <c r="F97" i="2"/>
  <c r="G97" i="2" s="1"/>
  <c r="S28" i="2" s="1"/>
  <c r="Q28" i="2" s="1"/>
  <c r="L28" i="2" s="1"/>
  <c r="AE48" i="2"/>
  <c r="O29" i="2"/>
  <c r="P28" i="2"/>
  <c r="P27" i="16"/>
  <c r="M97" i="16"/>
  <c r="AE48" i="16"/>
  <c r="O26" i="16"/>
  <c r="N26" i="16" s="1"/>
  <c r="F97" i="16"/>
  <c r="G97" i="16" s="1"/>
  <c r="S26" i="16" s="1"/>
  <c r="O31" i="1"/>
  <c r="P30" i="1"/>
  <c r="AE52" i="1"/>
  <c r="F99" i="1"/>
  <c r="G99" i="1" s="1"/>
  <c r="S30" i="1" s="1"/>
  <c r="Q30" i="1" s="1"/>
  <c r="L30" i="1" s="1"/>
  <c r="R25" i="5"/>
  <c r="K25" i="5"/>
  <c r="F86" i="22"/>
  <c r="G86" i="22" s="1"/>
  <c r="S16" i="22" s="1"/>
  <c r="O16" i="22"/>
  <c r="M86" i="22"/>
  <c r="AE26" i="22"/>
  <c r="Q26" i="5"/>
  <c r="L26" i="5" s="1"/>
  <c r="AE46" i="6"/>
  <c r="F96" i="6"/>
  <c r="G96" i="6" s="1"/>
  <c r="S26" i="6" s="1"/>
  <c r="P26" i="6"/>
  <c r="O27" i="6"/>
  <c r="AE48" i="14"/>
  <c r="F97" i="14"/>
  <c r="G97" i="14" s="1"/>
  <c r="S26" i="14" s="1"/>
  <c r="P26" i="14"/>
  <c r="O27" i="14"/>
  <c r="T25" i="4"/>
  <c r="J25" i="4"/>
  <c r="I25" i="4" s="1"/>
  <c r="H25" i="4" s="1"/>
  <c r="T24" i="5"/>
  <c r="J24" i="5"/>
  <c r="F96" i="9"/>
  <c r="G96" i="9" s="1"/>
  <c r="S26" i="9" s="1"/>
  <c r="Q26" i="9" s="1"/>
  <c r="L26" i="9" s="1"/>
  <c r="O27" i="9"/>
  <c r="P26" i="9"/>
  <c r="AE46" i="9"/>
  <c r="N25" i="14"/>
  <c r="AE47" i="14"/>
  <c r="N17" i="18"/>
  <c r="P18" i="18"/>
  <c r="K27" i="2"/>
  <c r="R27" i="2"/>
  <c r="M27" i="2"/>
  <c r="K29" i="1"/>
  <c r="R29" i="1"/>
  <c r="M29" i="1"/>
  <c r="O17" i="19"/>
  <c r="M86" i="19"/>
  <c r="F87" i="19"/>
  <c r="G87" i="19" s="1"/>
  <c r="S17" i="19" s="1"/>
  <c r="AE28" i="19"/>
  <c r="O27" i="4"/>
  <c r="N27" i="4" s="1"/>
  <c r="F96" i="4"/>
  <c r="G96" i="4" s="1"/>
  <c r="S27" i="4" s="1"/>
  <c r="Q27" i="4" s="1"/>
  <c r="L27" i="4" s="1"/>
  <c r="P28" i="4"/>
  <c r="M96" i="4"/>
  <c r="Q116" i="4"/>
  <c r="N26" i="5"/>
  <c r="AE47" i="5"/>
  <c r="R24" i="15" l="1"/>
  <c r="M24" i="15"/>
  <c r="K24" i="15"/>
  <c r="T24" i="14"/>
  <c r="J24" i="14"/>
  <c r="T27" i="2"/>
  <c r="J27" i="2"/>
  <c r="I27" i="2"/>
  <c r="H27" i="2" s="1"/>
  <c r="M26" i="9"/>
  <c r="R26" i="9"/>
  <c r="Q26" i="14"/>
  <c r="L26" i="14" s="1"/>
  <c r="R26" i="5"/>
  <c r="K26" i="5"/>
  <c r="N28" i="2"/>
  <c r="AE49" i="2"/>
  <c r="O27" i="13"/>
  <c r="P26" i="13"/>
  <c r="F97" i="13"/>
  <c r="G97" i="13" s="1"/>
  <c r="S26" i="13" s="1"/>
  <c r="AE48" i="13"/>
  <c r="Q15" i="23"/>
  <c r="L15" i="23" s="1"/>
  <c r="AE48" i="3"/>
  <c r="P29" i="3"/>
  <c r="F97" i="3"/>
  <c r="G97" i="3" s="1"/>
  <c r="S28" i="3" s="1"/>
  <c r="Q28" i="3" s="1"/>
  <c r="L28" i="3" s="1"/>
  <c r="M97" i="3"/>
  <c r="O28" i="3"/>
  <c r="N28" i="3" s="1"/>
  <c r="T25" i="10"/>
  <c r="J25" i="10"/>
  <c r="I25" i="10"/>
  <c r="H25" i="10" s="1"/>
  <c r="Q17" i="17"/>
  <c r="L17" i="17" s="1"/>
  <c r="Q16" i="20"/>
  <c r="L16" i="20" s="1"/>
  <c r="O29" i="5"/>
  <c r="P28" i="5"/>
  <c r="F98" i="5"/>
  <c r="G98" i="5" s="1"/>
  <c r="S28" i="5" s="1"/>
  <c r="AE50" i="5"/>
  <c r="J26" i="3"/>
  <c r="T26" i="3"/>
  <c r="I26" i="3"/>
  <c r="H26" i="3" s="1"/>
  <c r="F97" i="9"/>
  <c r="G97" i="9" s="1"/>
  <c r="S27" i="9" s="1"/>
  <c r="Q27" i="9" s="1"/>
  <c r="L27" i="9" s="1"/>
  <c r="AE48" i="9"/>
  <c r="P27" i="9"/>
  <c r="O28" i="9"/>
  <c r="J27" i="7"/>
  <c r="T27" i="7"/>
  <c r="Q29" i="7"/>
  <c r="L29" i="7" s="1"/>
  <c r="L30" i="7"/>
  <c r="R30" i="7" s="1"/>
  <c r="Q98" i="18"/>
  <c r="F87" i="18"/>
  <c r="G87" i="18" s="1"/>
  <c r="S18" i="18" s="1"/>
  <c r="M87" i="18"/>
  <c r="O18" i="18"/>
  <c r="AE53" i="1"/>
  <c r="N30" i="1"/>
  <c r="O30" i="2"/>
  <c r="P29" i="2"/>
  <c r="AE50" i="2"/>
  <c r="F98" i="2"/>
  <c r="G98" i="2" s="1"/>
  <c r="S29" i="2" s="1"/>
  <c r="Q29" i="2" s="1"/>
  <c r="L29" i="2" s="1"/>
  <c r="Q25" i="13"/>
  <c r="L25" i="13" s="1"/>
  <c r="Q17" i="21"/>
  <c r="L17" i="21" s="1"/>
  <c r="T23" i="15"/>
  <c r="J23" i="15"/>
  <c r="Q25" i="15"/>
  <c r="L25" i="15" s="1"/>
  <c r="AE48" i="8"/>
  <c r="P28" i="8"/>
  <c r="O27" i="8"/>
  <c r="N27" i="8" s="1"/>
  <c r="M97" i="8"/>
  <c r="F97" i="8"/>
  <c r="G97" i="8" s="1"/>
  <c r="S27" i="8" s="1"/>
  <c r="R26" i="10"/>
  <c r="M26" i="10"/>
  <c r="M26" i="12"/>
  <c r="K26" i="12"/>
  <c r="R26" i="12"/>
  <c r="F100" i="7"/>
  <c r="G100" i="7" s="1"/>
  <c r="S30" i="7" s="1"/>
  <c r="Q30" i="7" s="1"/>
  <c r="O30" i="7"/>
  <c r="N30" i="7" s="1"/>
  <c r="F11" i="7" s="1"/>
  <c r="M100" i="7"/>
  <c r="AE54" i="7"/>
  <c r="Q15" i="24"/>
  <c r="L15" i="24" s="1"/>
  <c r="F98" i="16"/>
  <c r="G98" i="16" s="1"/>
  <c r="S27" i="16" s="1"/>
  <c r="P28" i="16"/>
  <c r="O27" i="16"/>
  <c r="N27" i="16" s="1"/>
  <c r="AE50" i="16"/>
  <c r="M98" i="16"/>
  <c r="J26" i="11"/>
  <c r="I26" i="11"/>
  <c r="H26" i="11" s="1"/>
  <c r="T26" i="11"/>
  <c r="N16" i="20"/>
  <c r="P17" i="20"/>
  <c r="N17" i="19"/>
  <c r="P18" i="19"/>
  <c r="R28" i="7"/>
  <c r="M28" i="7"/>
  <c r="K28" i="7"/>
  <c r="P17" i="22"/>
  <c r="N16" i="22"/>
  <c r="Q26" i="16"/>
  <c r="L26" i="16" s="1"/>
  <c r="K28" i="2"/>
  <c r="R28" i="2"/>
  <c r="M28" i="2"/>
  <c r="R27" i="3"/>
  <c r="M27" i="3"/>
  <c r="K27" i="3"/>
  <c r="R25" i="8"/>
  <c r="M25" i="8"/>
  <c r="K25" i="8"/>
  <c r="Q26" i="8"/>
  <c r="L26" i="8" s="1"/>
  <c r="R25" i="16"/>
  <c r="M25" i="16"/>
  <c r="K25" i="16"/>
  <c r="T16" i="19"/>
  <c r="J16" i="19"/>
  <c r="I16" i="19"/>
  <c r="H16" i="19" s="1"/>
  <c r="M97" i="12"/>
  <c r="O27" i="12"/>
  <c r="N27" i="12" s="1"/>
  <c r="F97" i="12"/>
  <c r="G97" i="12" s="1"/>
  <c r="S27" i="12" s="1"/>
  <c r="Q27" i="12" s="1"/>
  <c r="L27" i="12" s="1"/>
  <c r="Q118" i="12"/>
  <c r="P28" i="12"/>
  <c r="J24" i="6"/>
  <c r="T24" i="6"/>
  <c r="T15" i="20"/>
  <c r="J15" i="20"/>
  <c r="I15" i="20" s="1"/>
  <c r="H15" i="20" s="1"/>
  <c r="Q17" i="19"/>
  <c r="L17" i="19" s="1"/>
  <c r="AE54" i="1"/>
  <c r="P31" i="1"/>
  <c r="N31" i="1" s="1"/>
  <c r="F100" i="1"/>
  <c r="G100" i="1" s="1"/>
  <c r="S31" i="1" s="1"/>
  <c r="Q31" i="1" s="1"/>
  <c r="L31" i="1" s="1"/>
  <c r="P29" i="4"/>
  <c r="Q118" i="4"/>
  <c r="F97" i="4"/>
  <c r="G97" i="4" s="1"/>
  <c r="S28" i="4" s="1"/>
  <c r="Q28" i="4" s="1"/>
  <c r="L28" i="4" s="1"/>
  <c r="M97" i="4"/>
  <c r="O28" i="4"/>
  <c r="N28" i="4" s="1"/>
  <c r="Q26" i="6"/>
  <c r="L26" i="6" s="1"/>
  <c r="Q16" i="22"/>
  <c r="L16" i="22" s="1"/>
  <c r="M17" i="18"/>
  <c r="K17" i="18"/>
  <c r="R17" i="18"/>
  <c r="J16" i="17"/>
  <c r="I16" i="17" s="1"/>
  <c r="H16" i="17" s="1"/>
  <c r="T16" i="17"/>
  <c r="J23" i="13"/>
  <c r="T23" i="13"/>
  <c r="M27" i="11"/>
  <c r="K27" i="11"/>
  <c r="R27" i="11"/>
  <c r="N26" i="14"/>
  <c r="AE49" i="14"/>
  <c r="P16" i="23"/>
  <c r="N15" i="23"/>
  <c r="F97" i="10"/>
  <c r="G97" i="10" s="1"/>
  <c r="S27" i="10" s="1"/>
  <c r="Q27" i="10" s="1"/>
  <c r="L27" i="10" s="1"/>
  <c r="O28" i="10"/>
  <c r="P27" i="10"/>
  <c r="AE48" i="10"/>
  <c r="T24" i="8"/>
  <c r="J24" i="8"/>
  <c r="AE49" i="5"/>
  <c r="N27" i="5"/>
  <c r="R24" i="13"/>
  <c r="K24" i="13"/>
  <c r="P16" i="24"/>
  <c r="N15" i="24"/>
  <c r="N26" i="6"/>
  <c r="AE47" i="6"/>
  <c r="J29" i="1"/>
  <c r="I29" i="1" s="1"/>
  <c r="H29" i="1" s="1"/>
  <c r="T29" i="1"/>
  <c r="R25" i="6"/>
  <c r="K25" i="6"/>
  <c r="F97" i="15"/>
  <c r="G97" i="15" s="1"/>
  <c r="S26" i="15" s="1"/>
  <c r="P27" i="15"/>
  <c r="AE48" i="15"/>
  <c r="M97" i="15"/>
  <c r="O26" i="15"/>
  <c r="N26" i="15" s="1"/>
  <c r="J25" i="12"/>
  <c r="I25" i="12" s="1"/>
  <c r="H25" i="12" s="1"/>
  <c r="T25" i="12"/>
  <c r="J15" i="22"/>
  <c r="T15" i="22"/>
  <c r="J24" i="16"/>
  <c r="T24" i="16"/>
  <c r="Q27" i="5"/>
  <c r="L27" i="5" s="1"/>
  <c r="AE50" i="11"/>
  <c r="M97" i="11"/>
  <c r="P29" i="11"/>
  <c r="O28" i="11"/>
  <c r="N28" i="11" s="1"/>
  <c r="F98" i="11"/>
  <c r="G98" i="11" s="1"/>
  <c r="S28" i="11" s="1"/>
  <c r="Q28" i="11" s="1"/>
  <c r="L28" i="11" s="1"/>
  <c r="R30" i="1"/>
  <c r="K30" i="1"/>
  <c r="M30" i="1"/>
  <c r="AE47" i="13"/>
  <c r="N25" i="13"/>
  <c r="N17" i="17"/>
  <c r="P18" i="17"/>
  <c r="T26" i="4"/>
  <c r="J26" i="4"/>
  <c r="I26" i="4"/>
  <c r="H26" i="4" s="1"/>
  <c r="O28" i="6"/>
  <c r="P27" i="6"/>
  <c r="AE48" i="6"/>
  <c r="F97" i="6"/>
  <c r="G97" i="6" s="1"/>
  <c r="S27" i="6" s="1"/>
  <c r="I25" i="9"/>
  <c r="H25" i="9" s="1"/>
  <c r="T25" i="9"/>
  <c r="J25" i="9"/>
  <c r="R27" i="4"/>
  <c r="M27" i="4"/>
  <c r="K27" i="4"/>
  <c r="J25" i="5"/>
  <c r="T25" i="5"/>
  <c r="AE47" i="9"/>
  <c r="N26" i="9"/>
  <c r="K26" i="9" s="1"/>
  <c r="AE50" i="14"/>
  <c r="F98" i="14"/>
  <c r="G98" i="14" s="1"/>
  <c r="S27" i="14" s="1"/>
  <c r="O28" i="14"/>
  <c r="P27" i="14"/>
  <c r="N17" i="21"/>
  <c r="P18" i="21"/>
  <c r="R25" i="14"/>
  <c r="K25" i="14"/>
  <c r="J16" i="21"/>
  <c r="T16" i="21"/>
  <c r="AE47" i="10"/>
  <c r="N26" i="10"/>
  <c r="K26" i="10" s="1"/>
  <c r="J26" i="10" l="1"/>
  <c r="I26" i="10"/>
  <c r="H26" i="10" s="1"/>
  <c r="T26" i="10"/>
  <c r="T26" i="9"/>
  <c r="J26" i="9"/>
  <c r="I26" i="9" s="1"/>
  <c r="H26" i="9" s="1"/>
  <c r="Q27" i="14"/>
  <c r="L27" i="14" s="1"/>
  <c r="AE51" i="2"/>
  <c r="N29" i="2"/>
  <c r="F99" i="5"/>
  <c r="G99" i="5" s="1"/>
  <c r="S29" i="5" s="1"/>
  <c r="O30" i="5"/>
  <c r="AE52" i="5"/>
  <c r="P29" i="5"/>
  <c r="J26" i="5"/>
  <c r="T26" i="5"/>
  <c r="R27" i="5"/>
  <c r="K27" i="5"/>
  <c r="R17" i="19"/>
  <c r="M17" i="19"/>
  <c r="K17" i="19"/>
  <c r="K27" i="12"/>
  <c r="R27" i="12"/>
  <c r="M27" i="12"/>
  <c r="J27" i="3"/>
  <c r="T27" i="3"/>
  <c r="I27" i="3"/>
  <c r="H27" i="3" s="1"/>
  <c r="R25" i="15"/>
  <c r="M25" i="15"/>
  <c r="K25" i="15"/>
  <c r="O31" i="2"/>
  <c r="P30" i="2"/>
  <c r="F99" i="2"/>
  <c r="G99" i="2" s="1"/>
  <c r="S30" i="2" s="1"/>
  <c r="Q30" i="2" s="1"/>
  <c r="L30" i="2" s="1"/>
  <c r="AE52" i="2"/>
  <c r="M30" i="7"/>
  <c r="R27" i="9"/>
  <c r="M27" i="9"/>
  <c r="J30" i="1"/>
  <c r="I30" i="1" s="1"/>
  <c r="H30" i="1" s="1"/>
  <c r="T30" i="1"/>
  <c r="J25" i="14"/>
  <c r="T25" i="14"/>
  <c r="M28" i="11"/>
  <c r="K28" i="11"/>
  <c r="R28" i="11"/>
  <c r="F87" i="23"/>
  <c r="G87" i="23" s="1"/>
  <c r="S16" i="23" s="1"/>
  <c r="AE28" i="23"/>
  <c r="M87" i="23"/>
  <c r="O16" i="23"/>
  <c r="M28" i="4"/>
  <c r="R28" i="4"/>
  <c r="K28" i="4"/>
  <c r="Q98" i="20"/>
  <c r="F87" i="20"/>
  <c r="G87" i="20" s="1"/>
  <c r="S17" i="20" s="1"/>
  <c r="M87" i="20"/>
  <c r="O17" i="20"/>
  <c r="M99" i="16"/>
  <c r="P29" i="16"/>
  <c r="AE52" i="16"/>
  <c r="F99" i="16"/>
  <c r="G99" i="16" s="1"/>
  <c r="S28" i="16" s="1"/>
  <c r="O28" i="16"/>
  <c r="N28" i="16" s="1"/>
  <c r="R17" i="21"/>
  <c r="M17" i="21"/>
  <c r="K17" i="21"/>
  <c r="R29" i="7"/>
  <c r="K29" i="7"/>
  <c r="M29" i="7"/>
  <c r="M16" i="20"/>
  <c r="K16" i="20"/>
  <c r="R16" i="20"/>
  <c r="M28" i="3"/>
  <c r="K28" i="3"/>
  <c r="R28" i="3"/>
  <c r="R26" i="14"/>
  <c r="K26" i="14"/>
  <c r="M17" i="17"/>
  <c r="K17" i="17"/>
  <c r="R17" i="17"/>
  <c r="R27" i="10"/>
  <c r="M27" i="10"/>
  <c r="F87" i="17"/>
  <c r="G87" i="17" s="1"/>
  <c r="S18" i="17" s="1"/>
  <c r="AE28" i="17"/>
  <c r="M87" i="17"/>
  <c r="O18" i="17"/>
  <c r="Q27" i="8"/>
  <c r="L27" i="8" s="1"/>
  <c r="Q26" i="13"/>
  <c r="L26" i="13" s="1"/>
  <c r="Q27" i="6"/>
  <c r="L27" i="6" s="1"/>
  <c r="O29" i="4"/>
  <c r="N29" i="4" s="1"/>
  <c r="Q120" i="4"/>
  <c r="P30" i="4"/>
  <c r="F98" i="4"/>
  <c r="G98" i="4" s="1"/>
  <c r="S29" i="4" s="1"/>
  <c r="Q29" i="4" s="1"/>
  <c r="L29" i="4" s="1"/>
  <c r="M98" i="4"/>
  <c r="F87" i="22"/>
  <c r="G87" i="22" s="1"/>
  <c r="S17" i="22" s="1"/>
  <c r="O17" i="22"/>
  <c r="M87" i="22"/>
  <c r="AE28" i="22"/>
  <c r="F12" i="7"/>
  <c r="P19" i="18"/>
  <c r="N18" i="18"/>
  <c r="AE49" i="13"/>
  <c r="N26" i="13"/>
  <c r="O29" i="11"/>
  <c r="N29" i="11" s="1"/>
  <c r="F99" i="11"/>
  <c r="G99" i="11" s="1"/>
  <c r="S29" i="11" s="1"/>
  <c r="Q29" i="11" s="1"/>
  <c r="L29" i="11" s="1"/>
  <c r="P30" i="11"/>
  <c r="M98" i="11"/>
  <c r="AE52" i="11"/>
  <c r="R16" i="22"/>
  <c r="M16" i="22"/>
  <c r="K16" i="22"/>
  <c r="Q26" i="15"/>
  <c r="L26" i="15" s="1"/>
  <c r="M31" i="1"/>
  <c r="K31" i="1"/>
  <c r="R31" i="1"/>
  <c r="T28" i="7"/>
  <c r="J28" i="7"/>
  <c r="R15" i="24"/>
  <c r="K15" i="24"/>
  <c r="M15" i="24"/>
  <c r="R25" i="13"/>
  <c r="K25" i="13"/>
  <c r="R15" i="23"/>
  <c r="K15" i="23"/>
  <c r="M15" i="23"/>
  <c r="F98" i="13"/>
  <c r="G98" i="13" s="1"/>
  <c r="S27" i="13" s="1"/>
  <c r="O28" i="13"/>
  <c r="P27" i="13"/>
  <c r="AE50" i="13"/>
  <c r="J24" i="15"/>
  <c r="T24" i="15"/>
  <c r="AE30" i="19"/>
  <c r="F88" i="19"/>
  <c r="G88" i="19" s="1"/>
  <c r="S18" i="19" s="1"/>
  <c r="O18" i="19"/>
  <c r="M87" i="19"/>
  <c r="R26" i="8"/>
  <c r="M26" i="8"/>
  <c r="K26" i="8"/>
  <c r="P30" i="3"/>
  <c r="F98" i="3"/>
  <c r="G98" i="3" s="1"/>
  <c r="S29" i="3" s="1"/>
  <c r="Q29" i="3" s="1"/>
  <c r="L29" i="3" s="1"/>
  <c r="O29" i="3"/>
  <c r="N29" i="3" s="1"/>
  <c r="AE50" i="3"/>
  <c r="M98" i="3"/>
  <c r="F88" i="21"/>
  <c r="G88" i="21" s="1"/>
  <c r="S18" i="21" s="1"/>
  <c r="O18" i="21"/>
  <c r="M88" i="21"/>
  <c r="AE30" i="21"/>
  <c r="J27" i="4"/>
  <c r="I27" i="4"/>
  <c r="H27" i="4" s="1"/>
  <c r="T27" i="4"/>
  <c r="F87" i="24"/>
  <c r="G87" i="24" s="1"/>
  <c r="S16" i="24" s="1"/>
  <c r="AE28" i="24"/>
  <c r="M87" i="24"/>
  <c r="O16" i="24"/>
  <c r="AE49" i="10"/>
  <c r="N27" i="10"/>
  <c r="K27" i="10" s="1"/>
  <c r="I27" i="11"/>
  <c r="H27" i="11" s="1"/>
  <c r="T27" i="11"/>
  <c r="J27" i="11"/>
  <c r="J17" i="18"/>
  <c r="I17" i="18" s="1"/>
  <c r="H17" i="18" s="1"/>
  <c r="T17" i="18"/>
  <c r="F11" i="1"/>
  <c r="F12" i="1"/>
  <c r="T25" i="8"/>
  <c r="J25" i="8"/>
  <c r="J28" i="2"/>
  <c r="I28" i="2"/>
  <c r="H28" i="2" s="1"/>
  <c r="T28" i="2"/>
  <c r="T26" i="12"/>
  <c r="J26" i="12"/>
  <c r="I26" i="12" s="1"/>
  <c r="H26" i="12" s="1"/>
  <c r="M98" i="8"/>
  <c r="P29" i="8"/>
  <c r="F98" i="8"/>
  <c r="G98" i="8" s="1"/>
  <c r="S28" i="8" s="1"/>
  <c r="O28" i="8"/>
  <c r="N28" i="8" s="1"/>
  <c r="AE50" i="8"/>
  <c r="R29" i="2"/>
  <c r="M29" i="2"/>
  <c r="K29" i="2"/>
  <c r="Q18" i="18"/>
  <c r="L18" i="18" s="1"/>
  <c r="AE50" i="9"/>
  <c r="O29" i="9"/>
  <c r="P28" i="9"/>
  <c r="F98" i="9"/>
  <c r="G98" i="9" s="1"/>
  <c r="S28" i="9" s="1"/>
  <c r="Q28" i="9" s="1"/>
  <c r="L28" i="9" s="1"/>
  <c r="Q28" i="5"/>
  <c r="L28" i="5" s="1"/>
  <c r="Q27" i="16"/>
  <c r="L27" i="16" s="1"/>
  <c r="K30" i="7"/>
  <c r="F98" i="15"/>
  <c r="G98" i="15" s="1"/>
  <c r="S27" i="15" s="1"/>
  <c r="M98" i="15"/>
  <c r="AE50" i="15"/>
  <c r="O27" i="15"/>
  <c r="N27" i="15" s="1"/>
  <c r="P28" i="15"/>
  <c r="N27" i="14"/>
  <c r="AE51" i="14"/>
  <c r="AE49" i="6"/>
  <c r="N27" i="6"/>
  <c r="J25" i="6"/>
  <c r="T25" i="6"/>
  <c r="F99" i="14"/>
  <c r="G99" i="14" s="1"/>
  <c r="S28" i="14" s="1"/>
  <c r="O29" i="14"/>
  <c r="P28" i="14"/>
  <c r="AE52" i="14"/>
  <c r="F98" i="6"/>
  <c r="G98" i="6" s="1"/>
  <c r="S28" i="6" s="1"/>
  <c r="O29" i="6"/>
  <c r="P28" i="6"/>
  <c r="AE50" i="6"/>
  <c r="J24" i="13"/>
  <c r="T24" i="13"/>
  <c r="AE50" i="10"/>
  <c r="O29" i="10"/>
  <c r="P28" i="10"/>
  <c r="F98" i="10"/>
  <c r="G98" i="10" s="1"/>
  <c r="S28" i="10" s="1"/>
  <c r="Q28" i="10" s="1"/>
  <c r="L28" i="10" s="1"/>
  <c r="R26" i="6"/>
  <c r="K26" i="6"/>
  <c r="Q120" i="12"/>
  <c r="M98" i="12"/>
  <c r="F98" i="12"/>
  <c r="G98" i="12" s="1"/>
  <c r="S28" i="12" s="1"/>
  <c r="Q28" i="12" s="1"/>
  <c r="L28" i="12" s="1"/>
  <c r="O28" i="12"/>
  <c r="N28" i="12" s="1"/>
  <c r="P29" i="12"/>
  <c r="T25" i="16"/>
  <c r="J25" i="16"/>
  <c r="R26" i="16"/>
  <c r="M26" i="16"/>
  <c r="K26" i="16"/>
  <c r="AE49" i="9"/>
  <c r="N27" i="9"/>
  <c r="K27" i="9" s="1"/>
  <c r="AE51" i="5"/>
  <c r="N28" i="5"/>
  <c r="J27" i="10" l="1"/>
  <c r="I27" i="10" s="1"/>
  <c r="H27" i="10" s="1"/>
  <c r="T27" i="10"/>
  <c r="T27" i="9"/>
  <c r="J27" i="9"/>
  <c r="I27" i="9"/>
  <c r="H27" i="9" s="1"/>
  <c r="M29" i="3"/>
  <c r="K29" i="3"/>
  <c r="R29" i="3"/>
  <c r="T15" i="23"/>
  <c r="J15" i="23"/>
  <c r="J16" i="22"/>
  <c r="T16" i="22"/>
  <c r="Q17" i="22"/>
  <c r="L17" i="22" s="1"/>
  <c r="N18" i="17"/>
  <c r="P19" i="17"/>
  <c r="J17" i="17"/>
  <c r="I17" i="17" s="1"/>
  <c r="H17" i="17" s="1"/>
  <c r="T17" i="17"/>
  <c r="I16" i="20"/>
  <c r="H16" i="20" s="1"/>
  <c r="T16" i="20"/>
  <c r="J16" i="20"/>
  <c r="T25" i="15"/>
  <c r="J25" i="15"/>
  <c r="T27" i="12"/>
  <c r="I27" i="12"/>
  <c r="H27" i="12" s="1"/>
  <c r="J27" i="12"/>
  <c r="N29" i="5"/>
  <c r="AE53" i="5"/>
  <c r="T26" i="6"/>
  <c r="J26" i="6"/>
  <c r="Q16" i="23"/>
  <c r="L16" i="23" s="1"/>
  <c r="M28" i="10"/>
  <c r="R28" i="10"/>
  <c r="F99" i="6"/>
  <c r="G99" i="6" s="1"/>
  <c r="S29" i="6" s="1"/>
  <c r="AE52" i="6"/>
  <c r="O30" i="6"/>
  <c r="P29" i="6"/>
  <c r="Q27" i="15"/>
  <c r="L27" i="15" s="1"/>
  <c r="O30" i="3"/>
  <c r="N30" i="3" s="1"/>
  <c r="F99" i="3"/>
  <c r="G99" i="3" s="1"/>
  <c r="S30" i="3" s="1"/>
  <c r="Q30" i="3" s="1"/>
  <c r="L30" i="3" s="1"/>
  <c r="AE52" i="3"/>
  <c r="P31" i="3"/>
  <c r="M99" i="3"/>
  <c r="Q28" i="16"/>
  <c r="L28" i="16" s="1"/>
  <c r="T28" i="4"/>
  <c r="J28" i="4"/>
  <c r="I28" i="4"/>
  <c r="H28" i="4" s="1"/>
  <c r="T28" i="11"/>
  <c r="J28" i="11"/>
  <c r="I28" i="11" s="1"/>
  <c r="H28" i="11" s="1"/>
  <c r="J17" i="19"/>
  <c r="T17" i="19"/>
  <c r="I17" i="19"/>
  <c r="H17" i="19" s="1"/>
  <c r="N17" i="22"/>
  <c r="P18" i="22"/>
  <c r="Q17" i="20"/>
  <c r="L17" i="20" s="1"/>
  <c r="J29" i="2"/>
  <c r="I29" i="2"/>
  <c r="H29" i="2" s="1"/>
  <c r="T29" i="2"/>
  <c r="AE51" i="10"/>
  <c r="N28" i="10"/>
  <c r="K28" i="10" s="1"/>
  <c r="M28" i="9"/>
  <c r="K28" i="9"/>
  <c r="R28" i="9"/>
  <c r="P17" i="24"/>
  <c r="N16" i="24"/>
  <c r="T26" i="8"/>
  <c r="J26" i="8"/>
  <c r="T25" i="13"/>
  <c r="J25" i="13"/>
  <c r="I31" i="1"/>
  <c r="H31" i="1" s="1"/>
  <c r="T31" i="1"/>
  <c r="J31" i="1"/>
  <c r="AJ4" i="1"/>
  <c r="M29" i="4"/>
  <c r="K29" i="4"/>
  <c r="R29" i="4"/>
  <c r="R26" i="13"/>
  <c r="K26" i="13"/>
  <c r="T26" i="14"/>
  <c r="J26" i="14"/>
  <c r="AE54" i="5"/>
  <c r="F100" i="5"/>
  <c r="G100" i="5" s="1"/>
  <c r="S30" i="5" s="1"/>
  <c r="Q30" i="5" s="1"/>
  <c r="P30" i="5"/>
  <c r="N30" i="5" s="1"/>
  <c r="R18" i="18"/>
  <c r="K18" i="18"/>
  <c r="M18" i="18"/>
  <c r="Q18" i="19"/>
  <c r="L18" i="19" s="1"/>
  <c r="AE51" i="6"/>
  <c r="N28" i="6"/>
  <c r="M99" i="12"/>
  <c r="Q122" i="12"/>
  <c r="P30" i="12"/>
  <c r="F99" i="12"/>
  <c r="G99" i="12" s="1"/>
  <c r="S29" i="12" s="1"/>
  <c r="Q29" i="12" s="1"/>
  <c r="L29" i="12" s="1"/>
  <c r="O29" i="12"/>
  <c r="N29" i="12" s="1"/>
  <c r="Q28" i="6"/>
  <c r="L28" i="6" s="1"/>
  <c r="J30" i="7"/>
  <c r="T30" i="7"/>
  <c r="AJ4" i="7"/>
  <c r="O30" i="10"/>
  <c r="P29" i="10"/>
  <c r="F99" i="10"/>
  <c r="G99" i="10" s="1"/>
  <c r="S29" i="10" s="1"/>
  <c r="Q29" i="10" s="1"/>
  <c r="L29" i="10" s="1"/>
  <c r="AE52" i="10"/>
  <c r="N28" i="9"/>
  <c r="AE51" i="9"/>
  <c r="N18" i="21"/>
  <c r="P19" i="21"/>
  <c r="Q100" i="18"/>
  <c r="O19" i="18"/>
  <c r="F88" i="18"/>
  <c r="G88" i="18" s="1"/>
  <c r="S19" i="18" s="1"/>
  <c r="M88" i="18"/>
  <c r="M99" i="4"/>
  <c r="O30" i="4"/>
  <c r="N30" i="4" s="1"/>
  <c r="Q122" i="4"/>
  <c r="F99" i="4"/>
  <c r="G99" i="4" s="1"/>
  <c r="S30" i="4" s="1"/>
  <c r="Q30" i="4" s="1"/>
  <c r="L30" i="4" s="1"/>
  <c r="P31" i="4"/>
  <c r="Q18" i="17"/>
  <c r="L18" i="17" s="1"/>
  <c r="T29" i="7"/>
  <c r="J29" i="7"/>
  <c r="O29" i="16"/>
  <c r="N29" i="16" s="1"/>
  <c r="AE54" i="16"/>
  <c r="M100" i="16"/>
  <c r="F100" i="16"/>
  <c r="G100" i="16" s="1"/>
  <c r="S29" i="16" s="1"/>
  <c r="P30" i="16"/>
  <c r="L30" i="5"/>
  <c r="R30" i="5" s="1"/>
  <c r="Q29" i="5"/>
  <c r="L29" i="5" s="1"/>
  <c r="P17" i="23"/>
  <c r="N16" i="23"/>
  <c r="R28" i="5"/>
  <c r="K28" i="5"/>
  <c r="P31" i="2"/>
  <c r="N31" i="2" s="1"/>
  <c r="F100" i="2"/>
  <c r="G100" i="2" s="1"/>
  <c r="S31" i="2" s="1"/>
  <c r="Q31" i="2" s="1"/>
  <c r="L31" i="2" s="1"/>
  <c r="AE54" i="2"/>
  <c r="AE52" i="9"/>
  <c r="O30" i="9"/>
  <c r="P29" i="9"/>
  <c r="F99" i="9"/>
  <c r="G99" i="9" s="1"/>
  <c r="S29" i="9" s="1"/>
  <c r="Q29" i="9" s="1"/>
  <c r="L29" i="9" s="1"/>
  <c r="Q18" i="21"/>
  <c r="L18" i="21" s="1"/>
  <c r="AE51" i="13"/>
  <c r="N27" i="13"/>
  <c r="T27" i="5"/>
  <c r="J27" i="5"/>
  <c r="J26" i="16"/>
  <c r="T26" i="16"/>
  <c r="Q16" i="24"/>
  <c r="L16" i="24" s="1"/>
  <c r="AE52" i="13"/>
  <c r="F99" i="13"/>
  <c r="G99" i="13" s="1"/>
  <c r="S28" i="13" s="1"/>
  <c r="O29" i="13"/>
  <c r="P28" i="13"/>
  <c r="T15" i="24"/>
  <c r="J15" i="24"/>
  <c r="AE54" i="11"/>
  <c r="O30" i="11"/>
  <c r="N30" i="11" s="1"/>
  <c r="P31" i="11"/>
  <c r="F100" i="11"/>
  <c r="G100" i="11" s="1"/>
  <c r="S30" i="11" s="1"/>
  <c r="Q30" i="11" s="1"/>
  <c r="L30" i="11" s="1"/>
  <c r="M99" i="11"/>
  <c r="R27" i="8"/>
  <c r="M27" i="8"/>
  <c r="K27" i="8"/>
  <c r="T28" i="3"/>
  <c r="J28" i="3"/>
  <c r="I28" i="3" s="1"/>
  <c r="H28" i="3" s="1"/>
  <c r="J17" i="21"/>
  <c r="T17" i="21"/>
  <c r="N17" i="20"/>
  <c r="P18" i="20"/>
  <c r="R30" i="2"/>
  <c r="M30" i="2"/>
  <c r="K30" i="2"/>
  <c r="K28" i="12"/>
  <c r="R28" i="12"/>
  <c r="M28" i="12"/>
  <c r="AE53" i="14"/>
  <c r="N28" i="14"/>
  <c r="F100" i="14"/>
  <c r="G100" i="14" s="1"/>
  <c r="S29" i="14" s="1"/>
  <c r="AE54" i="14"/>
  <c r="P29" i="14"/>
  <c r="N29" i="14" s="1"/>
  <c r="F11" i="14" s="1"/>
  <c r="O30" i="14"/>
  <c r="AE52" i="15"/>
  <c r="P29" i="15"/>
  <c r="F99" i="15"/>
  <c r="G99" i="15" s="1"/>
  <c r="S28" i="15" s="1"/>
  <c r="O28" i="15"/>
  <c r="N28" i="15" s="1"/>
  <c r="M99" i="15"/>
  <c r="Q28" i="8"/>
  <c r="L28" i="8" s="1"/>
  <c r="Q28" i="14"/>
  <c r="L28" i="14" s="1"/>
  <c r="R27" i="16"/>
  <c r="M27" i="16"/>
  <c r="K27" i="16"/>
  <c r="P30" i="8"/>
  <c r="AE52" i="8"/>
  <c r="O29" i="8"/>
  <c r="N29" i="8" s="1"/>
  <c r="M99" i="8"/>
  <c r="F99" i="8"/>
  <c r="G99" i="8" s="1"/>
  <c r="S29" i="8" s="1"/>
  <c r="P19" i="19"/>
  <c r="N18" i="19"/>
  <c r="Q27" i="13"/>
  <c r="L27" i="13" s="1"/>
  <c r="R26" i="15"/>
  <c r="K26" i="15"/>
  <c r="M26" i="15"/>
  <c r="K29" i="11"/>
  <c r="M29" i="11"/>
  <c r="R29" i="11"/>
  <c r="R27" i="6"/>
  <c r="K27" i="6"/>
  <c r="AE53" i="2"/>
  <c r="N30" i="2"/>
  <c r="R27" i="14"/>
  <c r="K27" i="14"/>
  <c r="J28" i="10" l="1"/>
  <c r="I28" i="10" s="1"/>
  <c r="H28" i="10" s="1"/>
  <c r="T28" i="10"/>
  <c r="R28" i="8"/>
  <c r="K28" i="8"/>
  <c r="M28" i="8"/>
  <c r="AE54" i="10"/>
  <c r="F100" i="10"/>
  <c r="G100" i="10" s="1"/>
  <c r="S30" i="10" s="1"/>
  <c r="Q30" i="10" s="1"/>
  <c r="L30" i="10" s="1"/>
  <c r="O31" i="10"/>
  <c r="P30" i="10"/>
  <c r="N30" i="10" s="1"/>
  <c r="R16" i="24"/>
  <c r="K16" i="24"/>
  <c r="M16" i="24"/>
  <c r="F89" i="21"/>
  <c r="G89" i="21" s="1"/>
  <c r="S19" i="21" s="1"/>
  <c r="O19" i="21"/>
  <c r="M89" i="21"/>
  <c r="AE32" i="21"/>
  <c r="M100" i="12"/>
  <c r="O30" i="12"/>
  <c r="N30" i="12" s="1"/>
  <c r="Q124" i="12"/>
  <c r="F100" i="12"/>
  <c r="G100" i="12" s="1"/>
  <c r="S30" i="12" s="1"/>
  <c r="Q30" i="12" s="1"/>
  <c r="L30" i="12" s="1"/>
  <c r="P31" i="12"/>
  <c r="F88" i="22"/>
  <c r="G88" i="22" s="1"/>
  <c r="S18" i="22" s="1"/>
  <c r="AE30" i="22"/>
  <c r="M88" i="22"/>
  <c r="O18" i="22"/>
  <c r="O31" i="3"/>
  <c r="N31" i="3" s="1"/>
  <c r="F100" i="3"/>
  <c r="G100" i="3" s="1"/>
  <c r="S31" i="3" s="1"/>
  <c r="Q31" i="3" s="1"/>
  <c r="L31" i="3" s="1"/>
  <c r="M100" i="3"/>
  <c r="AE54" i="3"/>
  <c r="N29" i="6"/>
  <c r="AE53" i="6"/>
  <c r="R17" i="22"/>
  <c r="K17" i="22"/>
  <c r="M17" i="22"/>
  <c r="M100" i="8"/>
  <c r="O30" i="8"/>
  <c r="N30" i="8" s="1"/>
  <c r="F12" i="8" s="1"/>
  <c r="F100" i="8"/>
  <c r="G100" i="8" s="1"/>
  <c r="S30" i="8" s="1"/>
  <c r="Q30" i="8" s="1"/>
  <c r="F11" i="8" s="1"/>
  <c r="AE54" i="8"/>
  <c r="T28" i="5"/>
  <c r="J28" i="5"/>
  <c r="T26" i="13"/>
  <c r="J26" i="13"/>
  <c r="J30" i="2"/>
  <c r="I30" i="2" s="1"/>
  <c r="H30" i="2" s="1"/>
  <c r="T30" i="2"/>
  <c r="J18" i="18"/>
  <c r="I18" i="18" s="1"/>
  <c r="H18" i="18" s="1"/>
  <c r="T18" i="18"/>
  <c r="AE53" i="9"/>
  <c r="N29" i="9"/>
  <c r="AE54" i="6"/>
  <c r="F100" i="6"/>
  <c r="G100" i="6" s="1"/>
  <c r="S30" i="6" s="1"/>
  <c r="Q30" i="6" s="1"/>
  <c r="F12" i="6" s="1"/>
  <c r="P30" i="6"/>
  <c r="N30" i="6" s="1"/>
  <c r="F11" i="6" s="1"/>
  <c r="M100" i="11"/>
  <c r="F101" i="11"/>
  <c r="G101" i="11" s="1"/>
  <c r="S31" i="11" s="1"/>
  <c r="Q31" i="11" s="1"/>
  <c r="L31" i="11" s="1"/>
  <c r="O31" i="11"/>
  <c r="N31" i="11" s="1"/>
  <c r="M29" i="12"/>
  <c r="R29" i="12"/>
  <c r="K29" i="12"/>
  <c r="T27" i="16"/>
  <c r="J27" i="16"/>
  <c r="T29" i="11"/>
  <c r="I29" i="11"/>
  <c r="H29" i="11" s="1"/>
  <c r="J29" i="11"/>
  <c r="Q29" i="14"/>
  <c r="J27" i="8"/>
  <c r="T27" i="8"/>
  <c r="F100" i="9"/>
  <c r="G100" i="9" s="1"/>
  <c r="S30" i="9" s="1"/>
  <c r="Q30" i="9" s="1"/>
  <c r="L30" i="9" s="1"/>
  <c r="O31" i="9"/>
  <c r="P30" i="9"/>
  <c r="N30" i="9" s="1"/>
  <c r="AE54" i="9"/>
  <c r="M88" i="23"/>
  <c r="F88" i="23"/>
  <c r="G88" i="23" s="1"/>
  <c r="S17" i="23" s="1"/>
  <c r="AE30" i="23"/>
  <c r="O17" i="23"/>
  <c r="F12" i="5"/>
  <c r="F11" i="5"/>
  <c r="T29" i="4"/>
  <c r="J29" i="4"/>
  <c r="I29" i="4" s="1"/>
  <c r="H29" i="4" s="1"/>
  <c r="K30" i="3"/>
  <c r="R30" i="3"/>
  <c r="M30" i="3"/>
  <c r="P30" i="14"/>
  <c r="N30" i="14" s="1"/>
  <c r="F101" i="14"/>
  <c r="G101" i="14" s="1"/>
  <c r="S30" i="14" s="1"/>
  <c r="Q30" i="14" s="1"/>
  <c r="L30" i="14" s="1"/>
  <c r="M29" i="9"/>
  <c r="R29" i="9"/>
  <c r="K29" i="9"/>
  <c r="T27" i="14"/>
  <c r="J27" i="14"/>
  <c r="R28" i="14"/>
  <c r="K28" i="14"/>
  <c r="Q100" i="20"/>
  <c r="F88" i="20"/>
  <c r="G88" i="20" s="1"/>
  <c r="S18" i="20" s="1"/>
  <c r="M88" i="20"/>
  <c r="O18" i="20"/>
  <c r="R29" i="5"/>
  <c r="K29" i="5"/>
  <c r="R28" i="6"/>
  <c r="K28" i="6"/>
  <c r="Q29" i="6"/>
  <c r="L29" i="6" s="1"/>
  <c r="R16" i="23"/>
  <c r="M16" i="23"/>
  <c r="K16" i="23"/>
  <c r="M88" i="17"/>
  <c r="AE30" i="17"/>
  <c r="O19" i="17"/>
  <c r="F88" i="17"/>
  <c r="G88" i="17" s="1"/>
  <c r="S19" i="17" s="1"/>
  <c r="F89" i="19"/>
  <c r="G89" i="19" s="1"/>
  <c r="S19" i="19" s="1"/>
  <c r="M88" i="19"/>
  <c r="O19" i="19"/>
  <c r="AE32" i="19"/>
  <c r="K30" i="8"/>
  <c r="Q29" i="8"/>
  <c r="L29" i="8" s="1"/>
  <c r="M30" i="8"/>
  <c r="L30" i="8"/>
  <c r="R30" i="8" s="1"/>
  <c r="J26" i="15"/>
  <c r="T26" i="15"/>
  <c r="Q28" i="15"/>
  <c r="L28" i="15" s="1"/>
  <c r="N28" i="13"/>
  <c r="AE53" i="13"/>
  <c r="K30" i="5"/>
  <c r="AI8" i="1"/>
  <c r="AJ5" i="1"/>
  <c r="J73" i="1" s="1"/>
  <c r="R28" i="16"/>
  <c r="M28" i="16"/>
  <c r="K28" i="16"/>
  <c r="R27" i="15"/>
  <c r="K27" i="15"/>
  <c r="M27" i="15"/>
  <c r="R27" i="13"/>
  <c r="K27" i="13"/>
  <c r="Q29" i="16"/>
  <c r="T29" i="3"/>
  <c r="J29" i="3"/>
  <c r="I29" i="3"/>
  <c r="H29" i="3" s="1"/>
  <c r="K30" i="4"/>
  <c r="R30" i="4"/>
  <c r="M30" i="4"/>
  <c r="F100" i="13"/>
  <c r="G100" i="13" s="1"/>
  <c r="S29" i="13" s="1"/>
  <c r="O30" i="13"/>
  <c r="P29" i="13"/>
  <c r="N29" i="13" s="1"/>
  <c r="AE54" i="13"/>
  <c r="R18" i="21"/>
  <c r="K18" i="21"/>
  <c r="M18" i="21"/>
  <c r="M31" i="2"/>
  <c r="K31" i="2"/>
  <c r="R31" i="2"/>
  <c r="K18" i="17"/>
  <c r="M18" i="17"/>
  <c r="R18" i="17"/>
  <c r="Q19" i="18"/>
  <c r="L19" i="18" s="1"/>
  <c r="R29" i="10"/>
  <c r="M29" i="10"/>
  <c r="K29" i="10"/>
  <c r="M18" i="19"/>
  <c r="K18" i="19"/>
  <c r="R18" i="19"/>
  <c r="M88" i="24"/>
  <c r="O17" i="24"/>
  <c r="F88" i="24"/>
  <c r="G88" i="24" s="1"/>
  <c r="S17" i="24" s="1"/>
  <c r="AE30" i="24"/>
  <c r="J28" i="12"/>
  <c r="I28" i="12" s="1"/>
  <c r="H28" i="12" s="1"/>
  <c r="T28" i="12"/>
  <c r="M100" i="4"/>
  <c r="F100" i="4"/>
  <c r="G100" i="4" s="1"/>
  <c r="S31" i="4" s="1"/>
  <c r="Q31" i="4" s="1"/>
  <c r="L31" i="4" s="1"/>
  <c r="Q124" i="4"/>
  <c r="O31" i="4"/>
  <c r="N31" i="4" s="1"/>
  <c r="J28" i="9"/>
  <c r="I28" i="9"/>
  <c r="H28" i="9" s="1"/>
  <c r="T28" i="9"/>
  <c r="F11" i="11"/>
  <c r="F12" i="11"/>
  <c r="AJ5" i="7"/>
  <c r="J73" i="7" s="1"/>
  <c r="AI8" i="7"/>
  <c r="F100" i="15"/>
  <c r="G100" i="15" s="1"/>
  <c r="S29" i="15" s="1"/>
  <c r="M100" i="15"/>
  <c r="AE54" i="15"/>
  <c r="P30" i="15"/>
  <c r="O29" i="15"/>
  <c r="N29" i="15" s="1"/>
  <c r="F12" i="15" s="1"/>
  <c r="J27" i="6"/>
  <c r="T27" i="6"/>
  <c r="R30" i="11"/>
  <c r="M30" i="11"/>
  <c r="K30" i="11"/>
  <c r="Q28" i="13"/>
  <c r="L28" i="13" s="1"/>
  <c r="F11" i="2"/>
  <c r="F12" i="2"/>
  <c r="O30" i="16"/>
  <c r="N30" i="16" s="1"/>
  <c r="F101" i="16"/>
  <c r="G101" i="16" s="1"/>
  <c r="S30" i="16" s="1"/>
  <c r="Q30" i="16" s="1"/>
  <c r="L30" i="16" s="1"/>
  <c r="N19" i="18"/>
  <c r="P20" i="18"/>
  <c r="AE53" i="10"/>
  <c r="N29" i="10"/>
  <c r="K17" i="20"/>
  <c r="R17" i="20"/>
  <c r="M17" i="20"/>
  <c r="R30" i="16" l="1"/>
  <c r="M30" i="16"/>
  <c r="K30" i="16"/>
  <c r="R30" i="14"/>
  <c r="K30" i="14"/>
  <c r="P20" i="17"/>
  <c r="N19" i="17"/>
  <c r="K30" i="10"/>
  <c r="R30" i="10"/>
  <c r="M30" i="10"/>
  <c r="J30" i="11"/>
  <c r="T30" i="11"/>
  <c r="I30" i="11"/>
  <c r="H30" i="11" s="1"/>
  <c r="T31" i="2"/>
  <c r="J31" i="2"/>
  <c r="I31" i="2" s="1"/>
  <c r="H31" i="2" s="1"/>
  <c r="AJ4" i="2"/>
  <c r="Q29" i="13"/>
  <c r="L29" i="13" s="1"/>
  <c r="J28" i="16"/>
  <c r="T28" i="16"/>
  <c r="R29" i="8"/>
  <c r="M29" i="8"/>
  <c r="K29" i="8"/>
  <c r="T28" i="6"/>
  <c r="J28" i="6"/>
  <c r="T28" i="14"/>
  <c r="J28" i="14"/>
  <c r="K30" i="9"/>
  <c r="R30" i="9"/>
  <c r="M30" i="9"/>
  <c r="Q18" i="22"/>
  <c r="L18" i="22" s="1"/>
  <c r="P20" i="21"/>
  <c r="N19" i="21"/>
  <c r="F101" i="13"/>
  <c r="G101" i="13" s="1"/>
  <c r="S30" i="13" s="1"/>
  <c r="Q30" i="13" s="1"/>
  <c r="L30" i="13" s="1"/>
  <c r="P30" i="13"/>
  <c r="N30" i="13" s="1"/>
  <c r="F12" i="4"/>
  <c r="F11" i="4"/>
  <c r="J30" i="8"/>
  <c r="T30" i="8"/>
  <c r="AJ4" i="8"/>
  <c r="P18" i="23"/>
  <c r="N17" i="23"/>
  <c r="F101" i="12"/>
  <c r="G101" i="12" s="1"/>
  <c r="S31" i="12" s="1"/>
  <c r="Q31" i="12" s="1"/>
  <c r="L31" i="12" s="1"/>
  <c r="O31" i="12"/>
  <c r="N31" i="12" s="1"/>
  <c r="Q19" i="21"/>
  <c r="L19" i="21" s="1"/>
  <c r="T29" i="10"/>
  <c r="J29" i="10"/>
  <c r="I29" i="10"/>
  <c r="H29" i="10" s="1"/>
  <c r="M31" i="11"/>
  <c r="R31" i="11"/>
  <c r="K31" i="11"/>
  <c r="P18" i="24"/>
  <c r="N17" i="24"/>
  <c r="T16" i="23"/>
  <c r="J16" i="23"/>
  <c r="M30" i="12"/>
  <c r="R30" i="12"/>
  <c r="K30" i="12"/>
  <c r="T28" i="8"/>
  <c r="J28" i="8"/>
  <c r="Q17" i="24"/>
  <c r="L17" i="24" s="1"/>
  <c r="J74" i="7"/>
  <c r="K4" i="7" s="1"/>
  <c r="M31" i="4"/>
  <c r="K31" i="4"/>
  <c r="R31" i="4"/>
  <c r="J18" i="21"/>
  <c r="T18" i="21"/>
  <c r="J30" i="4"/>
  <c r="I30" i="4" s="1"/>
  <c r="H30" i="4" s="1"/>
  <c r="T30" i="4"/>
  <c r="J27" i="13"/>
  <c r="T27" i="13"/>
  <c r="J75" i="1"/>
  <c r="K6" i="1" s="1"/>
  <c r="J74" i="1"/>
  <c r="K5" i="1" s="1"/>
  <c r="P20" i="19"/>
  <c r="N19" i="19"/>
  <c r="T30" i="3"/>
  <c r="J30" i="3"/>
  <c r="I30" i="3"/>
  <c r="H30" i="3" s="1"/>
  <c r="Q17" i="23"/>
  <c r="L17" i="23" s="1"/>
  <c r="T29" i="12"/>
  <c r="J29" i="12"/>
  <c r="I29" i="12"/>
  <c r="H29" i="12" s="1"/>
  <c r="R31" i="3"/>
  <c r="M31" i="3"/>
  <c r="K31" i="3"/>
  <c r="T16" i="24"/>
  <c r="J16" i="24"/>
  <c r="F11" i="16"/>
  <c r="F12" i="16"/>
  <c r="L29" i="16"/>
  <c r="R28" i="15"/>
  <c r="M28" i="15"/>
  <c r="K28" i="15"/>
  <c r="T29" i="5"/>
  <c r="J29" i="5"/>
  <c r="T17" i="20"/>
  <c r="J17" i="20"/>
  <c r="I17" i="20" s="1"/>
  <c r="H17" i="20" s="1"/>
  <c r="P19" i="20"/>
  <c r="N18" i="20"/>
  <c r="T29" i="9"/>
  <c r="J29" i="9"/>
  <c r="I29" i="9"/>
  <c r="H29" i="9" s="1"/>
  <c r="F12" i="14"/>
  <c r="L29" i="14"/>
  <c r="F11" i="3"/>
  <c r="F12" i="3"/>
  <c r="F11" i="12"/>
  <c r="F12" i="12"/>
  <c r="P31" i="9"/>
  <c r="N31" i="9" s="1"/>
  <c r="F101" i="9"/>
  <c r="G101" i="9" s="1"/>
  <c r="S31" i="9" s="1"/>
  <c r="Q31" i="9" s="1"/>
  <c r="L31" i="9" s="1"/>
  <c r="Q29" i="15"/>
  <c r="M19" i="18"/>
  <c r="K19" i="18"/>
  <c r="R19" i="18"/>
  <c r="T18" i="19"/>
  <c r="J18" i="19"/>
  <c r="I18" i="19" s="1"/>
  <c r="H18" i="19" s="1"/>
  <c r="T30" i="5"/>
  <c r="J30" i="5"/>
  <c r="AJ4" i="5"/>
  <c r="Q19" i="19"/>
  <c r="L19" i="19" s="1"/>
  <c r="L30" i="6"/>
  <c r="J17" i="22"/>
  <c r="T17" i="22"/>
  <c r="N18" i="22"/>
  <c r="P19" i="22"/>
  <c r="F11" i="10"/>
  <c r="F12" i="10"/>
  <c r="O20" i="18"/>
  <c r="M89" i="18"/>
  <c r="Q102" i="18"/>
  <c r="F89" i="18"/>
  <c r="G89" i="18" s="1"/>
  <c r="S20" i="18" s="1"/>
  <c r="R28" i="13"/>
  <c r="K28" i="13"/>
  <c r="O30" i="15"/>
  <c r="N30" i="15" s="1"/>
  <c r="F101" i="15"/>
  <c r="G101" i="15" s="1"/>
  <c r="S30" i="15" s="1"/>
  <c r="Q30" i="15" s="1"/>
  <c r="L30" i="15" s="1"/>
  <c r="T18" i="17"/>
  <c r="J18" i="17"/>
  <c r="I18" i="17" s="1"/>
  <c r="H18" i="17" s="1"/>
  <c r="F11" i="13"/>
  <c r="F12" i="13"/>
  <c r="J27" i="15"/>
  <c r="T27" i="15"/>
  <c r="Q19" i="17"/>
  <c r="L19" i="17" s="1"/>
  <c r="R29" i="6"/>
  <c r="K29" i="6"/>
  <c r="Q18" i="20"/>
  <c r="L18" i="20" s="1"/>
  <c r="F11" i="9"/>
  <c r="F12" i="9"/>
  <c r="P31" i="10"/>
  <c r="N31" i="10" s="1"/>
  <c r="F101" i="10"/>
  <c r="G101" i="10" s="1"/>
  <c r="S31" i="10" s="1"/>
  <c r="Q31" i="10" s="1"/>
  <c r="L31" i="10" s="1"/>
  <c r="R30" i="15" l="1"/>
  <c r="M30" i="15"/>
  <c r="K30" i="15"/>
  <c r="R30" i="13"/>
  <c r="K30" i="13"/>
  <c r="AI8" i="5"/>
  <c r="AJ5" i="5"/>
  <c r="J73" i="5" s="1"/>
  <c r="I6" i="1"/>
  <c r="H6" i="1" s="1"/>
  <c r="L6" i="1"/>
  <c r="J6" i="1"/>
  <c r="T28" i="13"/>
  <c r="J28" i="13"/>
  <c r="AE32" i="22"/>
  <c r="F89" i="22"/>
  <c r="G89" i="22" s="1"/>
  <c r="S19" i="22" s="1"/>
  <c r="O19" i="22"/>
  <c r="M89" i="22"/>
  <c r="Q102" i="20"/>
  <c r="O19" i="20"/>
  <c r="F89" i="20"/>
  <c r="G89" i="20" s="1"/>
  <c r="S19" i="20" s="1"/>
  <c r="M89" i="20"/>
  <c r="J31" i="4"/>
  <c r="I31" i="4"/>
  <c r="H31" i="4" s="1"/>
  <c r="T31" i="4"/>
  <c r="AJ4" i="4"/>
  <c r="AJ5" i="4" s="1"/>
  <c r="J73" i="4" s="1"/>
  <c r="R17" i="24"/>
  <c r="K17" i="24"/>
  <c r="M17" i="24"/>
  <c r="R19" i="21"/>
  <c r="K19" i="21"/>
  <c r="M19" i="21"/>
  <c r="F89" i="23"/>
  <c r="G89" i="23" s="1"/>
  <c r="S18" i="23" s="1"/>
  <c r="M89" i="23"/>
  <c r="AE32" i="23"/>
  <c r="O18" i="23"/>
  <c r="F11" i="15"/>
  <c r="L29" i="15"/>
  <c r="R29" i="16"/>
  <c r="M29" i="16"/>
  <c r="K29" i="16"/>
  <c r="AJ4" i="16" s="1"/>
  <c r="F89" i="24"/>
  <c r="G89" i="24" s="1"/>
  <c r="S18" i="24" s="1"/>
  <c r="O18" i="24"/>
  <c r="M89" i="24"/>
  <c r="AE32" i="24"/>
  <c r="AI8" i="8"/>
  <c r="AJ5" i="8"/>
  <c r="J73" i="8" s="1"/>
  <c r="AE34" i="21"/>
  <c r="M90" i="21"/>
  <c r="F90" i="21"/>
  <c r="G90" i="21" s="1"/>
  <c r="S20" i="21" s="1"/>
  <c r="O20" i="21"/>
  <c r="T30" i="9"/>
  <c r="I30" i="9"/>
  <c r="H30" i="9" s="1"/>
  <c r="J30" i="9"/>
  <c r="F89" i="17"/>
  <c r="G89" i="17" s="1"/>
  <c r="S20" i="17" s="1"/>
  <c r="O20" i="17"/>
  <c r="M89" i="17"/>
  <c r="AE32" i="17"/>
  <c r="Q20" i="18"/>
  <c r="L20" i="18" s="1"/>
  <c r="R29" i="14"/>
  <c r="K29" i="14"/>
  <c r="I4" i="7"/>
  <c r="T4" i="7"/>
  <c r="L4" i="7"/>
  <c r="J4" i="7"/>
  <c r="T31" i="11"/>
  <c r="J31" i="11"/>
  <c r="I31" i="11" s="1"/>
  <c r="H31" i="11" s="1"/>
  <c r="AJ4" i="11"/>
  <c r="J30" i="14"/>
  <c r="T30" i="14"/>
  <c r="AJ4" i="14"/>
  <c r="I30" i="10"/>
  <c r="H30" i="10" s="1"/>
  <c r="J30" i="10"/>
  <c r="T30" i="10"/>
  <c r="J75" i="7"/>
  <c r="K5" i="7" s="1"/>
  <c r="J30" i="12"/>
  <c r="I30" i="12" s="1"/>
  <c r="H30" i="12" s="1"/>
  <c r="T30" i="12"/>
  <c r="T29" i="6"/>
  <c r="J29" i="6"/>
  <c r="R30" i="6"/>
  <c r="K30" i="6"/>
  <c r="K31" i="9"/>
  <c r="R31" i="9"/>
  <c r="M31" i="9"/>
  <c r="R18" i="22"/>
  <c r="K18" i="22"/>
  <c r="M18" i="22"/>
  <c r="R29" i="13"/>
  <c r="K29" i="13"/>
  <c r="T30" i="16"/>
  <c r="J30" i="16"/>
  <c r="M18" i="20"/>
  <c r="R18" i="20"/>
  <c r="K18" i="20"/>
  <c r="M31" i="10"/>
  <c r="R31" i="10"/>
  <c r="K31" i="10"/>
  <c r="P21" i="18"/>
  <c r="N20" i="18"/>
  <c r="K19" i="19"/>
  <c r="R19" i="19"/>
  <c r="M19" i="19"/>
  <c r="M89" i="19"/>
  <c r="AE34" i="19"/>
  <c r="F90" i="19"/>
  <c r="G90" i="19" s="1"/>
  <c r="S20" i="19" s="1"/>
  <c r="O20" i="19"/>
  <c r="R19" i="17"/>
  <c r="M19" i="17"/>
  <c r="K19" i="17"/>
  <c r="T19" i="18"/>
  <c r="J19" i="18"/>
  <c r="I19" i="18"/>
  <c r="H19" i="18" s="1"/>
  <c r="T28" i="15"/>
  <c r="J28" i="15"/>
  <c r="J31" i="3"/>
  <c r="I31" i="3" s="1"/>
  <c r="H31" i="3" s="1"/>
  <c r="T31" i="3"/>
  <c r="AJ4" i="3"/>
  <c r="R17" i="23"/>
  <c r="K17" i="23"/>
  <c r="M17" i="23"/>
  <c r="T5" i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T16" i="1" s="1"/>
  <c r="J5" i="1"/>
  <c r="L5" i="1"/>
  <c r="I5" i="1"/>
  <c r="K31" i="12"/>
  <c r="R31" i="12"/>
  <c r="M31" i="12"/>
  <c r="T29" i="8"/>
  <c r="J29" i="8"/>
  <c r="AJ5" i="2"/>
  <c r="J73" i="2" s="1"/>
  <c r="AI8" i="2"/>
  <c r="AJ5" i="16" l="1"/>
  <c r="J73" i="16" s="1"/>
  <c r="AI8" i="16"/>
  <c r="AC5" i="1"/>
  <c r="H5" i="1"/>
  <c r="AJ5" i="14"/>
  <c r="J73" i="14" s="1"/>
  <c r="AI8" i="14"/>
  <c r="E18" i="1"/>
  <c r="R5" i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F8" i="1"/>
  <c r="M5" i="1"/>
  <c r="J19" i="19"/>
  <c r="I19" i="19"/>
  <c r="H19" i="19" s="1"/>
  <c r="T19" i="19"/>
  <c r="P21" i="17"/>
  <c r="N20" i="17"/>
  <c r="Q19" i="22"/>
  <c r="L19" i="22" s="1"/>
  <c r="J74" i="5"/>
  <c r="K4" i="5" s="1"/>
  <c r="J19" i="17"/>
  <c r="I19" i="17"/>
  <c r="H19" i="17" s="1"/>
  <c r="T19" i="17"/>
  <c r="H4" i="7"/>
  <c r="Q20" i="17"/>
  <c r="L20" i="17" s="1"/>
  <c r="J74" i="8"/>
  <c r="K4" i="8" s="1"/>
  <c r="T19" i="21"/>
  <c r="J19" i="21"/>
  <c r="R4" i="7"/>
  <c r="M4" i="7"/>
  <c r="J74" i="2"/>
  <c r="K5" i="2" s="1"/>
  <c r="P21" i="19"/>
  <c r="N20" i="19"/>
  <c r="Q104" i="18"/>
  <c r="M90" i="18"/>
  <c r="O21" i="18"/>
  <c r="F90" i="18"/>
  <c r="G90" i="18" s="1"/>
  <c r="S21" i="18" s="1"/>
  <c r="AJ5" i="11"/>
  <c r="J73" i="11" s="1"/>
  <c r="AI8" i="11"/>
  <c r="T29" i="14"/>
  <c r="J29" i="14"/>
  <c r="R29" i="15"/>
  <c r="K29" i="15"/>
  <c r="M29" i="15"/>
  <c r="T30" i="13"/>
  <c r="J30" i="13"/>
  <c r="AJ4" i="13"/>
  <c r="J31" i="10"/>
  <c r="I31" i="10" s="1"/>
  <c r="H31" i="10" s="1"/>
  <c r="T31" i="10"/>
  <c r="AJ4" i="10"/>
  <c r="L5" i="7"/>
  <c r="F8" i="7" s="1"/>
  <c r="J5" i="7"/>
  <c r="I5" i="7" s="1"/>
  <c r="T5" i="7"/>
  <c r="T6" i="7" s="1"/>
  <c r="T7" i="7" s="1"/>
  <c r="T8" i="7" s="1"/>
  <c r="T9" i="7" s="1"/>
  <c r="T10" i="7" s="1"/>
  <c r="T11" i="7" s="1"/>
  <c r="T12" i="7" s="1"/>
  <c r="T13" i="7" s="1"/>
  <c r="Q19" i="20"/>
  <c r="L19" i="20" s="1"/>
  <c r="Q18" i="23"/>
  <c r="L18" i="23" s="1"/>
  <c r="Q20" i="19"/>
  <c r="L20" i="19" s="1"/>
  <c r="J17" i="23"/>
  <c r="T17" i="23"/>
  <c r="T29" i="13"/>
  <c r="J29" i="13"/>
  <c r="K20" i="18"/>
  <c r="R20" i="18"/>
  <c r="M20" i="18"/>
  <c r="N18" i="23"/>
  <c r="P19" i="23"/>
  <c r="J17" i="24"/>
  <c r="T17" i="24"/>
  <c r="N19" i="20"/>
  <c r="P20" i="20"/>
  <c r="J30" i="15"/>
  <c r="T30" i="15"/>
  <c r="AJ4" i="15"/>
  <c r="T29" i="16"/>
  <c r="J29" i="16"/>
  <c r="J31" i="9"/>
  <c r="T31" i="9"/>
  <c r="I31" i="9"/>
  <c r="H31" i="9" s="1"/>
  <c r="AJ4" i="9"/>
  <c r="J30" i="6"/>
  <c r="T30" i="6"/>
  <c r="AJ4" i="6"/>
  <c r="P21" i="21"/>
  <c r="N20" i="21"/>
  <c r="P19" i="24"/>
  <c r="N18" i="24"/>
  <c r="M6" i="1"/>
  <c r="T18" i="22"/>
  <c r="J18" i="22"/>
  <c r="N19" i="22"/>
  <c r="P20" i="22"/>
  <c r="T31" i="12"/>
  <c r="J31" i="12"/>
  <c r="I31" i="12" s="1"/>
  <c r="H31" i="12" s="1"/>
  <c r="AJ4" i="12"/>
  <c r="AJ5" i="12" s="1"/>
  <c r="J73" i="12" s="1"/>
  <c r="AI8" i="3"/>
  <c r="AJ5" i="3"/>
  <c r="J73" i="3" s="1"/>
  <c r="T18" i="20"/>
  <c r="J18" i="20"/>
  <c r="I18" i="20"/>
  <c r="H18" i="20" s="1"/>
  <c r="Q20" i="21"/>
  <c r="L20" i="21" s="1"/>
  <c r="Q18" i="24"/>
  <c r="L18" i="24" s="1"/>
  <c r="J74" i="4"/>
  <c r="K5" i="4" s="1"/>
  <c r="H5" i="7" l="1"/>
  <c r="AC5" i="7"/>
  <c r="AI8" i="9"/>
  <c r="AJ5" i="9"/>
  <c r="J73" i="9" s="1"/>
  <c r="K5" i="9" s="1"/>
  <c r="R18" i="23"/>
  <c r="K18" i="23"/>
  <c r="M18" i="23"/>
  <c r="K5" i="11"/>
  <c r="J74" i="11"/>
  <c r="J75" i="11" s="1"/>
  <c r="J75" i="2"/>
  <c r="K6" i="2" s="1"/>
  <c r="J75" i="8"/>
  <c r="K5" i="8" s="1"/>
  <c r="AJ5" i="13"/>
  <c r="J73" i="13" s="1"/>
  <c r="AI8" i="13"/>
  <c r="Q104" i="20"/>
  <c r="M90" i="20"/>
  <c r="F90" i="20"/>
  <c r="G90" i="20" s="1"/>
  <c r="S20" i="20" s="1"/>
  <c r="O20" i="20"/>
  <c r="T20" i="18"/>
  <c r="J20" i="18"/>
  <c r="I20" i="18"/>
  <c r="H20" i="18" s="1"/>
  <c r="Q21" i="18"/>
  <c r="L21" i="18" s="1"/>
  <c r="L4" i="5"/>
  <c r="J4" i="5"/>
  <c r="I4" i="5" s="1"/>
  <c r="T4" i="5"/>
  <c r="O21" i="17"/>
  <c r="M90" i="17"/>
  <c r="AE34" i="17"/>
  <c r="F90" i="17"/>
  <c r="G90" i="17" s="1"/>
  <c r="S21" i="17" s="1"/>
  <c r="O19" i="24"/>
  <c r="M90" i="24"/>
  <c r="AE34" i="24"/>
  <c r="F90" i="24"/>
  <c r="G90" i="24" s="1"/>
  <c r="S19" i="24" s="1"/>
  <c r="R5" i="7"/>
  <c r="R6" i="7" s="1"/>
  <c r="R7" i="7" s="1"/>
  <c r="R8" i="7" s="1"/>
  <c r="R9" i="7" s="1"/>
  <c r="R10" i="7" s="1"/>
  <c r="R11" i="7" s="1"/>
  <c r="R12" i="7" s="1"/>
  <c r="R13" i="7" s="1"/>
  <c r="M5" i="7"/>
  <c r="F7" i="7" s="1"/>
  <c r="N21" i="18"/>
  <c r="P22" i="18"/>
  <c r="M20" i="17"/>
  <c r="R20" i="17"/>
  <c r="K20" i="17"/>
  <c r="J75" i="5"/>
  <c r="K5" i="5" s="1"/>
  <c r="J74" i="14"/>
  <c r="J75" i="14" s="1"/>
  <c r="K4" i="14"/>
  <c r="F90" i="22"/>
  <c r="G90" i="22" s="1"/>
  <c r="S20" i="22" s="1"/>
  <c r="AE34" i="22"/>
  <c r="O20" i="22"/>
  <c r="M90" i="22"/>
  <c r="AI8" i="10"/>
  <c r="AJ5" i="10"/>
  <c r="J73" i="10" s="1"/>
  <c r="K5" i="10" s="1"/>
  <c r="J29" i="15"/>
  <c r="T29" i="15"/>
  <c r="J4" i="8"/>
  <c r="T4" i="8"/>
  <c r="L4" i="8"/>
  <c r="I4" i="8"/>
  <c r="R18" i="24"/>
  <c r="K18" i="24"/>
  <c r="M18" i="24"/>
  <c r="F91" i="21"/>
  <c r="G91" i="21" s="1"/>
  <c r="S21" i="21" s="1"/>
  <c r="AE36" i="21"/>
  <c r="O21" i="21"/>
  <c r="M91" i="21"/>
  <c r="E18" i="7"/>
  <c r="R19" i="22"/>
  <c r="K19" i="22"/>
  <c r="M19" i="22"/>
  <c r="AC6" i="1"/>
  <c r="AD5" i="1"/>
  <c r="AD6" i="1" s="1"/>
  <c r="K5" i="12"/>
  <c r="J74" i="12"/>
  <c r="J75" i="12" s="1"/>
  <c r="T5" i="2"/>
  <c r="L5" i="2"/>
  <c r="J5" i="2"/>
  <c r="I5" i="2" s="1"/>
  <c r="R20" i="21"/>
  <c r="M20" i="21"/>
  <c r="K20" i="21"/>
  <c r="J75" i="3"/>
  <c r="K6" i="3" s="1"/>
  <c r="J74" i="3"/>
  <c r="K5" i="3" s="1"/>
  <c r="AI8" i="6"/>
  <c r="AJ5" i="6"/>
  <c r="J73" i="6" s="1"/>
  <c r="M90" i="23"/>
  <c r="F90" i="23"/>
  <c r="G90" i="23" s="1"/>
  <c r="S19" i="23" s="1"/>
  <c r="AE34" i="23"/>
  <c r="O19" i="23"/>
  <c r="M19" i="20"/>
  <c r="R19" i="20"/>
  <c r="K19" i="20"/>
  <c r="F6" i="1"/>
  <c r="F7" i="1"/>
  <c r="J5" i="4"/>
  <c r="L5" i="4"/>
  <c r="I5" i="4"/>
  <c r="T5" i="4"/>
  <c r="R20" i="19"/>
  <c r="M20" i="19"/>
  <c r="K20" i="19"/>
  <c r="J75" i="4"/>
  <c r="K6" i="4" s="1"/>
  <c r="AJ5" i="15"/>
  <c r="J73" i="15" s="1"/>
  <c r="AI8" i="15"/>
  <c r="M90" i="19"/>
  <c r="F91" i="19"/>
  <c r="G91" i="19" s="1"/>
  <c r="S21" i="19" s="1"/>
  <c r="AE36" i="19"/>
  <c r="O21" i="19"/>
  <c r="J75" i="16"/>
  <c r="J74" i="16"/>
  <c r="K4" i="16"/>
  <c r="H4" i="5" l="1"/>
  <c r="H5" i="2"/>
  <c r="T19" i="20"/>
  <c r="J19" i="20"/>
  <c r="I19" i="20" s="1"/>
  <c r="H19" i="20" s="1"/>
  <c r="E18" i="2"/>
  <c r="R5" i="2"/>
  <c r="M5" i="2"/>
  <c r="T19" i="22"/>
  <c r="J19" i="22"/>
  <c r="T18" i="24"/>
  <c r="J18" i="24"/>
  <c r="I5" i="10"/>
  <c r="L5" i="10"/>
  <c r="J5" i="10"/>
  <c r="T5" i="10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M21" i="18"/>
  <c r="K21" i="18"/>
  <c r="R21" i="18"/>
  <c r="T18" i="23"/>
  <c r="J18" i="23"/>
  <c r="P22" i="19"/>
  <c r="N21" i="19"/>
  <c r="I5" i="3"/>
  <c r="T5" i="3"/>
  <c r="L5" i="3"/>
  <c r="J5" i="3"/>
  <c r="T5" i="5"/>
  <c r="T6" i="5" s="1"/>
  <c r="T7" i="5" s="1"/>
  <c r="T8" i="5" s="1"/>
  <c r="T9" i="5" s="1"/>
  <c r="T10" i="5" s="1"/>
  <c r="T11" i="5" s="1"/>
  <c r="T12" i="5" s="1"/>
  <c r="T13" i="5" s="1"/>
  <c r="T14" i="5" s="1"/>
  <c r="L5" i="5"/>
  <c r="J5" i="5"/>
  <c r="I5" i="5" s="1"/>
  <c r="J74" i="13"/>
  <c r="J75" i="13" s="1"/>
  <c r="K4" i="13"/>
  <c r="J20" i="19"/>
  <c r="I20" i="19"/>
  <c r="H20" i="19" s="1"/>
  <c r="T20" i="19"/>
  <c r="Q21" i="19"/>
  <c r="L21" i="19" s="1"/>
  <c r="J6" i="3"/>
  <c r="I6" i="3" s="1"/>
  <c r="H6" i="3" s="1"/>
  <c r="L6" i="3"/>
  <c r="T6" i="3"/>
  <c r="T7" i="3" s="1"/>
  <c r="T8" i="3" s="1"/>
  <c r="T9" i="3" s="1"/>
  <c r="T10" i="3" s="1"/>
  <c r="T11" i="3" s="1"/>
  <c r="H4" i="8"/>
  <c r="T20" i="17"/>
  <c r="J20" i="17"/>
  <c r="I20" i="17" s="1"/>
  <c r="H20" i="17" s="1"/>
  <c r="P22" i="17"/>
  <c r="N21" i="17"/>
  <c r="J5" i="8"/>
  <c r="I5" i="8"/>
  <c r="H5" i="8" s="1"/>
  <c r="T5" i="8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L5" i="8"/>
  <c r="J5" i="9"/>
  <c r="I5" i="9" s="1"/>
  <c r="T5" i="9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L5" i="9"/>
  <c r="Q106" i="18"/>
  <c r="M91" i="18"/>
  <c r="O22" i="18"/>
  <c r="F91" i="18"/>
  <c r="G91" i="18" s="1"/>
  <c r="S22" i="18" s="1"/>
  <c r="P21" i="22"/>
  <c r="N20" i="22"/>
  <c r="Q19" i="24"/>
  <c r="L19" i="24" s="1"/>
  <c r="T6" i="2"/>
  <c r="T7" i="2" s="1"/>
  <c r="T8" i="2" s="1"/>
  <c r="T9" i="2" s="1"/>
  <c r="T10" i="2" s="1"/>
  <c r="T11" i="2" s="1"/>
  <c r="T12" i="2" s="1"/>
  <c r="T13" i="2" s="1"/>
  <c r="T14" i="2" s="1"/>
  <c r="T15" i="2" s="1"/>
  <c r="T16" i="2" s="1"/>
  <c r="T17" i="2" s="1"/>
  <c r="T18" i="2" s="1"/>
  <c r="J6" i="2"/>
  <c r="L6" i="2"/>
  <c r="I6" i="2"/>
  <c r="H6" i="2" s="1"/>
  <c r="J74" i="6"/>
  <c r="K4" i="6" s="1"/>
  <c r="J75" i="6"/>
  <c r="K5" i="6" s="1"/>
  <c r="L74" i="4"/>
  <c r="H5" i="4"/>
  <c r="N19" i="23"/>
  <c r="P20" i="23"/>
  <c r="T20" i="21"/>
  <c r="J20" i="21"/>
  <c r="L5" i="12"/>
  <c r="J5" i="12"/>
  <c r="I5" i="12" s="1"/>
  <c r="T5" i="12"/>
  <c r="T6" i="12" s="1"/>
  <c r="T7" i="12" s="1"/>
  <c r="T8" i="12" s="1"/>
  <c r="T9" i="12" s="1"/>
  <c r="T10" i="12" s="1"/>
  <c r="T11" i="12" s="1"/>
  <c r="T12" i="12" s="1"/>
  <c r="T13" i="12" s="1"/>
  <c r="T14" i="12" s="1"/>
  <c r="F8" i="8"/>
  <c r="R4" i="8"/>
  <c r="M4" i="8"/>
  <c r="E18" i="8"/>
  <c r="R5" i="4"/>
  <c r="M5" i="4"/>
  <c r="P22" i="21"/>
  <c r="N21" i="21"/>
  <c r="N20" i="20"/>
  <c r="P21" i="20"/>
  <c r="AD5" i="7"/>
  <c r="AD6" i="7" s="1"/>
  <c r="Q21" i="17"/>
  <c r="L21" i="17" s="1"/>
  <c r="L4" i="16"/>
  <c r="J4" i="16"/>
  <c r="I4" i="16"/>
  <c r="T4" i="16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J74" i="15"/>
  <c r="J75" i="15" s="1"/>
  <c r="K4" i="15"/>
  <c r="Q19" i="23"/>
  <c r="L19" i="23" s="1"/>
  <c r="Q20" i="22"/>
  <c r="L20" i="22" s="1"/>
  <c r="F6" i="7"/>
  <c r="Q20" i="20"/>
  <c r="L20" i="20" s="1"/>
  <c r="T6" i="4"/>
  <c r="T7" i="4" s="1"/>
  <c r="T8" i="4" s="1"/>
  <c r="T9" i="4" s="1"/>
  <c r="T10" i="4" s="1"/>
  <c r="T11" i="4" s="1"/>
  <c r="T12" i="4" s="1"/>
  <c r="T13" i="4" s="1"/>
  <c r="T14" i="4" s="1"/>
  <c r="T15" i="4" s="1"/>
  <c r="L6" i="4"/>
  <c r="E18" i="4" s="1"/>
  <c r="J6" i="4"/>
  <c r="I6" i="4" s="1"/>
  <c r="AC7" i="1"/>
  <c r="AD7" i="1"/>
  <c r="AD8" i="1" s="1"/>
  <c r="Q21" i="21"/>
  <c r="L21" i="21" s="1"/>
  <c r="L4" i="14"/>
  <c r="J4" i="14"/>
  <c r="I4" i="14"/>
  <c r="T4" i="14"/>
  <c r="T5" i="14" s="1"/>
  <c r="T6" i="14" s="1"/>
  <c r="T7" i="14" s="1"/>
  <c r="T8" i="14" s="1"/>
  <c r="T9" i="14" s="1"/>
  <c r="T10" i="14" s="1"/>
  <c r="T11" i="14" s="1"/>
  <c r="T12" i="14" s="1"/>
  <c r="T13" i="14" s="1"/>
  <c r="T14" i="14" s="1"/>
  <c r="T15" i="14" s="1"/>
  <c r="N19" i="24"/>
  <c r="P20" i="24"/>
  <c r="M4" i="5"/>
  <c r="R4" i="5"/>
  <c r="T5" i="11"/>
  <c r="T6" i="11" s="1"/>
  <c r="T7" i="11" s="1"/>
  <c r="T8" i="11" s="1"/>
  <c r="T9" i="11" s="1"/>
  <c r="T10" i="11" s="1"/>
  <c r="T11" i="11" s="1"/>
  <c r="T12" i="11" s="1"/>
  <c r="T13" i="11" s="1"/>
  <c r="T14" i="11" s="1"/>
  <c r="J5" i="11"/>
  <c r="I5" i="11" s="1"/>
  <c r="L5" i="11"/>
  <c r="H6" i="7"/>
  <c r="I6" i="7"/>
  <c r="AC6" i="7" s="1"/>
  <c r="O75" i="12" l="1"/>
  <c r="L74" i="12"/>
  <c r="L75" i="12" s="1"/>
  <c r="L76" i="12" s="1"/>
  <c r="L77" i="12" s="1"/>
  <c r="L78" i="12" s="1"/>
  <c r="L79" i="12" s="1"/>
  <c r="L80" i="12" s="1"/>
  <c r="L81" i="12" s="1"/>
  <c r="L82" i="12" s="1"/>
  <c r="L83" i="12" s="1"/>
  <c r="L84" i="12" s="1"/>
  <c r="L85" i="12" s="1"/>
  <c r="L86" i="12" s="1"/>
  <c r="L87" i="12" s="1"/>
  <c r="L88" i="12" s="1"/>
  <c r="L89" i="12" s="1"/>
  <c r="L90" i="12" s="1"/>
  <c r="L91" i="12" s="1"/>
  <c r="L92" i="12" s="1"/>
  <c r="L93" i="12" s="1"/>
  <c r="L94" i="12" s="1"/>
  <c r="L95" i="12" s="1"/>
  <c r="L96" i="12" s="1"/>
  <c r="L97" i="12" s="1"/>
  <c r="L98" i="12" s="1"/>
  <c r="L99" i="12" s="1"/>
  <c r="L100" i="12" s="1"/>
  <c r="H5" i="12"/>
  <c r="H5" i="5"/>
  <c r="AC5" i="5"/>
  <c r="L74" i="11"/>
  <c r="L75" i="11" s="1"/>
  <c r="L76" i="11" s="1"/>
  <c r="L77" i="11" s="1"/>
  <c r="L78" i="11" s="1"/>
  <c r="L79" i="11" s="1"/>
  <c r="L80" i="11" s="1"/>
  <c r="L81" i="11" s="1"/>
  <c r="L82" i="11" s="1"/>
  <c r="L83" i="11" s="1"/>
  <c r="L84" i="11" s="1"/>
  <c r="L85" i="11" s="1"/>
  <c r="L86" i="11" s="1"/>
  <c r="L87" i="11" s="1"/>
  <c r="L88" i="11" s="1"/>
  <c r="L89" i="11" s="1"/>
  <c r="L90" i="11" s="1"/>
  <c r="L91" i="11" s="1"/>
  <c r="L92" i="11" s="1"/>
  <c r="L93" i="11" s="1"/>
  <c r="L94" i="11" s="1"/>
  <c r="L95" i="11" s="1"/>
  <c r="L96" i="11" s="1"/>
  <c r="L97" i="11" s="1"/>
  <c r="L98" i="11" s="1"/>
  <c r="L99" i="11" s="1"/>
  <c r="L100" i="11" s="1"/>
  <c r="H5" i="11"/>
  <c r="AC5" i="11"/>
  <c r="AC5" i="9"/>
  <c r="H5" i="9"/>
  <c r="AD7" i="7"/>
  <c r="AD8" i="7" s="1"/>
  <c r="H6" i="4"/>
  <c r="O75" i="4"/>
  <c r="L75" i="4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R20" i="22"/>
  <c r="K20" i="22"/>
  <c r="M20" i="22"/>
  <c r="R5" i="12"/>
  <c r="R6" i="12" s="1"/>
  <c r="R7" i="12" s="1"/>
  <c r="R8" i="12" s="1"/>
  <c r="R9" i="12" s="1"/>
  <c r="R10" i="12" s="1"/>
  <c r="R11" i="12" s="1"/>
  <c r="R12" i="12" s="1"/>
  <c r="R13" i="12" s="1"/>
  <c r="R14" i="12" s="1"/>
  <c r="M5" i="12"/>
  <c r="F8" i="12"/>
  <c r="E18" i="12"/>
  <c r="L5" i="6"/>
  <c r="J5" i="6"/>
  <c r="I5" i="6" s="1"/>
  <c r="H5" i="6" s="1"/>
  <c r="R19" i="23"/>
  <c r="K19" i="23"/>
  <c r="M19" i="23"/>
  <c r="M91" i="20"/>
  <c r="F91" i="20"/>
  <c r="G91" i="20" s="1"/>
  <c r="S21" i="20" s="1"/>
  <c r="O21" i="20"/>
  <c r="Q106" i="20"/>
  <c r="J4" i="6"/>
  <c r="I4" i="6"/>
  <c r="T4" i="6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L4" i="6"/>
  <c r="R5" i="9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M5" i="9"/>
  <c r="F8" i="9"/>
  <c r="E18" i="9"/>
  <c r="I7" i="7"/>
  <c r="AC7" i="7" s="1"/>
  <c r="I6" i="8"/>
  <c r="H6" i="8" s="1"/>
  <c r="H4" i="16"/>
  <c r="AC5" i="16"/>
  <c r="AE36" i="17"/>
  <c r="F91" i="17"/>
  <c r="G91" i="17" s="1"/>
  <c r="S22" i="17" s="1"/>
  <c r="M91" i="17"/>
  <c r="O22" i="17"/>
  <c r="J4" i="13"/>
  <c r="I4" i="13" s="1"/>
  <c r="T4" i="13"/>
  <c r="T5" i="13" s="1"/>
  <c r="T6" i="13" s="1"/>
  <c r="T7" i="13" s="1"/>
  <c r="T8" i="13" s="1"/>
  <c r="T9" i="13" s="1"/>
  <c r="T10" i="13" s="1"/>
  <c r="T11" i="13" s="1"/>
  <c r="T12" i="13" s="1"/>
  <c r="T13" i="13" s="1"/>
  <c r="L4" i="13"/>
  <c r="M5" i="3"/>
  <c r="E18" i="3"/>
  <c r="F8" i="3"/>
  <c r="R5" i="3"/>
  <c r="I21" i="18"/>
  <c r="H21" i="18" s="1"/>
  <c r="J21" i="18"/>
  <c r="T21" i="18"/>
  <c r="K20" i="20"/>
  <c r="R20" i="20"/>
  <c r="M20" i="20"/>
  <c r="F91" i="23"/>
  <c r="G91" i="23" s="1"/>
  <c r="S20" i="23" s="1"/>
  <c r="M91" i="23"/>
  <c r="O20" i="23"/>
  <c r="AE36" i="23"/>
  <c r="R6" i="2"/>
  <c r="R7" i="2" s="1"/>
  <c r="R8" i="2" s="1"/>
  <c r="R9" i="2" s="1"/>
  <c r="R10" i="2" s="1"/>
  <c r="R11" i="2" s="1"/>
  <c r="R12" i="2" s="1"/>
  <c r="R13" i="2" s="1"/>
  <c r="R14" i="2" s="1"/>
  <c r="R15" i="2" s="1"/>
  <c r="R16" i="2" s="1"/>
  <c r="R17" i="2" s="1"/>
  <c r="R18" i="2" s="1"/>
  <c r="M6" i="2"/>
  <c r="R6" i="3"/>
  <c r="R7" i="3" s="1"/>
  <c r="R8" i="3" s="1"/>
  <c r="R9" i="3" s="1"/>
  <c r="R10" i="3" s="1"/>
  <c r="R11" i="3" s="1"/>
  <c r="M6" i="3"/>
  <c r="AC5" i="8"/>
  <c r="F91" i="24"/>
  <c r="G91" i="24" s="1"/>
  <c r="S20" i="24" s="1"/>
  <c r="AE36" i="24"/>
  <c r="O20" i="24"/>
  <c r="M91" i="24"/>
  <c r="F8" i="16"/>
  <c r="M4" i="16"/>
  <c r="R4" i="16"/>
  <c r="R5" i="16" s="1"/>
  <c r="R6" i="16" s="1"/>
  <c r="R7" i="16" s="1"/>
  <c r="R8" i="16" s="1"/>
  <c r="R9" i="16" s="1"/>
  <c r="R10" i="16" s="1"/>
  <c r="R11" i="16" s="1"/>
  <c r="R12" i="16" s="1"/>
  <c r="R13" i="16" s="1"/>
  <c r="R14" i="16" s="1"/>
  <c r="R15" i="16" s="1"/>
  <c r="E18" i="16"/>
  <c r="AE38" i="21"/>
  <c r="M92" i="21"/>
  <c r="F92" i="21"/>
  <c r="G92" i="21" s="1"/>
  <c r="S22" i="21" s="1"/>
  <c r="O22" i="21"/>
  <c r="AE36" i="22"/>
  <c r="M91" i="22"/>
  <c r="F91" i="22"/>
  <c r="G91" i="22" s="1"/>
  <c r="S21" i="22" s="1"/>
  <c r="O21" i="22"/>
  <c r="L74" i="3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AC5" i="3"/>
  <c r="H5" i="3"/>
  <c r="F6" i="2"/>
  <c r="F7" i="2"/>
  <c r="AC5" i="2"/>
  <c r="M6" i="4"/>
  <c r="R6" i="4"/>
  <c r="R7" i="4" s="1"/>
  <c r="R8" i="4" s="1"/>
  <c r="R9" i="4" s="1"/>
  <c r="R10" i="4" s="1"/>
  <c r="R11" i="4" s="1"/>
  <c r="R12" i="4" s="1"/>
  <c r="R13" i="4" s="1"/>
  <c r="R14" i="4" s="1"/>
  <c r="R15" i="4" s="1"/>
  <c r="F8" i="4"/>
  <c r="R5" i="5"/>
  <c r="R6" i="5" s="1"/>
  <c r="R7" i="5" s="1"/>
  <c r="R8" i="5" s="1"/>
  <c r="R9" i="5" s="1"/>
  <c r="R10" i="5" s="1"/>
  <c r="R11" i="5" s="1"/>
  <c r="R12" i="5" s="1"/>
  <c r="R13" i="5" s="1"/>
  <c r="R14" i="5" s="1"/>
  <c r="M5" i="5"/>
  <c r="R5" i="11"/>
  <c r="R6" i="11" s="1"/>
  <c r="R7" i="11" s="1"/>
  <c r="R8" i="11" s="1"/>
  <c r="R9" i="11" s="1"/>
  <c r="R10" i="11" s="1"/>
  <c r="R11" i="11" s="1"/>
  <c r="R12" i="11" s="1"/>
  <c r="R13" i="11" s="1"/>
  <c r="R14" i="11" s="1"/>
  <c r="F8" i="11"/>
  <c r="E18" i="11"/>
  <c r="M5" i="11"/>
  <c r="R21" i="21"/>
  <c r="M21" i="21"/>
  <c r="K21" i="21"/>
  <c r="AC5" i="14"/>
  <c r="H4" i="14"/>
  <c r="AD9" i="1"/>
  <c r="AD10" i="1" s="1"/>
  <c r="AC8" i="1"/>
  <c r="F8" i="5"/>
  <c r="E18" i="14"/>
  <c r="R4" i="14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M4" i="14"/>
  <c r="F8" i="14"/>
  <c r="K21" i="17"/>
  <c r="R21" i="17"/>
  <c r="M21" i="17"/>
  <c r="F6" i="4"/>
  <c r="F7" i="4"/>
  <c r="Q22" i="18"/>
  <c r="L22" i="18" s="1"/>
  <c r="R5" i="8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M5" i="8"/>
  <c r="F6" i="8" s="1"/>
  <c r="AC5" i="10"/>
  <c r="H5" i="10"/>
  <c r="E18" i="5"/>
  <c r="I4" i="15"/>
  <c r="J4" i="15"/>
  <c r="T4" i="15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T15" i="15" s="1"/>
  <c r="L4" i="15"/>
  <c r="R19" i="24"/>
  <c r="K19" i="24"/>
  <c r="M19" i="24"/>
  <c r="P23" i="18"/>
  <c r="N22" i="18"/>
  <c r="R21" i="19"/>
  <c r="M21" i="19"/>
  <c r="K21" i="19"/>
  <c r="O22" i="19"/>
  <c r="AE38" i="19"/>
  <c r="M91" i="19"/>
  <c r="F92" i="19"/>
  <c r="G92" i="19" s="1"/>
  <c r="S22" i="19" s="1"/>
  <c r="M5" i="10"/>
  <c r="F8" i="10"/>
  <c r="E18" i="10"/>
  <c r="R5" i="10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F8" i="2"/>
  <c r="AD9" i="7" l="1"/>
  <c r="AD10" i="7" s="1"/>
  <c r="I6" i="6"/>
  <c r="H6" i="6"/>
  <c r="AC5" i="13"/>
  <c r="H4" i="13"/>
  <c r="I7" i="8"/>
  <c r="H7" i="8"/>
  <c r="AD5" i="11"/>
  <c r="AD6" i="11" s="1"/>
  <c r="AC6" i="11"/>
  <c r="F6" i="11"/>
  <c r="F7" i="11"/>
  <c r="F5" i="11"/>
  <c r="Q21" i="22"/>
  <c r="L21" i="22" s="1"/>
  <c r="Q22" i="17"/>
  <c r="L22" i="17" s="1"/>
  <c r="E18" i="6"/>
  <c r="F8" i="6"/>
  <c r="R4" i="6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M4" i="6"/>
  <c r="O23" i="18"/>
  <c r="F92" i="18"/>
  <c r="G92" i="18" s="1"/>
  <c r="S23" i="18" s="1"/>
  <c r="Q108" i="18"/>
  <c r="M92" i="18"/>
  <c r="Q20" i="23"/>
  <c r="L20" i="23" s="1"/>
  <c r="I5" i="16"/>
  <c r="P23" i="19"/>
  <c r="N22" i="19"/>
  <c r="F5" i="3"/>
  <c r="F7" i="3"/>
  <c r="F6" i="3"/>
  <c r="T19" i="23"/>
  <c r="J19" i="23"/>
  <c r="F6" i="12"/>
  <c r="F7" i="12"/>
  <c r="P75" i="4"/>
  <c r="P76" i="4" s="1"/>
  <c r="O76" i="4"/>
  <c r="Q22" i="19"/>
  <c r="L22" i="19" s="1"/>
  <c r="J19" i="24"/>
  <c r="T19" i="24"/>
  <c r="AC6" i="2"/>
  <c r="AD5" i="2"/>
  <c r="AD6" i="2" s="1"/>
  <c r="J21" i="19"/>
  <c r="I21" i="19" s="1"/>
  <c r="H21" i="19" s="1"/>
  <c r="T21" i="19"/>
  <c r="AD5" i="10"/>
  <c r="AD6" i="10" s="1"/>
  <c r="AC6" i="10"/>
  <c r="J20" i="20"/>
  <c r="I20" i="20"/>
  <c r="H20" i="20" s="1"/>
  <c r="T20" i="20"/>
  <c r="E18" i="13"/>
  <c r="R4" i="13"/>
  <c r="R5" i="13" s="1"/>
  <c r="R6" i="13" s="1"/>
  <c r="R7" i="13" s="1"/>
  <c r="R8" i="13" s="1"/>
  <c r="R9" i="13" s="1"/>
  <c r="R10" i="13" s="1"/>
  <c r="R11" i="13" s="1"/>
  <c r="R12" i="13" s="1"/>
  <c r="R13" i="13" s="1"/>
  <c r="F8" i="13"/>
  <c r="M4" i="13"/>
  <c r="F5" i="8"/>
  <c r="H4" i="6"/>
  <c r="AC5" i="6"/>
  <c r="AC6" i="5"/>
  <c r="AD5" i="5"/>
  <c r="AD6" i="5" s="1"/>
  <c r="N21" i="22"/>
  <c r="P22" i="22"/>
  <c r="AD5" i="8"/>
  <c r="AD6" i="8" s="1"/>
  <c r="AC6" i="8"/>
  <c r="AC9" i="1"/>
  <c r="AD11" i="1"/>
  <c r="AD12" i="1" s="1"/>
  <c r="F6" i="16"/>
  <c r="F5" i="16"/>
  <c r="F7" i="16"/>
  <c r="I21" i="17"/>
  <c r="H21" i="17" s="1"/>
  <c r="T21" i="17"/>
  <c r="J21" i="17"/>
  <c r="I5" i="14"/>
  <c r="H5" i="14"/>
  <c r="P23" i="21"/>
  <c r="N22" i="21"/>
  <c r="F7" i="8"/>
  <c r="H7" i="7"/>
  <c r="I6" i="5"/>
  <c r="H6" i="5" s="1"/>
  <c r="E18" i="15"/>
  <c r="F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M4" i="15"/>
  <c r="AC6" i="14"/>
  <c r="AD5" i="14"/>
  <c r="AD6" i="14" s="1"/>
  <c r="Q22" i="21"/>
  <c r="L22" i="21" s="1"/>
  <c r="N20" i="24"/>
  <c r="P21" i="24"/>
  <c r="J20" i="22"/>
  <c r="T20" i="22"/>
  <c r="H4" i="15"/>
  <c r="AC5" i="15"/>
  <c r="F7" i="10"/>
  <c r="F6" i="10"/>
  <c r="K22" i="18"/>
  <c r="R22" i="18"/>
  <c r="M22" i="18"/>
  <c r="T21" i="21"/>
  <c r="J21" i="21"/>
  <c r="AD5" i="3"/>
  <c r="AD6" i="3" s="1"/>
  <c r="AC6" i="3"/>
  <c r="N20" i="23"/>
  <c r="P21" i="23"/>
  <c r="N21" i="20"/>
  <c r="P22" i="20"/>
  <c r="Q20" i="24"/>
  <c r="L20" i="24" s="1"/>
  <c r="N22" i="17"/>
  <c r="P23" i="17"/>
  <c r="AD5" i="16"/>
  <c r="AD6" i="16" s="1"/>
  <c r="AC6" i="16"/>
  <c r="F6" i="9"/>
  <c r="F7" i="9"/>
  <c r="Q21" i="20"/>
  <c r="L21" i="20" s="1"/>
  <c r="M5" i="6"/>
  <c r="AD5" i="9"/>
  <c r="AD6" i="9" s="1"/>
  <c r="AC6" i="9"/>
  <c r="O76" i="12"/>
  <c r="P75" i="12"/>
  <c r="P76" i="12" s="1"/>
  <c r="M6" i="5" l="1"/>
  <c r="I7" i="5"/>
  <c r="H7" i="5"/>
  <c r="P77" i="4"/>
  <c r="P78" i="4" s="1"/>
  <c r="O77" i="4"/>
  <c r="F92" i="22"/>
  <c r="G92" i="22" s="1"/>
  <c r="S22" i="22" s="1"/>
  <c r="AE38" i="22"/>
  <c r="O22" i="22"/>
  <c r="M92" i="22"/>
  <c r="F7" i="15"/>
  <c r="F6" i="15"/>
  <c r="I5" i="13"/>
  <c r="H5" i="13"/>
  <c r="I8" i="7"/>
  <c r="H8" i="7" s="1"/>
  <c r="AD7" i="5"/>
  <c r="AD8" i="5" s="1"/>
  <c r="AC7" i="5"/>
  <c r="O23" i="19"/>
  <c r="F93" i="19"/>
  <c r="G93" i="19" s="1"/>
  <c r="S23" i="19" s="1"/>
  <c r="AE40" i="19"/>
  <c r="M92" i="19"/>
  <c r="AC6" i="13"/>
  <c r="AD5" i="13"/>
  <c r="AD6" i="13" s="1"/>
  <c r="I8" i="8"/>
  <c r="H8" i="8" s="1"/>
  <c r="AD7" i="16"/>
  <c r="AD8" i="16" s="1"/>
  <c r="I6" i="14"/>
  <c r="M5" i="14"/>
  <c r="H6" i="14"/>
  <c r="AD7" i="2"/>
  <c r="AD8" i="2" s="1"/>
  <c r="AC7" i="2"/>
  <c r="M22" i="17"/>
  <c r="R22" i="17"/>
  <c r="K22" i="17"/>
  <c r="M6" i="6"/>
  <c r="I7" i="6"/>
  <c r="H7" i="6"/>
  <c r="M21" i="20"/>
  <c r="K21" i="20"/>
  <c r="R21" i="20"/>
  <c r="T22" i="18"/>
  <c r="J22" i="18"/>
  <c r="I22" i="18" s="1"/>
  <c r="H22" i="18" s="1"/>
  <c r="AD7" i="14"/>
  <c r="AD8" i="14" s="1"/>
  <c r="AC7" i="14"/>
  <c r="AD7" i="9"/>
  <c r="AD8" i="9" s="1"/>
  <c r="AC7" i="9"/>
  <c r="AC6" i="6"/>
  <c r="AD5" i="6"/>
  <c r="AD6" i="6" s="1"/>
  <c r="Q108" i="20"/>
  <c r="M92" i="20"/>
  <c r="F92" i="20"/>
  <c r="G92" i="20" s="1"/>
  <c r="S22" i="20" s="1"/>
  <c r="O22" i="20"/>
  <c r="AD5" i="15"/>
  <c r="AD6" i="15" s="1"/>
  <c r="R22" i="21"/>
  <c r="K22" i="21"/>
  <c r="M22" i="21"/>
  <c r="AD13" i="1"/>
  <c r="AD14" i="1" s="1"/>
  <c r="AC10" i="1"/>
  <c r="H5" i="16"/>
  <c r="Q23" i="18"/>
  <c r="L23" i="18" s="1"/>
  <c r="AC7" i="11"/>
  <c r="AD7" i="11"/>
  <c r="AD8" i="11" s="1"/>
  <c r="AC7" i="3"/>
  <c r="AD7" i="3"/>
  <c r="AD8" i="3" s="1"/>
  <c r="M92" i="24"/>
  <c r="AE38" i="24"/>
  <c r="F92" i="24"/>
  <c r="G92" i="24" s="1"/>
  <c r="S21" i="24" s="1"/>
  <c r="O21" i="24"/>
  <c r="P77" i="12"/>
  <c r="P78" i="12" s="1"/>
  <c r="O77" i="12"/>
  <c r="F93" i="21"/>
  <c r="G93" i="21" s="1"/>
  <c r="S23" i="21" s="1"/>
  <c r="O23" i="21"/>
  <c r="M93" i="21"/>
  <c r="AE40" i="21"/>
  <c r="M92" i="17"/>
  <c r="F92" i="17"/>
  <c r="G92" i="17" s="1"/>
  <c r="S23" i="17" s="1"/>
  <c r="AE38" i="17"/>
  <c r="O23" i="17"/>
  <c r="I5" i="15"/>
  <c r="H5" i="15" s="1"/>
  <c r="AD7" i="8"/>
  <c r="AD8" i="8" s="1"/>
  <c r="AC7" i="8"/>
  <c r="AD7" i="10"/>
  <c r="AD8" i="10" s="1"/>
  <c r="AC7" i="10"/>
  <c r="R20" i="23"/>
  <c r="M20" i="23"/>
  <c r="K20" i="23"/>
  <c r="N23" i="18"/>
  <c r="P24" i="18"/>
  <c r="R20" i="24"/>
  <c r="M20" i="24"/>
  <c r="K20" i="24"/>
  <c r="AE38" i="23"/>
  <c r="M92" i="23"/>
  <c r="F92" i="23"/>
  <c r="G92" i="23" s="1"/>
  <c r="S21" i="23" s="1"/>
  <c r="O21" i="23"/>
  <c r="K22" i="19"/>
  <c r="R22" i="19"/>
  <c r="M22" i="19"/>
  <c r="R21" i="22"/>
  <c r="M21" i="22"/>
  <c r="K21" i="22"/>
  <c r="I9" i="8" l="1"/>
  <c r="H9" i="8" s="1"/>
  <c r="I9" i="7"/>
  <c r="H9" i="7"/>
  <c r="I6" i="15"/>
  <c r="H6" i="15" s="1"/>
  <c r="I8" i="6"/>
  <c r="H8" i="6"/>
  <c r="M7" i="6"/>
  <c r="Q110" i="18"/>
  <c r="M93" i="18"/>
  <c r="O24" i="18"/>
  <c r="F93" i="18"/>
  <c r="G93" i="18" s="1"/>
  <c r="S24" i="18" s="1"/>
  <c r="AD15" i="1"/>
  <c r="AD16" i="1" s="1"/>
  <c r="AC11" i="1"/>
  <c r="Q22" i="20"/>
  <c r="L22" i="20" s="1"/>
  <c r="M6" i="14"/>
  <c r="I7" i="14"/>
  <c r="H7" i="14" s="1"/>
  <c r="AD7" i="13"/>
  <c r="AD8" i="13" s="1"/>
  <c r="Q22" i="22"/>
  <c r="L22" i="22" s="1"/>
  <c r="P22" i="23"/>
  <c r="N21" i="23"/>
  <c r="P24" i="21"/>
  <c r="N23" i="21"/>
  <c r="I6" i="13"/>
  <c r="AC7" i="13" s="1"/>
  <c r="M5" i="13"/>
  <c r="H6" i="13"/>
  <c r="J20" i="23"/>
  <c r="T20" i="23"/>
  <c r="Q23" i="21"/>
  <c r="L23" i="21" s="1"/>
  <c r="AC8" i="3"/>
  <c r="AD9" i="3"/>
  <c r="AD10" i="3" s="1"/>
  <c r="I22" i="17"/>
  <c r="H22" i="17" s="1"/>
  <c r="J22" i="17"/>
  <c r="T22" i="17"/>
  <c r="P79" i="4"/>
  <c r="P80" i="4" s="1"/>
  <c r="O78" i="4"/>
  <c r="I6" i="16"/>
  <c r="H6" i="16" s="1"/>
  <c r="P79" i="12"/>
  <c r="P80" i="12" s="1"/>
  <c r="O78" i="12"/>
  <c r="J22" i="21"/>
  <c r="T22" i="21"/>
  <c r="Q23" i="19"/>
  <c r="L23" i="19" s="1"/>
  <c r="J21" i="22"/>
  <c r="T21" i="22"/>
  <c r="Q21" i="23"/>
  <c r="L21" i="23" s="1"/>
  <c r="AC8" i="11"/>
  <c r="AD9" i="11"/>
  <c r="AD10" i="11" s="1"/>
  <c r="AD7" i="6"/>
  <c r="AD8" i="6" s="1"/>
  <c r="AC7" i="6"/>
  <c r="N23" i="19"/>
  <c r="P24" i="19"/>
  <c r="M7" i="5"/>
  <c r="I8" i="5"/>
  <c r="H8" i="5" s="1"/>
  <c r="P23" i="20"/>
  <c r="N22" i="20"/>
  <c r="AC8" i="7"/>
  <c r="N23" i="17"/>
  <c r="P24" i="17"/>
  <c r="T20" i="24"/>
  <c r="J20" i="24"/>
  <c r="AC8" i="10"/>
  <c r="AD9" i="10"/>
  <c r="AD10" i="10" s="1"/>
  <c r="Q23" i="17"/>
  <c r="L23" i="17" s="1"/>
  <c r="P22" i="24"/>
  <c r="N21" i="24"/>
  <c r="AC8" i="9"/>
  <c r="AD9" i="9"/>
  <c r="AD10" i="9" s="1"/>
  <c r="T21" i="20"/>
  <c r="J21" i="20"/>
  <c r="I21" i="20"/>
  <c r="H21" i="20" s="1"/>
  <c r="AD9" i="5"/>
  <c r="AD10" i="5" s="1"/>
  <c r="AC8" i="5"/>
  <c r="AC8" i="8"/>
  <c r="AD9" i="8"/>
  <c r="AD10" i="8" s="1"/>
  <c r="AD9" i="14"/>
  <c r="AD10" i="14" s="1"/>
  <c r="AC8" i="14"/>
  <c r="T22" i="19"/>
  <c r="J22" i="19"/>
  <c r="I22" i="19"/>
  <c r="H22" i="19" s="1"/>
  <c r="Q21" i="24"/>
  <c r="L21" i="24" s="1"/>
  <c r="R23" i="18"/>
  <c r="M23" i="18"/>
  <c r="K23" i="18"/>
  <c r="AC6" i="15"/>
  <c r="AD9" i="2"/>
  <c r="AD10" i="2" s="1"/>
  <c r="AC8" i="2"/>
  <c r="P23" i="22"/>
  <c r="N22" i="22"/>
  <c r="AD9" i="13" l="1"/>
  <c r="AD10" i="13" s="1"/>
  <c r="M7" i="14"/>
  <c r="I8" i="14"/>
  <c r="H8" i="14" s="1"/>
  <c r="I7" i="15"/>
  <c r="H7" i="15" s="1"/>
  <c r="I9" i="5"/>
  <c r="H9" i="5" s="1"/>
  <c r="M8" i="5"/>
  <c r="I7" i="16"/>
  <c r="H7" i="16"/>
  <c r="I10" i="8"/>
  <c r="H10" i="8"/>
  <c r="AD9" i="6"/>
  <c r="AD10" i="6" s="1"/>
  <c r="AC8" i="6"/>
  <c r="R22" i="22"/>
  <c r="M22" i="22"/>
  <c r="K22" i="22"/>
  <c r="AC12" i="1"/>
  <c r="AD17" i="1"/>
  <c r="AD18" i="1" s="1"/>
  <c r="J23" i="18"/>
  <c r="I23" i="18" s="1"/>
  <c r="H23" i="18" s="1"/>
  <c r="T23" i="18"/>
  <c r="P81" i="12"/>
  <c r="P82" i="12" s="1"/>
  <c r="O79" i="12"/>
  <c r="AC9" i="3"/>
  <c r="AD11" i="3"/>
  <c r="AD12" i="3" s="1"/>
  <c r="F94" i="21"/>
  <c r="G94" i="21" s="1"/>
  <c r="S24" i="21" s="1"/>
  <c r="AE42" i="21"/>
  <c r="O24" i="21"/>
  <c r="M94" i="21"/>
  <c r="M23" i="17"/>
  <c r="R23" i="17"/>
  <c r="K23" i="17"/>
  <c r="M8" i="6"/>
  <c r="I9" i="6"/>
  <c r="H9" i="6" s="1"/>
  <c r="AD11" i="10"/>
  <c r="AD12" i="10" s="1"/>
  <c r="AC9" i="10"/>
  <c r="Q110" i="20"/>
  <c r="M93" i="20"/>
  <c r="O23" i="20"/>
  <c r="F93" i="20"/>
  <c r="G93" i="20" s="1"/>
  <c r="S23" i="20" s="1"/>
  <c r="AC7" i="16"/>
  <c r="Q24" i="18"/>
  <c r="L24" i="18" s="1"/>
  <c r="R22" i="20"/>
  <c r="M22" i="20"/>
  <c r="K22" i="20"/>
  <c r="O23" i="22"/>
  <c r="M93" i="22"/>
  <c r="F93" i="22"/>
  <c r="G93" i="22" s="1"/>
  <c r="S23" i="22" s="1"/>
  <c r="AE40" i="22"/>
  <c r="R21" i="24"/>
  <c r="M21" i="24"/>
  <c r="K21" i="24"/>
  <c r="AC9" i="11"/>
  <c r="AD11" i="11"/>
  <c r="AD12" i="11" s="1"/>
  <c r="P81" i="4"/>
  <c r="P82" i="4" s="1"/>
  <c r="O79" i="4"/>
  <c r="M6" i="13"/>
  <c r="I7" i="13"/>
  <c r="AC8" i="13" s="1"/>
  <c r="F93" i="23"/>
  <c r="G93" i="23" s="1"/>
  <c r="S22" i="23" s="1"/>
  <c r="M93" i="23"/>
  <c r="AE40" i="23"/>
  <c r="O22" i="23"/>
  <c r="P25" i="18"/>
  <c r="N24" i="18"/>
  <c r="I10" i="7"/>
  <c r="H10" i="7" s="1"/>
  <c r="AD11" i="7"/>
  <c r="AD12" i="7" s="1"/>
  <c r="AC9" i="7"/>
  <c r="AC9" i="9"/>
  <c r="AD11" i="9"/>
  <c r="AD12" i="9" s="1"/>
  <c r="R21" i="23"/>
  <c r="K21" i="23"/>
  <c r="M21" i="23"/>
  <c r="M23" i="19"/>
  <c r="R23" i="19"/>
  <c r="K23" i="19"/>
  <c r="AC9" i="2"/>
  <c r="AD11" i="2"/>
  <c r="AD12" i="2" s="1"/>
  <c r="AC9" i="8"/>
  <c r="AD11" i="8"/>
  <c r="AD12" i="8" s="1"/>
  <c r="F93" i="17"/>
  <c r="G93" i="17" s="1"/>
  <c r="S24" i="17" s="1"/>
  <c r="M93" i="17"/>
  <c r="AE40" i="17"/>
  <c r="O24" i="17"/>
  <c r="AC9" i="14"/>
  <c r="AD11" i="14"/>
  <c r="AD12" i="14" s="1"/>
  <c r="AC7" i="15"/>
  <c r="AD7" i="15"/>
  <c r="AD8" i="15" s="1"/>
  <c r="AD11" i="5"/>
  <c r="AD12" i="5" s="1"/>
  <c r="F93" i="24"/>
  <c r="G93" i="24" s="1"/>
  <c r="S22" i="24" s="1"/>
  <c r="AE40" i="24"/>
  <c r="M93" i="24"/>
  <c r="O22" i="24"/>
  <c r="AE42" i="19"/>
  <c r="F94" i="19"/>
  <c r="G94" i="19" s="1"/>
  <c r="S24" i="19" s="1"/>
  <c r="M93" i="19"/>
  <c r="O24" i="19"/>
  <c r="R23" i="21"/>
  <c r="K23" i="21"/>
  <c r="M23" i="21"/>
  <c r="I11" i="7" l="1"/>
  <c r="H11" i="7" s="1"/>
  <c r="M9" i="6"/>
  <c r="I10" i="6"/>
  <c r="H10" i="6"/>
  <c r="I10" i="5"/>
  <c r="H10" i="5" s="1"/>
  <c r="M9" i="5"/>
  <c r="I8" i="15"/>
  <c r="H8" i="15" s="1"/>
  <c r="AD11" i="13"/>
  <c r="AD12" i="13" s="1"/>
  <c r="I9" i="14"/>
  <c r="M8" i="14"/>
  <c r="H9" i="14"/>
  <c r="AD13" i="8"/>
  <c r="AD14" i="8" s="1"/>
  <c r="AC10" i="8"/>
  <c r="P23" i="24"/>
  <c r="N22" i="24"/>
  <c r="T21" i="23"/>
  <c r="J21" i="23"/>
  <c r="R24" i="18"/>
  <c r="M24" i="18"/>
  <c r="K24" i="18"/>
  <c r="N24" i="21"/>
  <c r="P25" i="21"/>
  <c r="AC9" i="6"/>
  <c r="AD11" i="6"/>
  <c r="AD12" i="6" s="1"/>
  <c r="AC10" i="2"/>
  <c r="AD13" i="2"/>
  <c r="AD14" i="2" s="1"/>
  <c r="Q112" i="18"/>
  <c r="F94" i="18"/>
  <c r="G94" i="18" s="1"/>
  <c r="S25" i="18" s="1"/>
  <c r="O25" i="18"/>
  <c r="M94" i="18"/>
  <c r="P83" i="4"/>
  <c r="P84" i="4" s="1"/>
  <c r="O80" i="4"/>
  <c r="Q23" i="22"/>
  <c r="L23" i="22" s="1"/>
  <c r="AC8" i="16"/>
  <c r="AD9" i="16"/>
  <c r="AD10" i="16" s="1"/>
  <c r="I11" i="8"/>
  <c r="H11" i="8"/>
  <c r="AD9" i="15"/>
  <c r="AD10" i="15" s="1"/>
  <c r="AC8" i="15"/>
  <c r="P23" i="23"/>
  <c r="N22" i="23"/>
  <c r="Q24" i="21"/>
  <c r="L24" i="21" s="1"/>
  <c r="T23" i="21"/>
  <c r="J23" i="21"/>
  <c r="AD13" i="9"/>
  <c r="AD14" i="9" s="1"/>
  <c r="AC10" i="9"/>
  <c r="N23" i="22"/>
  <c r="P24" i="22"/>
  <c r="Q23" i="20"/>
  <c r="L23" i="20" s="1"/>
  <c r="AD19" i="1"/>
  <c r="AD20" i="1" s="1"/>
  <c r="AC13" i="1"/>
  <c r="H8" i="16"/>
  <c r="I8" i="16"/>
  <c r="AD13" i="14"/>
  <c r="AD14" i="14" s="1"/>
  <c r="AC10" i="14"/>
  <c r="N24" i="19"/>
  <c r="P25" i="19"/>
  <c r="T23" i="19"/>
  <c r="J23" i="19"/>
  <c r="I23" i="19"/>
  <c r="H23" i="19" s="1"/>
  <c r="AC10" i="7"/>
  <c r="AD13" i="7"/>
  <c r="AD14" i="7" s="1"/>
  <c r="AD13" i="11"/>
  <c r="AD14" i="11" s="1"/>
  <c r="AC10" i="11"/>
  <c r="I22" i="20"/>
  <c r="H22" i="20" s="1"/>
  <c r="T22" i="20"/>
  <c r="J22" i="20"/>
  <c r="P24" i="20"/>
  <c r="N23" i="20"/>
  <c r="T23" i="17"/>
  <c r="J23" i="17"/>
  <c r="I23" i="17"/>
  <c r="H23" i="17" s="1"/>
  <c r="AD13" i="3"/>
  <c r="AD14" i="3" s="1"/>
  <c r="AC10" i="3"/>
  <c r="T22" i="22"/>
  <c r="J22" i="22"/>
  <c r="AD13" i="10"/>
  <c r="AD14" i="10" s="1"/>
  <c r="AC10" i="10"/>
  <c r="Q22" i="24"/>
  <c r="L22" i="24" s="1"/>
  <c r="Q24" i="17"/>
  <c r="L24" i="17" s="1"/>
  <c r="Q22" i="23"/>
  <c r="L22" i="23" s="1"/>
  <c r="T21" i="24"/>
  <c r="J21" i="24"/>
  <c r="P83" i="12"/>
  <c r="P84" i="12" s="1"/>
  <c r="O80" i="12"/>
  <c r="N24" i="17"/>
  <c r="P25" i="17"/>
  <c r="AC9" i="5"/>
  <c r="Q24" i="19"/>
  <c r="L24" i="19" s="1"/>
  <c r="H7" i="13"/>
  <c r="I9" i="15" l="1"/>
  <c r="H9" i="15"/>
  <c r="M10" i="5"/>
  <c r="I11" i="5"/>
  <c r="H11" i="5"/>
  <c r="I12" i="7"/>
  <c r="H12" i="7" s="1"/>
  <c r="AD15" i="11"/>
  <c r="AD16" i="11" s="1"/>
  <c r="AC11" i="11"/>
  <c r="AD11" i="15"/>
  <c r="AD12" i="15" s="1"/>
  <c r="AC9" i="15"/>
  <c r="AD15" i="14"/>
  <c r="AD16" i="14" s="1"/>
  <c r="AC11" i="14"/>
  <c r="R23" i="22"/>
  <c r="M23" i="22"/>
  <c r="K23" i="22"/>
  <c r="M9" i="14"/>
  <c r="I10" i="14"/>
  <c r="H10" i="14"/>
  <c r="R22" i="23"/>
  <c r="M22" i="23"/>
  <c r="K22" i="23"/>
  <c r="K23" i="20"/>
  <c r="R23" i="20"/>
  <c r="M23" i="20"/>
  <c r="R24" i="21"/>
  <c r="M24" i="21"/>
  <c r="K24" i="21"/>
  <c r="Q25" i="18"/>
  <c r="L25" i="18" s="1"/>
  <c r="K24" i="17"/>
  <c r="R24" i="17"/>
  <c r="M24" i="17"/>
  <c r="AD15" i="7"/>
  <c r="AD16" i="7" s="1"/>
  <c r="AC11" i="7"/>
  <c r="O24" i="22"/>
  <c r="F94" i="22"/>
  <c r="G94" i="22" s="1"/>
  <c r="S24" i="22" s="1"/>
  <c r="M94" i="22"/>
  <c r="AE42" i="22"/>
  <c r="I12" i="8"/>
  <c r="H12" i="8" s="1"/>
  <c r="AD15" i="2"/>
  <c r="AD16" i="2" s="1"/>
  <c r="AC11" i="2"/>
  <c r="M10" i="6"/>
  <c r="I11" i="6"/>
  <c r="H11" i="6" s="1"/>
  <c r="AD15" i="10"/>
  <c r="AD16" i="10" s="1"/>
  <c r="AC11" i="10"/>
  <c r="O24" i="20"/>
  <c r="M94" i="20"/>
  <c r="F94" i="20"/>
  <c r="G94" i="20" s="1"/>
  <c r="S24" i="20" s="1"/>
  <c r="Q112" i="20"/>
  <c r="P85" i="4"/>
  <c r="P86" i="4" s="1"/>
  <c r="O81" i="4"/>
  <c r="M7" i="13"/>
  <c r="I8" i="13"/>
  <c r="AC9" i="13" s="1"/>
  <c r="M24" i="19"/>
  <c r="K24" i="19"/>
  <c r="R24" i="19"/>
  <c r="AD13" i="5"/>
  <c r="AD14" i="5" s="1"/>
  <c r="AC10" i="5"/>
  <c r="AC11" i="9"/>
  <c r="AD15" i="9"/>
  <c r="AD16" i="9" s="1"/>
  <c r="AD13" i="6"/>
  <c r="AD14" i="6" s="1"/>
  <c r="AC10" i="6"/>
  <c r="M94" i="17"/>
  <c r="O25" i="17"/>
  <c r="F94" i="17"/>
  <c r="G94" i="17" s="1"/>
  <c r="S25" i="17" s="1"/>
  <c r="AE42" i="17"/>
  <c r="AC11" i="3"/>
  <c r="AD15" i="3"/>
  <c r="AD16" i="3" s="1"/>
  <c r="I9" i="16"/>
  <c r="H9" i="16" s="1"/>
  <c r="AC9" i="16"/>
  <c r="AD11" i="16"/>
  <c r="AD12" i="16" s="1"/>
  <c r="O25" i="21"/>
  <c r="F95" i="21"/>
  <c r="G95" i="21" s="1"/>
  <c r="S25" i="21" s="1"/>
  <c r="AE44" i="21"/>
  <c r="M95" i="21"/>
  <c r="AE42" i="24"/>
  <c r="M94" i="24"/>
  <c r="O23" i="24"/>
  <c r="F94" i="24"/>
  <c r="G94" i="24" s="1"/>
  <c r="S23" i="24" s="1"/>
  <c r="J24" i="18"/>
  <c r="I24" i="18" s="1"/>
  <c r="H24" i="18" s="1"/>
  <c r="T24" i="18"/>
  <c r="P85" i="12"/>
  <c r="P86" i="12" s="1"/>
  <c r="O81" i="12"/>
  <c r="R22" i="24"/>
  <c r="K22" i="24"/>
  <c r="M22" i="24"/>
  <c r="M94" i="19"/>
  <c r="AE44" i="19"/>
  <c r="F95" i="19"/>
  <c r="G95" i="19" s="1"/>
  <c r="S25" i="19" s="1"/>
  <c r="O25" i="19"/>
  <c r="AC14" i="1"/>
  <c r="AD21" i="1"/>
  <c r="AD22" i="1" s="1"/>
  <c r="F94" i="23"/>
  <c r="G94" i="23" s="1"/>
  <c r="S23" i="23" s="1"/>
  <c r="M94" i="23"/>
  <c r="AE42" i="23"/>
  <c r="O23" i="23"/>
  <c r="P26" i="18"/>
  <c r="N25" i="18"/>
  <c r="AD15" i="8"/>
  <c r="AD16" i="8" s="1"/>
  <c r="AC11" i="8"/>
  <c r="I13" i="7" l="1"/>
  <c r="H13" i="7"/>
  <c r="I10" i="16"/>
  <c r="H10" i="16" s="1"/>
  <c r="I13" i="8"/>
  <c r="H13" i="8"/>
  <c r="I12" i="6"/>
  <c r="H12" i="6" s="1"/>
  <c r="M11" i="6"/>
  <c r="AC12" i="9"/>
  <c r="AD17" i="9"/>
  <c r="AD18" i="9" s="1"/>
  <c r="Q23" i="24"/>
  <c r="L23" i="24" s="1"/>
  <c r="P26" i="17"/>
  <c r="N25" i="17"/>
  <c r="T24" i="17"/>
  <c r="J24" i="17"/>
  <c r="I24" i="17" s="1"/>
  <c r="H24" i="17" s="1"/>
  <c r="T23" i="20"/>
  <c r="J23" i="20"/>
  <c r="I23" i="20" s="1"/>
  <c r="H23" i="20" s="1"/>
  <c r="Q23" i="23"/>
  <c r="L23" i="23" s="1"/>
  <c r="T22" i="24"/>
  <c r="J22" i="24"/>
  <c r="P24" i="24"/>
  <c r="N23" i="24"/>
  <c r="AD13" i="16"/>
  <c r="AD14" i="16" s="1"/>
  <c r="AC10" i="16"/>
  <c r="AD15" i="5"/>
  <c r="AD16" i="5" s="1"/>
  <c r="AC11" i="5"/>
  <c r="P87" i="4"/>
  <c r="P88" i="4" s="1"/>
  <c r="O82" i="4"/>
  <c r="T22" i="23"/>
  <c r="J22" i="23"/>
  <c r="Q25" i="17"/>
  <c r="L25" i="17" s="1"/>
  <c r="AD17" i="10"/>
  <c r="AD18" i="10" s="1"/>
  <c r="AC12" i="10"/>
  <c r="Q24" i="22"/>
  <c r="L24" i="22" s="1"/>
  <c r="M25" i="18"/>
  <c r="R25" i="18"/>
  <c r="K25" i="18"/>
  <c r="AC12" i="14"/>
  <c r="AD17" i="14"/>
  <c r="AD18" i="14" s="1"/>
  <c r="M11" i="5"/>
  <c r="I12" i="5"/>
  <c r="H12" i="5"/>
  <c r="N25" i="21"/>
  <c r="P26" i="21"/>
  <c r="AC12" i="8"/>
  <c r="AD17" i="8"/>
  <c r="AD18" i="8" s="1"/>
  <c r="AD23" i="1"/>
  <c r="AD24" i="1" s="1"/>
  <c r="AC15" i="1"/>
  <c r="P87" i="12"/>
  <c r="P88" i="12" s="1"/>
  <c r="O82" i="12"/>
  <c r="N24" i="22"/>
  <c r="P25" i="22"/>
  <c r="T24" i="21"/>
  <c r="J24" i="21"/>
  <c r="AD13" i="13"/>
  <c r="AD14" i="13" s="1"/>
  <c r="P26" i="19"/>
  <c r="N25" i="19"/>
  <c r="J24" i="19"/>
  <c r="I24" i="19"/>
  <c r="H24" i="19" s="1"/>
  <c r="T24" i="19"/>
  <c r="Q24" i="20"/>
  <c r="L24" i="20" s="1"/>
  <c r="AC12" i="2"/>
  <c r="AD17" i="2"/>
  <c r="AD18" i="2" s="1"/>
  <c r="AC12" i="7"/>
  <c r="AD17" i="7"/>
  <c r="AD18" i="7" s="1"/>
  <c r="M10" i="14"/>
  <c r="I11" i="14"/>
  <c r="H11" i="14"/>
  <c r="AC10" i="15"/>
  <c r="AD13" i="15"/>
  <c r="AD14" i="15" s="1"/>
  <c r="M95" i="18"/>
  <c r="F95" i="18"/>
  <c r="G95" i="18" s="1"/>
  <c r="S26" i="18" s="1"/>
  <c r="Q114" i="18"/>
  <c r="O26" i="18"/>
  <c r="Q25" i="19"/>
  <c r="L25" i="19" s="1"/>
  <c r="AC12" i="3"/>
  <c r="AD17" i="3"/>
  <c r="AD18" i="3" s="1"/>
  <c r="H10" i="15"/>
  <c r="I10" i="15"/>
  <c r="T23" i="22"/>
  <c r="J23" i="22"/>
  <c r="AD15" i="6"/>
  <c r="AD16" i="6" s="1"/>
  <c r="AC11" i="6"/>
  <c r="P24" i="23"/>
  <c r="N23" i="23"/>
  <c r="Q25" i="21"/>
  <c r="L25" i="21" s="1"/>
  <c r="H8" i="13"/>
  <c r="N24" i="20"/>
  <c r="P25" i="20"/>
  <c r="AD17" i="11"/>
  <c r="AD18" i="11" s="1"/>
  <c r="AC12" i="11"/>
  <c r="I13" i="6" l="1"/>
  <c r="H13" i="6"/>
  <c r="M12" i="6"/>
  <c r="I11" i="16"/>
  <c r="H11" i="16"/>
  <c r="AD19" i="11"/>
  <c r="AD20" i="11" s="1"/>
  <c r="AC13" i="11"/>
  <c r="R25" i="21"/>
  <c r="M25" i="21"/>
  <c r="K25" i="21"/>
  <c r="N26" i="18"/>
  <c r="P27" i="18"/>
  <c r="AD19" i="8"/>
  <c r="AD20" i="8" s="1"/>
  <c r="AC13" i="8"/>
  <c r="I25" i="18"/>
  <c r="H25" i="18" s="1"/>
  <c r="T25" i="18"/>
  <c r="J25" i="18"/>
  <c r="AD19" i="10"/>
  <c r="AD20" i="10" s="1"/>
  <c r="AC13" i="10"/>
  <c r="AD17" i="5"/>
  <c r="AD18" i="5" s="1"/>
  <c r="AC12" i="5"/>
  <c r="AE44" i="22"/>
  <c r="F95" i="22"/>
  <c r="G95" i="22" s="1"/>
  <c r="S25" i="22" s="1"/>
  <c r="M95" i="22"/>
  <c r="O25" i="22"/>
  <c r="F96" i="21"/>
  <c r="G96" i="21" s="1"/>
  <c r="S26" i="21" s="1"/>
  <c r="O26" i="21"/>
  <c r="AE46" i="21"/>
  <c r="M96" i="21"/>
  <c r="I14" i="8"/>
  <c r="H14" i="8"/>
  <c r="Q26" i="18"/>
  <c r="L26" i="18" s="1"/>
  <c r="AD15" i="16"/>
  <c r="AD16" i="16" s="1"/>
  <c r="AC11" i="16"/>
  <c r="R23" i="23"/>
  <c r="K23" i="23"/>
  <c r="M23" i="23"/>
  <c r="H12" i="14"/>
  <c r="M11" i="14"/>
  <c r="I12" i="14"/>
  <c r="AD19" i="14"/>
  <c r="AD20" i="14" s="1"/>
  <c r="AC13" i="14"/>
  <c r="I11" i="15"/>
  <c r="H11" i="15"/>
  <c r="AD19" i="7"/>
  <c r="AD20" i="7" s="1"/>
  <c r="AC13" i="7"/>
  <c r="P89" i="12"/>
  <c r="P90" i="12" s="1"/>
  <c r="O83" i="12"/>
  <c r="I13" i="5"/>
  <c r="H13" i="5" s="1"/>
  <c r="M12" i="5"/>
  <c r="R24" i="22"/>
  <c r="K24" i="22"/>
  <c r="M24" i="22"/>
  <c r="K25" i="17"/>
  <c r="R25" i="17"/>
  <c r="M25" i="17"/>
  <c r="R23" i="24"/>
  <c r="M23" i="24"/>
  <c r="K23" i="24"/>
  <c r="F96" i="19"/>
  <c r="G96" i="19" s="1"/>
  <c r="S26" i="19" s="1"/>
  <c r="O26" i="19"/>
  <c r="M95" i="19"/>
  <c r="AE46" i="19"/>
  <c r="Q114" i="20"/>
  <c r="M95" i="20"/>
  <c r="O25" i="20"/>
  <c r="F95" i="20"/>
  <c r="G95" i="20" s="1"/>
  <c r="S25" i="20" s="1"/>
  <c r="F95" i="23"/>
  <c r="G95" i="23" s="1"/>
  <c r="S24" i="23" s="1"/>
  <c r="M95" i="23"/>
  <c r="O24" i="23"/>
  <c r="AE44" i="23"/>
  <c r="AC13" i="3"/>
  <c r="AD19" i="3"/>
  <c r="AD20" i="3" s="1"/>
  <c r="AC13" i="2"/>
  <c r="AD19" i="2"/>
  <c r="AD20" i="2" s="1"/>
  <c r="AD25" i="1"/>
  <c r="AD26" i="1" s="1"/>
  <c r="AC16" i="1"/>
  <c r="F95" i="24"/>
  <c r="G95" i="24" s="1"/>
  <c r="S24" i="24" s="1"/>
  <c r="AE44" i="24"/>
  <c r="M95" i="24"/>
  <c r="O24" i="24"/>
  <c r="AD19" i="9"/>
  <c r="AD20" i="9" s="1"/>
  <c r="AC13" i="9"/>
  <c r="I14" i="7"/>
  <c r="H14" i="7"/>
  <c r="M8" i="13"/>
  <c r="I9" i="13"/>
  <c r="AC10" i="13" s="1"/>
  <c r="H9" i="13"/>
  <c r="AD17" i="6"/>
  <c r="AD18" i="6" s="1"/>
  <c r="AC12" i="6"/>
  <c r="M25" i="19"/>
  <c r="K25" i="19"/>
  <c r="R25" i="19"/>
  <c r="AD15" i="15"/>
  <c r="AD16" i="15" s="1"/>
  <c r="AC11" i="15"/>
  <c r="M24" i="20"/>
  <c r="R24" i="20"/>
  <c r="K24" i="20"/>
  <c r="P89" i="4"/>
  <c r="P90" i="4" s="1"/>
  <c r="O83" i="4"/>
  <c r="AE44" i="17"/>
  <c r="F95" i="17"/>
  <c r="G95" i="17" s="1"/>
  <c r="S26" i="17" s="1"/>
  <c r="O26" i="17"/>
  <c r="M95" i="17"/>
  <c r="H14" i="5" l="1"/>
  <c r="M13" i="5"/>
  <c r="I14" i="5"/>
  <c r="Q26" i="17"/>
  <c r="L26" i="17" s="1"/>
  <c r="P25" i="23"/>
  <c r="N24" i="23"/>
  <c r="I15" i="7"/>
  <c r="H15" i="7" s="1"/>
  <c r="AD27" i="1"/>
  <c r="AD28" i="1" s="1"/>
  <c r="AC17" i="1"/>
  <c r="N26" i="19"/>
  <c r="P27" i="19"/>
  <c r="AD21" i="7"/>
  <c r="AD22" i="7" s="1"/>
  <c r="AC14" i="7"/>
  <c r="M12" i="14"/>
  <c r="I13" i="14"/>
  <c r="H13" i="14"/>
  <c r="I15" i="8"/>
  <c r="H15" i="8"/>
  <c r="Q25" i="22"/>
  <c r="L25" i="22" s="1"/>
  <c r="AD21" i="11"/>
  <c r="AD22" i="11" s="1"/>
  <c r="AC14" i="11"/>
  <c r="P91" i="4"/>
  <c r="P92" i="4" s="1"/>
  <c r="O84" i="4"/>
  <c r="Q24" i="23"/>
  <c r="L24" i="23" s="1"/>
  <c r="Q26" i="19"/>
  <c r="L26" i="19" s="1"/>
  <c r="J24" i="22"/>
  <c r="T24" i="22"/>
  <c r="AC14" i="8"/>
  <c r="AD21" i="8"/>
  <c r="AD22" i="8" s="1"/>
  <c r="AC14" i="9"/>
  <c r="AD21" i="9"/>
  <c r="AD22" i="9" s="1"/>
  <c r="Q25" i="20"/>
  <c r="L25" i="20" s="1"/>
  <c r="J23" i="24"/>
  <c r="T23" i="24"/>
  <c r="I12" i="15"/>
  <c r="H12" i="15"/>
  <c r="J23" i="23"/>
  <c r="T23" i="23"/>
  <c r="AD19" i="5"/>
  <c r="AD20" i="5" s="1"/>
  <c r="AC13" i="5"/>
  <c r="I12" i="16"/>
  <c r="H12" i="16"/>
  <c r="Q24" i="24"/>
  <c r="L24" i="24" s="1"/>
  <c r="I24" i="20"/>
  <c r="H24" i="20" s="1"/>
  <c r="J24" i="20"/>
  <c r="T24" i="20"/>
  <c r="AD19" i="6"/>
  <c r="AD20" i="6" s="1"/>
  <c r="AC13" i="6"/>
  <c r="AC14" i="2"/>
  <c r="AD21" i="2"/>
  <c r="AD22" i="2" s="1"/>
  <c r="P26" i="20"/>
  <c r="N25" i="20"/>
  <c r="F96" i="18"/>
  <c r="G96" i="18" s="1"/>
  <c r="S27" i="18" s="1"/>
  <c r="O27" i="18"/>
  <c r="Q116" i="18"/>
  <c r="M96" i="18"/>
  <c r="P25" i="24"/>
  <c r="N24" i="24"/>
  <c r="AC14" i="14"/>
  <c r="AD21" i="14"/>
  <c r="AD22" i="14" s="1"/>
  <c r="AC12" i="16"/>
  <c r="AD17" i="16"/>
  <c r="AD18" i="16" s="1"/>
  <c r="N26" i="21"/>
  <c r="P27" i="21"/>
  <c r="AC14" i="10"/>
  <c r="AD21" i="10"/>
  <c r="AD22" i="10" s="1"/>
  <c r="J25" i="17"/>
  <c r="I25" i="17" s="1"/>
  <c r="H25" i="17" s="1"/>
  <c r="T25" i="17"/>
  <c r="T25" i="19"/>
  <c r="J25" i="19"/>
  <c r="I25" i="19"/>
  <c r="H25" i="19" s="1"/>
  <c r="M9" i="13"/>
  <c r="I10" i="13"/>
  <c r="H10" i="13"/>
  <c r="AD21" i="3"/>
  <c r="AD22" i="3" s="1"/>
  <c r="AC14" i="3"/>
  <c r="Q26" i="21"/>
  <c r="L26" i="21" s="1"/>
  <c r="T25" i="21"/>
  <c r="J25" i="21"/>
  <c r="I14" i="6"/>
  <c r="H14" i="6" s="1"/>
  <c r="M13" i="6"/>
  <c r="P27" i="17"/>
  <c r="N26" i="17"/>
  <c r="AD17" i="15"/>
  <c r="AD18" i="15" s="1"/>
  <c r="AC12" i="15"/>
  <c r="AC11" i="13"/>
  <c r="AD15" i="13"/>
  <c r="AD16" i="13" s="1"/>
  <c r="P91" i="12"/>
  <c r="P92" i="12" s="1"/>
  <c r="O84" i="12"/>
  <c r="M26" i="18"/>
  <c r="R26" i="18"/>
  <c r="K26" i="18"/>
  <c r="N25" i="22"/>
  <c r="P26" i="22"/>
  <c r="I16" i="7" l="1"/>
  <c r="H16" i="7" s="1"/>
  <c r="M14" i="6"/>
  <c r="I15" i="6"/>
  <c r="H15" i="6"/>
  <c r="F96" i="22"/>
  <c r="G96" i="22" s="1"/>
  <c r="S26" i="22" s="1"/>
  <c r="AE46" i="22"/>
  <c r="M96" i="22"/>
  <c r="O26" i="22"/>
  <c r="P28" i="18"/>
  <c r="N27" i="18"/>
  <c r="AC13" i="15"/>
  <c r="AD19" i="15"/>
  <c r="AD20" i="15" s="1"/>
  <c r="AD23" i="3"/>
  <c r="AD24" i="3" s="1"/>
  <c r="AC15" i="3"/>
  <c r="AD19" i="16"/>
  <c r="AD20" i="16" s="1"/>
  <c r="AC13" i="16"/>
  <c r="Q27" i="18"/>
  <c r="L27" i="18" s="1"/>
  <c r="P93" i="4"/>
  <c r="P94" i="4" s="1"/>
  <c r="O85" i="4"/>
  <c r="AD23" i="7"/>
  <c r="AD24" i="7" s="1"/>
  <c r="AC15" i="7"/>
  <c r="R24" i="23"/>
  <c r="M24" i="23"/>
  <c r="K24" i="23"/>
  <c r="T26" i="18"/>
  <c r="J26" i="18"/>
  <c r="I26" i="18" s="1"/>
  <c r="H26" i="18" s="1"/>
  <c r="AD21" i="5"/>
  <c r="AD22" i="5" s="1"/>
  <c r="AC14" i="5"/>
  <c r="K26" i="19"/>
  <c r="R26" i="19"/>
  <c r="M26" i="19"/>
  <c r="F96" i="23"/>
  <c r="G96" i="23" s="1"/>
  <c r="S25" i="23" s="1"/>
  <c r="AE46" i="23"/>
  <c r="O25" i="23"/>
  <c r="M96" i="23"/>
  <c r="F97" i="19"/>
  <c r="G97" i="19" s="1"/>
  <c r="S27" i="19" s="1"/>
  <c r="AE48" i="19"/>
  <c r="O27" i="19"/>
  <c r="M96" i="19"/>
  <c r="I13" i="16"/>
  <c r="H13" i="16" s="1"/>
  <c r="AD23" i="14"/>
  <c r="AD24" i="14" s="1"/>
  <c r="M96" i="17"/>
  <c r="AE46" i="17"/>
  <c r="O27" i="17"/>
  <c r="F96" i="17"/>
  <c r="G96" i="17" s="1"/>
  <c r="S27" i="17" s="1"/>
  <c r="I16" i="8"/>
  <c r="H16" i="8"/>
  <c r="R26" i="17"/>
  <c r="M26" i="17"/>
  <c r="K26" i="17"/>
  <c r="AD17" i="13"/>
  <c r="AD18" i="13" s="1"/>
  <c r="R25" i="20"/>
  <c r="M25" i="20"/>
  <c r="K25" i="20"/>
  <c r="R26" i="21"/>
  <c r="K26" i="21"/>
  <c r="M26" i="21"/>
  <c r="AD23" i="10"/>
  <c r="AD24" i="10" s="1"/>
  <c r="AC15" i="10"/>
  <c r="M96" i="24"/>
  <c r="O25" i="24"/>
  <c r="F96" i="24"/>
  <c r="G96" i="24" s="1"/>
  <c r="S25" i="24" s="1"/>
  <c r="AE46" i="24"/>
  <c r="AD23" i="2"/>
  <c r="AD24" i="2" s="1"/>
  <c r="AC15" i="2"/>
  <c r="AC15" i="9"/>
  <c r="AD23" i="9"/>
  <c r="AD24" i="9" s="1"/>
  <c r="AC15" i="11"/>
  <c r="AD23" i="11"/>
  <c r="AD24" i="11" s="1"/>
  <c r="AC18" i="1"/>
  <c r="AD29" i="1"/>
  <c r="AD30" i="1" s="1"/>
  <c r="M10" i="13"/>
  <c r="I11" i="13"/>
  <c r="AC12" i="13" s="1"/>
  <c r="H11" i="13"/>
  <c r="F97" i="21"/>
  <c r="G97" i="21" s="1"/>
  <c r="S27" i="21" s="1"/>
  <c r="M97" i="21"/>
  <c r="AE48" i="21"/>
  <c r="O27" i="21"/>
  <c r="AD21" i="6"/>
  <c r="AD22" i="6" s="1"/>
  <c r="AC14" i="6"/>
  <c r="I13" i="15"/>
  <c r="H13" i="15" s="1"/>
  <c r="M13" i="14"/>
  <c r="H14" i="14"/>
  <c r="I14" i="14"/>
  <c r="AC15" i="14" s="1"/>
  <c r="Q116" i="20"/>
  <c r="O26" i="20"/>
  <c r="F96" i="20"/>
  <c r="G96" i="20" s="1"/>
  <c r="S26" i="20" s="1"/>
  <c r="M96" i="20"/>
  <c r="P93" i="12"/>
  <c r="P94" i="12" s="1"/>
  <c r="O85" i="12"/>
  <c r="R24" i="24"/>
  <c r="K24" i="24"/>
  <c r="M24" i="24"/>
  <c r="AC15" i="8"/>
  <c r="AD23" i="8"/>
  <c r="AD24" i="8" s="1"/>
  <c r="R25" i="22"/>
  <c r="M25" i="22"/>
  <c r="K25" i="22"/>
  <c r="M14" i="5"/>
  <c r="H15" i="5"/>
  <c r="I15" i="5"/>
  <c r="I14" i="16" l="1"/>
  <c r="H14" i="16"/>
  <c r="AD25" i="14"/>
  <c r="AD26" i="14" s="1"/>
  <c r="I14" i="15"/>
  <c r="H14" i="15"/>
  <c r="AC13" i="13"/>
  <c r="AD19" i="13"/>
  <c r="AD20" i="13" s="1"/>
  <c r="I17" i="7"/>
  <c r="H17" i="7"/>
  <c r="I12" i="13"/>
  <c r="H12" i="13" s="1"/>
  <c r="M11" i="13"/>
  <c r="AD25" i="8"/>
  <c r="AD26" i="8" s="1"/>
  <c r="AC16" i="8"/>
  <c r="AD25" i="2"/>
  <c r="AD26" i="2" s="1"/>
  <c r="AC16" i="2"/>
  <c r="J26" i="17"/>
  <c r="I26" i="17" s="1"/>
  <c r="H26" i="17" s="1"/>
  <c r="T26" i="17"/>
  <c r="Q27" i="19"/>
  <c r="L27" i="19" s="1"/>
  <c r="AC15" i="5"/>
  <c r="AD23" i="5"/>
  <c r="AD24" i="5" s="1"/>
  <c r="AC16" i="7"/>
  <c r="AD25" i="7"/>
  <c r="AD26" i="7" s="1"/>
  <c r="AC16" i="3"/>
  <c r="AD25" i="3"/>
  <c r="AD26" i="3" s="1"/>
  <c r="AD25" i="9"/>
  <c r="AD26" i="9" s="1"/>
  <c r="AC16" i="9"/>
  <c r="AC15" i="6"/>
  <c r="AD23" i="6"/>
  <c r="AD24" i="6" s="1"/>
  <c r="T26" i="21"/>
  <c r="J26" i="21"/>
  <c r="Q26" i="22"/>
  <c r="L26" i="22" s="1"/>
  <c r="M15" i="5"/>
  <c r="I16" i="5"/>
  <c r="H16" i="5" s="1"/>
  <c r="J24" i="24"/>
  <c r="T24" i="24"/>
  <c r="P27" i="20"/>
  <c r="N26" i="20"/>
  <c r="N25" i="23"/>
  <c r="P26" i="23"/>
  <c r="P95" i="4"/>
  <c r="P96" i="4" s="1"/>
  <c r="O86" i="4"/>
  <c r="I16" i="6"/>
  <c r="H16" i="6"/>
  <c r="M15" i="6"/>
  <c r="Q26" i="20"/>
  <c r="L26" i="20" s="1"/>
  <c r="P28" i="21"/>
  <c r="N27" i="21"/>
  <c r="AC19" i="1"/>
  <c r="AD31" i="1"/>
  <c r="AD32" i="1" s="1"/>
  <c r="Q25" i="24"/>
  <c r="L25" i="24" s="1"/>
  <c r="J25" i="20"/>
  <c r="I25" i="20" s="1"/>
  <c r="H25" i="20" s="1"/>
  <c r="T25" i="20"/>
  <c r="H17" i="8"/>
  <c r="I17" i="8"/>
  <c r="AD21" i="15"/>
  <c r="AD22" i="15" s="1"/>
  <c r="AC14" i="15"/>
  <c r="T26" i="19"/>
  <c r="J26" i="19"/>
  <c r="I26" i="19" s="1"/>
  <c r="H26" i="19" s="1"/>
  <c r="P26" i="24"/>
  <c r="N25" i="24"/>
  <c r="Q25" i="23"/>
  <c r="L25" i="23" s="1"/>
  <c r="T25" i="22"/>
  <c r="J25" i="22"/>
  <c r="M14" i="14"/>
  <c r="I15" i="14"/>
  <c r="AC16" i="14" s="1"/>
  <c r="H15" i="14"/>
  <c r="AC16" i="11"/>
  <c r="AD25" i="11"/>
  <c r="AD26" i="11" s="1"/>
  <c r="Q27" i="17"/>
  <c r="L27" i="17" s="1"/>
  <c r="T24" i="23"/>
  <c r="J24" i="23"/>
  <c r="K27" i="18"/>
  <c r="R27" i="18"/>
  <c r="M27" i="18"/>
  <c r="Q118" i="18"/>
  <c r="M97" i="18"/>
  <c r="O28" i="18"/>
  <c r="F97" i="18"/>
  <c r="G97" i="18" s="1"/>
  <c r="S28" i="18" s="1"/>
  <c r="P95" i="12"/>
  <c r="P96" i="12" s="1"/>
  <c r="O86" i="12"/>
  <c r="Q27" i="21"/>
  <c r="L27" i="21" s="1"/>
  <c r="AD25" i="10"/>
  <c r="AD26" i="10" s="1"/>
  <c r="AC16" i="10"/>
  <c r="P28" i="17"/>
  <c r="N27" i="17"/>
  <c r="P28" i="19"/>
  <c r="N27" i="19"/>
  <c r="AD21" i="16"/>
  <c r="AD22" i="16" s="1"/>
  <c r="AC14" i="16"/>
  <c r="P27" i="22"/>
  <c r="N26" i="22"/>
  <c r="I13" i="13" l="1"/>
  <c r="H13" i="13"/>
  <c r="M12" i="13"/>
  <c r="AD27" i="14"/>
  <c r="AD28" i="14" s="1"/>
  <c r="AC17" i="14"/>
  <c r="M16" i="5"/>
  <c r="I17" i="5"/>
  <c r="H17" i="5"/>
  <c r="I16" i="14"/>
  <c r="H16" i="14"/>
  <c r="M15" i="14"/>
  <c r="P97" i="12"/>
  <c r="P98" i="12" s="1"/>
  <c r="O87" i="12"/>
  <c r="T27" i="18"/>
  <c r="J27" i="18"/>
  <c r="I27" i="18"/>
  <c r="H27" i="18" s="1"/>
  <c r="Q118" i="20"/>
  <c r="M97" i="20"/>
  <c r="O27" i="20"/>
  <c r="F97" i="20"/>
  <c r="G97" i="20" s="1"/>
  <c r="S27" i="20" s="1"/>
  <c r="R26" i="22"/>
  <c r="M26" i="22"/>
  <c r="K26" i="22"/>
  <c r="AD25" i="6"/>
  <c r="AD26" i="6" s="1"/>
  <c r="AC16" i="6"/>
  <c r="AC16" i="5"/>
  <c r="AD25" i="5"/>
  <c r="AD26" i="5" s="1"/>
  <c r="AD27" i="8"/>
  <c r="AD28" i="8" s="1"/>
  <c r="AC17" i="8"/>
  <c r="AD21" i="13"/>
  <c r="AD22" i="13" s="1"/>
  <c r="AC14" i="13"/>
  <c r="AC17" i="10"/>
  <c r="AD27" i="10"/>
  <c r="AD28" i="10" s="1"/>
  <c r="I18" i="8"/>
  <c r="H18" i="8"/>
  <c r="R25" i="24"/>
  <c r="M25" i="24"/>
  <c r="K25" i="24"/>
  <c r="H17" i="6"/>
  <c r="I17" i="6"/>
  <c r="M16" i="6"/>
  <c r="AD27" i="9"/>
  <c r="AD28" i="9" s="1"/>
  <c r="AC17" i="9"/>
  <c r="H15" i="15"/>
  <c r="I15" i="15"/>
  <c r="Q28" i="18"/>
  <c r="L28" i="18" s="1"/>
  <c r="K27" i="19"/>
  <c r="R27" i="19"/>
  <c r="M27" i="19"/>
  <c r="F97" i="17"/>
  <c r="G97" i="17" s="1"/>
  <c r="S28" i="17" s="1"/>
  <c r="O28" i="17"/>
  <c r="AE48" i="17"/>
  <c r="M97" i="17"/>
  <c r="F97" i="24"/>
  <c r="G97" i="24" s="1"/>
  <c r="S26" i="24" s="1"/>
  <c r="O26" i="24"/>
  <c r="AE48" i="24"/>
  <c r="M97" i="24"/>
  <c r="AC15" i="16"/>
  <c r="AD23" i="16"/>
  <c r="AD24" i="16" s="1"/>
  <c r="N28" i="18"/>
  <c r="P29" i="18"/>
  <c r="AC20" i="1"/>
  <c r="AD33" i="1"/>
  <c r="AD34" i="1" s="1"/>
  <c r="P97" i="4"/>
  <c r="P98" i="4" s="1"/>
  <c r="O87" i="4"/>
  <c r="AE48" i="22"/>
  <c r="M97" i="22"/>
  <c r="F97" i="22"/>
  <c r="G97" i="22" s="1"/>
  <c r="S27" i="22" s="1"/>
  <c r="O27" i="22"/>
  <c r="M27" i="17"/>
  <c r="K27" i="17"/>
  <c r="R27" i="17"/>
  <c r="R25" i="23"/>
  <c r="M25" i="23"/>
  <c r="K25" i="23"/>
  <c r="AD27" i="3"/>
  <c r="AD28" i="3" s="1"/>
  <c r="AC17" i="3"/>
  <c r="F98" i="21"/>
  <c r="G98" i="21" s="1"/>
  <c r="S28" i="21" s="1"/>
  <c r="O28" i="21"/>
  <c r="AE50" i="21"/>
  <c r="M98" i="21"/>
  <c r="F97" i="23"/>
  <c r="G97" i="23" s="1"/>
  <c r="S26" i="23" s="1"/>
  <c r="M97" i="23"/>
  <c r="O26" i="23"/>
  <c r="AE48" i="23"/>
  <c r="I18" i="7"/>
  <c r="H18" i="7" s="1"/>
  <c r="I15" i="16"/>
  <c r="H15" i="16"/>
  <c r="R27" i="21"/>
  <c r="K27" i="21"/>
  <c r="M27" i="21"/>
  <c r="AE50" i="19"/>
  <c r="O28" i="19"/>
  <c r="M97" i="19"/>
  <c r="F98" i="19"/>
  <c r="G98" i="19" s="1"/>
  <c r="S28" i="19" s="1"/>
  <c r="AD27" i="11"/>
  <c r="AD28" i="11" s="1"/>
  <c r="AC17" i="11"/>
  <c r="AD23" i="15"/>
  <c r="AD24" i="15" s="1"/>
  <c r="AC15" i="15"/>
  <c r="M26" i="20"/>
  <c r="R26" i="20"/>
  <c r="K26" i="20"/>
  <c r="AD27" i="7"/>
  <c r="AD28" i="7" s="1"/>
  <c r="AC17" i="7"/>
  <c r="AC17" i="2"/>
  <c r="AD27" i="2"/>
  <c r="AD28" i="2" s="1"/>
  <c r="I19" i="7" l="1"/>
  <c r="H19" i="7" s="1"/>
  <c r="M28" i="18"/>
  <c r="K28" i="18"/>
  <c r="R28" i="18"/>
  <c r="J25" i="24"/>
  <c r="T25" i="24"/>
  <c r="I27" i="17"/>
  <c r="H27" i="17" s="1"/>
  <c r="T27" i="17"/>
  <c r="J27" i="17"/>
  <c r="M17" i="5"/>
  <c r="I18" i="5"/>
  <c r="H18" i="5" s="1"/>
  <c r="Q26" i="24"/>
  <c r="L26" i="24" s="1"/>
  <c r="AD23" i="13"/>
  <c r="AD24" i="13" s="1"/>
  <c r="AC16" i="15"/>
  <c r="AD25" i="15"/>
  <c r="AD26" i="15" s="1"/>
  <c r="P27" i="23"/>
  <c r="N26" i="23"/>
  <c r="Q27" i="22"/>
  <c r="L27" i="22" s="1"/>
  <c r="AC18" i="8"/>
  <c r="AD29" i="8"/>
  <c r="AD30" i="8" s="1"/>
  <c r="P99" i="12"/>
  <c r="P100" i="12" s="1"/>
  <c r="O88" i="12"/>
  <c r="AD29" i="14"/>
  <c r="AD30" i="14" s="1"/>
  <c r="P29" i="21"/>
  <c r="N28" i="21"/>
  <c r="N26" i="24"/>
  <c r="P27" i="24"/>
  <c r="AC18" i="10"/>
  <c r="AD29" i="10"/>
  <c r="AD30" i="10" s="1"/>
  <c r="T26" i="22"/>
  <c r="J26" i="22"/>
  <c r="AC18" i="3"/>
  <c r="AD29" i="3"/>
  <c r="AD30" i="3" s="1"/>
  <c r="T27" i="21"/>
  <c r="J27" i="21"/>
  <c r="T25" i="23"/>
  <c r="J25" i="23"/>
  <c r="P29" i="17"/>
  <c r="N28" i="17"/>
  <c r="I16" i="15"/>
  <c r="H16" i="15"/>
  <c r="Q27" i="20"/>
  <c r="L27" i="20" s="1"/>
  <c r="J27" i="19"/>
  <c r="I27" i="19" s="1"/>
  <c r="H27" i="19" s="1"/>
  <c r="T27" i="19"/>
  <c r="Q28" i="21"/>
  <c r="L28" i="21" s="1"/>
  <c r="AC21" i="1"/>
  <c r="AD35" i="1"/>
  <c r="AD36" i="1" s="1"/>
  <c r="Q26" i="23"/>
  <c r="L26" i="23" s="1"/>
  <c r="AD25" i="16"/>
  <c r="AD26" i="16" s="1"/>
  <c r="AC16" i="16"/>
  <c r="Q28" i="17"/>
  <c r="L28" i="17" s="1"/>
  <c r="AC18" i="9"/>
  <c r="AD29" i="9"/>
  <c r="AD30" i="9" s="1"/>
  <c r="I19" i="8"/>
  <c r="H19" i="8"/>
  <c r="P28" i="20"/>
  <c r="N27" i="20"/>
  <c r="M17" i="6"/>
  <c r="I18" i="6"/>
  <c r="H18" i="6" s="1"/>
  <c r="Q120" i="18"/>
  <c r="M98" i="18"/>
  <c r="F98" i="18"/>
  <c r="G98" i="18" s="1"/>
  <c r="S29" i="18" s="1"/>
  <c r="O29" i="18"/>
  <c r="AD29" i="11"/>
  <c r="AD30" i="11" s="1"/>
  <c r="AC18" i="11"/>
  <c r="AC18" i="7"/>
  <c r="AD29" i="7"/>
  <c r="AD30" i="7" s="1"/>
  <c r="I16" i="16"/>
  <c r="H16" i="16"/>
  <c r="P99" i="4"/>
  <c r="P100" i="4" s="1"/>
  <c r="O88" i="4"/>
  <c r="AC17" i="5"/>
  <c r="AD27" i="5"/>
  <c r="AD28" i="5" s="1"/>
  <c r="I17" i="14"/>
  <c r="AC18" i="14" s="1"/>
  <c r="M16" i="14"/>
  <c r="I14" i="13"/>
  <c r="AC15" i="13" s="1"/>
  <c r="H14" i="13"/>
  <c r="M13" i="13"/>
  <c r="T26" i="20"/>
  <c r="J26" i="20"/>
  <c r="I26" i="20"/>
  <c r="H26" i="20" s="1"/>
  <c r="P29" i="19"/>
  <c r="N28" i="19"/>
  <c r="N27" i="22"/>
  <c r="P28" i="22"/>
  <c r="AC18" i="2"/>
  <c r="AD29" i="2"/>
  <c r="AD30" i="2" s="1"/>
  <c r="Q28" i="19"/>
  <c r="L28" i="19" s="1"/>
  <c r="AC17" i="6"/>
  <c r="AD27" i="6"/>
  <c r="AD28" i="6" s="1"/>
  <c r="I19" i="6" l="1"/>
  <c r="H19" i="6" s="1"/>
  <c r="M18" i="6"/>
  <c r="AD25" i="13"/>
  <c r="AD26" i="13" s="1"/>
  <c r="I19" i="5"/>
  <c r="H19" i="5" s="1"/>
  <c r="M18" i="5"/>
  <c r="AD31" i="14"/>
  <c r="AD32" i="14" s="1"/>
  <c r="I20" i="7"/>
  <c r="H20" i="7" s="1"/>
  <c r="AD29" i="5"/>
  <c r="AD30" i="5" s="1"/>
  <c r="AC18" i="5"/>
  <c r="AC19" i="2"/>
  <c r="AD31" i="2"/>
  <c r="AD32" i="2" s="1"/>
  <c r="O89" i="4"/>
  <c r="P101" i="4"/>
  <c r="P102" i="4" s="1"/>
  <c r="P30" i="18"/>
  <c r="N29" i="18"/>
  <c r="Q120" i="20"/>
  <c r="M98" i="20"/>
  <c r="O28" i="20"/>
  <c r="F98" i="20"/>
  <c r="G98" i="20" s="1"/>
  <c r="S28" i="20" s="1"/>
  <c r="R28" i="21"/>
  <c r="M28" i="21"/>
  <c r="K28" i="21"/>
  <c r="R27" i="20"/>
  <c r="M27" i="20"/>
  <c r="K27" i="20"/>
  <c r="O27" i="24"/>
  <c r="AE50" i="24"/>
  <c r="M98" i="24"/>
  <c r="F98" i="24"/>
  <c r="G98" i="24" s="1"/>
  <c r="S27" i="24" s="1"/>
  <c r="F98" i="23"/>
  <c r="G98" i="23" s="1"/>
  <c r="S27" i="23" s="1"/>
  <c r="O27" i="23"/>
  <c r="M98" i="23"/>
  <c r="AE50" i="23"/>
  <c r="AD37" i="1"/>
  <c r="AD38" i="1" s="1"/>
  <c r="AC22" i="1"/>
  <c r="I15" i="13"/>
  <c r="H15" i="13" s="1"/>
  <c r="M14" i="13"/>
  <c r="I20" i="8"/>
  <c r="H20" i="8"/>
  <c r="AD31" i="8"/>
  <c r="AD32" i="8" s="1"/>
  <c r="AC19" i="8"/>
  <c r="AC17" i="16"/>
  <c r="AD27" i="16"/>
  <c r="AD28" i="16" s="1"/>
  <c r="F98" i="22"/>
  <c r="G98" i="22" s="1"/>
  <c r="S28" i="22" s="1"/>
  <c r="O28" i="22"/>
  <c r="AE50" i="22"/>
  <c r="M98" i="22"/>
  <c r="Q29" i="18"/>
  <c r="L29" i="18" s="1"/>
  <c r="H17" i="16"/>
  <c r="I17" i="16"/>
  <c r="I17" i="15"/>
  <c r="H17" i="15"/>
  <c r="AD27" i="15"/>
  <c r="AD28" i="15" s="1"/>
  <c r="AC17" i="15"/>
  <c r="AD31" i="10"/>
  <c r="AD32" i="10" s="1"/>
  <c r="AC19" i="10"/>
  <c r="R27" i="22"/>
  <c r="M27" i="22"/>
  <c r="K27" i="22"/>
  <c r="J28" i="18"/>
  <c r="I28" i="18" s="1"/>
  <c r="H28" i="18" s="1"/>
  <c r="T28" i="18"/>
  <c r="R26" i="23"/>
  <c r="K26" i="23"/>
  <c r="M26" i="23"/>
  <c r="AE52" i="19"/>
  <c r="F99" i="19"/>
  <c r="G99" i="19" s="1"/>
  <c r="S29" i="19" s="1"/>
  <c r="M98" i="19"/>
  <c r="O29" i="19"/>
  <c r="H17" i="14"/>
  <c r="AD31" i="9"/>
  <c r="AD32" i="9" s="1"/>
  <c r="AC19" i="9"/>
  <c r="AD31" i="3"/>
  <c r="AD32" i="3" s="1"/>
  <c r="AC19" i="3"/>
  <c r="AD31" i="7"/>
  <c r="AD32" i="7" s="1"/>
  <c r="AC19" i="7"/>
  <c r="M28" i="17"/>
  <c r="K28" i="17"/>
  <c r="R28" i="17"/>
  <c r="O29" i="17"/>
  <c r="M98" i="17"/>
  <c r="AE50" i="17"/>
  <c r="F98" i="17"/>
  <c r="G98" i="17" s="1"/>
  <c r="S29" i="17" s="1"/>
  <c r="R26" i="24"/>
  <c r="M26" i="24"/>
  <c r="K26" i="24"/>
  <c r="F99" i="21"/>
  <c r="G99" i="21" s="1"/>
  <c r="S29" i="21" s="1"/>
  <c r="AE52" i="21"/>
  <c r="M99" i="21"/>
  <c r="O29" i="21"/>
  <c r="AD29" i="6"/>
  <c r="AD30" i="6" s="1"/>
  <c r="AC18" i="6"/>
  <c r="R28" i="19"/>
  <c r="M28" i="19"/>
  <c r="K28" i="19"/>
  <c r="AC19" i="11"/>
  <c r="AD31" i="11"/>
  <c r="AD32" i="11" s="1"/>
  <c r="P101" i="12"/>
  <c r="P102" i="12" s="1"/>
  <c r="O89" i="12"/>
  <c r="I21" i="7" l="1"/>
  <c r="H21" i="7" s="1"/>
  <c r="M19" i="5"/>
  <c r="I20" i="5"/>
  <c r="H20" i="5" s="1"/>
  <c r="M15" i="13"/>
  <c r="I16" i="13"/>
  <c r="H16" i="13"/>
  <c r="M19" i="6"/>
  <c r="I20" i="6"/>
  <c r="H20" i="6" s="1"/>
  <c r="AD29" i="16"/>
  <c r="AD30" i="16" s="1"/>
  <c r="AC18" i="16"/>
  <c r="AD33" i="11"/>
  <c r="AD34" i="11" s="1"/>
  <c r="AC20" i="11"/>
  <c r="N29" i="17"/>
  <c r="P30" i="17"/>
  <c r="AC20" i="9"/>
  <c r="AD33" i="9"/>
  <c r="AD34" i="9" s="1"/>
  <c r="T26" i="23"/>
  <c r="J26" i="23"/>
  <c r="AD33" i="10"/>
  <c r="AD34" i="10" s="1"/>
  <c r="AC20" i="10"/>
  <c r="AC20" i="8"/>
  <c r="AD33" i="8"/>
  <c r="AD34" i="8" s="1"/>
  <c r="N27" i="24"/>
  <c r="P28" i="24"/>
  <c r="N28" i="20"/>
  <c r="P29" i="20"/>
  <c r="AD33" i="2"/>
  <c r="AD34" i="2" s="1"/>
  <c r="AC20" i="2"/>
  <c r="AC23" i="1"/>
  <c r="AD39" i="1"/>
  <c r="AD40" i="1" s="1"/>
  <c r="Q29" i="21"/>
  <c r="L29" i="21" s="1"/>
  <c r="K29" i="18"/>
  <c r="M29" i="18"/>
  <c r="R29" i="18"/>
  <c r="I27" i="20"/>
  <c r="H27" i="20" s="1"/>
  <c r="T27" i="20"/>
  <c r="J27" i="20"/>
  <c r="AD31" i="5"/>
  <c r="AD32" i="5" s="1"/>
  <c r="AC19" i="5"/>
  <c r="I18" i="16"/>
  <c r="H18" i="16"/>
  <c r="J28" i="19"/>
  <c r="I28" i="19"/>
  <c r="H28" i="19" s="1"/>
  <c r="T28" i="19"/>
  <c r="T28" i="17"/>
  <c r="J28" i="17"/>
  <c r="I28" i="17" s="1"/>
  <c r="H28" i="17" s="1"/>
  <c r="H18" i="14"/>
  <c r="M17" i="14"/>
  <c r="I18" i="14"/>
  <c r="AC19" i="14" s="1"/>
  <c r="AD29" i="15"/>
  <c r="AD30" i="15" s="1"/>
  <c r="AC18" i="15"/>
  <c r="I21" i="8"/>
  <c r="H21" i="8"/>
  <c r="Q28" i="20"/>
  <c r="L28" i="20" s="1"/>
  <c r="T26" i="24"/>
  <c r="J26" i="24"/>
  <c r="P30" i="19"/>
  <c r="N29" i="19"/>
  <c r="N27" i="23"/>
  <c r="P28" i="23"/>
  <c r="AC16" i="13"/>
  <c r="Q27" i="23"/>
  <c r="L27" i="23" s="1"/>
  <c r="T28" i="21"/>
  <c r="J28" i="21"/>
  <c r="M99" i="18"/>
  <c r="O30" i="18"/>
  <c r="Q122" i="18"/>
  <c r="F99" i="18"/>
  <c r="G99" i="18" s="1"/>
  <c r="S30" i="18" s="1"/>
  <c r="AD31" i="6"/>
  <c r="AD32" i="6" s="1"/>
  <c r="AC19" i="6"/>
  <c r="AC20" i="7"/>
  <c r="AD33" i="7"/>
  <c r="AD34" i="7" s="1"/>
  <c r="P29" i="22"/>
  <c r="N28" i="22"/>
  <c r="P103" i="12"/>
  <c r="P104" i="12" s="1"/>
  <c r="O90" i="12"/>
  <c r="T27" i="22"/>
  <c r="J27" i="22"/>
  <c r="Q28" i="22"/>
  <c r="L28" i="22" s="1"/>
  <c r="Q27" i="24"/>
  <c r="L27" i="24" s="1"/>
  <c r="I18" i="15"/>
  <c r="H18" i="15"/>
  <c r="Q29" i="17"/>
  <c r="L29" i="17" s="1"/>
  <c r="Q29" i="19"/>
  <c r="L29" i="19" s="1"/>
  <c r="P30" i="21"/>
  <c r="N29" i="21"/>
  <c r="AD33" i="3"/>
  <c r="AD34" i="3" s="1"/>
  <c r="AC20" i="3"/>
  <c r="O90" i="4"/>
  <c r="P103" i="4"/>
  <c r="P104" i="4" s="1"/>
  <c r="I21" i="6" l="1"/>
  <c r="H21" i="6" s="1"/>
  <c r="M20" i="6"/>
  <c r="M20" i="5"/>
  <c r="I21" i="5"/>
  <c r="H21" i="5" s="1"/>
  <c r="I22" i="7"/>
  <c r="H22" i="7" s="1"/>
  <c r="O91" i="4"/>
  <c r="P105" i="4"/>
  <c r="P106" i="4" s="1"/>
  <c r="I19" i="16"/>
  <c r="H19" i="16" s="1"/>
  <c r="I19" i="15"/>
  <c r="H19" i="15" s="1"/>
  <c r="N30" i="18"/>
  <c r="P31" i="18"/>
  <c r="K28" i="20"/>
  <c r="R28" i="20"/>
  <c r="M28" i="20"/>
  <c r="M18" i="14"/>
  <c r="I19" i="14"/>
  <c r="H19" i="14"/>
  <c r="I29" i="18"/>
  <c r="H29" i="18" s="1"/>
  <c r="T29" i="18"/>
  <c r="J29" i="18"/>
  <c r="AD35" i="2"/>
  <c r="AD36" i="2" s="1"/>
  <c r="AC21" i="2"/>
  <c r="AD35" i="10"/>
  <c r="AD36" i="10" s="1"/>
  <c r="AC21" i="10"/>
  <c r="AD35" i="11"/>
  <c r="AD36" i="11" s="1"/>
  <c r="AC21" i="11"/>
  <c r="AE52" i="22"/>
  <c r="M99" i="22"/>
  <c r="F99" i="22"/>
  <c r="G99" i="22" s="1"/>
  <c r="S29" i="22" s="1"/>
  <c r="O29" i="22"/>
  <c r="AD27" i="13"/>
  <c r="AD28" i="13" s="1"/>
  <c r="AC17" i="13"/>
  <c r="AC20" i="5"/>
  <c r="AD33" i="5"/>
  <c r="AD34" i="5" s="1"/>
  <c r="AD41" i="1"/>
  <c r="AD42" i="1" s="1"/>
  <c r="AC24" i="1"/>
  <c r="F99" i="23"/>
  <c r="G99" i="23" s="1"/>
  <c r="S28" i="23" s="1"/>
  <c r="AE52" i="23"/>
  <c r="O28" i="23"/>
  <c r="M99" i="23"/>
  <c r="H22" i="8"/>
  <c r="I22" i="8"/>
  <c r="O29" i="20"/>
  <c r="Q122" i="20"/>
  <c r="M99" i="20"/>
  <c r="F99" i="20"/>
  <c r="G99" i="20" s="1"/>
  <c r="S29" i="20" s="1"/>
  <c r="AD31" i="16"/>
  <c r="AD32" i="16" s="1"/>
  <c r="AC19" i="16"/>
  <c r="I17" i="13"/>
  <c r="H17" i="13" s="1"/>
  <c r="M16" i="13"/>
  <c r="AE54" i="21"/>
  <c r="O30" i="21"/>
  <c r="N30" i="21" s="1"/>
  <c r="F100" i="21"/>
  <c r="G100" i="21" s="1"/>
  <c r="S30" i="21" s="1"/>
  <c r="Q30" i="21" s="1"/>
  <c r="L30" i="21" s="1"/>
  <c r="M100" i="21"/>
  <c r="R27" i="24"/>
  <c r="M27" i="24"/>
  <c r="K27" i="24"/>
  <c r="R28" i="22"/>
  <c r="K28" i="22"/>
  <c r="M28" i="22"/>
  <c r="AD35" i="7"/>
  <c r="AD36" i="7" s="1"/>
  <c r="AC21" i="7"/>
  <c r="AD35" i="3"/>
  <c r="AD36" i="3" s="1"/>
  <c r="AC21" i="3"/>
  <c r="AD33" i="6"/>
  <c r="AD34" i="6" s="1"/>
  <c r="AC20" i="6"/>
  <c r="R27" i="23"/>
  <c r="K27" i="23"/>
  <c r="M27" i="23"/>
  <c r="AD31" i="15"/>
  <c r="AD32" i="15" s="1"/>
  <c r="AC19" i="15"/>
  <c r="F99" i="24"/>
  <c r="G99" i="24" s="1"/>
  <c r="S28" i="24" s="1"/>
  <c r="AE52" i="24"/>
  <c r="M99" i="24"/>
  <c r="O28" i="24"/>
  <c r="M29" i="19"/>
  <c r="K29" i="19"/>
  <c r="R29" i="19"/>
  <c r="O30" i="19"/>
  <c r="AE54" i="19"/>
  <c r="F100" i="19"/>
  <c r="G100" i="19" s="1"/>
  <c r="S30" i="19" s="1"/>
  <c r="M99" i="19"/>
  <c r="R29" i="21"/>
  <c r="K29" i="21"/>
  <c r="M29" i="21"/>
  <c r="AC21" i="9"/>
  <c r="AD35" i="9"/>
  <c r="AD36" i="9" s="1"/>
  <c r="AD35" i="8"/>
  <c r="AD36" i="8" s="1"/>
  <c r="AC21" i="8"/>
  <c r="M29" i="17"/>
  <c r="R29" i="17"/>
  <c r="K29" i="17"/>
  <c r="P105" i="12"/>
  <c r="P106" i="12" s="1"/>
  <c r="O91" i="12"/>
  <c r="Q30" i="18"/>
  <c r="L30" i="18" s="1"/>
  <c r="AC20" i="14"/>
  <c r="AD33" i="14"/>
  <c r="AD34" i="14" s="1"/>
  <c r="AE52" i="17"/>
  <c r="F99" i="17"/>
  <c r="G99" i="17" s="1"/>
  <c r="S30" i="17" s="1"/>
  <c r="M99" i="17"/>
  <c r="O30" i="17"/>
  <c r="I20" i="16" l="1"/>
  <c r="H20" i="16" s="1"/>
  <c r="I23" i="7"/>
  <c r="H23" i="7" s="1"/>
  <c r="M21" i="5"/>
  <c r="I22" i="5"/>
  <c r="H22" i="5" s="1"/>
  <c r="I18" i="13"/>
  <c r="H18" i="13" s="1"/>
  <c r="M17" i="13"/>
  <c r="I20" i="15"/>
  <c r="H20" i="15" s="1"/>
  <c r="I22" i="6"/>
  <c r="H22" i="6" s="1"/>
  <c r="M21" i="6"/>
  <c r="AD35" i="14"/>
  <c r="AD36" i="14" s="1"/>
  <c r="AC22" i="8"/>
  <c r="AD37" i="8"/>
  <c r="AD38" i="8" s="1"/>
  <c r="Q30" i="19"/>
  <c r="L30" i="19" s="1"/>
  <c r="T27" i="24"/>
  <c r="J27" i="24"/>
  <c r="AD37" i="11"/>
  <c r="AD38" i="11" s="1"/>
  <c r="AC22" i="11"/>
  <c r="O31" i="18"/>
  <c r="N31" i="18" s="1"/>
  <c r="Q124" i="18"/>
  <c r="F100" i="18"/>
  <c r="G100" i="18" s="1"/>
  <c r="S31" i="18" s="1"/>
  <c r="Q31" i="18" s="1"/>
  <c r="L31" i="18" s="1"/>
  <c r="M100" i="18"/>
  <c r="AD37" i="3"/>
  <c r="AD38" i="3" s="1"/>
  <c r="AC22" i="3"/>
  <c r="I23" i="8"/>
  <c r="H23" i="8" s="1"/>
  <c r="AC21" i="5"/>
  <c r="AD35" i="5"/>
  <c r="AD36" i="5" s="1"/>
  <c r="M19" i="14"/>
  <c r="I20" i="14"/>
  <c r="AC21" i="14" s="1"/>
  <c r="M30" i="18"/>
  <c r="K30" i="18"/>
  <c r="R30" i="18"/>
  <c r="P31" i="19"/>
  <c r="N30" i="19"/>
  <c r="AD33" i="15"/>
  <c r="AD34" i="15" s="1"/>
  <c r="AC20" i="15"/>
  <c r="AD33" i="16"/>
  <c r="AD34" i="16" s="1"/>
  <c r="AC20" i="16"/>
  <c r="AC18" i="13"/>
  <c r="AD29" i="13"/>
  <c r="AD30" i="13" s="1"/>
  <c r="AD37" i="10"/>
  <c r="AD38" i="10" s="1"/>
  <c r="AC22" i="10"/>
  <c r="Q28" i="24"/>
  <c r="L28" i="24" s="1"/>
  <c r="N30" i="17"/>
  <c r="P31" i="17"/>
  <c r="P107" i="12"/>
  <c r="P108" i="12" s="1"/>
  <c r="O92" i="12"/>
  <c r="AD37" i="9"/>
  <c r="AD38" i="9" s="1"/>
  <c r="AC22" i="9"/>
  <c r="AC22" i="7"/>
  <c r="AD37" i="7"/>
  <c r="AD38" i="7" s="1"/>
  <c r="N28" i="23"/>
  <c r="P29" i="23"/>
  <c r="AD35" i="6"/>
  <c r="AD36" i="6" s="1"/>
  <c r="AC21" i="6"/>
  <c r="T29" i="19"/>
  <c r="J29" i="19"/>
  <c r="I29" i="19" s="1"/>
  <c r="H29" i="19" s="1"/>
  <c r="R30" i="21"/>
  <c r="K30" i="21"/>
  <c r="M30" i="21"/>
  <c r="Q29" i="20"/>
  <c r="L29" i="20" s="1"/>
  <c r="N29" i="22"/>
  <c r="P30" i="22"/>
  <c r="AD37" i="2"/>
  <c r="AD38" i="2" s="1"/>
  <c r="AC22" i="2"/>
  <c r="N29" i="20"/>
  <c r="P30" i="20"/>
  <c r="Q30" i="17"/>
  <c r="L30" i="17" s="1"/>
  <c r="J29" i="21"/>
  <c r="T29" i="21"/>
  <c r="T27" i="23"/>
  <c r="J27" i="23"/>
  <c r="F12" i="21"/>
  <c r="F11" i="21"/>
  <c r="Q28" i="23"/>
  <c r="L28" i="23" s="1"/>
  <c r="Q29" i="22"/>
  <c r="L29" i="22" s="1"/>
  <c r="I29" i="17"/>
  <c r="H29" i="17" s="1"/>
  <c r="T29" i="17"/>
  <c r="J29" i="17"/>
  <c r="N28" i="24"/>
  <c r="P29" i="24"/>
  <c r="J28" i="22"/>
  <c r="T28" i="22"/>
  <c r="AC25" i="1"/>
  <c r="AD43" i="1"/>
  <c r="AD44" i="1" s="1"/>
  <c r="J28" i="20"/>
  <c r="I28" i="20" s="1"/>
  <c r="H28" i="20" s="1"/>
  <c r="T28" i="20"/>
  <c r="O92" i="4"/>
  <c r="P107" i="4"/>
  <c r="P108" i="4" s="1"/>
  <c r="I21" i="15" l="1"/>
  <c r="H21" i="15" s="1"/>
  <c r="M18" i="13"/>
  <c r="I19" i="13"/>
  <c r="H19" i="13" s="1"/>
  <c r="M22" i="6"/>
  <c r="I23" i="6"/>
  <c r="H23" i="6"/>
  <c r="M22" i="5"/>
  <c r="I23" i="5"/>
  <c r="H23" i="5" s="1"/>
  <c r="I24" i="8"/>
  <c r="H24" i="8" s="1"/>
  <c r="AD37" i="14"/>
  <c r="AD38" i="14" s="1"/>
  <c r="I24" i="7"/>
  <c r="H24" i="7" s="1"/>
  <c r="I21" i="16"/>
  <c r="H21" i="16" s="1"/>
  <c r="R28" i="24"/>
  <c r="M28" i="24"/>
  <c r="K28" i="24"/>
  <c r="AD39" i="7"/>
  <c r="AD40" i="7" s="1"/>
  <c r="AC23" i="7"/>
  <c r="AD35" i="16"/>
  <c r="AD36" i="16" s="1"/>
  <c r="AC21" i="16"/>
  <c r="AC23" i="3"/>
  <c r="AD39" i="3"/>
  <c r="AD40" i="3" s="1"/>
  <c r="M100" i="24"/>
  <c r="F100" i="24"/>
  <c r="G100" i="24" s="1"/>
  <c r="S29" i="24" s="1"/>
  <c r="AE54" i="24"/>
  <c r="O29" i="24"/>
  <c r="T30" i="18"/>
  <c r="J30" i="18"/>
  <c r="I30" i="18" s="1"/>
  <c r="H30" i="18" s="1"/>
  <c r="F100" i="22"/>
  <c r="G100" i="22" s="1"/>
  <c r="S30" i="22" s="1"/>
  <c r="Q30" i="22" s="1"/>
  <c r="L30" i="22" s="1"/>
  <c r="AE54" i="22"/>
  <c r="O30" i="22"/>
  <c r="N30" i="22" s="1"/>
  <c r="M100" i="22"/>
  <c r="AD39" i="9"/>
  <c r="AD40" i="9" s="1"/>
  <c r="AC23" i="9"/>
  <c r="AC23" i="2"/>
  <c r="AD39" i="2"/>
  <c r="AD40" i="2" s="1"/>
  <c r="R28" i="23"/>
  <c r="K28" i="23"/>
  <c r="M28" i="23"/>
  <c r="AD35" i="15"/>
  <c r="AD36" i="15" s="1"/>
  <c r="AC21" i="15"/>
  <c r="H20" i="14"/>
  <c r="M30" i="19"/>
  <c r="R30" i="19"/>
  <c r="K30" i="19"/>
  <c r="O93" i="4"/>
  <c r="P109" i="4"/>
  <c r="P110" i="4" s="1"/>
  <c r="AC26" i="1"/>
  <c r="AD45" i="1"/>
  <c r="AD46" i="1" s="1"/>
  <c r="AC22" i="6"/>
  <c r="AD37" i="6"/>
  <c r="AD38" i="6" s="1"/>
  <c r="P109" i="12"/>
  <c r="P110" i="12" s="1"/>
  <c r="O93" i="12"/>
  <c r="M31" i="18"/>
  <c r="K31" i="18"/>
  <c r="R31" i="18"/>
  <c r="AD31" i="13"/>
  <c r="AD32" i="13" s="1"/>
  <c r="AC19" i="13"/>
  <c r="R29" i="22"/>
  <c r="K29" i="22"/>
  <c r="M29" i="22"/>
  <c r="M30" i="17"/>
  <c r="K30" i="17"/>
  <c r="R30" i="17"/>
  <c r="M29" i="20"/>
  <c r="K29" i="20"/>
  <c r="R29" i="20"/>
  <c r="AC23" i="10"/>
  <c r="AD39" i="10"/>
  <c r="AD40" i="10" s="1"/>
  <c r="F12" i="19"/>
  <c r="F11" i="19"/>
  <c r="Q124" i="20"/>
  <c r="O30" i="20"/>
  <c r="M100" i="20"/>
  <c r="F100" i="20"/>
  <c r="G100" i="20" s="1"/>
  <c r="S30" i="20" s="1"/>
  <c r="M100" i="23"/>
  <c r="F100" i="23"/>
  <c r="G100" i="23" s="1"/>
  <c r="S29" i="23" s="1"/>
  <c r="AE54" i="23"/>
  <c r="O29" i="23"/>
  <c r="M100" i="17"/>
  <c r="AE54" i="17"/>
  <c r="F100" i="17"/>
  <c r="G100" i="17" s="1"/>
  <c r="S31" i="17" s="1"/>
  <c r="Q31" i="17" s="1"/>
  <c r="L31" i="17" s="1"/>
  <c r="O31" i="17"/>
  <c r="N31" i="17" s="1"/>
  <c r="O31" i="19"/>
  <c r="N31" i="19" s="1"/>
  <c r="F101" i="19"/>
  <c r="G101" i="19" s="1"/>
  <c r="S31" i="19" s="1"/>
  <c r="Q31" i="19" s="1"/>
  <c r="L31" i="19" s="1"/>
  <c r="M100" i="19"/>
  <c r="AC22" i="5"/>
  <c r="AD37" i="5"/>
  <c r="AD38" i="5" s="1"/>
  <c r="F11" i="18"/>
  <c r="F12" i="18"/>
  <c r="AD39" i="8"/>
  <c r="AD40" i="8" s="1"/>
  <c r="AC23" i="8"/>
  <c r="J30" i="21"/>
  <c r="T30" i="21"/>
  <c r="AJ4" i="21"/>
  <c r="AC23" i="11"/>
  <c r="AD39" i="11"/>
  <c r="AD40" i="11" s="1"/>
  <c r="M23" i="5" l="1"/>
  <c r="I24" i="5"/>
  <c r="H24" i="5"/>
  <c r="I22" i="16"/>
  <c r="H22" i="16" s="1"/>
  <c r="I25" i="7"/>
  <c r="H25" i="7" s="1"/>
  <c r="I20" i="13"/>
  <c r="H20" i="13" s="1"/>
  <c r="M19" i="13"/>
  <c r="I25" i="8"/>
  <c r="H25" i="8" s="1"/>
  <c r="I22" i="15"/>
  <c r="H22" i="15"/>
  <c r="P31" i="20"/>
  <c r="N30" i="20"/>
  <c r="AC22" i="15"/>
  <c r="AD37" i="15"/>
  <c r="AD38" i="15" s="1"/>
  <c r="P30" i="24"/>
  <c r="N29" i="24"/>
  <c r="AC24" i="7"/>
  <c r="AD41" i="7"/>
  <c r="AD42" i="7" s="1"/>
  <c r="I24" i="6"/>
  <c r="H24" i="6" s="1"/>
  <c r="M23" i="6"/>
  <c r="AD41" i="11"/>
  <c r="AD42" i="11" s="1"/>
  <c r="AC24" i="11"/>
  <c r="AC27" i="1"/>
  <c r="AD47" i="1"/>
  <c r="AD48" i="1"/>
  <c r="J30" i="17"/>
  <c r="I30" i="17" s="1"/>
  <c r="H30" i="17" s="1"/>
  <c r="T30" i="17"/>
  <c r="T31" i="18"/>
  <c r="J31" i="18"/>
  <c r="I31" i="18" s="1"/>
  <c r="H31" i="18" s="1"/>
  <c r="AJ4" i="18"/>
  <c r="AJ5" i="18" s="1"/>
  <c r="J73" i="18" s="1"/>
  <c r="F11" i="22"/>
  <c r="F12" i="22"/>
  <c r="Q29" i="24"/>
  <c r="L29" i="24" s="1"/>
  <c r="T28" i="24"/>
  <c r="J28" i="24"/>
  <c r="O94" i="4"/>
  <c r="P111" i="4"/>
  <c r="P112" i="4" s="1"/>
  <c r="T28" i="23"/>
  <c r="J28" i="23"/>
  <c r="AI8" i="21"/>
  <c r="AJ5" i="21"/>
  <c r="J73" i="21" s="1"/>
  <c r="J30" i="19"/>
  <c r="I30" i="19"/>
  <c r="H30" i="19" s="1"/>
  <c r="T30" i="19"/>
  <c r="P30" i="23"/>
  <c r="N29" i="23"/>
  <c r="Q29" i="23"/>
  <c r="L29" i="23" s="1"/>
  <c r="R30" i="22"/>
  <c r="K30" i="22"/>
  <c r="M30" i="22"/>
  <c r="AC24" i="8"/>
  <c r="AD41" i="8"/>
  <c r="AD42" i="8" s="1"/>
  <c r="AC24" i="10"/>
  <c r="AD41" i="10"/>
  <c r="AD42" i="10" s="1"/>
  <c r="J29" i="22"/>
  <c r="T29" i="22"/>
  <c r="AC24" i="3"/>
  <c r="AD41" i="3"/>
  <c r="AD42" i="3" s="1"/>
  <c r="AC23" i="5"/>
  <c r="AD39" i="5"/>
  <c r="AD40" i="5" s="1"/>
  <c r="R31" i="19"/>
  <c r="M31" i="19"/>
  <c r="K31" i="19"/>
  <c r="P111" i="12"/>
  <c r="P112" i="12" s="1"/>
  <c r="O94" i="12"/>
  <c r="F11" i="17"/>
  <c r="F12" i="17"/>
  <c r="Q30" i="20"/>
  <c r="L30" i="20" s="1"/>
  <c r="AD41" i="2"/>
  <c r="AD42" i="2" s="1"/>
  <c r="AC24" i="2"/>
  <c r="AC22" i="16"/>
  <c r="AD37" i="16"/>
  <c r="AD38" i="16" s="1"/>
  <c r="M31" i="17"/>
  <c r="K31" i="17"/>
  <c r="R31" i="17"/>
  <c r="T29" i="20"/>
  <c r="J29" i="20"/>
  <c r="I29" i="20" s="1"/>
  <c r="H29" i="20" s="1"/>
  <c r="AD33" i="13"/>
  <c r="AD34" i="13" s="1"/>
  <c r="AC20" i="13"/>
  <c r="AD39" i="6"/>
  <c r="AD40" i="6" s="1"/>
  <c r="AC23" i="6"/>
  <c r="M20" i="14"/>
  <c r="I21" i="14"/>
  <c r="AC22" i="14" s="1"/>
  <c r="H21" i="14"/>
  <c r="AC24" i="9"/>
  <c r="AD41" i="9"/>
  <c r="AD42" i="9" s="1"/>
  <c r="I26" i="8" l="1"/>
  <c r="H26" i="8" s="1"/>
  <c r="I21" i="13"/>
  <c r="H21" i="13" s="1"/>
  <c r="M20" i="13"/>
  <c r="I26" i="7"/>
  <c r="H26" i="7" s="1"/>
  <c r="H23" i="16"/>
  <c r="I23" i="16"/>
  <c r="I25" i="6"/>
  <c r="H25" i="6"/>
  <c r="M24" i="6"/>
  <c r="AC21" i="13"/>
  <c r="AD35" i="13"/>
  <c r="AD36" i="13" s="1"/>
  <c r="F101" i="20"/>
  <c r="G101" i="20" s="1"/>
  <c r="S31" i="20" s="1"/>
  <c r="Q31" i="20" s="1"/>
  <c r="L31" i="20" s="1"/>
  <c r="O31" i="20"/>
  <c r="N31" i="20" s="1"/>
  <c r="I23" i="15"/>
  <c r="H23" i="15" s="1"/>
  <c r="F101" i="23"/>
  <c r="G101" i="23" s="1"/>
  <c r="S30" i="23" s="1"/>
  <c r="Q30" i="23" s="1"/>
  <c r="L30" i="23" s="1"/>
  <c r="O30" i="23"/>
  <c r="N30" i="23" s="1"/>
  <c r="P113" i="4"/>
  <c r="P114" i="4" s="1"/>
  <c r="O95" i="4"/>
  <c r="AC25" i="9"/>
  <c r="AD43" i="9"/>
  <c r="AD44" i="9" s="1"/>
  <c r="AD43" i="2"/>
  <c r="AD44" i="2" s="1"/>
  <c r="AC25" i="2"/>
  <c r="I22" i="14"/>
  <c r="H22" i="14" s="1"/>
  <c r="M21" i="14"/>
  <c r="R29" i="23"/>
  <c r="M29" i="23"/>
  <c r="K29" i="23"/>
  <c r="J74" i="18"/>
  <c r="K5" i="18" s="1"/>
  <c r="AD43" i="7"/>
  <c r="AD44" i="7" s="1"/>
  <c r="AC25" i="7"/>
  <c r="AD43" i="3"/>
  <c r="AD44" i="3" s="1"/>
  <c r="AC25" i="3"/>
  <c r="F11" i="20"/>
  <c r="F12" i="20"/>
  <c r="AD39" i="16"/>
  <c r="AD40" i="16" s="1"/>
  <c r="AC23" i="16"/>
  <c r="T31" i="19"/>
  <c r="J31" i="19"/>
  <c r="I31" i="19" s="1"/>
  <c r="H31" i="19" s="1"/>
  <c r="AJ4" i="19"/>
  <c r="AC23" i="14"/>
  <c r="AD39" i="14"/>
  <c r="AD40" i="14" s="1"/>
  <c r="AC25" i="10"/>
  <c r="AD43" i="10"/>
  <c r="AD44" i="10" s="1"/>
  <c r="J74" i="21"/>
  <c r="K4" i="21" s="1"/>
  <c r="AD49" i="1"/>
  <c r="AD50" i="1" s="1"/>
  <c r="AC28" i="1"/>
  <c r="F11" i="24"/>
  <c r="F12" i="24"/>
  <c r="T30" i="22"/>
  <c r="J30" i="22"/>
  <c r="AJ4" i="22"/>
  <c r="K30" i="20"/>
  <c r="R30" i="20"/>
  <c r="M30" i="20"/>
  <c r="R29" i="24"/>
  <c r="M29" i="24"/>
  <c r="K29" i="24"/>
  <c r="AD43" i="11"/>
  <c r="AD44" i="11" s="1"/>
  <c r="AC25" i="11"/>
  <c r="F101" i="24"/>
  <c r="G101" i="24" s="1"/>
  <c r="S30" i="24" s="1"/>
  <c r="Q30" i="24" s="1"/>
  <c r="L30" i="24" s="1"/>
  <c r="O30" i="24"/>
  <c r="N30" i="24" s="1"/>
  <c r="I25" i="5"/>
  <c r="H25" i="5"/>
  <c r="M24" i="5"/>
  <c r="O95" i="12"/>
  <c r="P113" i="12"/>
  <c r="P114" i="12" s="1"/>
  <c r="AD41" i="6"/>
  <c r="AD42" i="6" s="1"/>
  <c r="AC24" i="6"/>
  <c r="AD41" i="5"/>
  <c r="AD42" i="5" s="1"/>
  <c r="AC24" i="5"/>
  <c r="AD43" i="8"/>
  <c r="AD44" i="8" s="1"/>
  <c r="AC25" i="8"/>
  <c r="T31" i="17"/>
  <c r="J31" i="17"/>
  <c r="I31" i="17"/>
  <c r="H31" i="17" s="1"/>
  <c r="AJ4" i="17"/>
  <c r="F12" i="23"/>
  <c r="F11" i="23"/>
  <c r="AD39" i="15"/>
  <c r="AD40" i="15" s="1"/>
  <c r="AC23" i="15"/>
  <c r="I23" i="14" l="1"/>
  <c r="H23" i="14" s="1"/>
  <c r="M22" i="14"/>
  <c r="I24" i="15"/>
  <c r="H24" i="15" s="1"/>
  <c r="I27" i="7"/>
  <c r="H27" i="7" s="1"/>
  <c r="M21" i="13"/>
  <c r="I22" i="13"/>
  <c r="H22" i="13" s="1"/>
  <c r="I27" i="8"/>
  <c r="H27" i="8" s="1"/>
  <c r="AD45" i="9"/>
  <c r="AD46" i="9" s="1"/>
  <c r="AC26" i="9"/>
  <c r="K31" i="20"/>
  <c r="R31" i="20"/>
  <c r="M31" i="20"/>
  <c r="AD43" i="5"/>
  <c r="AD44" i="5" s="1"/>
  <c r="AC25" i="5"/>
  <c r="AD51" i="1"/>
  <c r="AD52" i="1" s="1"/>
  <c r="AC29" i="1"/>
  <c r="AJ5" i="19"/>
  <c r="J73" i="19" s="1"/>
  <c r="AI8" i="19"/>
  <c r="AC26" i="3"/>
  <c r="AD45" i="3"/>
  <c r="AD46" i="3" s="1"/>
  <c r="O96" i="4"/>
  <c r="P115" i="4"/>
  <c r="P116" i="4" s="1"/>
  <c r="AC24" i="15"/>
  <c r="AD41" i="15"/>
  <c r="AD42" i="15" s="1"/>
  <c r="AD37" i="13"/>
  <c r="AD38" i="13" s="1"/>
  <c r="AC22" i="13"/>
  <c r="R30" i="24"/>
  <c r="K30" i="24"/>
  <c r="M30" i="24"/>
  <c r="T30" i="20"/>
  <c r="J30" i="20"/>
  <c r="I30" i="20" s="1"/>
  <c r="H30" i="20" s="1"/>
  <c r="J75" i="21"/>
  <c r="K5" i="21" s="1"/>
  <c r="AC26" i="7"/>
  <c r="AD45" i="7"/>
  <c r="AD46" i="7" s="1"/>
  <c r="AD45" i="8"/>
  <c r="AD46" i="8" s="1"/>
  <c r="AC26" i="8"/>
  <c r="T29" i="23"/>
  <c r="J29" i="23"/>
  <c r="I24" i="16"/>
  <c r="H24" i="16"/>
  <c r="I26" i="5"/>
  <c r="H26" i="5"/>
  <c r="M25" i="5"/>
  <c r="AD45" i="11"/>
  <c r="AD46" i="11" s="1"/>
  <c r="AC26" i="11"/>
  <c r="L4" i="21"/>
  <c r="T4" i="21"/>
  <c r="J4" i="21"/>
  <c r="I4" i="21" s="1"/>
  <c r="R30" i="23"/>
  <c r="M30" i="23"/>
  <c r="K30" i="23"/>
  <c r="I26" i="6"/>
  <c r="M25" i="6"/>
  <c r="H26" i="6"/>
  <c r="AD41" i="14"/>
  <c r="AD42" i="14" s="1"/>
  <c r="AC24" i="14"/>
  <c r="AJ5" i="17"/>
  <c r="J73" i="17" s="1"/>
  <c r="AI8" i="17"/>
  <c r="AJ5" i="22"/>
  <c r="J73" i="22" s="1"/>
  <c r="AI8" i="22"/>
  <c r="AC24" i="16"/>
  <c r="AD41" i="16"/>
  <c r="AD42" i="16" s="1"/>
  <c r="J75" i="18"/>
  <c r="K6" i="18" s="1"/>
  <c r="AC26" i="2"/>
  <c r="AD45" i="2"/>
  <c r="AD46" i="2" s="1"/>
  <c r="AD43" i="6"/>
  <c r="AD44" i="6" s="1"/>
  <c r="AC25" i="6"/>
  <c r="P115" i="12"/>
  <c r="P116" i="12" s="1"/>
  <c r="O96" i="12"/>
  <c r="T29" i="24"/>
  <c r="J29" i="24"/>
  <c r="AD45" i="10"/>
  <c r="AD46" i="10" s="1"/>
  <c r="AC26" i="10"/>
  <c r="T5" i="18"/>
  <c r="J5" i="18"/>
  <c r="I5" i="18" s="1"/>
  <c r="L5" i="18"/>
  <c r="I28" i="8" l="1"/>
  <c r="H28" i="8" s="1"/>
  <c r="I28" i="7"/>
  <c r="H28" i="7" s="1"/>
  <c r="I25" i="15"/>
  <c r="H25" i="15"/>
  <c r="I23" i="13"/>
  <c r="H23" i="13"/>
  <c r="M22" i="13"/>
  <c r="H4" i="21"/>
  <c r="H5" i="18"/>
  <c r="L74" i="18"/>
  <c r="I24" i="14"/>
  <c r="H24" i="14" s="1"/>
  <c r="M23" i="14"/>
  <c r="I27" i="5"/>
  <c r="H27" i="5" s="1"/>
  <c r="M26" i="5"/>
  <c r="AD48" i="2"/>
  <c r="AD47" i="2"/>
  <c r="AC27" i="2"/>
  <c r="AD43" i="14"/>
  <c r="AD44" i="14" s="1"/>
  <c r="AD48" i="7"/>
  <c r="AC27" i="7"/>
  <c r="AD47" i="7"/>
  <c r="AD39" i="13"/>
  <c r="AD40" i="13" s="1"/>
  <c r="AC23" i="13"/>
  <c r="T31" i="20"/>
  <c r="I31" i="20"/>
  <c r="H31" i="20" s="1"/>
  <c r="J31" i="20"/>
  <c r="AJ4" i="20"/>
  <c r="AJ5" i="20" s="1"/>
  <c r="J73" i="20" s="1"/>
  <c r="I25" i="16"/>
  <c r="H25" i="16"/>
  <c r="T5" i="21"/>
  <c r="T6" i="21" s="1"/>
  <c r="T7" i="21" s="1"/>
  <c r="T8" i="21" s="1"/>
  <c r="T9" i="21" s="1"/>
  <c r="T10" i="21" s="1"/>
  <c r="T11" i="21" s="1"/>
  <c r="T12" i="21" s="1"/>
  <c r="T13" i="21" s="1"/>
  <c r="T14" i="21" s="1"/>
  <c r="J5" i="21"/>
  <c r="I5" i="21" s="1"/>
  <c r="L5" i="21"/>
  <c r="J74" i="19"/>
  <c r="J75" i="19"/>
  <c r="K5" i="19"/>
  <c r="AD48" i="9"/>
  <c r="AC27" i="9"/>
  <c r="AD47" i="9"/>
  <c r="AD48" i="10"/>
  <c r="AC27" i="10"/>
  <c r="AD47" i="10"/>
  <c r="H27" i="6"/>
  <c r="I27" i="6"/>
  <c r="M26" i="6"/>
  <c r="AD53" i="1"/>
  <c r="AD54" i="1" s="1"/>
  <c r="AC30" i="1"/>
  <c r="AC31" i="1" s="1"/>
  <c r="AC32" i="1" s="1"/>
  <c r="AC33" i="1" s="1"/>
  <c r="AC34" i="1" s="1"/>
  <c r="AC35" i="1" s="1"/>
  <c r="AC36" i="1" s="1"/>
  <c r="J6" i="18"/>
  <c r="I6" i="18" s="1"/>
  <c r="T6" i="18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L6" i="18"/>
  <c r="O97" i="12"/>
  <c r="P117" i="12"/>
  <c r="P118" i="12"/>
  <c r="AC25" i="16"/>
  <c r="AD43" i="16"/>
  <c r="AD44" i="16" s="1"/>
  <c r="E18" i="21"/>
  <c r="R4" i="21"/>
  <c r="M4" i="21"/>
  <c r="F8" i="21"/>
  <c r="AD43" i="15"/>
  <c r="AD44" i="15" s="1"/>
  <c r="AC25" i="15"/>
  <c r="AD48" i="3"/>
  <c r="AC27" i="3"/>
  <c r="AD47" i="3"/>
  <c r="M5" i="18"/>
  <c r="F8" i="18"/>
  <c r="E18" i="18"/>
  <c r="R5" i="18"/>
  <c r="AC27" i="11"/>
  <c r="AD47" i="11"/>
  <c r="AD48" i="11"/>
  <c r="AD45" i="5"/>
  <c r="AD46" i="5" s="1"/>
  <c r="AC26" i="5"/>
  <c r="J74" i="17"/>
  <c r="K5" i="17" s="1"/>
  <c r="AC26" i="6"/>
  <c r="AD45" i="6"/>
  <c r="AD46" i="6" s="1"/>
  <c r="J74" i="22"/>
  <c r="K4" i="22" s="1"/>
  <c r="J75" i="22"/>
  <c r="K5" i="22" s="1"/>
  <c r="T30" i="23"/>
  <c r="J30" i="23"/>
  <c r="AJ4" i="23"/>
  <c r="AD48" i="8"/>
  <c r="AC27" i="8"/>
  <c r="AD47" i="8"/>
  <c r="O97" i="4"/>
  <c r="P118" i="4"/>
  <c r="P117" i="4"/>
  <c r="T30" i="24"/>
  <c r="J30" i="24"/>
  <c r="AJ4" i="24"/>
  <c r="H6" i="18" l="1"/>
  <c r="O75" i="18"/>
  <c r="H5" i="21"/>
  <c r="AC5" i="21"/>
  <c r="M27" i="5"/>
  <c r="I28" i="5"/>
  <c r="H28" i="5" s="1"/>
  <c r="I25" i="14"/>
  <c r="H25" i="14" s="1"/>
  <c r="M24" i="14"/>
  <c r="I29" i="7"/>
  <c r="H29" i="7" s="1"/>
  <c r="I29" i="8"/>
  <c r="H29" i="8" s="1"/>
  <c r="I5" i="22"/>
  <c r="H5" i="22" s="1"/>
  <c r="J5" i="22"/>
  <c r="L5" i="22"/>
  <c r="AC24" i="13"/>
  <c r="AD41" i="13"/>
  <c r="AD42" i="13" s="1"/>
  <c r="L75" i="18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I24" i="13"/>
  <c r="H24" i="13" s="1"/>
  <c r="M23" i="13"/>
  <c r="AD49" i="11"/>
  <c r="AD50" i="11" s="1"/>
  <c r="AC28" i="11"/>
  <c r="AC26" i="15"/>
  <c r="AD45" i="15"/>
  <c r="AD46" i="15" s="1"/>
  <c r="AC28" i="9"/>
  <c r="AD49" i="9"/>
  <c r="AD50" i="9" s="1"/>
  <c r="I26" i="15"/>
  <c r="H26" i="15" s="1"/>
  <c r="AD49" i="2"/>
  <c r="AD50" i="2" s="1"/>
  <c r="AC28" i="2"/>
  <c r="O98" i="4"/>
  <c r="P119" i="4"/>
  <c r="P120" i="4" s="1"/>
  <c r="AD45" i="16"/>
  <c r="AD46" i="16" s="1"/>
  <c r="AC26" i="16"/>
  <c r="AC28" i="8"/>
  <c r="AD49" i="8"/>
  <c r="AD50" i="8" s="1"/>
  <c r="AD48" i="6"/>
  <c r="AC27" i="6"/>
  <c r="AD47" i="6"/>
  <c r="I26" i="16"/>
  <c r="H26" i="16" s="1"/>
  <c r="AC28" i="3"/>
  <c r="AD49" i="3"/>
  <c r="AD50" i="3" s="1"/>
  <c r="J4" i="22"/>
  <c r="I4" i="22" s="1"/>
  <c r="T4" i="22"/>
  <c r="T5" i="22" s="1"/>
  <c r="T6" i="22" s="1"/>
  <c r="T7" i="22" s="1"/>
  <c r="T8" i="22" s="1"/>
  <c r="T9" i="22" s="1"/>
  <c r="T10" i="22" s="1"/>
  <c r="T11" i="22" s="1"/>
  <c r="T12" i="22" s="1"/>
  <c r="T13" i="22" s="1"/>
  <c r="T14" i="22" s="1"/>
  <c r="L4" i="22"/>
  <c r="L5" i="17"/>
  <c r="J5" i="17"/>
  <c r="T5" i="17"/>
  <c r="I5" i="17"/>
  <c r="O98" i="12"/>
  <c r="P119" i="12"/>
  <c r="P120" i="12" s="1"/>
  <c r="J5" i="19"/>
  <c r="L5" i="19"/>
  <c r="I5" i="19"/>
  <c r="T5" i="19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AC28" i="7"/>
  <c r="AD49" i="7"/>
  <c r="AD50" i="7" s="1"/>
  <c r="AI8" i="24"/>
  <c r="AJ5" i="24"/>
  <c r="J73" i="24" s="1"/>
  <c r="M27" i="6"/>
  <c r="I28" i="6"/>
  <c r="H28" i="6"/>
  <c r="J75" i="20"/>
  <c r="J74" i="20"/>
  <c r="K5" i="20"/>
  <c r="AI8" i="23"/>
  <c r="AJ5" i="23"/>
  <c r="J73" i="23" s="1"/>
  <c r="J75" i="17"/>
  <c r="K6" i="17" s="1"/>
  <c r="F7" i="21"/>
  <c r="F6" i="21"/>
  <c r="AD48" i="5"/>
  <c r="AC27" i="5"/>
  <c r="AD47" i="5"/>
  <c r="F7" i="18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M6" i="18"/>
  <c r="F6" i="18" s="1"/>
  <c r="AC25" i="14"/>
  <c r="AC28" i="10"/>
  <c r="AD49" i="10"/>
  <c r="AD50" i="10" s="1"/>
  <c r="R5" i="21"/>
  <c r="R6" i="21" s="1"/>
  <c r="R7" i="21" s="1"/>
  <c r="R8" i="21" s="1"/>
  <c r="R9" i="21" s="1"/>
  <c r="R10" i="21" s="1"/>
  <c r="R11" i="21" s="1"/>
  <c r="R12" i="21" s="1"/>
  <c r="R13" i="21" s="1"/>
  <c r="R14" i="21" s="1"/>
  <c r="M5" i="21"/>
  <c r="M25" i="14" l="1"/>
  <c r="I26" i="14"/>
  <c r="H26" i="14"/>
  <c r="M28" i="5"/>
  <c r="I29" i="5"/>
  <c r="H29" i="5" s="1"/>
  <c r="I27" i="16"/>
  <c r="H27" i="16"/>
  <c r="H4" i="22"/>
  <c r="AC5" i="22"/>
  <c r="I30" i="8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I27" i="15"/>
  <c r="H27" i="15" s="1"/>
  <c r="I25" i="13"/>
  <c r="H25" i="13" s="1"/>
  <c r="M24" i="13"/>
  <c r="I30" i="7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L84" i="7" s="1"/>
  <c r="L85" i="7" s="1"/>
  <c r="L86" i="7" s="1"/>
  <c r="L87" i="7" s="1"/>
  <c r="L88" i="7" s="1"/>
  <c r="L89" i="7" s="1"/>
  <c r="L90" i="7" s="1"/>
  <c r="L91" i="7" s="1"/>
  <c r="L92" i="7" s="1"/>
  <c r="L93" i="7" s="1"/>
  <c r="L94" i="7" s="1"/>
  <c r="L95" i="7" s="1"/>
  <c r="L96" i="7" s="1"/>
  <c r="L97" i="7" s="1"/>
  <c r="L98" i="7" s="1"/>
  <c r="L99" i="7" s="1"/>
  <c r="L100" i="7" s="1"/>
  <c r="H5" i="17"/>
  <c r="L74" i="17"/>
  <c r="I6" i="22"/>
  <c r="H6" i="22" s="1"/>
  <c r="AD49" i="5"/>
  <c r="AD50" i="5" s="1"/>
  <c r="AC28" i="5"/>
  <c r="AD51" i="7"/>
  <c r="AD52" i="7" s="1"/>
  <c r="AC29" i="7"/>
  <c r="AD51" i="3"/>
  <c r="AD52" i="3" s="1"/>
  <c r="AC29" i="3"/>
  <c r="AD48" i="16"/>
  <c r="AD47" i="16"/>
  <c r="AC27" i="16"/>
  <c r="AC29" i="9"/>
  <c r="AD51" i="9"/>
  <c r="AD52" i="9" s="1"/>
  <c r="T5" i="20"/>
  <c r="T6" i="20" s="1"/>
  <c r="T7" i="20" s="1"/>
  <c r="T8" i="20" s="1"/>
  <c r="T9" i="20" s="1"/>
  <c r="T10" i="20" s="1"/>
  <c r="T11" i="20" s="1"/>
  <c r="L5" i="20"/>
  <c r="J5" i="20"/>
  <c r="I5" i="20"/>
  <c r="M28" i="6"/>
  <c r="I29" i="6"/>
  <c r="H29" i="6" s="1"/>
  <c r="L74" i="19"/>
  <c r="L75" i="19" s="1"/>
  <c r="L76" i="19" s="1"/>
  <c r="L77" i="19" s="1"/>
  <c r="L78" i="19" s="1"/>
  <c r="L79" i="19" s="1"/>
  <c r="L80" i="19" s="1"/>
  <c r="L81" i="19" s="1"/>
  <c r="L82" i="19" s="1"/>
  <c r="L83" i="19" s="1"/>
  <c r="L84" i="19" s="1"/>
  <c r="L85" i="19" s="1"/>
  <c r="L86" i="19" s="1"/>
  <c r="L87" i="19" s="1"/>
  <c r="L88" i="19" s="1"/>
  <c r="L89" i="19" s="1"/>
  <c r="L90" i="19" s="1"/>
  <c r="L91" i="19" s="1"/>
  <c r="L92" i="19" s="1"/>
  <c r="L93" i="19" s="1"/>
  <c r="L94" i="19" s="1"/>
  <c r="L95" i="19" s="1"/>
  <c r="L96" i="19" s="1"/>
  <c r="L97" i="19" s="1"/>
  <c r="L98" i="19" s="1"/>
  <c r="L99" i="19" s="1"/>
  <c r="L100" i="19" s="1"/>
  <c r="H5" i="19"/>
  <c r="AC5" i="19"/>
  <c r="F8" i="17"/>
  <c r="R5" i="17"/>
  <c r="M5" i="17"/>
  <c r="AC29" i="10"/>
  <c r="AD51" i="10"/>
  <c r="AD52" i="10" s="1"/>
  <c r="E18" i="19"/>
  <c r="R5" i="19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M5" i="19"/>
  <c r="F8" i="19"/>
  <c r="F8" i="22"/>
  <c r="R4" i="22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M4" i="22"/>
  <c r="E18" i="22"/>
  <c r="P121" i="4"/>
  <c r="P122" i="4" s="1"/>
  <c r="O99" i="4"/>
  <c r="AD48" i="15"/>
  <c r="AC27" i="15"/>
  <c r="AD47" i="15"/>
  <c r="AC25" i="13"/>
  <c r="AD43" i="13"/>
  <c r="AD44" i="13" s="1"/>
  <c r="AD5" i="21"/>
  <c r="AD6" i="21" s="1"/>
  <c r="AC6" i="21"/>
  <c r="L6" i="17"/>
  <c r="E18" i="17" s="1"/>
  <c r="J6" i="17"/>
  <c r="I6" i="17" s="1"/>
  <c r="T6" i="17"/>
  <c r="T7" i="17" s="1"/>
  <c r="T8" i="17" s="1"/>
  <c r="T9" i="17" s="1"/>
  <c r="T10" i="17" s="1"/>
  <c r="T11" i="17" s="1"/>
  <c r="T12" i="17" s="1"/>
  <c r="AD49" i="6"/>
  <c r="AD50" i="6" s="1"/>
  <c r="AC28" i="6"/>
  <c r="AD51" i="2"/>
  <c r="AD52" i="2" s="1"/>
  <c r="AC29" i="2"/>
  <c r="AD51" i="11"/>
  <c r="AD52" i="11" s="1"/>
  <c r="AC29" i="11"/>
  <c r="M5" i="22"/>
  <c r="I6" i="21"/>
  <c r="H6" i="21"/>
  <c r="AD51" i="8"/>
  <c r="AD52" i="8" s="1"/>
  <c r="AC29" i="8"/>
  <c r="J74" i="23"/>
  <c r="J75" i="23" s="1"/>
  <c r="K4" i="23"/>
  <c r="J74" i="24"/>
  <c r="J75" i="24" s="1"/>
  <c r="K4" i="24"/>
  <c r="P75" i="18"/>
  <c r="P76" i="18" s="1"/>
  <c r="O76" i="18"/>
  <c r="AD45" i="14"/>
  <c r="AD46" i="14" s="1"/>
  <c r="AC26" i="14"/>
  <c r="O99" i="12"/>
  <c r="P121" i="12"/>
  <c r="P122" i="12" s="1"/>
  <c r="H6" i="17" l="1"/>
  <c r="AC5" i="17"/>
  <c r="M29" i="5"/>
  <c r="I30" i="5"/>
  <c r="H30" i="5" s="1"/>
  <c r="M30" i="5" s="1"/>
  <c r="M25" i="13"/>
  <c r="I26" i="13"/>
  <c r="H26" i="13" s="1"/>
  <c r="I28" i="15"/>
  <c r="H28" i="15" s="1"/>
  <c r="I30" i="6"/>
  <c r="H30" i="6" s="1"/>
  <c r="M30" i="6" s="1"/>
  <c r="M29" i="6"/>
  <c r="I7" i="22"/>
  <c r="H7" i="22"/>
  <c r="L4" i="23"/>
  <c r="J4" i="23"/>
  <c r="I4" i="23" s="1"/>
  <c r="T4" i="23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O75" i="20"/>
  <c r="H5" i="20"/>
  <c r="L74" i="20"/>
  <c r="L75" i="20" s="1"/>
  <c r="L76" i="20" s="1"/>
  <c r="L77" i="20" s="1"/>
  <c r="L78" i="20" s="1"/>
  <c r="L79" i="20" s="1"/>
  <c r="L80" i="20" s="1"/>
  <c r="L81" i="20" s="1"/>
  <c r="L82" i="20" s="1"/>
  <c r="L83" i="20" s="1"/>
  <c r="L84" i="20" s="1"/>
  <c r="L85" i="20" s="1"/>
  <c r="L86" i="20" s="1"/>
  <c r="L87" i="20" s="1"/>
  <c r="L88" i="20" s="1"/>
  <c r="L89" i="20" s="1"/>
  <c r="L90" i="20" s="1"/>
  <c r="L91" i="20" s="1"/>
  <c r="L92" i="20" s="1"/>
  <c r="L93" i="20" s="1"/>
  <c r="L94" i="20" s="1"/>
  <c r="L95" i="20" s="1"/>
  <c r="L96" i="20" s="1"/>
  <c r="L97" i="20" s="1"/>
  <c r="L98" i="20" s="1"/>
  <c r="L99" i="20" s="1"/>
  <c r="L100" i="20" s="1"/>
  <c r="I28" i="16"/>
  <c r="H28" i="16" s="1"/>
  <c r="AD48" i="14"/>
  <c r="AC27" i="14"/>
  <c r="AD47" i="14"/>
  <c r="AD53" i="11"/>
  <c r="AD54" i="11" s="1"/>
  <c r="AC30" i="11"/>
  <c r="AC31" i="11" s="1"/>
  <c r="AC32" i="11" s="1"/>
  <c r="AC33" i="11" s="1"/>
  <c r="AC34" i="11" s="1"/>
  <c r="AC35" i="11" s="1"/>
  <c r="AC36" i="11" s="1"/>
  <c r="F6" i="19"/>
  <c r="F7" i="19"/>
  <c r="F5" i="19"/>
  <c r="AD53" i="3"/>
  <c r="AD54" i="3" s="1"/>
  <c r="AC30" i="3"/>
  <c r="AC31" i="3" s="1"/>
  <c r="AC32" i="3" s="1"/>
  <c r="AC33" i="3" s="1"/>
  <c r="AC34" i="3" s="1"/>
  <c r="AC35" i="3" s="1"/>
  <c r="AC36" i="3" s="1"/>
  <c r="AD49" i="15"/>
  <c r="AD50" i="15" s="1"/>
  <c r="AC28" i="15"/>
  <c r="M6" i="17"/>
  <c r="R6" i="17"/>
  <c r="R7" i="17" s="1"/>
  <c r="R8" i="17" s="1"/>
  <c r="R9" i="17" s="1"/>
  <c r="R10" i="17" s="1"/>
  <c r="R11" i="17" s="1"/>
  <c r="R12" i="17" s="1"/>
  <c r="O100" i="4"/>
  <c r="O101" i="4" s="1"/>
  <c r="O102" i="4" s="1"/>
  <c r="O103" i="4" s="1"/>
  <c r="O104" i="4" s="1"/>
  <c r="O105" i="4" s="1"/>
  <c r="O106" i="4" s="1"/>
  <c r="P123" i="4"/>
  <c r="P124" i="4" s="1"/>
  <c r="AC6" i="19"/>
  <c r="AD5" i="19"/>
  <c r="AD6" i="19" s="1"/>
  <c r="R5" i="20"/>
  <c r="R6" i="20" s="1"/>
  <c r="R7" i="20" s="1"/>
  <c r="R8" i="20" s="1"/>
  <c r="R9" i="20" s="1"/>
  <c r="R10" i="20" s="1"/>
  <c r="R11" i="20" s="1"/>
  <c r="M5" i="20"/>
  <c r="E18" i="20"/>
  <c r="F8" i="20"/>
  <c r="L75" i="17"/>
  <c r="L76" i="17" s="1"/>
  <c r="L77" i="17" s="1"/>
  <c r="L78" i="17" s="1"/>
  <c r="L79" i="17" s="1"/>
  <c r="L80" i="17" s="1"/>
  <c r="L81" i="17" s="1"/>
  <c r="L82" i="17" s="1"/>
  <c r="L83" i="17" s="1"/>
  <c r="L84" i="17" s="1"/>
  <c r="L85" i="17" s="1"/>
  <c r="L86" i="17" s="1"/>
  <c r="L87" i="17" s="1"/>
  <c r="L88" i="17" s="1"/>
  <c r="L89" i="17" s="1"/>
  <c r="L90" i="17" s="1"/>
  <c r="L91" i="17" s="1"/>
  <c r="L92" i="17" s="1"/>
  <c r="L93" i="17" s="1"/>
  <c r="L94" i="17" s="1"/>
  <c r="L95" i="17" s="1"/>
  <c r="L96" i="17" s="1"/>
  <c r="L97" i="17" s="1"/>
  <c r="L98" i="17" s="1"/>
  <c r="L99" i="17" s="1"/>
  <c r="L100" i="17" s="1"/>
  <c r="H30" i="8"/>
  <c r="I7" i="21"/>
  <c r="H7" i="21" s="1"/>
  <c r="AD51" i="6"/>
  <c r="AD52" i="6" s="1"/>
  <c r="AC29" i="6"/>
  <c r="F7" i="22"/>
  <c r="F6" i="22"/>
  <c r="F5" i="22"/>
  <c r="AD53" i="10"/>
  <c r="AD54" i="10" s="1"/>
  <c r="AC30" i="10"/>
  <c r="AC31" i="10" s="1"/>
  <c r="AC32" i="10" s="1"/>
  <c r="AC33" i="10" s="1"/>
  <c r="AC34" i="10" s="1"/>
  <c r="AC35" i="10" s="1"/>
  <c r="AC36" i="10" s="1"/>
  <c r="AD53" i="9"/>
  <c r="AD54" i="9" s="1"/>
  <c r="AC30" i="9"/>
  <c r="AC31" i="9" s="1"/>
  <c r="AC32" i="9" s="1"/>
  <c r="AC33" i="9" s="1"/>
  <c r="AC34" i="9" s="1"/>
  <c r="AC35" i="9" s="1"/>
  <c r="AC36" i="9" s="1"/>
  <c r="AC29" i="5"/>
  <c r="AD51" i="5"/>
  <c r="AD52" i="5" s="1"/>
  <c r="H30" i="7"/>
  <c r="AD5" i="22"/>
  <c r="AD6" i="22" s="1"/>
  <c r="AC6" i="22"/>
  <c r="M26" i="14"/>
  <c r="I27" i="14"/>
  <c r="H27" i="14"/>
  <c r="P123" i="12"/>
  <c r="P124" i="12" s="1"/>
  <c r="O100" i="12"/>
  <c r="O101" i="12" s="1"/>
  <c r="O102" i="12" s="1"/>
  <c r="O103" i="12" s="1"/>
  <c r="O104" i="12" s="1"/>
  <c r="O105" i="12" s="1"/>
  <c r="O106" i="12" s="1"/>
  <c r="O77" i="18"/>
  <c r="P77" i="18"/>
  <c r="P78" i="18" s="1"/>
  <c r="AD53" i="2"/>
  <c r="AD54" i="2" s="1"/>
  <c r="AC30" i="2"/>
  <c r="AC31" i="2" s="1"/>
  <c r="AC32" i="2" s="1"/>
  <c r="AC33" i="2" s="1"/>
  <c r="AC34" i="2" s="1"/>
  <c r="AC35" i="2" s="1"/>
  <c r="AC36" i="2" s="1"/>
  <c r="F7" i="17"/>
  <c r="F6" i="17"/>
  <c r="F5" i="17"/>
  <c r="AD49" i="16"/>
  <c r="AD50" i="16" s="1"/>
  <c r="AC28" i="16"/>
  <c r="AC30" i="8"/>
  <c r="AC31" i="8" s="1"/>
  <c r="AC32" i="8" s="1"/>
  <c r="AC33" i="8" s="1"/>
  <c r="AC34" i="8" s="1"/>
  <c r="AC35" i="8" s="1"/>
  <c r="AC36" i="8" s="1"/>
  <c r="AD53" i="8"/>
  <c r="AD54" i="8" s="1"/>
  <c r="AD7" i="21"/>
  <c r="AD8" i="21" s="1"/>
  <c r="AC7" i="21"/>
  <c r="AC30" i="7"/>
  <c r="AC31" i="7" s="1"/>
  <c r="AC32" i="7" s="1"/>
  <c r="AC33" i="7" s="1"/>
  <c r="AC34" i="7" s="1"/>
  <c r="AC35" i="7" s="1"/>
  <c r="AC36" i="7" s="1"/>
  <c r="AD53" i="7"/>
  <c r="AD54" i="7" s="1"/>
  <c r="L4" i="24"/>
  <c r="J4" i="24"/>
  <c r="I4" i="24"/>
  <c r="T4" i="24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AD45" i="13"/>
  <c r="AD46" i="13" s="1"/>
  <c r="AC26" i="13"/>
  <c r="I29" i="15" l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L84" i="15" s="1"/>
  <c r="L85" i="15" s="1"/>
  <c r="L86" i="15" s="1"/>
  <c r="L87" i="15" s="1"/>
  <c r="L88" i="15" s="1"/>
  <c r="L89" i="15" s="1"/>
  <c r="L90" i="15" s="1"/>
  <c r="L91" i="15" s="1"/>
  <c r="L92" i="15" s="1"/>
  <c r="L93" i="15" s="1"/>
  <c r="L94" i="15" s="1"/>
  <c r="L95" i="15" s="1"/>
  <c r="L96" i="15" s="1"/>
  <c r="L97" i="15" s="1"/>
  <c r="L98" i="15" s="1"/>
  <c r="L99" i="15" s="1"/>
  <c r="L100" i="15" s="1"/>
  <c r="I27" i="13"/>
  <c r="H27" i="13"/>
  <c r="M26" i="13"/>
  <c r="AC5" i="23"/>
  <c r="H4" i="23"/>
  <c r="F6" i="6"/>
  <c r="F7" i="6"/>
  <c r="I8" i="21"/>
  <c r="I29" i="16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L84" i="16" s="1"/>
  <c r="L85" i="16" s="1"/>
  <c r="L86" i="16" s="1"/>
  <c r="L87" i="16" s="1"/>
  <c r="L88" i="16" s="1"/>
  <c r="L89" i="16" s="1"/>
  <c r="L90" i="16" s="1"/>
  <c r="L91" i="16" s="1"/>
  <c r="L92" i="16" s="1"/>
  <c r="L93" i="16" s="1"/>
  <c r="L94" i="16" s="1"/>
  <c r="L95" i="16" s="1"/>
  <c r="L96" i="16" s="1"/>
  <c r="L97" i="16" s="1"/>
  <c r="L98" i="16" s="1"/>
  <c r="L99" i="16" s="1"/>
  <c r="L100" i="16" s="1"/>
  <c r="F6" i="5"/>
  <c r="F7" i="5"/>
  <c r="I8" i="22"/>
  <c r="H8" i="22"/>
  <c r="AC5" i="24"/>
  <c r="H4" i="24"/>
  <c r="AD7" i="22"/>
  <c r="AD8" i="22" s="1"/>
  <c r="AC7" i="22"/>
  <c r="E18" i="24"/>
  <c r="F8" i="24"/>
  <c r="M4" i="24"/>
  <c r="R4" i="24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AC29" i="16"/>
  <c r="AD51" i="16"/>
  <c r="AD52" i="16" s="1"/>
  <c r="AD48" i="13"/>
  <c r="AC27" i="13"/>
  <c r="AD47" i="13"/>
  <c r="M27" i="14"/>
  <c r="H28" i="14"/>
  <c r="I28" i="14"/>
  <c r="E18" i="23"/>
  <c r="R4" i="23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M4" i="23"/>
  <c r="F8" i="23"/>
  <c r="O78" i="18"/>
  <c r="P79" i="18"/>
  <c r="P80" i="18" s="1"/>
  <c r="AC30" i="5"/>
  <c r="AC31" i="5" s="1"/>
  <c r="AC32" i="5" s="1"/>
  <c r="AC33" i="5" s="1"/>
  <c r="AC34" i="5" s="1"/>
  <c r="AC35" i="5" s="1"/>
  <c r="AC36" i="5" s="1"/>
  <c r="AD53" i="5"/>
  <c r="AD54" i="5" s="1"/>
  <c r="AC30" i="6"/>
  <c r="AC31" i="6" s="1"/>
  <c r="AC32" i="6" s="1"/>
  <c r="AC33" i="6" s="1"/>
  <c r="AC34" i="6" s="1"/>
  <c r="AC35" i="6" s="1"/>
  <c r="AC36" i="6" s="1"/>
  <c r="AD53" i="6"/>
  <c r="AD54" i="6" s="1"/>
  <c r="AC28" i="14"/>
  <c r="AD49" i="14"/>
  <c r="AD50" i="14" s="1"/>
  <c r="AC6" i="17"/>
  <c r="AD5" i="17"/>
  <c r="AD6" i="17" s="1"/>
  <c r="F7" i="20"/>
  <c r="F6" i="20"/>
  <c r="AD51" i="15"/>
  <c r="AD52" i="15" s="1"/>
  <c r="AC29" i="15"/>
  <c r="O76" i="20"/>
  <c r="P75" i="20"/>
  <c r="P76" i="20" s="1"/>
  <c r="AC8" i="21"/>
  <c r="AD9" i="21"/>
  <c r="AD10" i="21" s="1"/>
  <c r="AD7" i="19"/>
  <c r="AD8" i="19" s="1"/>
  <c r="AC7" i="19"/>
  <c r="AC8" i="22" l="1"/>
  <c r="AD9" i="22"/>
  <c r="AD10" i="22" s="1"/>
  <c r="AD5" i="23"/>
  <c r="AD6" i="23" s="1"/>
  <c r="F6" i="24"/>
  <c r="F7" i="24"/>
  <c r="F5" i="24"/>
  <c r="I9" i="22"/>
  <c r="H9" i="22" s="1"/>
  <c r="AD11" i="21"/>
  <c r="AD12" i="21" s="1"/>
  <c r="AD7" i="17"/>
  <c r="AD8" i="17" s="1"/>
  <c r="AC7" i="17"/>
  <c r="O79" i="18"/>
  <c r="P81" i="18"/>
  <c r="P82" i="18" s="1"/>
  <c r="H5" i="23"/>
  <c r="I5" i="23"/>
  <c r="AC6" i="23" s="1"/>
  <c r="AC28" i="13"/>
  <c r="AD49" i="13"/>
  <c r="AD50" i="13" s="1"/>
  <c r="P77" i="20"/>
  <c r="P78" i="20" s="1"/>
  <c r="O77" i="20"/>
  <c r="AD51" i="14"/>
  <c r="AD52" i="14" s="1"/>
  <c r="AC29" i="14"/>
  <c r="F6" i="23"/>
  <c r="F7" i="23"/>
  <c r="H29" i="16"/>
  <c r="AD53" i="16"/>
  <c r="AD54" i="16" s="1"/>
  <c r="AC30" i="16"/>
  <c r="AC31" i="16" s="1"/>
  <c r="AC32" i="16" s="1"/>
  <c r="AC33" i="16" s="1"/>
  <c r="AC34" i="16" s="1"/>
  <c r="AC35" i="16" s="1"/>
  <c r="AC36" i="16" s="1"/>
  <c r="AD5" i="24"/>
  <c r="AD6" i="24" s="1"/>
  <c r="M27" i="13"/>
  <c r="I28" i="13"/>
  <c r="H28" i="13" s="1"/>
  <c r="AC30" i="15"/>
  <c r="AC31" i="15" s="1"/>
  <c r="AC32" i="15" s="1"/>
  <c r="AC33" i="15" s="1"/>
  <c r="AC34" i="15" s="1"/>
  <c r="AC35" i="15" s="1"/>
  <c r="AC36" i="15" s="1"/>
  <c r="AD53" i="15"/>
  <c r="AD54" i="15" s="1"/>
  <c r="I5" i="24"/>
  <c r="H5" i="24"/>
  <c r="AD9" i="19"/>
  <c r="AD10" i="19" s="1"/>
  <c r="AC8" i="19"/>
  <c r="H8" i="21"/>
  <c r="M28" i="14"/>
  <c r="I29" i="14"/>
  <c r="H29" i="14"/>
  <c r="H29" i="15"/>
  <c r="I10" i="22" l="1"/>
  <c r="H10" i="22" s="1"/>
  <c r="AD7" i="23"/>
  <c r="AD8" i="23" s="1"/>
  <c r="I29" i="13"/>
  <c r="H29" i="13" s="1"/>
  <c r="M28" i="13"/>
  <c r="O80" i="18"/>
  <c r="P83" i="18"/>
  <c r="P84" i="18" s="1"/>
  <c r="AD11" i="19"/>
  <c r="AD12" i="19" s="1"/>
  <c r="AC9" i="19"/>
  <c r="I6" i="24"/>
  <c r="H6" i="24" s="1"/>
  <c r="I30" i="14"/>
  <c r="H30" i="14" s="1"/>
  <c r="M30" i="14" s="1"/>
  <c r="M29" i="14"/>
  <c r="I6" i="23"/>
  <c r="H6" i="23" s="1"/>
  <c r="AD53" i="14"/>
  <c r="AD54" i="14" s="1"/>
  <c r="AC30" i="14"/>
  <c r="AC31" i="14" s="1"/>
  <c r="AC32" i="14" s="1"/>
  <c r="AC33" i="14" s="1"/>
  <c r="AC34" i="14" s="1"/>
  <c r="AC35" i="14" s="1"/>
  <c r="AC36" i="14" s="1"/>
  <c r="P79" i="20"/>
  <c r="P80" i="20" s="1"/>
  <c r="O78" i="20"/>
  <c r="I30" i="15"/>
  <c r="H30" i="15" s="1"/>
  <c r="AC6" i="24"/>
  <c r="AC8" i="17"/>
  <c r="AD9" i="17"/>
  <c r="AD10" i="17" s="1"/>
  <c r="I30" i="16"/>
  <c r="H30" i="16" s="1"/>
  <c r="AC29" i="13"/>
  <c r="AD51" i="13"/>
  <c r="AD52" i="13" s="1"/>
  <c r="I9" i="21"/>
  <c r="AC9" i="21" s="1"/>
  <c r="AC9" i="22"/>
  <c r="AD11" i="22"/>
  <c r="AD12" i="22" s="1"/>
  <c r="I7" i="23" l="1"/>
  <c r="M29" i="13"/>
  <c r="H30" i="13"/>
  <c r="M30" i="13" s="1"/>
  <c r="I30" i="13"/>
  <c r="I7" i="24"/>
  <c r="H7" i="24" s="1"/>
  <c r="I11" i="22"/>
  <c r="H11" i="22" s="1"/>
  <c r="AD53" i="13"/>
  <c r="AD54" i="13" s="1"/>
  <c r="AC30" i="13"/>
  <c r="AC31" i="13" s="1"/>
  <c r="AC32" i="13" s="1"/>
  <c r="AC33" i="13" s="1"/>
  <c r="AC34" i="13" s="1"/>
  <c r="AC35" i="13" s="1"/>
  <c r="AC36" i="13" s="1"/>
  <c r="P81" i="20"/>
  <c r="P82" i="20" s="1"/>
  <c r="O79" i="20"/>
  <c r="AD13" i="22"/>
  <c r="AD14" i="22" s="1"/>
  <c r="AC10" i="22"/>
  <c r="AD11" i="17"/>
  <c r="AD12" i="17" s="1"/>
  <c r="AC9" i="17"/>
  <c r="AC7" i="23"/>
  <c r="H9" i="21"/>
  <c r="AD7" i="24"/>
  <c r="AD8" i="24" s="1"/>
  <c r="AC7" i="24"/>
  <c r="AD13" i="19"/>
  <c r="AD14" i="19" s="1"/>
  <c r="AC10" i="19"/>
  <c r="AD13" i="21"/>
  <c r="AD14" i="21" s="1"/>
  <c r="O81" i="18"/>
  <c r="P85" i="18"/>
  <c r="P86" i="18" s="1"/>
  <c r="F7" i="14"/>
  <c r="F6" i="14"/>
  <c r="I12" i="22" l="1"/>
  <c r="H12" i="22" s="1"/>
  <c r="I8" i="24"/>
  <c r="H8" i="24"/>
  <c r="AD9" i="24"/>
  <c r="AD10" i="24" s="1"/>
  <c r="AC8" i="24"/>
  <c r="O80" i="20"/>
  <c r="P83" i="20"/>
  <c r="P84" i="20" s="1"/>
  <c r="F6" i="13"/>
  <c r="F7" i="13"/>
  <c r="AD15" i="19"/>
  <c r="AD16" i="19" s="1"/>
  <c r="AC11" i="19"/>
  <c r="I10" i="21"/>
  <c r="AC10" i="21" s="1"/>
  <c r="O82" i="18"/>
  <c r="P87" i="18"/>
  <c r="P88" i="18" s="1"/>
  <c r="AD13" i="17"/>
  <c r="AD14" i="17" s="1"/>
  <c r="AC10" i="17"/>
  <c r="AD15" i="22"/>
  <c r="AD16" i="22" s="1"/>
  <c r="AC11" i="22"/>
  <c r="AC8" i="23"/>
  <c r="AD9" i="23"/>
  <c r="AD10" i="23" s="1"/>
  <c r="H7" i="23"/>
  <c r="I13" i="22" l="1"/>
  <c r="H13" i="22"/>
  <c r="AC11" i="17"/>
  <c r="AD15" i="17"/>
  <c r="AD16" i="17" s="1"/>
  <c r="O83" i="18"/>
  <c r="P89" i="18"/>
  <c r="P90" i="18" s="1"/>
  <c r="P85" i="20"/>
  <c r="P86" i="20" s="1"/>
  <c r="O81" i="20"/>
  <c r="I8" i="23"/>
  <c r="H8" i="23"/>
  <c r="AD11" i="23"/>
  <c r="AD12" i="23" s="1"/>
  <c r="AC9" i="23"/>
  <c r="H10" i="21"/>
  <c r="AD11" i="24"/>
  <c r="AD12" i="24" s="1"/>
  <c r="AC9" i="24"/>
  <c r="AD17" i="22"/>
  <c r="AD18" i="22" s="1"/>
  <c r="AC12" i="22"/>
  <c r="AD15" i="21"/>
  <c r="AD16" i="21" s="1"/>
  <c r="I9" i="24"/>
  <c r="H9" i="24" s="1"/>
  <c r="AD17" i="19"/>
  <c r="AD18" i="19" s="1"/>
  <c r="AC12" i="19"/>
  <c r="I10" i="24" l="1"/>
  <c r="H10" i="24" s="1"/>
  <c r="P87" i="20"/>
  <c r="P88" i="20" s="1"/>
  <c r="O82" i="20"/>
  <c r="AD19" i="19"/>
  <c r="AD20" i="19" s="1"/>
  <c r="AC13" i="19"/>
  <c r="AD13" i="24"/>
  <c r="AD14" i="24" s="1"/>
  <c r="AC10" i="24"/>
  <c r="I11" i="21"/>
  <c r="AC11" i="21" s="1"/>
  <c r="O84" i="18"/>
  <c r="P91" i="18"/>
  <c r="P92" i="18" s="1"/>
  <c r="AD17" i="17"/>
  <c r="AD18" i="17" s="1"/>
  <c r="AC12" i="17"/>
  <c r="AC10" i="23"/>
  <c r="AD13" i="23"/>
  <c r="AD14" i="23" s="1"/>
  <c r="I9" i="23"/>
  <c r="H9" i="23"/>
  <c r="I14" i="22"/>
  <c r="H14" i="22"/>
  <c r="AD19" i="22"/>
  <c r="AD20" i="22" s="1"/>
  <c r="AC13" i="22"/>
  <c r="I11" i="24" l="1"/>
  <c r="H11" i="24" s="1"/>
  <c r="AD15" i="24"/>
  <c r="AD16" i="24" s="1"/>
  <c r="AC11" i="24"/>
  <c r="AD15" i="23"/>
  <c r="AD16" i="23" s="1"/>
  <c r="AC14" i="22"/>
  <c r="AD21" i="22"/>
  <c r="AD22" i="22" s="1"/>
  <c r="AD19" i="17"/>
  <c r="AD20" i="17" s="1"/>
  <c r="AC13" i="17"/>
  <c r="AC14" i="19"/>
  <c r="AD21" i="19"/>
  <c r="AD22" i="19" s="1"/>
  <c r="H15" i="22"/>
  <c r="I15" i="22"/>
  <c r="O85" i="18"/>
  <c r="P93" i="18"/>
  <c r="P94" i="18" s="1"/>
  <c r="I10" i="23"/>
  <c r="AC11" i="23" s="1"/>
  <c r="H10" i="23"/>
  <c r="AD17" i="21"/>
  <c r="AD18" i="21" s="1"/>
  <c r="P89" i="20"/>
  <c r="P90" i="20" s="1"/>
  <c r="O83" i="20"/>
  <c r="H11" i="21"/>
  <c r="AD17" i="23" l="1"/>
  <c r="AD18" i="23" s="1"/>
  <c r="I12" i="24"/>
  <c r="H12" i="24"/>
  <c r="I12" i="21"/>
  <c r="AC12" i="21" s="1"/>
  <c r="O86" i="18"/>
  <c r="P95" i="18"/>
  <c r="P96" i="18" s="1"/>
  <c r="AD23" i="22"/>
  <c r="AD24" i="22" s="1"/>
  <c r="AC15" i="22"/>
  <c r="I16" i="22"/>
  <c r="H16" i="22" s="1"/>
  <c r="O84" i="20"/>
  <c r="P91" i="20"/>
  <c r="P92" i="20" s="1"/>
  <c r="AD23" i="19"/>
  <c r="AD24" i="19" s="1"/>
  <c r="AC15" i="19"/>
  <c r="I11" i="23"/>
  <c r="AC12" i="23" s="1"/>
  <c r="AD21" i="17"/>
  <c r="AD22" i="17" s="1"/>
  <c r="AC14" i="17"/>
  <c r="AC12" i="24"/>
  <c r="AD17" i="24"/>
  <c r="AD18" i="24" s="1"/>
  <c r="AD19" i="23" l="1"/>
  <c r="AD20" i="23" s="1"/>
  <c r="I17" i="22"/>
  <c r="H17" i="22" s="1"/>
  <c r="O87" i="18"/>
  <c r="P97" i="18"/>
  <c r="P98" i="18" s="1"/>
  <c r="AD19" i="21"/>
  <c r="AD20" i="21" s="1"/>
  <c r="AD19" i="24"/>
  <c r="AD20" i="24" s="1"/>
  <c r="AC13" i="24"/>
  <c r="H12" i="21"/>
  <c r="AD25" i="19"/>
  <c r="AD26" i="19" s="1"/>
  <c r="AC16" i="19"/>
  <c r="I13" i="24"/>
  <c r="H13" i="24" s="1"/>
  <c r="O85" i="20"/>
  <c r="P93" i="20"/>
  <c r="P94" i="20" s="1"/>
  <c r="AD25" i="22"/>
  <c r="AD26" i="22" s="1"/>
  <c r="AC16" i="22"/>
  <c r="AD23" i="17"/>
  <c r="AD24" i="17" s="1"/>
  <c r="AC15" i="17"/>
  <c r="H11" i="23"/>
  <c r="I18" i="22" l="1"/>
  <c r="H18" i="22" s="1"/>
  <c r="I14" i="24"/>
  <c r="H14" i="24"/>
  <c r="AD27" i="19"/>
  <c r="AD28" i="19" s="1"/>
  <c r="AC17" i="19"/>
  <c r="O88" i="18"/>
  <c r="P99" i="18"/>
  <c r="P100" i="18" s="1"/>
  <c r="P95" i="20"/>
  <c r="P96" i="20" s="1"/>
  <c r="O86" i="20"/>
  <c r="I12" i="23"/>
  <c r="AC13" i="23" s="1"/>
  <c r="H12" i="23"/>
  <c r="I13" i="21"/>
  <c r="AC13" i="21" s="1"/>
  <c r="AC14" i="24"/>
  <c r="AD21" i="24"/>
  <c r="AD22" i="24" s="1"/>
  <c r="AD25" i="17"/>
  <c r="AD26" i="17" s="1"/>
  <c r="AC16" i="17"/>
  <c r="AD27" i="22"/>
  <c r="AD28" i="22" s="1"/>
  <c r="AC17" i="22"/>
  <c r="I19" i="22" l="1"/>
  <c r="H19" i="22" s="1"/>
  <c r="AC15" i="24"/>
  <c r="AD23" i="24"/>
  <c r="AD24" i="24" s="1"/>
  <c r="O89" i="18"/>
  <c r="P101" i="18"/>
  <c r="P102" i="18" s="1"/>
  <c r="H13" i="21"/>
  <c r="AC18" i="19"/>
  <c r="AD29" i="19"/>
  <c r="AD30" i="19" s="1"/>
  <c r="AD21" i="21"/>
  <c r="AD22" i="21" s="1"/>
  <c r="I13" i="23"/>
  <c r="AC14" i="23" s="1"/>
  <c r="H13" i="23"/>
  <c r="AD21" i="23"/>
  <c r="AD22" i="23" s="1"/>
  <c r="AD29" i="22"/>
  <c r="AD30" i="22" s="1"/>
  <c r="AC18" i="22"/>
  <c r="P97" i="20"/>
  <c r="P98" i="20" s="1"/>
  <c r="O87" i="20"/>
  <c r="I15" i="24"/>
  <c r="H15" i="24"/>
  <c r="AC17" i="17"/>
  <c r="AD27" i="17"/>
  <c r="AD28" i="17" s="1"/>
  <c r="AD23" i="23" l="1"/>
  <c r="AD24" i="23" s="1"/>
  <c r="I20" i="22"/>
  <c r="H20" i="22"/>
  <c r="I14" i="21"/>
  <c r="AC14" i="21" s="1"/>
  <c r="H14" i="21"/>
  <c r="AD31" i="19"/>
  <c r="AD32" i="19" s="1"/>
  <c r="AC19" i="19"/>
  <c r="I16" i="24"/>
  <c r="H16" i="24" s="1"/>
  <c r="O90" i="18"/>
  <c r="P103" i="18"/>
  <c r="P104" i="18" s="1"/>
  <c r="O88" i="20"/>
  <c r="P99" i="20"/>
  <c r="P100" i="20" s="1"/>
  <c r="AC16" i="24"/>
  <c r="AD25" i="24"/>
  <c r="AD26" i="24" s="1"/>
  <c r="AD29" i="17"/>
  <c r="AD30" i="17" s="1"/>
  <c r="AC18" i="17"/>
  <c r="I14" i="23"/>
  <c r="AC15" i="23" s="1"/>
  <c r="H14" i="23"/>
  <c r="AC19" i="22"/>
  <c r="AD31" i="22"/>
  <c r="AD32" i="22" s="1"/>
  <c r="I17" i="24" l="1"/>
  <c r="H17" i="24" s="1"/>
  <c r="AD25" i="23"/>
  <c r="AD26" i="23" s="1"/>
  <c r="AD33" i="19"/>
  <c r="AD34" i="19" s="1"/>
  <c r="AC20" i="19"/>
  <c r="AD27" i="24"/>
  <c r="AD28" i="24" s="1"/>
  <c r="AC17" i="24"/>
  <c r="I15" i="21"/>
  <c r="H15" i="21"/>
  <c r="P101" i="20"/>
  <c r="P102" i="20" s="1"/>
  <c r="O89" i="20"/>
  <c r="AC15" i="21"/>
  <c r="AD23" i="21"/>
  <c r="AD24" i="21" s="1"/>
  <c r="AD33" i="22"/>
  <c r="AD34" i="22" s="1"/>
  <c r="AC20" i="22"/>
  <c r="I21" i="22"/>
  <c r="H21" i="22" s="1"/>
  <c r="I15" i="23"/>
  <c r="AC16" i="23" s="1"/>
  <c r="H15" i="23"/>
  <c r="O91" i="18"/>
  <c r="P105" i="18"/>
  <c r="P106" i="18" s="1"/>
  <c r="AD31" i="17"/>
  <c r="AD32" i="17" s="1"/>
  <c r="AC19" i="17"/>
  <c r="AD27" i="23" l="1"/>
  <c r="AD28" i="23" s="1"/>
  <c r="I22" i="22"/>
  <c r="H22" i="22"/>
  <c r="I18" i="24"/>
  <c r="H18" i="24" s="1"/>
  <c r="AD35" i="22"/>
  <c r="AD36" i="22" s="1"/>
  <c r="AC21" i="22"/>
  <c r="AD35" i="19"/>
  <c r="AD36" i="19" s="1"/>
  <c r="AC21" i="19"/>
  <c r="AD25" i="21"/>
  <c r="AD26" i="21" s="1"/>
  <c r="AD33" i="17"/>
  <c r="AD34" i="17" s="1"/>
  <c r="AC20" i="17"/>
  <c r="I16" i="23"/>
  <c r="AC17" i="23" s="1"/>
  <c r="P103" i="20"/>
  <c r="P104" i="20" s="1"/>
  <c r="O90" i="20"/>
  <c r="AC18" i="24"/>
  <c r="AD29" i="24"/>
  <c r="AD30" i="24" s="1"/>
  <c r="I16" i="21"/>
  <c r="AC16" i="21" s="1"/>
  <c r="O92" i="18"/>
  <c r="P107" i="18"/>
  <c r="P108" i="18" s="1"/>
  <c r="AD29" i="23" l="1"/>
  <c r="AD30" i="23" s="1"/>
  <c r="I19" i="24"/>
  <c r="H19" i="24"/>
  <c r="AD27" i="21"/>
  <c r="AD28" i="21" s="1"/>
  <c r="I23" i="22"/>
  <c r="H23" i="22" s="1"/>
  <c r="H16" i="23"/>
  <c r="O93" i="18"/>
  <c r="P109" i="18"/>
  <c r="P110" i="18" s="1"/>
  <c r="AD35" i="17"/>
  <c r="AD36" i="17" s="1"/>
  <c r="AC21" i="17"/>
  <c r="AD31" i="24"/>
  <c r="AD32" i="24" s="1"/>
  <c r="AC19" i="24"/>
  <c r="P105" i="20"/>
  <c r="P106" i="20" s="1"/>
  <c r="O91" i="20"/>
  <c r="AD37" i="19"/>
  <c r="AD38" i="19" s="1"/>
  <c r="AC22" i="19"/>
  <c r="AC22" i="22"/>
  <c r="AD37" i="22"/>
  <c r="AD38" i="22" s="1"/>
  <c r="H16" i="21"/>
  <c r="I24" i="22" l="1"/>
  <c r="H24" i="22" s="1"/>
  <c r="AC20" i="24"/>
  <c r="AD33" i="24"/>
  <c r="AD34" i="24" s="1"/>
  <c r="I17" i="21"/>
  <c r="AC17" i="21" s="1"/>
  <c r="AC22" i="17"/>
  <c r="AD37" i="17"/>
  <c r="AD38" i="17" s="1"/>
  <c r="I20" i="24"/>
  <c r="H20" i="24" s="1"/>
  <c r="AD39" i="19"/>
  <c r="AD40" i="19" s="1"/>
  <c r="AC23" i="19"/>
  <c r="O94" i="18"/>
  <c r="P111" i="18"/>
  <c r="P112" i="18" s="1"/>
  <c r="AD39" i="22"/>
  <c r="AD40" i="22" s="1"/>
  <c r="AC23" i="22"/>
  <c r="P107" i="20"/>
  <c r="P108" i="20" s="1"/>
  <c r="O92" i="20"/>
  <c r="I17" i="23"/>
  <c r="AC18" i="23" s="1"/>
  <c r="I21" i="24" l="1"/>
  <c r="H21" i="24" s="1"/>
  <c r="I25" i="22"/>
  <c r="H25" i="22" s="1"/>
  <c r="AD39" i="17"/>
  <c r="AD40" i="17" s="1"/>
  <c r="AC23" i="17"/>
  <c r="H17" i="21"/>
  <c r="AD29" i="21"/>
  <c r="AD30" i="21" s="1"/>
  <c r="AC24" i="19"/>
  <c r="AD41" i="19"/>
  <c r="AD42" i="19" s="1"/>
  <c r="H17" i="23"/>
  <c r="AC21" i="24"/>
  <c r="AD35" i="24"/>
  <c r="AD36" i="24" s="1"/>
  <c r="AD31" i="23"/>
  <c r="AD32" i="23" s="1"/>
  <c r="O93" i="20"/>
  <c r="P109" i="20"/>
  <c r="P110" i="20" s="1"/>
  <c r="AD41" i="22"/>
  <c r="AD42" i="22" s="1"/>
  <c r="AC24" i="22"/>
  <c r="P113" i="18"/>
  <c r="P114" i="18" s="1"/>
  <c r="O95" i="18"/>
  <c r="I26" i="22" l="1"/>
  <c r="H26" i="22" s="1"/>
  <c r="I22" i="24"/>
  <c r="H22" i="24" s="1"/>
  <c r="I18" i="21"/>
  <c r="AC18" i="21" s="1"/>
  <c r="AD41" i="17"/>
  <c r="AD42" i="17" s="1"/>
  <c r="AC24" i="17"/>
  <c r="AD37" i="24"/>
  <c r="AD38" i="24" s="1"/>
  <c r="AC22" i="24"/>
  <c r="I18" i="23"/>
  <c r="AC19" i="23" s="1"/>
  <c r="AC25" i="19"/>
  <c r="AD43" i="19"/>
  <c r="AD44" i="19" s="1"/>
  <c r="O96" i="18"/>
  <c r="P115" i="18"/>
  <c r="P116" i="18" s="1"/>
  <c r="AD43" i="22"/>
  <c r="AD44" i="22" s="1"/>
  <c r="AC25" i="22"/>
  <c r="P111" i="20"/>
  <c r="P112" i="20" s="1"/>
  <c r="O94" i="20"/>
  <c r="I23" i="24" l="1"/>
  <c r="H23" i="24" s="1"/>
  <c r="I27" i="22"/>
  <c r="H27" i="22" s="1"/>
  <c r="H18" i="21"/>
  <c r="AD31" i="21"/>
  <c r="AD32" i="21" s="1"/>
  <c r="AD33" i="23"/>
  <c r="AD34" i="23" s="1"/>
  <c r="H18" i="23"/>
  <c r="AD43" i="17"/>
  <c r="AD44" i="17" s="1"/>
  <c r="AC25" i="17"/>
  <c r="AD45" i="19"/>
  <c r="AD46" i="19" s="1"/>
  <c r="AC26" i="19"/>
  <c r="AC26" i="22"/>
  <c r="AD45" i="22"/>
  <c r="AD46" i="22" s="1"/>
  <c r="AD39" i="24"/>
  <c r="AD40" i="24" s="1"/>
  <c r="AC23" i="24"/>
  <c r="O97" i="18"/>
  <c r="P118" i="18"/>
  <c r="P117" i="18"/>
  <c r="P113" i="20"/>
  <c r="P114" i="20" s="1"/>
  <c r="O95" i="20"/>
  <c r="I28" i="22" l="1"/>
  <c r="H28" i="22" s="1"/>
  <c r="I24" i="24"/>
  <c r="H24" i="24" s="1"/>
  <c r="AD47" i="22"/>
  <c r="AC27" i="22"/>
  <c r="AD48" i="22"/>
  <c r="AD48" i="19"/>
  <c r="AD47" i="19"/>
  <c r="AC27" i="19"/>
  <c r="I19" i="21"/>
  <c r="AC19" i="21" s="1"/>
  <c r="AD45" i="17"/>
  <c r="AD46" i="17" s="1"/>
  <c r="AC26" i="17"/>
  <c r="O98" i="18"/>
  <c r="P119" i="18"/>
  <c r="P120" i="18" s="1"/>
  <c r="AC24" i="24"/>
  <c r="AD41" i="24"/>
  <c r="AD42" i="24" s="1"/>
  <c r="I19" i="23"/>
  <c r="AC20" i="23" s="1"/>
  <c r="O96" i="20"/>
  <c r="P115" i="20"/>
  <c r="P116" i="20" s="1"/>
  <c r="I25" i="24" l="1"/>
  <c r="H25" i="24" s="1"/>
  <c r="I29" i="22"/>
  <c r="H29" i="22" s="1"/>
  <c r="P121" i="18"/>
  <c r="P122" i="18" s="1"/>
  <c r="O99" i="18"/>
  <c r="AD47" i="17"/>
  <c r="AC27" i="17"/>
  <c r="AD48" i="17"/>
  <c r="AD49" i="22"/>
  <c r="AD50" i="22" s="1"/>
  <c r="AC28" i="22"/>
  <c r="P117" i="20"/>
  <c r="P118" i="20"/>
  <c r="O97" i="20"/>
  <c r="H19" i="21"/>
  <c r="H19" i="23"/>
  <c r="AD35" i="23"/>
  <c r="AD36" i="23" s="1"/>
  <c r="AD49" i="19"/>
  <c r="AD50" i="19" s="1"/>
  <c r="AC28" i="19"/>
  <c r="AD33" i="21"/>
  <c r="AD34" i="21" s="1"/>
  <c r="AC25" i="24"/>
  <c r="AD43" i="24"/>
  <c r="AD44" i="24" s="1"/>
  <c r="I30" i="22" l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L84" i="22" s="1"/>
  <c r="L85" i="22" s="1"/>
  <c r="L86" i="22" s="1"/>
  <c r="L87" i="22" s="1"/>
  <c r="L88" i="22" s="1"/>
  <c r="L89" i="22" s="1"/>
  <c r="L90" i="22" s="1"/>
  <c r="L91" i="22" s="1"/>
  <c r="L92" i="22" s="1"/>
  <c r="L93" i="22" s="1"/>
  <c r="L94" i="22" s="1"/>
  <c r="L95" i="22" s="1"/>
  <c r="L96" i="22" s="1"/>
  <c r="L97" i="22" s="1"/>
  <c r="L98" i="22" s="1"/>
  <c r="L99" i="22" s="1"/>
  <c r="L100" i="22" s="1"/>
  <c r="I26" i="24"/>
  <c r="H26" i="24" s="1"/>
  <c r="I20" i="21"/>
  <c r="AC20" i="21" s="1"/>
  <c r="P119" i="20"/>
  <c r="P120" i="20" s="1"/>
  <c r="O98" i="20"/>
  <c r="O100" i="18"/>
  <c r="O101" i="18" s="1"/>
  <c r="O102" i="18" s="1"/>
  <c r="O103" i="18" s="1"/>
  <c r="O104" i="18" s="1"/>
  <c r="O105" i="18" s="1"/>
  <c r="O106" i="18" s="1"/>
  <c r="P123" i="18"/>
  <c r="P124" i="18" s="1"/>
  <c r="I20" i="23"/>
  <c r="AC21" i="23" s="1"/>
  <c r="AD45" i="24"/>
  <c r="AD46" i="24" s="1"/>
  <c r="AC26" i="24"/>
  <c r="AC29" i="22"/>
  <c r="AD51" i="22"/>
  <c r="AD52" i="22" s="1"/>
  <c r="AC28" i="17"/>
  <c r="AD49" i="17"/>
  <c r="AD50" i="17" s="1"/>
  <c r="AC29" i="19"/>
  <c r="AD51" i="19"/>
  <c r="AD52" i="19" s="1"/>
  <c r="I27" i="24" l="1"/>
  <c r="H27" i="24" s="1"/>
  <c r="AC30" i="22"/>
  <c r="AC31" i="22" s="1"/>
  <c r="AC32" i="22" s="1"/>
  <c r="AC33" i="22" s="1"/>
  <c r="AC34" i="22" s="1"/>
  <c r="AC35" i="22" s="1"/>
  <c r="AC36" i="22" s="1"/>
  <c r="AD53" i="22"/>
  <c r="AD54" i="22" s="1"/>
  <c r="AD48" i="24"/>
  <c r="AC27" i="24"/>
  <c r="AD47" i="24"/>
  <c r="H20" i="21"/>
  <c r="AD51" i="17"/>
  <c r="AD52" i="17" s="1"/>
  <c r="AC29" i="17"/>
  <c r="AD35" i="21"/>
  <c r="AD36" i="21" s="1"/>
  <c r="P121" i="20"/>
  <c r="P122" i="20" s="1"/>
  <c r="O99" i="20"/>
  <c r="AD53" i="19"/>
  <c r="AD54" i="19" s="1"/>
  <c r="AC30" i="19"/>
  <c r="AC31" i="19" s="1"/>
  <c r="AC32" i="19" s="1"/>
  <c r="AC33" i="19" s="1"/>
  <c r="AC34" i="19" s="1"/>
  <c r="AC35" i="19" s="1"/>
  <c r="AC36" i="19" s="1"/>
  <c r="H20" i="23"/>
  <c r="AD37" i="23"/>
  <c r="AD38" i="23" s="1"/>
  <c r="H30" i="22"/>
  <c r="I28" i="24" l="1"/>
  <c r="H28" i="24" s="1"/>
  <c r="O100" i="20"/>
  <c r="O101" i="20" s="1"/>
  <c r="O102" i="20" s="1"/>
  <c r="O103" i="20" s="1"/>
  <c r="O104" i="20" s="1"/>
  <c r="O105" i="20" s="1"/>
  <c r="O106" i="20" s="1"/>
  <c r="P123" i="20"/>
  <c r="P124" i="20" s="1"/>
  <c r="AC28" i="24"/>
  <c r="AD49" i="24"/>
  <c r="AD50" i="24" s="1"/>
  <c r="AC30" i="17"/>
  <c r="AC31" i="17" s="1"/>
  <c r="AC32" i="17" s="1"/>
  <c r="AC33" i="17" s="1"/>
  <c r="AC34" i="17" s="1"/>
  <c r="AC35" i="17" s="1"/>
  <c r="AC36" i="17" s="1"/>
  <c r="AD53" i="17"/>
  <c r="AD54" i="17" s="1"/>
  <c r="I21" i="21"/>
  <c r="AC21" i="21" s="1"/>
  <c r="I21" i="23"/>
  <c r="AC22" i="23" s="1"/>
  <c r="I29" i="24" l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L84" i="24" s="1"/>
  <c r="L85" i="24" s="1"/>
  <c r="L86" i="24" s="1"/>
  <c r="L87" i="24" s="1"/>
  <c r="L88" i="24" s="1"/>
  <c r="L89" i="24" s="1"/>
  <c r="L90" i="24" s="1"/>
  <c r="L91" i="24" s="1"/>
  <c r="L92" i="24" s="1"/>
  <c r="L93" i="24" s="1"/>
  <c r="L94" i="24" s="1"/>
  <c r="L95" i="24" s="1"/>
  <c r="L96" i="24" s="1"/>
  <c r="L97" i="24" s="1"/>
  <c r="L98" i="24" s="1"/>
  <c r="L99" i="24" s="1"/>
  <c r="L100" i="24" s="1"/>
  <c r="AC29" i="24"/>
  <c r="AD51" i="24"/>
  <c r="AD52" i="24" s="1"/>
  <c r="H21" i="23"/>
  <c r="AD39" i="23"/>
  <c r="AD40" i="23" s="1"/>
  <c r="H21" i="21"/>
  <c r="AD37" i="21"/>
  <c r="AD38" i="21" s="1"/>
  <c r="I22" i="21" l="1"/>
  <c r="AC22" i="21" s="1"/>
  <c r="AD53" i="24"/>
  <c r="AD54" i="24" s="1"/>
  <c r="AC30" i="24"/>
  <c r="AC31" i="24" s="1"/>
  <c r="AC32" i="24" s="1"/>
  <c r="AC33" i="24" s="1"/>
  <c r="AC34" i="24" s="1"/>
  <c r="AC35" i="24" s="1"/>
  <c r="AC36" i="24" s="1"/>
  <c r="I22" i="23"/>
  <c r="AC23" i="23" s="1"/>
  <c r="H29" i="24"/>
  <c r="I30" i="24" l="1"/>
  <c r="H30" i="24" s="1"/>
  <c r="AD41" i="23"/>
  <c r="AD42" i="23" s="1"/>
  <c r="H22" i="23"/>
  <c r="AD39" i="21"/>
  <c r="AD40" i="21" s="1"/>
  <c r="H22" i="21"/>
  <c r="I23" i="21" l="1"/>
  <c r="AC23" i="21" s="1"/>
  <c r="I23" i="23"/>
  <c r="AC24" i="23" s="1"/>
  <c r="H23" i="23" l="1"/>
  <c r="AD43" i="23"/>
  <c r="AD44" i="23" s="1"/>
  <c r="H23" i="21"/>
  <c r="AD41" i="21"/>
  <c r="AD42" i="21" s="1"/>
  <c r="I24" i="21" l="1"/>
  <c r="AC24" i="21" s="1"/>
  <c r="I24" i="23"/>
  <c r="AC25" i="23" s="1"/>
  <c r="H24" i="23"/>
  <c r="I25" i="23" l="1"/>
  <c r="H25" i="23" s="1"/>
  <c r="AD43" i="21"/>
  <c r="AD44" i="21" s="1"/>
  <c r="AD45" i="23"/>
  <c r="AD46" i="23" s="1"/>
  <c r="H24" i="21"/>
  <c r="I26" i="23" l="1"/>
  <c r="H26" i="23" s="1"/>
  <c r="I25" i="21"/>
  <c r="AC25" i="21" s="1"/>
  <c r="AC26" i="23"/>
  <c r="I27" i="23" l="1"/>
  <c r="H27" i="23" s="1"/>
  <c r="AD45" i="21"/>
  <c r="AD46" i="21" s="1"/>
  <c r="AD48" i="23"/>
  <c r="AC27" i="23"/>
  <c r="AD47" i="23"/>
  <c r="H25" i="21"/>
  <c r="I28" i="23" l="1"/>
  <c r="H28" i="23" s="1"/>
  <c r="I26" i="21"/>
  <c r="AC26" i="21" s="1"/>
  <c r="AD49" i="23"/>
  <c r="AD50" i="23" s="1"/>
  <c r="AC28" i="23"/>
  <c r="I29" i="23" l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L84" i="23" s="1"/>
  <c r="L85" i="23" s="1"/>
  <c r="L86" i="23" s="1"/>
  <c r="L87" i="23" s="1"/>
  <c r="L88" i="23" s="1"/>
  <c r="L89" i="23" s="1"/>
  <c r="L90" i="23" s="1"/>
  <c r="L91" i="23" s="1"/>
  <c r="L92" i="23" s="1"/>
  <c r="L93" i="23" s="1"/>
  <c r="L94" i="23" s="1"/>
  <c r="L95" i="23" s="1"/>
  <c r="L96" i="23" s="1"/>
  <c r="L97" i="23" s="1"/>
  <c r="L98" i="23" s="1"/>
  <c r="L99" i="23" s="1"/>
  <c r="L100" i="23" s="1"/>
  <c r="AC29" i="23"/>
  <c r="AD51" i="23"/>
  <c r="AD52" i="23" s="1"/>
  <c r="H26" i="21"/>
  <c r="AD48" i="21"/>
  <c r="AD47" i="21"/>
  <c r="I27" i="21" l="1"/>
  <c r="AC27" i="21" s="1"/>
  <c r="AC30" i="23"/>
  <c r="AC31" i="23" s="1"/>
  <c r="AC32" i="23" s="1"/>
  <c r="AC33" i="23" s="1"/>
  <c r="AC34" i="23" s="1"/>
  <c r="AC35" i="23" s="1"/>
  <c r="AC36" i="23" s="1"/>
  <c r="AD53" i="23"/>
  <c r="AD54" i="23" s="1"/>
  <c r="H29" i="23"/>
  <c r="I30" i="23" l="1"/>
  <c r="H30" i="23" s="1"/>
  <c r="AD49" i="21"/>
  <c r="AD50" i="21" s="1"/>
  <c r="H27" i="21"/>
  <c r="I28" i="21" l="1"/>
  <c r="AC28" i="21" s="1"/>
  <c r="H28" i="21" l="1"/>
  <c r="AD51" i="21"/>
  <c r="AD52" i="21" s="1"/>
  <c r="I29" i="21" l="1"/>
  <c r="AC29" i="21" s="1"/>
  <c r="H29" i="21" l="1"/>
  <c r="AD53" i="21"/>
  <c r="AD54" i="21" s="1"/>
  <c r="I30" i="21" l="1"/>
  <c r="L74" i="21" l="1"/>
  <c r="L75" i="21" s="1"/>
  <c r="L76" i="21" s="1"/>
  <c r="L77" i="21" s="1"/>
  <c r="L78" i="21" s="1"/>
  <c r="L79" i="21" s="1"/>
  <c r="L80" i="21" s="1"/>
  <c r="L81" i="21" s="1"/>
  <c r="L82" i="21" s="1"/>
  <c r="L83" i="21" s="1"/>
  <c r="L84" i="21" s="1"/>
  <c r="L85" i="21" s="1"/>
  <c r="L86" i="21" s="1"/>
  <c r="L87" i="21" s="1"/>
  <c r="L88" i="21" s="1"/>
  <c r="L89" i="21" s="1"/>
  <c r="L90" i="21" s="1"/>
  <c r="L91" i="21" s="1"/>
  <c r="L92" i="21" s="1"/>
  <c r="L93" i="21" s="1"/>
  <c r="L94" i="21" s="1"/>
  <c r="L95" i="21" s="1"/>
  <c r="L96" i="21" s="1"/>
  <c r="L97" i="21" s="1"/>
  <c r="L98" i="21" s="1"/>
  <c r="L99" i="21" s="1"/>
  <c r="L100" i="21" s="1"/>
  <c r="AC30" i="21"/>
  <c r="AC31" i="21" s="1"/>
  <c r="AC32" i="21" s="1"/>
  <c r="AC33" i="21" s="1"/>
  <c r="AC34" i="21" s="1"/>
  <c r="AC35" i="21" s="1"/>
  <c r="AC36" i="21" s="1"/>
  <c r="H30" i="21"/>
</calcChain>
</file>

<file path=xl/sharedStrings.xml><?xml version="1.0" encoding="utf-8"?>
<sst xmlns="http://schemas.openxmlformats.org/spreadsheetml/2006/main" count="4297" uniqueCount="171">
  <si>
    <t>ВХОДНЫЕ ДАННЫЕ</t>
  </si>
  <si>
    <t>ВЫХОДНЫЕ ДАННЫЕ</t>
  </si>
  <si>
    <t>Входные параметры</t>
  </si>
  <si>
    <t>Сводная таблица</t>
  </si>
  <si>
    <t>Расписание закачки</t>
  </si>
  <si>
    <t>Общая масса пропанта на работу, т</t>
  </si>
  <si>
    <t>Тип стадии</t>
  </si>
  <si>
    <t>Время, мин</t>
  </si>
  <si>
    <t>Qсм, м3/мин</t>
  </si>
  <si>
    <t>Vсмесь, м3</t>
  </si>
  <si>
    <t>V жид, м3</t>
  </si>
  <si>
    <t>Жидкость</t>
  </si>
  <si>
    <t>Пропант</t>
  </si>
  <si>
    <t>Спропант (от) кг/м3</t>
  </si>
  <si>
    <t>Спропант (до) кг/м3</t>
  </si>
  <si>
    <t>Mпропант, кг</t>
  </si>
  <si>
    <t>∑Vжид., м3</t>
  </si>
  <si>
    <t>∑Мпропант., кг</t>
  </si>
  <si>
    <t>∑Vсмесь., м3</t>
  </si>
  <si>
    <t>время</t>
  </si>
  <si>
    <t>время (расш)</t>
  </si>
  <si>
    <t>конц.</t>
  </si>
  <si>
    <t>Расход</t>
  </si>
  <si>
    <t>Максимальная концентрация пропанта, кг/м3</t>
  </si>
  <si>
    <t>Жидкости</t>
  </si>
  <si>
    <t>Объем, м3</t>
  </si>
  <si>
    <t>Жидкость в стволе</t>
  </si>
  <si>
    <t xml:space="preserve">Объем на проп стадиях </t>
  </si>
  <si>
    <t>Расход смеси, м3/мин</t>
  </si>
  <si>
    <t>Объем смеси без продавки</t>
  </si>
  <si>
    <t>Шаг по концентрации, кг/м3</t>
  </si>
  <si>
    <t>Агрессивность набора концентрации (от -3 до 3)</t>
  </si>
  <si>
    <t>Тип пропанта 1 (более мелкий)</t>
  </si>
  <si>
    <t>20/40 Новатэк</t>
  </si>
  <si>
    <t>итого:</t>
  </si>
  <si>
    <t>Тип пропанта 2 (более крупный)</t>
  </si>
  <si>
    <t>16/20 Новатэк</t>
  </si>
  <si>
    <t>Пропант 2 с концентрации, кг/м3</t>
  </si>
  <si>
    <t>масса, т</t>
  </si>
  <si>
    <t>Тип жидкости 1 - Вода с понизителем трения</t>
  </si>
  <si>
    <t>FR01</t>
  </si>
  <si>
    <t>Тип жидкости 2 - Линейный гель</t>
  </si>
  <si>
    <t>LG28</t>
  </si>
  <si>
    <t>Тип жидкости 3 - Сшитый гель</t>
  </si>
  <si>
    <t>DX28</t>
  </si>
  <si>
    <t>SW до концентрации, кг/м3</t>
  </si>
  <si>
    <t>LG до концентрации, кг/м3</t>
  </si>
  <si>
    <t>Эффективность жидкости 1, %</t>
  </si>
  <si>
    <t>Эффективность жидкости 2, %</t>
  </si>
  <si>
    <t>∑Мпропант(т)/∑Vжид.(м3)</t>
  </si>
  <si>
    <t>Буфер 1 - тип жидкости</t>
  </si>
  <si>
    <t>LG24</t>
  </si>
  <si>
    <t>e</t>
  </si>
  <si>
    <t>Буфер 2 - тип жидкости</t>
  </si>
  <si>
    <t>DX26</t>
  </si>
  <si>
    <t>Буфер 1, %</t>
  </si>
  <si>
    <t>Буфер 2, %</t>
  </si>
  <si>
    <t>жидкости</t>
  </si>
  <si>
    <t>Жидкость в скважине</t>
  </si>
  <si>
    <t>H2O1</t>
  </si>
  <si>
    <t>SW</t>
  </si>
  <si>
    <t>LG</t>
  </si>
  <si>
    <t>DX</t>
  </si>
  <si>
    <t>все:</t>
  </si>
  <si>
    <t>пропанты</t>
  </si>
  <si>
    <t>Объем ствола скважины, м3</t>
  </si>
  <si>
    <t>LG14</t>
  </si>
  <si>
    <t>DX14</t>
  </si>
  <si>
    <t>тип</t>
  </si>
  <si>
    <t>плотность</t>
  </si>
  <si>
    <t>LG16</t>
  </si>
  <si>
    <t>DX16</t>
  </si>
  <si>
    <t>BP_1620</t>
  </si>
  <si>
    <t>LG18</t>
  </si>
  <si>
    <t>DX18</t>
  </si>
  <si>
    <t>BPR2040</t>
  </si>
  <si>
    <t>LG20</t>
  </si>
  <si>
    <t>DX20</t>
  </si>
  <si>
    <t>LG22</t>
  </si>
  <si>
    <t>DX22</t>
  </si>
  <si>
    <t>20/40 Mecami</t>
  </si>
  <si>
    <t>DX24</t>
  </si>
  <si>
    <t>LG26</t>
  </si>
  <si>
    <t>BP_3060</t>
  </si>
  <si>
    <t>BP2040_</t>
  </si>
  <si>
    <t>LG30</t>
  </si>
  <si>
    <t>DX30</t>
  </si>
  <si>
    <t>FP 16/20</t>
  </si>
  <si>
    <t>LG32</t>
  </si>
  <si>
    <t>DX32</t>
  </si>
  <si>
    <t>FP_20/40</t>
  </si>
  <si>
    <t>LG34</t>
  </si>
  <si>
    <t>DX34</t>
  </si>
  <si>
    <t>BP1218_</t>
  </si>
  <si>
    <t>LG36</t>
  </si>
  <si>
    <t>DX36</t>
  </si>
  <si>
    <t>BP1420_</t>
  </si>
  <si>
    <t>LG38</t>
  </si>
  <si>
    <t>DX38</t>
  </si>
  <si>
    <t>BP1620_</t>
  </si>
  <si>
    <t>LG40</t>
  </si>
  <si>
    <t>DX40</t>
  </si>
  <si>
    <t>BP1630S</t>
  </si>
  <si>
    <t>LG42</t>
  </si>
  <si>
    <t>DX42</t>
  </si>
  <si>
    <t>BP1630_</t>
  </si>
  <si>
    <t>LG48</t>
  </si>
  <si>
    <t>DX48</t>
  </si>
  <si>
    <t>BP2040S</t>
  </si>
  <si>
    <t>LG60</t>
  </si>
  <si>
    <t>BP3060_</t>
  </si>
  <si>
    <t>LG72</t>
  </si>
  <si>
    <t>BPR1218</t>
  </si>
  <si>
    <t>BPR1620</t>
  </si>
  <si>
    <t>BPR1630</t>
  </si>
  <si>
    <t>BP_1218</t>
  </si>
  <si>
    <t>BP_1630</t>
  </si>
  <si>
    <t>BP_2040</t>
  </si>
  <si>
    <t>BR128R1</t>
  </si>
  <si>
    <t>BR128R2</t>
  </si>
  <si>
    <t>BR162R1</t>
  </si>
  <si>
    <t>BR162R2</t>
  </si>
  <si>
    <t>A</t>
  </si>
  <si>
    <t>B</t>
  </si>
  <si>
    <t>Общий объем буфера, м3</t>
  </si>
  <si>
    <t>Объем буфера 1, м3</t>
  </si>
  <si>
    <t>Объем буфера 2, м3</t>
  </si>
  <si>
    <t>fc</t>
  </si>
  <si>
    <t>кол-во пропантных стадий</t>
  </si>
  <si>
    <t>Доля буфера</t>
  </si>
  <si>
    <t>average fp</t>
  </si>
  <si>
    <t>fc1</t>
  </si>
  <si>
    <t>fc2</t>
  </si>
  <si>
    <t>плотность пропанта 1</t>
  </si>
  <si>
    <t>плотность пропанта 2</t>
  </si>
  <si>
    <t>Доля буфера от V смеси без продавки, %</t>
  </si>
  <si>
    <t>АГРЕССИВНОСТЬ\СТЕПЕНЬ €</t>
  </si>
  <si>
    <t>В расчете:</t>
  </si>
  <si>
    <t>БАЗА ЖИДКОСТЕЙ И ПРОПАНТОВ</t>
  </si>
  <si>
    <t>Жидкость продавки</t>
  </si>
  <si>
    <t>Объем продавки, м3</t>
  </si>
  <si>
    <t>Эффективность жидкости ГРП, %</t>
  </si>
  <si>
    <t>Буфер - тип жидкости</t>
  </si>
  <si>
    <t>Полка, % от общей массы пропанта</t>
  </si>
  <si>
    <t>Тоннаж на рампе</t>
  </si>
  <si>
    <t>Тоннаж на полке</t>
  </si>
  <si>
    <t>Эффективность жидкости, %</t>
  </si>
  <si>
    <t>1 – буфер комбинир/буфер от Eff/ ступени/забойное</t>
  </si>
  <si>
    <t>2 –  буфер комбинир/буфер от доли/ ступени/забойное</t>
  </si>
  <si>
    <t>3 – буфер комбинир/буфер от Eff/рамп/забойное</t>
  </si>
  <si>
    <t>4 – буфер комбинир/буфер от доли/рамп/забойное</t>
  </si>
  <si>
    <t>5 – буфер комбинир/буфер от Eff/ступени/устьевое</t>
  </si>
  <si>
    <t>6 – буфер комбинир/буфер от доли/ступени/устьевое</t>
  </si>
  <si>
    <t>7 – буфер комбинир/буфер от Eff/рамп/устьевое</t>
  </si>
  <si>
    <t>8 – буфер комбинир/буфер от доли/рамп/устьевое</t>
  </si>
  <si>
    <t>9 – буфер 1 тип/буфер от Eff/ступени/забойное</t>
  </si>
  <si>
    <t>10 – буфер 1 тип/буфер от доли/ступени/забойное</t>
  </si>
  <si>
    <t>11 – буфер 1 тип/буфер от Eff/рамп/забойное</t>
  </si>
  <si>
    <t>12 – буфер 1 тип/буфер от доли/рамп/забойное</t>
  </si>
  <si>
    <t>13 – буфер 1 тип/буфер от Eff/ступени/устьевое</t>
  </si>
  <si>
    <t>14 – буфер 1 тип/буфер от доли/ступени/устьевое</t>
  </si>
  <si>
    <t>15 – буфер 1 тип/буфер от Eff/рамп/устьевое</t>
  </si>
  <si>
    <t>16 – буфер 1 тип/буфер от доли/рамп/устьевое</t>
  </si>
  <si>
    <t>17 - буфер комбинир/буфер от Eff/рамп с полкой/забойное</t>
  </si>
  <si>
    <t>18 - буфер комбинир/буфер от доли/рамп с полкой/забойное</t>
  </si>
  <si>
    <t>19 - буфер 1 тип/буфер от Eff/рамп с полкой/забойное</t>
  </si>
  <si>
    <t>20 - буфер 1 тип/буфер от доли/рамп с полкой/забойное</t>
  </si>
  <si>
    <t>21 - буфер комбинир/буфер от Eff/рамп с полкой/устьевое</t>
  </si>
  <si>
    <t>22 - буфер комбинир/буфер от доли/рамп с полкой/устьевое</t>
  </si>
  <si>
    <t>23 - буфер 1 тип/буфер от Eff/рамп с полкой/устьевое</t>
  </si>
  <si>
    <t>24 - буфер 1 тип/буфер от доли/рамп с полкой/устьевое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</si>
</sst>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0"/>
      <name val="Symbol"/>
      <family val="1"/>
      <charset val="2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b/>
      <sz val="22"/>
      <color theme="1"/>
      <name val="Calibri"/>
      <family val="2"/>
      <charset val="204"/>
      <scheme val="minor"/>
    </font>
    <font>
      <b/>
      <sz val="12"/>
      <color theme="0" tint="-0.499984740745262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gray0625">
        <fgColor theme="0" tint="-0.24994659260841701"/>
        <bgColor theme="4" tint="0.79995117038483843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6" borderId="1" xfId="0" applyFont="1" applyFill="1" applyBorder="1"/>
    <xf numFmtId="0" fontId="5" fillId="0" borderId="1" xfId="0" applyFont="1" applyBorder="1"/>
    <xf numFmtId="2" fontId="0" fillId="0" borderId="0" xfId="0" applyNumberFormat="1"/>
    <xf numFmtId="0" fontId="0" fillId="8" borderId="0" xfId="0" applyFill="1"/>
    <xf numFmtId="0" fontId="6" fillId="8" borderId="1" xfId="0" applyFont="1" applyFill="1" applyBorder="1"/>
    <xf numFmtId="0" fontId="9" fillId="8" borderId="0" xfId="0" applyFont="1" applyFill="1"/>
    <xf numFmtId="2" fontId="8" fillId="3" borderId="1" xfId="0" applyNumberFormat="1" applyFont="1" applyFill="1" applyBorder="1" applyAlignment="1">
      <alignment horizontal="center"/>
    </xf>
    <xf numFmtId="0" fontId="0" fillId="3" borderId="3" xfId="0" applyFill="1" applyBorder="1"/>
    <xf numFmtId="0" fontId="0" fillId="3" borderId="4" xfId="0" applyFill="1" applyBorder="1"/>
    <xf numFmtId="0" fontId="7" fillId="3" borderId="3" xfId="0" applyFont="1" applyFill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2" fontId="10" fillId="3" borderId="4" xfId="0" applyNumberFormat="1" applyFont="1" applyFill="1" applyBorder="1" applyAlignment="1">
      <alignment horizontal="center"/>
    </xf>
    <xf numFmtId="0" fontId="8" fillId="3" borderId="3" xfId="0" applyFont="1" applyFill="1" applyBorder="1"/>
    <xf numFmtId="0" fontId="8" fillId="3" borderId="4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7" fillId="3" borderId="9" xfId="0" applyFont="1" applyFill="1" applyBorder="1" applyAlignment="1">
      <alignment horizontal="center"/>
    </xf>
    <xf numFmtId="0" fontId="8" fillId="3" borderId="9" xfId="0" applyFont="1" applyFill="1" applyBorder="1" applyAlignment="1">
      <alignment horizontal="center"/>
    </xf>
    <xf numFmtId="2" fontId="8" fillId="3" borderId="10" xfId="0" applyNumberFormat="1" applyFont="1" applyFill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2" fontId="8" fillId="3" borderId="12" xfId="0" applyNumberFormat="1" applyFont="1" applyFill="1" applyBorder="1" applyAlignment="1">
      <alignment horizontal="center"/>
    </xf>
    <xf numFmtId="0" fontId="7" fillId="7" borderId="9" xfId="0" applyFont="1" applyFill="1" applyBorder="1"/>
    <xf numFmtId="0" fontId="7" fillId="7" borderId="14" xfId="0" applyFont="1" applyFill="1" applyBorder="1"/>
    <xf numFmtId="0" fontId="7" fillId="7" borderId="15" xfId="0" applyFont="1" applyFill="1" applyBorder="1"/>
    <xf numFmtId="0" fontId="7" fillId="7" borderId="11" xfId="0" applyFont="1" applyFill="1" applyBorder="1"/>
    <xf numFmtId="0" fontId="8" fillId="11" borderId="9" xfId="0" applyFont="1" applyFill="1" applyBorder="1" applyAlignment="1">
      <alignment horizontal="center"/>
    </xf>
    <xf numFmtId="2" fontId="8" fillId="11" borderId="1" xfId="0" applyNumberFormat="1" applyFont="1" applyFill="1" applyBorder="1" applyAlignment="1">
      <alignment horizontal="center"/>
    </xf>
    <xf numFmtId="2" fontId="8" fillId="11" borderId="10" xfId="0" applyNumberFormat="1" applyFont="1" applyFill="1" applyBorder="1" applyAlignment="1">
      <alignment horizontal="center"/>
    </xf>
    <xf numFmtId="2" fontId="7" fillId="3" borderId="1" xfId="0" applyNumberFormat="1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0" fontId="12" fillId="7" borderId="14" xfId="0" applyFont="1" applyFill="1" applyBorder="1"/>
    <xf numFmtId="0" fontId="0" fillId="0" borderId="1" xfId="0" applyBorder="1"/>
    <xf numFmtId="0" fontId="7" fillId="12" borderId="9" xfId="0" applyFont="1" applyFill="1" applyBorder="1"/>
    <xf numFmtId="2" fontId="8" fillId="3" borderId="13" xfId="0" applyNumberFormat="1" applyFont="1" applyFill="1" applyBorder="1" applyAlignment="1">
      <alignment horizontal="center"/>
    </xf>
    <xf numFmtId="0" fontId="7" fillId="12" borderId="11" xfId="0" applyFont="1" applyFill="1" applyBorder="1"/>
    <xf numFmtId="0" fontId="1" fillId="0" borderId="1" xfId="0" applyFont="1" applyBorder="1"/>
    <xf numFmtId="0" fontId="7" fillId="7" borderId="10" xfId="0" applyFont="1" applyFill="1" applyBorder="1" applyAlignment="1" applyProtection="1">
      <alignment horizontal="center"/>
      <protection locked="0"/>
    </xf>
    <xf numFmtId="0" fontId="7" fillId="3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7" fillId="12" borderId="10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2" fillId="7" borderId="9" xfId="0" applyFont="1" applyFill="1" applyBorder="1"/>
    <xf numFmtId="0" fontId="12" fillId="7" borderId="10" xfId="0" applyFont="1" applyFill="1" applyBorder="1" applyAlignment="1">
      <alignment horizontal="center"/>
    </xf>
    <xf numFmtId="0" fontId="7" fillId="7" borderId="13" xfId="0" applyFont="1" applyFill="1" applyBorder="1" applyAlignment="1" applyProtection="1">
      <alignment horizontal="center"/>
      <protection locked="0"/>
    </xf>
    <xf numFmtId="0" fontId="8" fillId="3" borderId="12" xfId="0" applyFont="1" applyFill="1" applyBorder="1" applyAlignment="1">
      <alignment horizontal="center"/>
    </xf>
    <xf numFmtId="0" fontId="7" fillId="7" borderId="23" xfId="0" applyFont="1" applyFill="1" applyBorder="1"/>
    <xf numFmtId="0" fontId="0" fillId="0" borderId="24" xfId="0" applyBorder="1"/>
    <xf numFmtId="0" fontId="0" fillId="0" borderId="13" xfId="0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Border="1"/>
    <xf numFmtId="0" fontId="7" fillId="7" borderId="16" xfId="0" applyFont="1" applyFill="1" applyBorder="1" applyAlignment="1" applyProtection="1">
      <alignment horizontal="center"/>
      <protection locked="0"/>
    </xf>
    <xf numFmtId="0" fontId="12" fillId="7" borderId="17" xfId="0" applyFont="1" applyFill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 applyProtection="1">
      <alignment horizontal="center"/>
      <protection locked="0"/>
    </xf>
    <xf numFmtId="0" fontId="7" fillId="0" borderId="11" xfId="0" applyFont="1" applyBorder="1"/>
    <xf numFmtId="0" fontId="13" fillId="0" borderId="0" xfId="0" applyFont="1" applyAlignment="1">
      <alignment vertical="center"/>
    </xf>
    <xf numFmtId="0" fontId="13" fillId="12" borderId="0" xfId="0" applyFont="1" applyFill="1" applyAlignment="1">
      <alignment vertical="center"/>
    </xf>
    <xf numFmtId="2" fontId="7" fillId="3" borderId="4" xfId="0" applyNumberFormat="1" applyFont="1" applyFill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0" fillId="0" borderId="0" xfId="0"/>
    <xf numFmtId="164" fontId="7" fillId="3" borderId="19" xfId="0" applyNumberFormat="1" applyFont="1" applyFill="1" applyBorder="1" applyAlignment="1">
      <alignment horizontal="center"/>
    </xf>
    <xf numFmtId="0" fontId="0" fillId="0" borderId="4" xfId="0" applyBorder="1"/>
    <xf numFmtId="0" fontId="1" fillId="0" borderId="0" xfId="0" applyFont="1" applyAlignment="1">
      <alignment horizontal="center"/>
    </xf>
    <xf numFmtId="0" fontId="0" fillId="0" borderId="0" xfId="0"/>
    <xf numFmtId="0" fontId="11" fillId="10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2" fillId="7" borderId="20" xfId="0" applyFont="1" applyFill="1" applyBorder="1" applyAlignment="1">
      <alignment horizontal="center"/>
    </xf>
    <xf numFmtId="0" fontId="0" fillId="0" borderId="8" xfId="0" applyBorder="1"/>
    <xf numFmtId="0" fontId="7" fillId="3" borderId="21" xfId="0" applyFont="1" applyFill="1" applyBorder="1" applyAlignment="1">
      <alignment horizontal="center"/>
    </xf>
    <xf numFmtId="0" fontId="0" fillId="0" borderId="2" xfId="0" applyBorder="1"/>
    <xf numFmtId="0" fontId="2" fillId="3" borderId="20" xfId="0" applyFont="1" applyFill="1" applyBorder="1" applyAlignment="1">
      <alignment horizontal="center"/>
    </xf>
    <xf numFmtId="0" fontId="0" fillId="0" borderId="7" xfId="0" applyBorder="1"/>
    <xf numFmtId="2" fontId="7" fillId="3" borderId="19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8" xfId="0" applyBorder="1"/>
    <xf numFmtId="0" fontId="0" fillId="0" borderId="22" xfId="0" applyBorder="1"/>
    <xf numFmtId="0" fontId="1" fillId="0" borderId="18" xfId="0" applyFont="1" applyBorder="1" applyAlignment="1">
      <alignment horizontal="left"/>
    </xf>
    <xf numFmtId="0" fontId="2" fillId="7" borderId="23" xfId="0" applyFont="1" applyFill="1" applyBorder="1" applyAlignment="1">
      <alignment horizontal="center"/>
    </xf>
    <xf numFmtId="0" fontId="0" fillId="0" borderId="25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10.51849492328977</c:v>
                </c:pt>
                <c:pt idx="2">
                  <c:v>10.51849492328977</c:v>
                </c:pt>
                <c:pt idx="3" formatCode="0.00">
                  <c:v>11.037710474673419</c:v>
                </c:pt>
                <c:pt idx="4" formatCode="0.00">
                  <c:v>11.037710474673419</c:v>
                </c:pt>
                <c:pt idx="5">
                  <c:v>12.091938116294507</c:v>
                </c:pt>
                <c:pt idx="6">
                  <c:v>12.091938116294507</c:v>
                </c:pt>
                <c:pt idx="7">
                  <c:v>13.496577754298581</c:v>
                </c:pt>
                <c:pt idx="8">
                  <c:v>13.496577754298581</c:v>
                </c:pt>
                <c:pt idx="9">
                  <c:v>15.178922714999331</c:v>
                </c:pt>
                <c:pt idx="10">
                  <c:v>15.178922714999331</c:v>
                </c:pt>
                <c:pt idx="11">
                  <c:v>17.111197730581651</c:v>
                </c:pt>
                <c:pt idx="12">
                  <c:v>17.111197730581651</c:v>
                </c:pt>
                <c:pt idx="13">
                  <c:v>19.266119996838999</c:v>
                </c:pt>
                <c:pt idx="14">
                  <c:v>19.266119996838999</c:v>
                </c:pt>
                <c:pt idx="15">
                  <c:v>21.630402540117483</c:v>
                </c:pt>
                <c:pt idx="16">
                  <c:v>21.630402540117483</c:v>
                </c:pt>
                <c:pt idx="17">
                  <c:v>24.195165597764358</c:v>
                </c:pt>
                <c:pt idx="18">
                  <c:v>24.195165597764358</c:v>
                </c:pt>
                <c:pt idx="19">
                  <c:v>26.954258693517033</c:v>
                </c:pt>
                <c:pt idx="20">
                  <c:v>26.954258693517033</c:v>
                </c:pt>
                <c:pt idx="21">
                  <c:v>29.903326007931113</c:v>
                </c:pt>
                <c:pt idx="22">
                  <c:v>29.903326007931113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2-4493-A539-DAE5027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71552"/>
        <c:axId val="1062572096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10.51849492328977</c:v>
                </c:pt>
                <c:pt idx="2">
                  <c:v>10.51849492328977</c:v>
                </c:pt>
                <c:pt idx="3" formatCode="0.00">
                  <c:v>11.037710474673419</c:v>
                </c:pt>
                <c:pt idx="4" formatCode="0.00">
                  <c:v>11.037710474673419</c:v>
                </c:pt>
                <c:pt idx="5">
                  <c:v>12.091938116294507</c:v>
                </c:pt>
                <c:pt idx="6">
                  <c:v>12.091938116294507</c:v>
                </c:pt>
                <c:pt idx="7">
                  <c:v>13.496577754298581</c:v>
                </c:pt>
                <c:pt idx="8">
                  <c:v>13.496577754298581</c:v>
                </c:pt>
                <c:pt idx="9">
                  <c:v>15.178922714999331</c:v>
                </c:pt>
                <c:pt idx="10">
                  <c:v>15.178922714999331</c:v>
                </c:pt>
                <c:pt idx="11">
                  <c:v>17.111197730581651</c:v>
                </c:pt>
                <c:pt idx="12">
                  <c:v>17.111197730581651</c:v>
                </c:pt>
                <c:pt idx="13">
                  <c:v>19.266119996838999</c:v>
                </c:pt>
                <c:pt idx="14">
                  <c:v>19.266119996838999</c:v>
                </c:pt>
                <c:pt idx="15">
                  <c:v>21.630402540117483</c:v>
                </c:pt>
                <c:pt idx="16">
                  <c:v>21.630402540117483</c:v>
                </c:pt>
                <c:pt idx="17">
                  <c:v>24.195165597764358</c:v>
                </c:pt>
                <c:pt idx="18">
                  <c:v>24.195165597764358</c:v>
                </c:pt>
                <c:pt idx="19">
                  <c:v>26.954258693517033</c:v>
                </c:pt>
                <c:pt idx="20">
                  <c:v>26.954258693517033</c:v>
                </c:pt>
                <c:pt idx="21">
                  <c:v>29.903326007931113</c:v>
                </c:pt>
                <c:pt idx="22">
                  <c:v>29.903326007931113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02-4493-A539-DAE5027F1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72640"/>
        <c:axId val="1062575904"/>
      </c:scatterChart>
      <c:valAx>
        <c:axId val="1062571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2096"/>
        <c:crosses val="autoZero"/>
        <c:crossBetween val="midCat"/>
        <c:majorUnit val="5"/>
      </c:valAx>
      <c:valAx>
        <c:axId val="106257209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1552"/>
        <c:crosses val="autoZero"/>
        <c:crossBetween val="midCat"/>
        <c:majorUnit val="1"/>
      </c:valAx>
      <c:valAx>
        <c:axId val="10625726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575904"/>
        <c:crosses val="autoZero"/>
        <c:crossBetween val="midCat"/>
      </c:valAx>
      <c:valAx>
        <c:axId val="10625759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264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'10'!$AD$4:$AD$54</c:f>
              <c:numCache>
                <c:formatCode>General</c:formatCode>
                <c:ptCount val="51"/>
                <c:pt idx="0">
                  <c:v>0</c:v>
                </c:pt>
                <c:pt idx="1">
                  <c:v>8.7703418262376971</c:v>
                </c:pt>
                <c:pt idx="2">
                  <c:v>8.7703418262376971</c:v>
                </c:pt>
                <c:pt idx="3" formatCode="0.00">
                  <c:v>9.5137019696299649</c:v>
                </c:pt>
                <c:pt idx="4" formatCode="0.00">
                  <c:v>9.5137019696299649</c:v>
                </c:pt>
                <c:pt idx="5">
                  <c:v>10.836014236515844</c:v>
                </c:pt>
                <c:pt idx="6">
                  <c:v>10.836014236515844</c:v>
                </c:pt>
                <c:pt idx="7">
                  <c:v>12.472101459702589</c:v>
                </c:pt>
                <c:pt idx="8">
                  <c:v>12.472101459702589</c:v>
                </c:pt>
                <c:pt idx="9">
                  <c:v>14.336530141892782</c:v>
                </c:pt>
                <c:pt idx="10">
                  <c:v>14.336530141892782</c:v>
                </c:pt>
                <c:pt idx="11">
                  <c:v>16.399319637052727</c:v>
                </c:pt>
                <c:pt idx="12">
                  <c:v>16.399319637052727</c:v>
                </c:pt>
                <c:pt idx="13">
                  <c:v>18.631911322139626</c:v>
                </c:pt>
                <c:pt idx="14">
                  <c:v>18.631911322139626</c:v>
                </c:pt>
                <c:pt idx="15">
                  <c:v>21.020995337509319</c:v>
                </c:pt>
                <c:pt idx="16">
                  <c:v>21.020995337509319</c:v>
                </c:pt>
                <c:pt idx="17">
                  <c:v>23.557760676663406</c:v>
                </c:pt>
                <c:pt idx="18">
                  <c:v>23.557760676663406</c:v>
                </c:pt>
                <c:pt idx="19">
                  <c:v>26.236073159022482</c:v>
                </c:pt>
                <c:pt idx="20">
                  <c:v>26.236073159022482</c:v>
                </c:pt>
                <c:pt idx="21">
                  <c:v>29.051503193582441</c:v>
                </c:pt>
                <c:pt idx="22">
                  <c:v>29.051503193582441</c:v>
                </c:pt>
                <c:pt idx="23">
                  <c:v>32.00076412753868</c:v>
                </c:pt>
                <c:pt idx="24">
                  <c:v>32.00076412753868</c:v>
                </c:pt>
                <c:pt idx="25">
                  <c:v>35.081367304950788</c:v>
                </c:pt>
                <c:pt idx="26">
                  <c:v>35.081367304950788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'10'!$AF$4:$AF$54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F4-4794-9FA4-178C6FEB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92624"/>
        <c:axId val="935369120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'10'!$AD$4:$AD$54</c:f>
              <c:numCache>
                <c:formatCode>General</c:formatCode>
                <c:ptCount val="51"/>
                <c:pt idx="0">
                  <c:v>0</c:v>
                </c:pt>
                <c:pt idx="1">
                  <c:v>8.7703418262376971</c:v>
                </c:pt>
                <c:pt idx="2">
                  <c:v>8.7703418262376971</c:v>
                </c:pt>
                <c:pt idx="3" formatCode="0.00">
                  <c:v>9.5137019696299649</c:v>
                </c:pt>
                <c:pt idx="4" formatCode="0.00">
                  <c:v>9.5137019696299649</c:v>
                </c:pt>
                <c:pt idx="5">
                  <c:v>10.836014236515844</c:v>
                </c:pt>
                <c:pt idx="6">
                  <c:v>10.836014236515844</c:v>
                </c:pt>
                <c:pt idx="7">
                  <c:v>12.472101459702589</c:v>
                </c:pt>
                <c:pt idx="8">
                  <c:v>12.472101459702589</c:v>
                </c:pt>
                <c:pt idx="9">
                  <c:v>14.336530141892782</c:v>
                </c:pt>
                <c:pt idx="10">
                  <c:v>14.336530141892782</c:v>
                </c:pt>
                <c:pt idx="11">
                  <c:v>16.399319637052727</c:v>
                </c:pt>
                <c:pt idx="12">
                  <c:v>16.399319637052727</c:v>
                </c:pt>
                <c:pt idx="13">
                  <c:v>18.631911322139626</c:v>
                </c:pt>
                <c:pt idx="14">
                  <c:v>18.631911322139626</c:v>
                </c:pt>
                <c:pt idx="15">
                  <c:v>21.020995337509319</c:v>
                </c:pt>
                <c:pt idx="16">
                  <c:v>21.020995337509319</c:v>
                </c:pt>
                <c:pt idx="17">
                  <c:v>23.557760676663406</c:v>
                </c:pt>
                <c:pt idx="18">
                  <c:v>23.557760676663406</c:v>
                </c:pt>
                <c:pt idx="19">
                  <c:v>26.236073159022482</c:v>
                </c:pt>
                <c:pt idx="20">
                  <c:v>26.236073159022482</c:v>
                </c:pt>
                <c:pt idx="21">
                  <c:v>29.051503193582441</c:v>
                </c:pt>
                <c:pt idx="22">
                  <c:v>29.051503193582441</c:v>
                </c:pt>
                <c:pt idx="23">
                  <c:v>32.00076412753868</c:v>
                </c:pt>
                <c:pt idx="24">
                  <c:v>32.00076412753868</c:v>
                </c:pt>
                <c:pt idx="25">
                  <c:v>35.081367304950788</c:v>
                </c:pt>
                <c:pt idx="26">
                  <c:v>35.081367304950788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'10'!$AE$4:$AE$54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F4-4794-9FA4-178C6FEBBB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363680"/>
        <c:axId val="1068770224"/>
      </c:scatterChart>
      <c:valAx>
        <c:axId val="111009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369120"/>
        <c:crosses val="autoZero"/>
        <c:crossBetween val="midCat"/>
        <c:majorUnit val="5"/>
      </c:valAx>
      <c:valAx>
        <c:axId val="93536912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92624"/>
        <c:crosses val="autoZero"/>
        <c:crossBetween val="midCat"/>
        <c:majorUnit val="1"/>
      </c:valAx>
      <c:valAx>
        <c:axId val="935363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70224"/>
        <c:crosses val="autoZero"/>
        <c:crossBetween val="midCat"/>
      </c:valAx>
      <c:valAx>
        <c:axId val="106877022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3536368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'11'!$AD$4:$AD$54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10.934916992015756</c:v>
                </c:pt>
                <c:pt idx="2">
                  <c:v>10.934916992015756</c:v>
                </c:pt>
                <c:pt idx="3" formatCode="0.00">
                  <c:v>14.069562053744152</c:v>
                </c:pt>
                <c:pt idx="4" formatCode="0.00">
                  <c:v>14.069562053744152</c:v>
                </c:pt>
                <c:pt idx="5">
                  <c:v>17.300657732756498</c:v>
                </c:pt>
                <c:pt idx="6">
                  <c:v>17.300657732756498</c:v>
                </c:pt>
                <c:pt idx="7">
                  <c:v>20.67285709261018</c:v>
                </c:pt>
                <c:pt idx="8">
                  <c:v>20.67285709261018</c:v>
                </c:pt>
                <c:pt idx="9">
                  <c:v>24.159368295170765</c:v>
                </c:pt>
                <c:pt idx="10">
                  <c:v>24.159368295170765</c:v>
                </c:pt>
                <c:pt idx="11">
                  <c:v>27.760191340438258</c:v>
                </c:pt>
                <c:pt idx="12">
                  <c:v>27.760191340438258</c:v>
                </c:pt>
                <c:pt idx="13">
                  <c:v>31.475326228412651</c:v>
                </c:pt>
                <c:pt idx="14">
                  <c:v>31.475326228412651</c:v>
                </c:pt>
                <c:pt idx="15">
                  <c:v>35.304772959093953</c:v>
                </c:pt>
                <c:pt idx="16">
                  <c:v>35.304772959093953</c:v>
                </c:pt>
                <c:pt idx="17">
                  <c:v>39.248531532482154</c:v>
                </c:pt>
                <c:pt idx="18">
                  <c:v>39.248531532482154</c:v>
                </c:pt>
                <c:pt idx="19">
                  <c:v>43.30660194857726</c:v>
                </c:pt>
                <c:pt idx="20">
                  <c:v>43.30660194857726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'11'!$AF$4:$AF$54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1-4158-8E72-32B19532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3152"/>
        <c:axId val="1068758256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6131-4158-8E72-32B195327EAD}"/>
              </c:ext>
            </c:extLst>
          </c:dPt>
          <c:xVal>
            <c:numRef>
              <c:f>'11'!$L$73:$L$99</c:f>
              <c:numCache>
                <c:formatCode>0.00</c:formatCode>
                <c:ptCount val="27"/>
                <c:pt idx="0" formatCode="General">
                  <c:v>0</c:v>
                </c:pt>
                <c:pt idx="1">
                  <c:v>10.934916992015756</c:v>
                </c:pt>
                <c:pt idx="2">
                  <c:v>14.069562053744152</c:v>
                </c:pt>
                <c:pt idx="3">
                  <c:v>17.300657732756498</c:v>
                </c:pt>
                <c:pt idx="4">
                  <c:v>20.67285709261018</c:v>
                </c:pt>
                <c:pt idx="5">
                  <c:v>24.159368295170765</c:v>
                </c:pt>
                <c:pt idx="6">
                  <c:v>27.760191340438258</c:v>
                </c:pt>
                <c:pt idx="7">
                  <c:v>31.475326228412651</c:v>
                </c:pt>
                <c:pt idx="8">
                  <c:v>35.304772959093953</c:v>
                </c:pt>
                <c:pt idx="9">
                  <c:v>39.248531532482154</c:v>
                </c:pt>
                <c:pt idx="10">
                  <c:v>43.30660194857726</c:v>
                </c:pt>
                <c:pt idx="11">
                  <c:v>43.30660194857726</c:v>
                </c:pt>
                <c:pt idx="12">
                  <c:v>43.30660194857726</c:v>
                </c:pt>
                <c:pt idx="13">
                  <c:v>43.30660194857726</c:v>
                </c:pt>
                <c:pt idx="14">
                  <c:v>43.30660194857726</c:v>
                </c:pt>
                <c:pt idx="15">
                  <c:v>43.30660194857726</c:v>
                </c:pt>
                <c:pt idx="16">
                  <c:v>43.30660194857726</c:v>
                </c:pt>
                <c:pt idx="17">
                  <c:v>43.30660194857726</c:v>
                </c:pt>
                <c:pt idx="18">
                  <c:v>43.30660194857726</c:v>
                </c:pt>
                <c:pt idx="19">
                  <c:v>43.30660194857726</c:v>
                </c:pt>
                <c:pt idx="20">
                  <c:v>43.30660194857726</c:v>
                </c:pt>
                <c:pt idx="21">
                  <c:v>43.30660194857726</c:v>
                </c:pt>
                <c:pt idx="22">
                  <c:v>43.30660194857726</c:v>
                </c:pt>
                <c:pt idx="23">
                  <c:v>43.30660194857726</c:v>
                </c:pt>
                <c:pt idx="24">
                  <c:v>43.30660194857726</c:v>
                </c:pt>
                <c:pt idx="25">
                  <c:v>43.30660194857726</c:v>
                </c:pt>
                <c:pt idx="26">
                  <c:v>43.30660194857726</c:v>
                </c:pt>
              </c:numCache>
            </c:numRef>
          </c:xVal>
          <c:yVal>
            <c:numRef>
              <c:f>'11'!$M$73:$M$99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1-4158-8E72-32B195327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58800"/>
        <c:axId val="1068759344"/>
      </c:scatterChart>
      <c:valAx>
        <c:axId val="10687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58256"/>
        <c:crosses val="autoZero"/>
        <c:crossBetween val="midCat"/>
        <c:majorUnit val="5"/>
      </c:valAx>
      <c:valAx>
        <c:axId val="106875825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3152"/>
        <c:crosses val="autoZero"/>
        <c:crossBetween val="midCat"/>
        <c:majorUnit val="1"/>
      </c:valAx>
      <c:valAx>
        <c:axId val="106875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59344"/>
        <c:crosses val="autoZero"/>
        <c:crossBetween val="midCat"/>
      </c:valAx>
      <c:valAx>
        <c:axId val="106875934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5880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'12'!$P$74:$P$124</c:f>
              <c:numCache>
                <c:formatCode>General</c:formatCode>
                <c:ptCount val="51"/>
                <c:pt idx="0">
                  <c:v>0</c:v>
                </c:pt>
                <c:pt idx="1">
                  <c:v>6.4732576079054454</c:v>
                </c:pt>
                <c:pt idx="2">
                  <c:v>6.4732576079054454</c:v>
                </c:pt>
                <c:pt idx="3" formatCode="0.00">
                  <c:v>8.3584161477402432</c:v>
                </c:pt>
                <c:pt idx="4" formatCode="0.00">
                  <c:v>8.3584161477402432</c:v>
                </c:pt>
                <c:pt idx="5">
                  <c:v>10.310188063540936</c:v>
                </c:pt>
                <c:pt idx="6">
                  <c:v>10.310188063540936</c:v>
                </c:pt>
                <c:pt idx="7">
                  <c:v>12.328573355307523</c:v>
                </c:pt>
                <c:pt idx="8">
                  <c:v>12.328573355307523</c:v>
                </c:pt>
                <c:pt idx="9">
                  <c:v>14.413572023040004</c:v>
                </c:pt>
                <c:pt idx="10">
                  <c:v>14.413572023040004</c:v>
                </c:pt>
                <c:pt idx="11">
                  <c:v>16.565184066738379</c:v>
                </c:pt>
                <c:pt idx="12">
                  <c:v>16.565184066738379</c:v>
                </c:pt>
                <c:pt idx="13">
                  <c:v>18.794264999523016</c:v>
                </c:pt>
                <c:pt idx="14">
                  <c:v>18.794264999523016</c:v>
                </c:pt>
                <c:pt idx="15">
                  <c:v>21.091933037931796</c:v>
                </c:pt>
                <c:pt idx="16">
                  <c:v>21.091933037931796</c:v>
                </c:pt>
                <c:pt idx="17">
                  <c:v>23.458188181964715</c:v>
                </c:pt>
                <c:pt idx="18">
                  <c:v>23.458188181964715</c:v>
                </c:pt>
                <c:pt idx="19">
                  <c:v>25.893030431621781</c:v>
                </c:pt>
                <c:pt idx="20">
                  <c:v>25.893030431621781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'12'!$R$74:$R$124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8E-49C7-A759-CDBEC905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59888"/>
        <c:axId val="1068767504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748E-49C7-A759-CDBEC905FD10}"/>
              </c:ext>
            </c:extLst>
          </c:dPt>
          <c:xVal>
            <c:numRef>
              <c:f>'12'!$L$73:$L$100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6.4732576079054454</c:v>
                </c:pt>
                <c:pt idx="2">
                  <c:v>6.4732576079054454</c:v>
                </c:pt>
                <c:pt idx="3">
                  <c:v>8.3584161477402432</c:v>
                </c:pt>
                <c:pt idx="4">
                  <c:v>10.310188063540936</c:v>
                </c:pt>
                <c:pt idx="5">
                  <c:v>12.328573355307523</c:v>
                </c:pt>
                <c:pt idx="6">
                  <c:v>14.413572023040004</c:v>
                </c:pt>
                <c:pt idx="7">
                  <c:v>16.565184066738379</c:v>
                </c:pt>
                <c:pt idx="8">
                  <c:v>18.794264999523016</c:v>
                </c:pt>
                <c:pt idx="9">
                  <c:v>21.091933037931796</c:v>
                </c:pt>
                <c:pt idx="10">
                  <c:v>23.458188181964715</c:v>
                </c:pt>
                <c:pt idx="11">
                  <c:v>25.893030431621781</c:v>
                </c:pt>
                <c:pt idx="12">
                  <c:v>25.893030431621781</c:v>
                </c:pt>
                <c:pt idx="13">
                  <c:v>25.893030431621781</c:v>
                </c:pt>
                <c:pt idx="14">
                  <c:v>25.893030431621781</c:v>
                </c:pt>
                <c:pt idx="15">
                  <c:v>25.893030431621781</c:v>
                </c:pt>
                <c:pt idx="16">
                  <c:v>25.893030431621781</c:v>
                </c:pt>
                <c:pt idx="17">
                  <c:v>25.893030431621781</c:v>
                </c:pt>
                <c:pt idx="18">
                  <c:v>25.893030431621781</c:v>
                </c:pt>
                <c:pt idx="19">
                  <c:v>25.893030431621781</c:v>
                </c:pt>
                <c:pt idx="20">
                  <c:v>25.893030431621781</c:v>
                </c:pt>
                <c:pt idx="21">
                  <c:v>25.893030431621781</c:v>
                </c:pt>
                <c:pt idx="22">
                  <c:v>25.893030431621781</c:v>
                </c:pt>
                <c:pt idx="23">
                  <c:v>25.893030431621781</c:v>
                </c:pt>
                <c:pt idx="24">
                  <c:v>25.893030431621781</c:v>
                </c:pt>
                <c:pt idx="25">
                  <c:v>25.893030431621781</c:v>
                </c:pt>
                <c:pt idx="26">
                  <c:v>25.893030431621781</c:v>
                </c:pt>
                <c:pt idx="27">
                  <c:v>25.893030431621781</c:v>
                </c:pt>
              </c:numCache>
            </c:numRef>
          </c:xVal>
          <c:yVal>
            <c:numRef>
              <c:f>'12'!$M$73:$M$100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8E-49C7-A759-CDBEC905F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3696"/>
        <c:axId val="1068760432"/>
      </c:scatterChart>
      <c:valAx>
        <c:axId val="1068759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7504"/>
        <c:crosses val="autoZero"/>
        <c:crossBetween val="midCat"/>
        <c:majorUnit val="5"/>
      </c:valAx>
      <c:valAx>
        <c:axId val="106876750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59888"/>
        <c:crosses val="autoZero"/>
        <c:crossBetween val="midCat"/>
        <c:majorUnit val="1"/>
      </c:valAx>
      <c:valAx>
        <c:axId val="106876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60432"/>
        <c:crosses val="autoZero"/>
        <c:crossBetween val="midCat"/>
      </c:valAx>
      <c:valAx>
        <c:axId val="106876043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369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'13'!$AD$4:$AD$54</c:f>
              <c:numCache>
                <c:formatCode>General</c:formatCode>
                <c:ptCount val="51"/>
                <c:pt idx="0">
                  <c:v>0</c:v>
                </c:pt>
                <c:pt idx="1">
                  <c:v>3.9322761084919038</c:v>
                </c:pt>
                <c:pt idx="2">
                  <c:v>3.9322761084919038</c:v>
                </c:pt>
                <c:pt idx="3" formatCode="0.00">
                  <c:v>4.5235713114360454</c:v>
                </c:pt>
                <c:pt idx="4" formatCode="0.00">
                  <c:v>4.5235713114360454</c:v>
                </c:pt>
                <c:pt idx="5">
                  <c:v>5.5734184013425878</c:v>
                </c:pt>
                <c:pt idx="6">
                  <c:v>5.5734184013425878</c:v>
                </c:pt>
                <c:pt idx="7">
                  <c:v>6.8701103962733701</c:v>
                </c:pt>
                <c:pt idx="8">
                  <c:v>6.8701103962733701</c:v>
                </c:pt>
                <c:pt idx="9">
                  <c:v>8.3453453528465307</c:v>
                </c:pt>
                <c:pt idx="10">
                  <c:v>8.3453453528465307</c:v>
                </c:pt>
                <c:pt idx="11">
                  <c:v>9.9676810647559293</c:v>
                </c:pt>
                <c:pt idx="12">
                  <c:v>9.9676810647559293</c:v>
                </c:pt>
                <c:pt idx="13">
                  <c:v>11.719706539366136</c:v>
                </c:pt>
                <c:pt idx="14">
                  <c:v>11.719706539366136</c:v>
                </c:pt>
                <c:pt idx="15">
                  <c:v>13.590656061248144</c:v>
                </c:pt>
                <c:pt idx="16">
                  <c:v>13.590656061248144</c:v>
                </c:pt>
                <c:pt idx="17">
                  <c:v>15.573370726700613</c:v>
                </c:pt>
                <c:pt idx="18">
                  <c:v>15.573370726700613</c:v>
                </c:pt>
                <c:pt idx="19">
                  <c:v>19.323370726700613</c:v>
                </c:pt>
                <c:pt idx="20">
                  <c:v>19.323370726700613</c:v>
                </c:pt>
                <c:pt idx="21">
                  <c:v>139.3233707267006</c:v>
                </c:pt>
                <c:pt idx="22">
                  <c:v>139.3233707267006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'13'!$AF$4:$AF$54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2F-410A-8A1B-3C412640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2064"/>
        <c:axId val="1068760976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'13'!$AD$4:$AD$54</c:f>
              <c:numCache>
                <c:formatCode>General</c:formatCode>
                <c:ptCount val="51"/>
                <c:pt idx="0">
                  <c:v>0</c:v>
                </c:pt>
                <c:pt idx="1">
                  <c:v>3.9322761084919038</c:v>
                </c:pt>
                <c:pt idx="2">
                  <c:v>3.9322761084919038</c:v>
                </c:pt>
                <c:pt idx="3" formatCode="0.00">
                  <c:v>4.5235713114360454</c:v>
                </c:pt>
                <c:pt idx="4" formatCode="0.00">
                  <c:v>4.5235713114360454</c:v>
                </c:pt>
                <c:pt idx="5">
                  <c:v>5.5734184013425878</c:v>
                </c:pt>
                <c:pt idx="6">
                  <c:v>5.5734184013425878</c:v>
                </c:pt>
                <c:pt idx="7">
                  <c:v>6.8701103962733701</c:v>
                </c:pt>
                <c:pt idx="8">
                  <c:v>6.8701103962733701</c:v>
                </c:pt>
                <c:pt idx="9">
                  <c:v>8.3453453528465307</c:v>
                </c:pt>
                <c:pt idx="10">
                  <c:v>8.3453453528465307</c:v>
                </c:pt>
                <c:pt idx="11">
                  <c:v>9.9676810647559293</c:v>
                </c:pt>
                <c:pt idx="12">
                  <c:v>9.9676810647559293</c:v>
                </c:pt>
                <c:pt idx="13">
                  <c:v>11.719706539366136</c:v>
                </c:pt>
                <c:pt idx="14">
                  <c:v>11.719706539366136</c:v>
                </c:pt>
                <c:pt idx="15">
                  <c:v>13.590656061248144</c:v>
                </c:pt>
                <c:pt idx="16">
                  <c:v>13.590656061248144</c:v>
                </c:pt>
                <c:pt idx="17">
                  <c:v>15.573370726700613</c:v>
                </c:pt>
                <c:pt idx="18">
                  <c:v>15.573370726700613</c:v>
                </c:pt>
                <c:pt idx="19">
                  <c:v>19.323370726700613</c:v>
                </c:pt>
                <c:pt idx="20">
                  <c:v>19.323370726700613</c:v>
                </c:pt>
                <c:pt idx="21">
                  <c:v>139.3233707267006</c:v>
                </c:pt>
                <c:pt idx="22">
                  <c:v>139.3233707267006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'13'!$AE$4:$AE$54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C2F-410A-8A1B-3C412640C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4240"/>
        <c:axId val="1068769136"/>
      </c:scatterChart>
      <c:valAx>
        <c:axId val="106876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0976"/>
        <c:crosses val="autoZero"/>
        <c:crossBetween val="midCat"/>
        <c:majorUnit val="5"/>
      </c:valAx>
      <c:valAx>
        <c:axId val="106876097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2064"/>
        <c:crosses val="autoZero"/>
        <c:crossBetween val="midCat"/>
        <c:majorUnit val="1"/>
      </c:valAx>
      <c:valAx>
        <c:axId val="1068764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69136"/>
        <c:crosses val="autoZero"/>
        <c:crossBetween val="midCat"/>
      </c:valAx>
      <c:valAx>
        <c:axId val="10687691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424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'14'!$AD$4:$AD$54</c:f>
              <c:numCache>
                <c:formatCode>General</c:formatCode>
                <c:ptCount val="51"/>
                <c:pt idx="0">
                  <c:v>0</c:v>
                </c:pt>
                <c:pt idx="1">
                  <c:v>5.6917281363740075</c:v>
                </c:pt>
                <c:pt idx="2">
                  <c:v>5.6917281363740075</c:v>
                </c:pt>
                <c:pt idx="3" formatCode="0.00">
                  <c:v>7.2420038918893965</c:v>
                </c:pt>
                <c:pt idx="4" formatCode="0.00">
                  <c:v>7.2420038918893965</c:v>
                </c:pt>
                <c:pt idx="5">
                  <c:v>9.0458273991695854</c:v>
                </c:pt>
                <c:pt idx="6">
                  <c:v>9.0458273991695854</c:v>
                </c:pt>
                <c:pt idx="7">
                  <c:v>10.827552618579574</c:v>
                </c:pt>
                <c:pt idx="8">
                  <c:v>10.827552618579574</c:v>
                </c:pt>
                <c:pt idx="9">
                  <c:v>12.574858238050052</c:v>
                </c:pt>
                <c:pt idx="10">
                  <c:v>12.574858238050052</c:v>
                </c:pt>
                <c:pt idx="11">
                  <c:v>14.302235138365626</c:v>
                </c:pt>
                <c:pt idx="12">
                  <c:v>14.302235138365626</c:v>
                </c:pt>
                <c:pt idx="13">
                  <c:v>16.010822527305507</c:v>
                </c:pt>
                <c:pt idx="14">
                  <c:v>16.010822527305507</c:v>
                </c:pt>
                <c:pt idx="15">
                  <c:v>17.707020795996907</c:v>
                </c:pt>
                <c:pt idx="16">
                  <c:v>17.707020795996907</c:v>
                </c:pt>
                <c:pt idx="17">
                  <c:v>19.39590453883601</c:v>
                </c:pt>
                <c:pt idx="18">
                  <c:v>19.39590453883601</c:v>
                </c:pt>
                <c:pt idx="19">
                  <c:v>21.081475471307936</c:v>
                </c:pt>
                <c:pt idx="20">
                  <c:v>21.081475471307936</c:v>
                </c:pt>
                <c:pt idx="21">
                  <c:v>22.76691254549603</c:v>
                </c:pt>
                <c:pt idx="22">
                  <c:v>22.76691254549603</c:v>
                </c:pt>
                <c:pt idx="23">
                  <c:v>26.51691254549603</c:v>
                </c:pt>
                <c:pt idx="24">
                  <c:v>26.51691254549603</c:v>
                </c:pt>
                <c:pt idx="25">
                  <c:v>146.51691254549604</c:v>
                </c:pt>
                <c:pt idx="26">
                  <c:v>146.51691254549604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'14'!$AF$4:$AF$54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1F-47E3-8CAC-E5E1A19A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9680"/>
        <c:axId val="1068764784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'14'!$AD$4:$AD$54</c:f>
              <c:numCache>
                <c:formatCode>General</c:formatCode>
                <c:ptCount val="51"/>
                <c:pt idx="0">
                  <c:v>0</c:v>
                </c:pt>
                <c:pt idx="1">
                  <c:v>5.6917281363740075</c:v>
                </c:pt>
                <c:pt idx="2">
                  <c:v>5.6917281363740075</c:v>
                </c:pt>
                <c:pt idx="3" formatCode="0.00">
                  <c:v>7.2420038918893965</c:v>
                </c:pt>
                <c:pt idx="4" formatCode="0.00">
                  <c:v>7.2420038918893965</c:v>
                </c:pt>
                <c:pt idx="5">
                  <c:v>9.0458273991695854</c:v>
                </c:pt>
                <c:pt idx="6">
                  <c:v>9.0458273991695854</c:v>
                </c:pt>
                <c:pt idx="7">
                  <c:v>10.827552618579574</c:v>
                </c:pt>
                <c:pt idx="8">
                  <c:v>10.827552618579574</c:v>
                </c:pt>
                <c:pt idx="9">
                  <c:v>12.574858238050052</c:v>
                </c:pt>
                <c:pt idx="10">
                  <c:v>12.574858238050052</c:v>
                </c:pt>
                <c:pt idx="11">
                  <c:v>14.302235138365626</c:v>
                </c:pt>
                <c:pt idx="12">
                  <c:v>14.302235138365626</c:v>
                </c:pt>
                <c:pt idx="13">
                  <c:v>16.010822527305507</c:v>
                </c:pt>
                <c:pt idx="14">
                  <c:v>16.010822527305507</c:v>
                </c:pt>
                <c:pt idx="15">
                  <c:v>17.707020795996907</c:v>
                </c:pt>
                <c:pt idx="16">
                  <c:v>17.707020795996907</c:v>
                </c:pt>
                <c:pt idx="17">
                  <c:v>19.39590453883601</c:v>
                </c:pt>
                <c:pt idx="18">
                  <c:v>19.39590453883601</c:v>
                </c:pt>
                <c:pt idx="19">
                  <c:v>21.081475471307936</c:v>
                </c:pt>
                <c:pt idx="20">
                  <c:v>21.081475471307936</c:v>
                </c:pt>
                <c:pt idx="21">
                  <c:v>22.76691254549603</c:v>
                </c:pt>
                <c:pt idx="22">
                  <c:v>22.76691254549603</c:v>
                </c:pt>
                <c:pt idx="23">
                  <c:v>26.51691254549603</c:v>
                </c:pt>
                <c:pt idx="24">
                  <c:v>26.51691254549603</c:v>
                </c:pt>
                <c:pt idx="25">
                  <c:v>146.51691254549604</c:v>
                </c:pt>
                <c:pt idx="26">
                  <c:v>146.51691254549604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'14'!$AE$4:$AE$54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1F-47E3-8CAC-E5E1A19AE8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57168"/>
        <c:axId val="1068766416"/>
      </c:scatterChart>
      <c:valAx>
        <c:axId val="106876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4784"/>
        <c:crosses val="autoZero"/>
        <c:crossBetween val="midCat"/>
        <c:majorUnit val="5"/>
      </c:valAx>
      <c:valAx>
        <c:axId val="106876478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9680"/>
        <c:crosses val="autoZero"/>
        <c:crossBetween val="midCat"/>
        <c:majorUnit val="1"/>
      </c:valAx>
      <c:valAx>
        <c:axId val="1068757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66416"/>
        <c:crosses val="autoZero"/>
        <c:crossBetween val="midCat"/>
      </c:valAx>
      <c:valAx>
        <c:axId val="10687664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57168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'15'!$AD$4:$AD$54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10.610754985754983</c:v>
                </c:pt>
                <c:pt idx="2">
                  <c:v>10.610754985754983</c:v>
                </c:pt>
                <c:pt idx="3" formatCode="0.00">
                  <c:v>13.319088319088317</c:v>
                </c:pt>
                <c:pt idx="4" formatCode="0.00">
                  <c:v>13.319088319088317</c:v>
                </c:pt>
                <c:pt idx="5">
                  <c:v>16.110754985754983</c:v>
                </c:pt>
                <c:pt idx="6">
                  <c:v>16.110754985754983</c:v>
                </c:pt>
                <c:pt idx="7">
                  <c:v>18.985754985754983</c:v>
                </c:pt>
                <c:pt idx="8">
                  <c:v>18.985754985754983</c:v>
                </c:pt>
                <c:pt idx="9">
                  <c:v>21.944088319088319</c:v>
                </c:pt>
                <c:pt idx="10">
                  <c:v>21.944088319088319</c:v>
                </c:pt>
                <c:pt idx="11">
                  <c:v>24.985754985754987</c:v>
                </c:pt>
                <c:pt idx="12">
                  <c:v>24.985754985754987</c:v>
                </c:pt>
                <c:pt idx="13">
                  <c:v>28.195631528964864</c:v>
                </c:pt>
                <c:pt idx="14">
                  <c:v>28.195631528964864</c:v>
                </c:pt>
                <c:pt idx="15">
                  <c:v>31.504273504273506</c:v>
                </c:pt>
                <c:pt idx="16">
                  <c:v>31.504273504273506</c:v>
                </c:pt>
                <c:pt idx="17">
                  <c:v>34.911680911680918</c:v>
                </c:pt>
                <c:pt idx="18">
                  <c:v>34.911680911680918</c:v>
                </c:pt>
                <c:pt idx="19">
                  <c:v>38.417853751187096</c:v>
                </c:pt>
                <c:pt idx="20">
                  <c:v>38.417853751187096</c:v>
                </c:pt>
                <c:pt idx="21">
                  <c:v>42.022792022792032</c:v>
                </c:pt>
                <c:pt idx="22">
                  <c:v>42.022792022792032</c:v>
                </c:pt>
                <c:pt idx="23">
                  <c:v>47.022792022792032</c:v>
                </c:pt>
                <c:pt idx="24">
                  <c:v>47.022792022792032</c:v>
                </c:pt>
                <c:pt idx="25">
                  <c:v>167.02279202279203</c:v>
                </c:pt>
                <c:pt idx="26">
                  <c:v>167.02279202279203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'15'!$AF$4:$AF$54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C0-465D-8DC3-54735568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1520"/>
        <c:axId val="1068762608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44C0-465D-8DC3-54735568E7A1}"/>
              </c:ext>
            </c:extLst>
          </c:dPt>
          <c:xVal>
            <c:numRef>
              <c:f>'15'!$L$73:$L$100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10.610754985754983</c:v>
                </c:pt>
                <c:pt idx="2">
                  <c:v>10.610754985754983</c:v>
                </c:pt>
                <c:pt idx="3">
                  <c:v>13.319088319088317</c:v>
                </c:pt>
                <c:pt idx="4">
                  <c:v>16.110754985754983</c:v>
                </c:pt>
                <c:pt idx="5">
                  <c:v>18.985754985754983</c:v>
                </c:pt>
                <c:pt idx="6">
                  <c:v>21.944088319088319</c:v>
                </c:pt>
                <c:pt idx="7">
                  <c:v>24.985754985754987</c:v>
                </c:pt>
                <c:pt idx="8">
                  <c:v>28.195631528964864</c:v>
                </c:pt>
                <c:pt idx="9">
                  <c:v>31.504273504273506</c:v>
                </c:pt>
                <c:pt idx="10">
                  <c:v>34.911680911680918</c:v>
                </c:pt>
                <c:pt idx="11">
                  <c:v>38.417853751187096</c:v>
                </c:pt>
                <c:pt idx="12">
                  <c:v>42.022792022792032</c:v>
                </c:pt>
                <c:pt idx="13">
                  <c:v>47.022792022792032</c:v>
                </c:pt>
                <c:pt idx="14">
                  <c:v>167.02279202279203</c:v>
                </c:pt>
                <c:pt idx="15">
                  <c:v>167.02279202279203</c:v>
                </c:pt>
                <c:pt idx="16">
                  <c:v>167.02279202279203</c:v>
                </c:pt>
                <c:pt idx="17">
                  <c:v>167.02279202279203</c:v>
                </c:pt>
                <c:pt idx="18">
                  <c:v>167.02279202279203</c:v>
                </c:pt>
                <c:pt idx="19">
                  <c:v>167.02279202279203</c:v>
                </c:pt>
                <c:pt idx="20">
                  <c:v>167.02279202279203</c:v>
                </c:pt>
                <c:pt idx="21">
                  <c:v>167.02279202279203</c:v>
                </c:pt>
                <c:pt idx="22">
                  <c:v>167.02279202279203</c:v>
                </c:pt>
                <c:pt idx="23">
                  <c:v>167.02279202279203</c:v>
                </c:pt>
                <c:pt idx="24">
                  <c:v>167.02279202279203</c:v>
                </c:pt>
                <c:pt idx="25">
                  <c:v>167.02279202279203</c:v>
                </c:pt>
                <c:pt idx="26">
                  <c:v>167.02279202279203</c:v>
                </c:pt>
                <c:pt idx="27">
                  <c:v>167.02279202279203</c:v>
                </c:pt>
              </c:numCache>
            </c:numRef>
          </c:xVal>
          <c:yVal>
            <c:numRef>
              <c:f>'15'!$M$73:$M$100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C0-465D-8DC3-54735568E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70768"/>
        <c:axId val="1068765328"/>
      </c:scatterChart>
      <c:valAx>
        <c:axId val="1068761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2608"/>
        <c:crosses val="autoZero"/>
        <c:crossBetween val="midCat"/>
        <c:majorUnit val="5"/>
      </c:valAx>
      <c:valAx>
        <c:axId val="106876260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1520"/>
        <c:crosses val="autoZero"/>
        <c:crossBetween val="midCat"/>
        <c:majorUnit val="1"/>
      </c:valAx>
      <c:valAx>
        <c:axId val="106877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65328"/>
        <c:crosses val="autoZero"/>
        <c:crossBetween val="midCat"/>
      </c:valAx>
      <c:valAx>
        <c:axId val="10687653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70768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'16'!$AD$4:$AD$54</c:f>
              <c:numCache>
                <c:formatCode>General</c:formatCode>
                <c:ptCount val="51"/>
                <c:pt idx="0">
                  <c:v>0</c:v>
                </c:pt>
                <c:pt idx="1">
                  <c:v>7.8923527844391153</c:v>
                </c:pt>
                <c:pt idx="2">
                  <c:v>7.8923527844391153</c:v>
                </c:pt>
                <c:pt idx="3" formatCode="0.00">
                  <c:v>9.9283240074606987</c:v>
                </c:pt>
                <c:pt idx="4" formatCode="0.00">
                  <c:v>9.9283240074606987</c:v>
                </c:pt>
                <c:pt idx="5">
                  <c:v>12.036237676525447</c:v>
                </c:pt>
                <c:pt idx="6">
                  <c:v>12.036237676525447</c:v>
                </c:pt>
                <c:pt idx="7">
                  <c:v>14.216093791633361</c:v>
                </c:pt>
                <c:pt idx="8">
                  <c:v>14.216093791633361</c:v>
                </c:pt>
                <c:pt idx="9">
                  <c:v>16.467892352784443</c:v>
                </c:pt>
                <c:pt idx="10">
                  <c:v>16.467892352784443</c:v>
                </c:pt>
                <c:pt idx="11">
                  <c:v>18.791633359978686</c:v>
                </c:pt>
                <c:pt idx="12">
                  <c:v>18.791633359978686</c:v>
                </c:pt>
                <c:pt idx="13">
                  <c:v>21.199040767386091</c:v>
                </c:pt>
                <c:pt idx="14">
                  <c:v>21.199040767386091</c:v>
                </c:pt>
                <c:pt idx="15">
                  <c:v>23.680522248867572</c:v>
                </c:pt>
                <c:pt idx="16">
                  <c:v>23.680522248867572</c:v>
                </c:pt>
                <c:pt idx="17">
                  <c:v>26.236077804423129</c:v>
                </c:pt>
                <c:pt idx="18">
                  <c:v>26.236077804423129</c:v>
                </c:pt>
                <c:pt idx="19">
                  <c:v>28.865707434052755</c:v>
                </c:pt>
                <c:pt idx="20">
                  <c:v>28.865707434052755</c:v>
                </c:pt>
                <c:pt idx="21">
                  <c:v>31.569411137756457</c:v>
                </c:pt>
                <c:pt idx="22">
                  <c:v>31.569411137756457</c:v>
                </c:pt>
                <c:pt idx="23">
                  <c:v>36.569411137756461</c:v>
                </c:pt>
                <c:pt idx="24">
                  <c:v>36.569411137756461</c:v>
                </c:pt>
                <c:pt idx="25">
                  <c:v>156.56941113775645</c:v>
                </c:pt>
                <c:pt idx="26">
                  <c:v>156.56941113775645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'16'!$AF$4:$AF$54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F-4583-AE9F-BF33FA43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5872"/>
        <c:axId val="1068766960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DF3F-4583-AE9F-BF33FA43CAAE}"/>
              </c:ext>
            </c:extLst>
          </c:dPt>
          <c:xVal>
            <c:numRef>
              <c:f>'16'!$L$73:$L$100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7.8923527844391153</c:v>
                </c:pt>
                <c:pt idx="2">
                  <c:v>7.8923527844391153</c:v>
                </c:pt>
                <c:pt idx="3">
                  <c:v>9.9283240074606987</c:v>
                </c:pt>
                <c:pt idx="4">
                  <c:v>12.036237676525447</c:v>
                </c:pt>
                <c:pt idx="5">
                  <c:v>14.216093791633361</c:v>
                </c:pt>
                <c:pt idx="6">
                  <c:v>16.467892352784443</c:v>
                </c:pt>
                <c:pt idx="7">
                  <c:v>18.791633359978686</c:v>
                </c:pt>
                <c:pt idx="8">
                  <c:v>21.199040767386091</c:v>
                </c:pt>
                <c:pt idx="9">
                  <c:v>23.680522248867572</c:v>
                </c:pt>
                <c:pt idx="10">
                  <c:v>26.236077804423129</c:v>
                </c:pt>
                <c:pt idx="11">
                  <c:v>28.865707434052755</c:v>
                </c:pt>
                <c:pt idx="12">
                  <c:v>31.569411137756457</c:v>
                </c:pt>
                <c:pt idx="13">
                  <c:v>36.569411137756461</c:v>
                </c:pt>
                <c:pt idx="14">
                  <c:v>156.56941113775645</c:v>
                </c:pt>
                <c:pt idx="15">
                  <c:v>156.56941113775645</c:v>
                </c:pt>
                <c:pt idx="16">
                  <c:v>156.56941113775645</c:v>
                </c:pt>
                <c:pt idx="17">
                  <c:v>156.56941113775645</c:v>
                </c:pt>
                <c:pt idx="18">
                  <c:v>156.56941113775645</c:v>
                </c:pt>
                <c:pt idx="19">
                  <c:v>156.56941113775645</c:v>
                </c:pt>
                <c:pt idx="20">
                  <c:v>156.56941113775645</c:v>
                </c:pt>
                <c:pt idx="21">
                  <c:v>156.56941113775645</c:v>
                </c:pt>
                <c:pt idx="22">
                  <c:v>156.56941113775645</c:v>
                </c:pt>
                <c:pt idx="23">
                  <c:v>156.56941113775645</c:v>
                </c:pt>
                <c:pt idx="24">
                  <c:v>156.56941113775645</c:v>
                </c:pt>
                <c:pt idx="25">
                  <c:v>156.56941113775645</c:v>
                </c:pt>
                <c:pt idx="26">
                  <c:v>156.56941113775645</c:v>
                </c:pt>
                <c:pt idx="27">
                  <c:v>156.56941113775645</c:v>
                </c:pt>
              </c:numCache>
            </c:numRef>
          </c:xVal>
          <c:yVal>
            <c:numRef>
              <c:f>'16'!$M$73:$M$100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3F-4583-AE9F-BF33FA43C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71312"/>
        <c:axId val="1068768048"/>
      </c:scatterChart>
      <c:valAx>
        <c:axId val="1068765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6960"/>
        <c:crosses val="autoZero"/>
        <c:crossBetween val="midCat"/>
        <c:majorUnit val="5"/>
      </c:valAx>
      <c:valAx>
        <c:axId val="106876696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5872"/>
        <c:crosses val="autoZero"/>
        <c:crossBetween val="midCat"/>
        <c:majorUnit val="1"/>
      </c:valAx>
      <c:valAx>
        <c:axId val="106877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68048"/>
        <c:crosses val="autoZero"/>
        <c:crossBetween val="midCat"/>
      </c:valAx>
      <c:valAx>
        <c:axId val="10687680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71312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'[1]23'!$AD$4:$AD$54</c:f>
              <c:numCache>
                <c:formatCode>General</c:formatCode>
                <c:ptCount val="51"/>
                <c:pt idx="0">
                  <c:v>0</c:v>
                </c:pt>
                <c:pt idx="1">
                  <c:v>6.1709711383624404</c:v>
                </c:pt>
                <c:pt idx="2">
                  <c:v>6.1709711383624404</c:v>
                </c:pt>
                <c:pt idx="3">
                  <c:v>8.6084711383624413</c:v>
                </c:pt>
                <c:pt idx="4">
                  <c:v>8.6084711383624413</c:v>
                </c:pt>
                <c:pt idx="5">
                  <c:v>11.120971138362442</c:v>
                </c:pt>
                <c:pt idx="6">
                  <c:v>11.120971138362442</c:v>
                </c:pt>
                <c:pt idx="7">
                  <c:v>13.743193360584664</c:v>
                </c:pt>
                <c:pt idx="8">
                  <c:v>13.743193360584664</c:v>
                </c:pt>
                <c:pt idx="9">
                  <c:v>16.454304471695778</c:v>
                </c:pt>
                <c:pt idx="10">
                  <c:v>16.454304471695778</c:v>
                </c:pt>
                <c:pt idx="11">
                  <c:v>19.254304471695775</c:v>
                </c:pt>
                <c:pt idx="12">
                  <c:v>19.254304471695775</c:v>
                </c:pt>
                <c:pt idx="13">
                  <c:v>24.439489656880959</c:v>
                </c:pt>
                <c:pt idx="14">
                  <c:v>24.439489656880959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'[1]23'!$AF$4:$AF$54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FF-4DD6-BE42-D85BF309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68592"/>
        <c:axId val="1068771856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36FF-4DD6-BE42-D85BF3091726}"/>
              </c:ext>
            </c:extLst>
          </c:dPt>
          <c:xVal>
            <c:numRef>
              <c:f>'[1]23'!$L$73:$L$100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6.1709711383624404</c:v>
                </c:pt>
                <c:pt idx="3">
                  <c:v>8.6084711383624413</c:v>
                </c:pt>
                <c:pt idx="4">
                  <c:v>11.120971138362442</c:v>
                </c:pt>
                <c:pt idx="5">
                  <c:v>13.743193360584664</c:v>
                </c:pt>
                <c:pt idx="6">
                  <c:v>16.454304471695778</c:v>
                </c:pt>
                <c:pt idx="7">
                  <c:v>19.254304471695775</c:v>
                </c:pt>
                <c:pt idx="8">
                  <c:v>24.439489656880959</c:v>
                </c:pt>
                <c:pt idx="9">
                  <c:v>24.439489656880959</c:v>
                </c:pt>
                <c:pt idx="10">
                  <c:v>24.439489656880959</c:v>
                </c:pt>
                <c:pt idx="11">
                  <c:v>24.439489656880959</c:v>
                </c:pt>
                <c:pt idx="12">
                  <c:v>24.439489656880959</c:v>
                </c:pt>
                <c:pt idx="13">
                  <c:v>24.439489656880959</c:v>
                </c:pt>
                <c:pt idx="14">
                  <c:v>24.439489656880959</c:v>
                </c:pt>
                <c:pt idx="15">
                  <c:v>24.439489656880959</c:v>
                </c:pt>
                <c:pt idx="16">
                  <c:v>24.439489656880959</c:v>
                </c:pt>
                <c:pt idx="17">
                  <c:v>24.439489656880959</c:v>
                </c:pt>
                <c:pt idx="18">
                  <c:v>24.439489656880959</c:v>
                </c:pt>
                <c:pt idx="19">
                  <c:v>24.439489656880959</c:v>
                </c:pt>
                <c:pt idx="20">
                  <c:v>24.439489656880959</c:v>
                </c:pt>
                <c:pt idx="21">
                  <c:v>24.439489656880959</c:v>
                </c:pt>
                <c:pt idx="22">
                  <c:v>24.439489656880959</c:v>
                </c:pt>
                <c:pt idx="23">
                  <c:v>24.439489656880959</c:v>
                </c:pt>
                <c:pt idx="24">
                  <c:v>24.439489656880959</c:v>
                </c:pt>
                <c:pt idx="25">
                  <c:v>24.439489656880959</c:v>
                </c:pt>
                <c:pt idx="26">
                  <c:v>24.439489656880959</c:v>
                </c:pt>
                <c:pt idx="27">
                  <c:v>24.439489656880959</c:v>
                </c:pt>
              </c:numCache>
            </c:numRef>
          </c:xVal>
          <c:yVal>
            <c:numRef>
              <c:f>'[1]23'!$M$73:$M$100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FF-4DD6-BE42-D85BF3091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8772400"/>
        <c:axId val="1068757712"/>
      </c:scatterChart>
      <c:valAx>
        <c:axId val="10687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71856"/>
        <c:crosses val="autoZero"/>
        <c:crossBetween val="midCat"/>
        <c:majorUnit val="5"/>
      </c:valAx>
      <c:valAx>
        <c:axId val="106877185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68592"/>
        <c:crosses val="autoZero"/>
        <c:crossBetween val="midCat"/>
        <c:majorUnit val="1"/>
      </c:valAx>
      <c:valAx>
        <c:axId val="10687724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8757712"/>
        <c:crosses val="autoZero"/>
        <c:crossBetween val="midCat"/>
      </c:valAx>
      <c:valAx>
        <c:axId val="106875771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877240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'[1]24'!$P$74:$P$124</c:f>
              <c:numCache>
                <c:formatCode>General</c:formatCode>
                <c:ptCount val="51"/>
                <c:pt idx="0">
                  <c:v>0</c:v>
                </c:pt>
                <c:pt idx="1">
                  <c:v>10.203474112503752</c:v>
                </c:pt>
                <c:pt idx="2">
                  <c:v>10.203474112503752</c:v>
                </c:pt>
                <c:pt idx="3">
                  <c:v>12.214309888327538</c:v>
                </c:pt>
                <c:pt idx="4">
                  <c:v>12.214309888327538</c:v>
                </c:pt>
                <c:pt idx="5">
                  <c:v>14.296199931848276</c:v>
                </c:pt>
                <c:pt idx="6">
                  <c:v>14.296199931848276</c:v>
                </c:pt>
                <c:pt idx="7">
                  <c:v>16.44914424306597</c:v>
                </c:pt>
                <c:pt idx="8">
                  <c:v>16.44914424306597</c:v>
                </c:pt>
                <c:pt idx="9">
                  <c:v>18.673142821980615</c:v>
                </c:pt>
                <c:pt idx="10">
                  <c:v>18.673142821980615</c:v>
                </c:pt>
                <c:pt idx="11">
                  <c:v>20.968195668592216</c:v>
                </c:pt>
                <c:pt idx="12">
                  <c:v>20.968195668592216</c:v>
                </c:pt>
                <c:pt idx="13">
                  <c:v>23.345881996895827</c:v>
                </c:pt>
                <c:pt idx="14">
                  <c:v>23.345881996895827</c:v>
                </c:pt>
                <c:pt idx="15">
                  <c:v>25.796727904531856</c:v>
                </c:pt>
                <c:pt idx="16">
                  <c:v>25.796727904531856</c:v>
                </c:pt>
                <c:pt idx="17">
                  <c:v>28.320733391500308</c:v>
                </c:pt>
                <c:pt idx="18">
                  <c:v>28.320733391500308</c:v>
                </c:pt>
                <c:pt idx="19">
                  <c:v>30.917898457801176</c:v>
                </c:pt>
                <c:pt idx="20">
                  <c:v>30.917898457801176</c:v>
                </c:pt>
                <c:pt idx="21">
                  <c:v>34.011580375012507</c:v>
                </c:pt>
                <c:pt idx="22">
                  <c:v>34.011580375012507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'[1]24'!$R$74:$R$124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7E-4C5F-93AC-E590559B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0432"/>
        <c:axId val="1114305536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237E-4C5F-93AC-E590559BE1DD}"/>
              </c:ext>
            </c:extLst>
          </c:dPt>
          <c:xVal>
            <c:numRef>
              <c:f>'[1]24'!$L$73:$L$100</c:f>
              <c:numCache>
                <c:formatCode>General</c:formatCode>
                <c:ptCount val="28"/>
                <c:pt idx="0">
                  <c:v>0</c:v>
                </c:pt>
                <c:pt idx="1">
                  <c:v>3.0610422337511256</c:v>
                </c:pt>
                <c:pt idx="2">
                  <c:v>10.203474112503752</c:v>
                </c:pt>
                <c:pt idx="3">
                  <c:v>12.214309888327538</c:v>
                </c:pt>
                <c:pt idx="4">
                  <c:v>14.296199931848276</c:v>
                </c:pt>
                <c:pt idx="5">
                  <c:v>16.44914424306597</c:v>
                </c:pt>
                <c:pt idx="6">
                  <c:v>18.673142821980615</c:v>
                </c:pt>
                <c:pt idx="7">
                  <c:v>20.968195668592216</c:v>
                </c:pt>
                <c:pt idx="8">
                  <c:v>23.345881996895827</c:v>
                </c:pt>
                <c:pt idx="9">
                  <c:v>25.796727904531856</c:v>
                </c:pt>
                <c:pt idx="10">
                  <c:v>28.320733391500308</c:v>
                </c:pt>
                <c:pt idx="11">
                  <c:v>30.917898457801176</c:v>
                </c:pt>
                <c:pt idx="12">
                  <c:v>34.011580375012507</c:v>
                </c:pt>
                <c:pt idx="13">
                  <c:v>34.011580375012507</c:v>
                </c:pt>
                <c:pt idx="14">
                  <c:v>34.011580375012507</c:v>
                </c:pt>
                <c:pt idx="15">
                  <c:v>34.011580375012507</c:v>
                </c:pt>
                <c:pt idx="16">
                  <c:v>34.011580375012507</c:v>
                </c:pt>
                <c:pt idx="17">
                  <c:v>34.011580375012507</c:v>
                </c:pt>
                <c:pt idx="18">
                  <c:v>34.011580375012507</c:v>
                </c:pt>
                <c:pt idx="19">
                  <c:v>34.011580375012507</c:v>
                </c:pt>
                <c:pt idx="20">
                  <c:v>34.011580375012507</c:v>
                </c:pt>
                <c:pt idx="21">
                  <c:v>34.011580375012507</c:v>
                </c:pt>
                <c:pt idx="22">
                  <c:v>34.011580375012507</c:v>
                </c:pt>
                <c:pt idx="23">
                  <c:v>34.011580375012507</c:v>
                </c:pt>
                <c:pt idx="24">
                  <c:v>34.011580375012507</c:v>
                </c:pt>
                <c:pt idx="25">
                  <c:v>34.011580375012507</c:v>
                </c:pt>
                <c:pt idx="26">
                  <c:v>34.011580375012507</c:v>
                </c:pt>
                <c:pt idx="27">
                  <c:v>34.011580375012507</c:v>
                </c:pt>
              </c:numCache>
            </c:numRef>
          </c:xVal>
          <c:yVal>
            <c:numRef>
              <c:f>'[1]24'!$M$73:$M$100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900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7E-4C5F-93AC-E590559BE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8800"/>
        <c:axId val="1114315328"/>
      </c:scatterChart>
      <c:valAx>
        <c:axId val="111431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5536"/>
        <c:crosses val="autoZero"/>
        <c:crossBetween val="midCat"/>
        <c:majorUnit val="5"/>
      </c:valAx>
      <c:valAx>
        <c:axId val="111430553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0432"/>
        <c:crosses val="autoZero"/>
        <c:crossBetween val="midCat"/>
        <c:majorUnit val="1"/>
      </c:valAx>
      <c:valAx>
        <c:axId val="1114308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15328"/>
        <c:crosses val="autoZero"/>
        <c:crossBetween val="midCat"/>
      </c:valAx>
      <c:valAx>
        <c:axId val="11143153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8800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'[1]17'!$AD$4:$AD$54</c:f>
              <c:numCache>
                <c:formatCode>General</c:formatCode>
                <c:ptCount val="51"/>
                <c:pt idx="0">
                  <c:v>0</c:v>
                </c:pt>
                <c:pt idx="1">
                  <c:v>8.7148951958134564</c:v>
                </c:pt>
                <c:pt idx="2">
                  <c:v>8.7148951958134564</c:v>
                </c:pt>
                <c:pt idx="3">
                  <c:v>9.3859111617910145</c:v>
                </c:pt>
                <c:pt idx="4">
                  <c:v>9.3859111617910145</c:v>
                </c:pt>
                <c:pt idx="5">
                  <c:v>10.553176262171769</c:v>
                </c:pt>
                <c:pt idx="6">
                  <c:v>10.553176262171769</c:v>
                </c:pt>
                <c:pt idx="7">
                  <c:v>12.189762241063594</c:v>
                </c:pt>
                <c:pt idx="8">
                  <c:v>12.189762241063594</c:v>
                </c:pt>
                <c:pt idx="9">
                  <c:v>14.253888840085521</c:v>
                </c:pt>
                <c:pt idx="10">
                  <c:v>14.253888840085521</c:v>
                </c:pt>
                <c:pt idx="11">
                  <c:v>16.729454430361383</c:v>
                </c:pt>
                <c:pt idx="12">
                  <c:v>16.729454430361383</c:v>
                </c:pt>
                <c:pt idx="13">
                  <c:v>19.608536608633301</c:v>
                </c:pt>
                <c:pt idx="14">
                  <c:v>19.608536608633301</c:v>
                </c:pt>
                <c:pt idx="15">
                  <c:v>22.887849983265429</c:v>
                </c:pt>
                <c:pt idx="16">
                  <c:v>22.887849983265429</c:v>
                </c:pt>
                <c:pt idx="17">
                  <c:v>26.566967606733854</c:v>
                </c:pt>
                <c:pt idx="18">
                  <c:v>26.566967606733854</c:v>
                </c:pt>
                <c:pt idx="19">
                  <c:v>30.647334022549035</c:v>
                </c:pt>
                <c:pt idx="20">
                  <c:v>30.647334022549035</c:v>
                </c:pt>
                <c:pt idx="21">
                  <c:v>34.514436419063195</c:v>
                </c:pt>
                <c:pt idx="22">
                  <c:v>34.514436419063195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'[1]17'!$AF$4:$AF$54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3-45EA-B3A4-87BAEEF9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9344"/>
        <c:axId val="1114307712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90D3-45EA-B3A4-87BAEEF93313}"/>
              </c:ext>
            </c:extLst>
          </c:dPt>
          <c:xVal>
            <c:numRef>
              <c:f>'[1]17'!$L$73:$L$99</c:f>
              <c:numCache>
                <c:formatCode>General</c:formatCode>
                <c:ptCount val="27"/>
                <c:pt idx="0">
                  <c:v>0</c:v>
                </c:pt>
                <c:pt idx="1">
                  <c:v>8.7148951958134564</c:v>
                </c:pt>
                <c:pt idx="2">
                  <c:v>9.3859111617910145</c:v>
                </c:pt>
                <c:pt idx="3">
                  <c:v>10.553176262171769</c:v>
                </c:pt>
                <c:pt idx="4">
                  <c:v>12.189762241063594</c:v>
                </c:pt>
                <c:pt idx="5">
                  <c:v>14.253888840085521</c:v>
                </c:pt>
                <c:pt idx="6">
                  <c:v>16.729454430361383</c:v>
                </c:pt>
                <c:pt idx="7">
                  <c:v>19.608536608633301</c:v>
                </c:pt>
                <c:pt idx="8">
                  <c:v>22.887849983265429</c:v>
                </c:pt>
                <c:pt idx="9">
                  <c:v>26.566967606733854</c:v>
                </c:pt>
                <c:pt idx="10">
                  <c:v>30.647334022549035</c:v>
                </c:pt>
                <c:pt idx="11">
                  <c:v>34.514436419063195</c:v>
                </c:pt>
                <c:pt idx="12">
                  <c:v>34.514436419063195</c:v>
                </c:pt>
                <c:pt idx="13">
                  <c:v>34.514436419063195</c:v>
                </c:pt>
                <c:pt idx="14">
                  <c:v>34.514436419063195</c:v>
                </c:pt>
                <c:pt idx="15">
                  <c:v>34.514436419063195</c:v>
                </c:pt>
                <c:pt idx="16">
                  <c:v>34.514436419063195</c:v>
                </c:pt>
                <c:pt idx="17">
                  <c:v>34.514436419063195</c:v>
                </c:pt>
                <c:pt idx="18">
                  <c:v>34.514436419063195</c:v>
                </c:pt>
                <c:pt idx="19">
                  <c:v>34.514436419063195</c:v>
                </c:pt>
                <c:pt idx="20">
                  <c:v>34.514436419063195</c:v>
                </c:pt>
                <c:pt idx="21">
                  <c:v>34.514436419063195</c:v>
                </c:pt>
                <c:pt idx="22">
                  <c:v>34.514436419063195</c:v>
                </c:pt>
                <c:pt idx="23">
                  <c:v>34.514436419063195</c:v>
                </c:pt>
                <c:pt idx="24">
                  <c:v>34.514436419063195</c:v>
                </c:pt>
                <c:pt idx="25">
                  <c:v>34.514436419063195</c:v>
                </c:pt>
                <c:pt idx="26">
                  <c:v>34.514436419063195</c:v>
                </c:pt>
              </c:numCache>
            </c:numRef>
          </c:xVal>
          <c:yVal>
            <c:numRef>
              <c:f>'[1]17'!$M$73:$M$99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200</c:v>
                </c:pt>
                <c:pt idx="4">
                  <c:v>300</c:v>
                </c:pt>
                <c:pt idx="5">
                  <c:v>400</c:v>
                </c:pt>
                <c:pt idx="6">
                  <c:v>500</c:v>
                </c:pt>
                <c:pt idx="7">
                  <c:v>600</c:v>
                </c:pt>
                <c:pt idx="8">
                  <c:v>700</c:v>
                </c:pt>
                <c:pt idx="9">
                  <c:v>800</c:v>
                </c:pt>
                <c:pt idx="10">
                  <c:v>900</c:v>
                </c:pt>
                <c:pt idx="11">
                  <c:v>900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D3-45EA-B3A4-87BAEEF93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5872"/>
        <c:axId val="1114303904"/>
      </c:scatterChart>
      <c:valAx>
        <c:axId val="11143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7712"/>
        <c:crosses val="autoZero"/>
        <c:crossBetween val="midCat"/>
        <c:majorUnit val="5"/>
      </c:valAx>
      <c:valAx>
        <c:axId val="111430771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9344"/>
        <c:crosses val="autoZero"/>
        <c:crossBetween val="midCat"/>
        <c:majorUnit val="1"/>
      </c:valAx>
      <c:valAx>
        <c:axId val="111431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03904"/>
        <c:crosses val="autoZero"/>
        <c:crossBetween val="midCat"/>
      </c:valAx>
      <c:valAx>
        <c:axId val="111430390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5872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'2'!$AD$4:$AD$54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14.167475257768587</c:v>
                </c:pt>
                <c:pt idx="2">
                  <c:v>14.167475257768587</c:v>
                </c:pt>
                <c:pt idx="3" formatCode="0.00">
                  <c:v>14.910835401160854</c:v>
                </c:pt>
                <c:pt idx="4" formatCode="0.00">
                  <c:v>14.910835401160854</c:v>
                </c:pt>
                <c:pt idx="5">
                  <c:v>16.233147668046733</c:v>
                </c:pt>
                <c:pt idx="6">
                  <c:v>16.233147668046733</c:v>
                </c:pt>
                <c:pt idx="7">
                  <c:v>17.869234891233479</c:v>
                </c:pt>
                <c:pt idx="8">
                  <c:v>17.869234891233479</c:v>
                </c:pt>
                <c:pt idx="9">
                  <c:v>19.733663573423673</c:v>
                </c:pt>
                <c:pt idx="10">
                  <c:v>19.733663573423673</c:v>
                </c:pt>
                <c:pt idx="11">
                  <c:v>21.79645306858362</c:v>
                </c:pt>
                <c:pt idx="12">
                  <c:v>21.79645306858362</c:v>
                </c:pt>
                <c:pt idx="13">
                  <c:v>24.029044753670519</c:v>
                </c:pt>
                <c:pt idx="14">
                  <c:v>24.029044753670519</c:v>
                </c:pt>
                <c:pt idx="15">
                  <c:v>26.418128769040216</c:v>
                </c:pt>
                <c:pt idx="16">
                  <c:v>26.418128769040216</c:v>
                </c:pt>
                <c:pt idx="17">
                  <c:v>28.954894108194303</c:v>
                </c:pt>
                <c:pt idx="18">
                  <c:v>28.954894108194303</c:v>
                </c:pt>
                <c:pt idx="19">
                  <c:v>31.633206590553378</c:v>
                </c:pt>
                <c:pt idx="20">
                  <c:v>31.633206590553378</c:v>
                </c:pt>
                <c:pt idx="21">
                  <c:v>34.448636625113338</c:v>
                </c:pt>
                <c:pt idx="22">
                  <c:v>34.448636625113338</c:v>
                </c:pt>
                <c:pt idx="23">
                  <c:v>37.397897559069577</c:v>
                </c:pt>
                <c:pt idx="24">
                  <c:v>37.397897559069577</c:v>
                </c:pt>
                <c:pt idx="25">
                  <c:v>40.478500736481685</c:v>
                </c:pt>
                <c:pt idx="26">
                  <c:v>40.478500736481685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'2'!$AF$4:$AF$54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9-48B4-89BB-3AE3A0EE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76448"/>
        <c:axId val="1062576992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'2'!$AD$4:$AD$54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14.167475257768587</c:v>
                </c:pt>
                <c:pt idx="2">
                  <c:v>14.167475257768587</c:v>
                </c:pt>
                <c:pt idx="3" formatCode="0.00">
                  <c:v>14.910835401160854</c:v>
                </c:pt>
                <c:pt idx="4" formatCode="0.00">
                  <c:v>14.910835401160854</c:v>
                </c:pt>
                <c:pt idx="5">
                  <c:v>16.233147668046733</c:v>
                </c:pt>
                <c:pt idx="6">
                  <c:v>16.233147668046733</c:v>
                </c:pt>
                <c:pt idx="7">
                  <c:v>17.869234891233479</c:v>
                </c:pt>
                <c:pt idx="8">
                  <c:v>17.869234891233479</c:v>
                </c:pt>
                <c:pt idx="9">
                  <c:v>19.733663573423673</c:v>
                </c:pt>
                <c:pt idx="10">
                  <c:v>19.733663573423673</c:v>
                </c:pt>
                <c:pt idx="11">
                  <c:v>21.79645306858362</c:v>
                </c:pt>
                <c:pt idx="12">
                  <c:v>21.79645306858362</c:v>
                </c:pt>
                <c:pt idx="13">
                  <c:v>24.029044753670519</c:v>
                </c:pt>
                <c:pt idx="14">
                  <c:v>24.029044753670519</c:v>
                </c:pt>
                <c:pt idx="15">
                  <c:v>26.418128769040216</c:v>
                </c:pt>
                <c:pt idx="16">
                  <c:v>26.418128769040216</c:v>
                </c:pt>
                <c:pt idx="17">
                  <c:v>28.954894108194303</c:v>
                </c:pt>
                <c:pt idx="18">
                  <c:v>28.954894108194303</c:v>
                </c:pt>
                <c:pt idx="19">
                  <c:v>31.633206590553378</c:v>
                </c:pt>
                <c:pt idx="20">
                  <c:v>31.633206590553378</c:v>
                </c:pt>
                <c:pt idx="21">
                  <c:v>34.448636625113338</c:v>
                </c:pt>
                <c:pt idx="22">
                  <c:v>34.448636625113338</c:v>
                </c:pt>
                <c:pt idx="23">
                  <c:v>37.397897559069577</c:v>
                </c:pt>
                <c:pt idx="24">
                  <c:v>37.397897559069577</c:v>
                </c:pt>
                <c:pt idx="25">
                  <c:v>40.478500736481685</c:v>
                </c:pt>
                <c:pt idx="26">
                  <c:v>40.478500736481685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'2'!$AE$4:$AE$54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9-48B4-89BB-3AE3A0EEA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65024"/>
        <c:axId val="1062577536"/>
      </c:scatterChart>
      <c:valAx>
        <c:axId val="106257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6992"/>
        <c:crosses val="autoZero"/>
        <c:crossBetween val="midCat"/>
        <c:majorUnit val="5"/>
      </c:valAx>
      <c:valAx>
        <c:axId val="10625769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6448"/>
        <c:crosses val="autoZero"/>
        <c:crossBetween val="midCat"/>
        <c:majorUnit val="1"/>
      </c:valAx>
      <c:valAx>
        <c:axId val="1062565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577536"/>
        <c:crosses val="autoZero"/>
        <c:crossBetween val="midCat"/>
      </c:valAx>
      <c:valAx>
        <c:axId val="106257753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65024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'[1]18'!$P$74:$P$124</c:f>
              <c:numCache>
                <c:formatCode>General</c:formatCode>
                <c:ptCount val="51"/>
                <c:pt idx="0">
                  <c:v>0</c:v>
                </c:pt>
                <c:pt idx="1">
                  <c:v>16.69286792787992</c:v>
                </c:pt>
                <c:pt idx="2">
                  <c:v>16.69286792787992</c:v>
                </c:pt>
                <c:pt idx="3">
                  <c:v>24.836752819966254</c:v>
                </c:pt>
                <c:pt idx="4">
                  <c:v>24.836752819966254</c:v>
                </c:pt>
                <c:pt idx="5">
                  <c:v>33.268407496225251</c:v>
                </c:pt>
                <c:pt idx="6">
                  <c:v>33.268407496225251</c:v>
                </c:pt>
                <c:pt idx="7">
                  <c:v>41.987831956656905</c:v>
                </c:pt>
                <c:pt idx="8">
                  <c:v>41.987831956656905</c:v>
                </c:pt>
                <c:pt idx="9">
                  <c:v>50.995026201261226</c:v>
                </c:pt>
                <c:pt idx="10">
                  <c:v>50.995026201261226</c:v>
                </c:pt>
                <c:pt idx="11">
                  <c:v>60.2899902300382</c:v>
                </c:pt>
                <c:pt idx="12">
                  <c:v>60.2899902300382</c:v>
                </c:pt>
                <c:pt idx="13">
                  <c:v>66.771471711519681</c:v>
                </c:pt>
                <c:pt idx="14">
                  <c:v>66.771471711519681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'[1]18'!$R$74:$R$124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E-4633-8A03-FA2A4CFB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2064"/>
        <c:axId val="1114307168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1AAE-4633-8A03-FA2A4CFB85CE}"/>
              </c:ext>
            </c:extLst>
          </c:dPt>
          <c:xVal>
            <c:numRef>
              <c:f>'[1]18'!$L$73:$L$100</c:f>
              <c:numCache>
                <c:formatCode>General</c:formatCode>
                <c:ptCount val="28"/>
                <c:pt idx="0">
                  <c:v>0</c:v>
                </c:pt>
                <c:pt idx="1">
                  <c:v>16.69286792787992</c:v>
                </c:pt>
                <c:pt idx="2">
                  <c:v>16.69286792787992</c:v>
                </c:pt>
                <c:pt idx="3">
                  <c:v>24.836752819966254</c:v>
                </c:pt>
                <c:pt idx="4">
                  <c:v>33.268407496225251</c:v>
                </c:pt>
                <c:pt idx="5">
                  <c:v>41.987831956656905</c:v>
                </c:pt>
                <c:pt idx="6">
                  <c:v>50.995026201261226</c:v>
                </c:pt>
                <c:pt idx="7">
                  <c:v>60.2899902300382</c:v>
                </c:pt>
                <c:pt idx="8">
                  <c:v>66.771471711519681</c:v>
                </c:pt>
                <c:pt idx="9">
                  <c:v>66.771471711519681</c:v>
                </c:pt>
                <c:pt idx="10">
                  <c:v>66.771471711519681</c:v>
                </c:pt>
                <c:pt idx="11">
                  <c:v>66.771471711519681</c:v>
                </c:pt>
                <c:pt idx="12">
                  <c:v>66.771471711519681</c:v>
                </c:pt>
                <c:pt idx="13">
                  <c:v>66.771471711519681</c:v>
                </c:pt>
                <c:pt idx="14">
                  <c:v>66.771471711519681</c:v>
                </c:pt>
                <c:pt idx="15">
                  <c:v>66.771471711519681</c:v>
                </c:pt>
                <c:pt idx="16">
                  <c:v>66.771471711519681</c:v>
                </c:pt>
                <c:pt idx="17">
                  <c:v>66.771471711519681</c:v>
                </c:pt>
                <c:pt idx="18">
                  <c:v>66.771471711519681</c:v>
                </c:pt>
                <c:pt idx="19">
                  <c:v>66.771471711519681</c:v>
                </c:pt>
                <c:pt idx="20">
                  <c:v>66.771471711519681</c:v>
                </c:pt>
                <c:pt idx="21">
                  <c:v>66.771471711519681</c:v>
                </c:pt>
                <c:pt idx="22">
                  <c:v>66.771471711519681</c:v>
                </c:pt>
                <c:pt idx="23">
                  <c:v>66.771471711519681</c:v>
                </c:pt>
                <c:pt idx="24">
                  <c:v>66.771471711519681</c:v>
                </c:pt>
                <c:pt idx="25">
                  <c:v>66.771471711519681</c:v>
                </c:pt>
                <c:pt idx="26">
                  <c:v>66.771471711519681</c:v>
                </c:pt>
                <c:pt idx="27">
                  <c:v>66.771471711519681</c:v>
                </c:pt>
              </c:numCache>
            </c:numRef>
          </c:xVal>
          <c:yVal>
            <c:numRef>
              <c:f>'[1]18'!$M$73:$M$100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AE-4633-8A03-FA2A4CFB8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8256"/>
        <c:axId val="1114304448"/>
      </c:scatterChart>
      <c:valAx>
        <c:axId val="111431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7168"/>
        <c:crosses val="autoZero"/>
        <c:crossBetween val="midCat"/>
        <c:majorUnit val="5"/>
      </c:valAx>
      <c:valAx>
        <c:axId val="111430716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2064"/>
        <c:crosses val="autoZero"/>
        <c:crossBetween val="midCat"/>
        <c:majorUnit val="1"/>
      </c:valAx>
      <c:valAx>
        <c:axId val="1114308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04448"/>
        <c:crosses val="autoZero"/>
        <c:crossBetween val="midCat"/>
      </c:valAx>
      <c:valAx>
        <c:axId val="11143044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825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'[1]11'!$AD$4:$AD$54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12.414540002034025</c:v>
                </c:pt>
                <c:pt idx="2">
                  <c:v>12.414540002034025</c:v>
                </c:pt>
                <c:pt idx="3">
                  <c:v>16.559948165299332</c:v>
                </c:pt>
                <c:pt idx="4">
                  <c:v>16.559948165299332</c:v>
                </c:pt>
                <c:pt idx="5">
                  <c:v>20.8329073489728</c:v>
                </c:pt>
                <c:pt idx="6">
                  <c:v>20.8329073489728</c:v>
                </c:pt>
                <c:pt idx="7">
                  <c:v>25.23341755305443</c:v>
                </c:pt>
                <c:pt idx="8">
                  <c:v>25.23341755305443</c:v>
                </c:pt>
                <c:pt idx="9">
                  <c:v>29.761478777544227</c:v>
                </c:pt>
                <c:pt idx="10">
                  <c:v>29.761478777544227</c:v>
                </c:pt>
                <c:pt idx="11">
                  <c:v>34.417091022442186</c:v>
                </c:pt>
                <c:pt idx="12">
                  <c:v>34.417091022442186</c:v>
                </c:pt>
                <c:pt idx="13">
                  <c:v>39.330167364089952</c:v>
                </c:pt>
                <c:pt idx="14">
                  <c:v>39.330167364089952</c:v>
                </c:pt>
                <c:pt idx="15">
                  <c:v>44.394415285480733</c:v>
                </c:pt>
                <c:pt idx="16">
                  <c:v>44.394415285480733</c:v>
                </c:pt>
                <c:pt idx="17">
                  <c:v>49.166495057560503</c:v>
                </c:pt>
                <c:pt idx="18">
                  <c:v>49.166495057560503</c:v>
                </c:pt>
                <c:pt idx="19">
                  <c:v>53.416495057560503</c:v>
                </c:pt>
                <c:pt idx="20">
                  <c:v>53.416495057560503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'[1]11'!$AF$4:$AF$54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13-478A-88DA-419619C2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6080"/>
        <c:axId val="1114309888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AB13-478A-88DA-419619C24875}"/>
              </c:ext>
            </c:extLst>
          </c:dPt>
          <c:xVal>
            <c:numRef>
              <c:f>'[1]11'!$L$73:$L$100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12.414540002034025</c:v>
                </c:pt>
                <c:pt idx="3">
                  <c:v>16.559948165299332</c:v>
                </c:pt>
                <c:pt idx="4">
                  <c:v>20.8329073489728</c:v>
                </c:pt>
                <c:pt idx="5">
                  <c:v>25.23341755305443</c:v>
                </c:pt>
                <c:pt idx="6">
                  <c:v>29.761478777544227</c:v>
                </c:pt>
                <c:pt idx="7">
                  <c:v>34.417091022442186</c:v>
                </c:pt>
                <c:pt idx="8">
                  <c:v>39.330167364089952</c:v>
                </c:pt>
                <c:pt idx="9">
                  <c:v>44.394415285480733</c:v>
                </c:pt>
                <c:pt idx="10">
                  <c:v>49.166495057560503</c:v>
                </c:pt>
                <c:pt idx="11">
                  <c:v>49.166495057560503</c:v>
                </c:pt>
                <c:pt idx="12">
                  <c:v>49.166495057560503</c:v>
                </c:pt>
                <c:pt idx="13">
                  <c:v>49.166495057560503</c:v>
                </c:pt>
                <c:pt idx="14">
                  <c:v>49.166495057560503</c:v>
                </c:pt>
                <c:pt idx="15">
                  <c:v>49.166495057560503</c:v>
                </c:pt>
                <c:pt idx="16">
                  <c:v>49.166495057560503</c:v>
                </c:pt>
                <c:pt idx="17">
                  <c:v>49.166495057560503</c:v>
                </c:pt>
                <c:pt idx="18">
                  <c:v>49.166495057560503</c:v>
                </c:pt>
                <c:pt idx="19">
                  <c:v>49.166495057560503</c:v>
                </c:pt>
                <c:pt idx="20">
                  <c:v>49.166495057560503</c:v>
                </c:pt>
                <c:pt idx="21">
                  <c:v>49.166495057560503</c:v>
                </c:pt>
                <c:pt idx="22">
                  <c:v>49.166495057560503</c:v>
                </c:pt>
                <c:pt idx="23">
                  <c:v>49.166495057560503</c:v>
                </c:pt>
                <c:pt idx="24">
                  <c:v>49.166495057560503</c:v>
                </c:pt>
                <c:pt idx="25">
                  <c:v>49.166495057560503</c:v>
                </c:pt>
                <c:pt idx="26">
                  <c:v>49.166495057560503</c:v>
                </c:pt>
                <c:pt idx="27">
                  <c:v>49.166495057560503</c:v>
                </c:pt>
              </c:numCache>
            </c:numRef>
          </c:xVal>
          <c:yVal>
            <c:numRef>
              <c:f>'[1]11'!$M$73:$M$100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13-478A-88DA-419619C24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4784"/>
        <c:axId val="1114311520"/>
      </c:scatterChart>
      <c:valAx>
        <c:axId val="111430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9888"/>
        <c:crosses val="autoZero"/>
        <c:crossBetween val="midCat"/>
        <c:majorUnit val="5"/>
      </c:valAx>
      <c:valAx>
        <c:axId val="111430988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6080"/>
        <c:crosses val="autoZero"/>
        <c:crossBetween val="midCat"/>
        <c:majorUnit val="1"/>
      </c:valAx>
      <c:valAx>
        <c:axId val="111431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11520"/>
        <c:crosses val="autoZero"/>
        <c:crossBetween val="midCat"/>
      </c:valAx>
      <c:valAx>
        <c:axId val="111431152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4784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'[1]12'!$AD$4:$AD$54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13.781054849608157</c:v>
                </c:pt>
                <c:pt idx="2">
                  <c:v>13.781054849608157</c:v>
                </c:pt>
                <c:pt idx="3">
                  <c:v>14.815260052332533</c:v>
                </c:pt>
                <c:pt idx="4">
                  <c:v>14.815260052332533</c:v>
                </c:pt>
                <c:pt idx="5">
                  <c:v>16.622280654782617</c:v>
                </c:pt>
                <c:pt idx="6">
                  <c:v>16.622280654782617</c:v>
                </c:pt>
                <c:pt idx="7">
                  <c:v>19.132686944732601</c:v>
                </c:pt>
                <c:pt idx="8">
                  <c:v>19.132686944732601</c:v>
                </c:pt>
                <c:pt idx="9">
                  <c:v>22.296169211231177</c:v>
                </c:pt>
                <c:pt idx="10">
                  <c:v>22.296169211231177</c:v>
                </c:pt>
                <c:pt idx="11">
                  <c:v>26.08714474656141</c:v>
                </c:pt>
                <c:pt idx="12">
                  <c:v>26.08714474656141</c:v>
                </c:pt>
                <c:pt idx="13">
                  <c:v>30.514248178967534</c:v>
                </c:pt>
                <c:pt idx="14">
                  <c:v>30.514248178967534</c:v>
                </c:pt>
                <c:pt idx="15">
                  <c:v>35.556778609788061</c:v>
                </c:pt>
                <c:pt idx="16">
                  <c:v>35.556778609788061</c:v>
                </c:pt>
                <c:pt idx="17">
                  <c:v>39.374442427451882</c:v>
                </c:pt>
                <c:pt idx="18">
                  <c:v>39.374442427451882</c:v>
                </c:pt>
                <c:pt idx="19">
                  <c:v>44.374442427451882</c:v>
                </c:pt>
                <c:pt idx="20">
                  <c:v>44.374442427451882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'[1]12'!$AF$4:$AF$54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1-42C6-A37F-C56E77C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0640"/>
        <c:axId val="1114304992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4021-42C6-A37F-C56E77C99A26}"/>
              </c:ext>
            </c:extLst>
          </c:dPt>
          <c:xVal>
            <c:numRef>
              <c:f>'[1]12'!$L$73:$L$100</c:f>
              <c:numCache>
                <c:formatCode>General</c:formatCode>
                <c:ptCount val="28"/>
                <c:pt idx="0">
                  <c:v>0</c:v>
                </c:pt>
                <c:pt idx="1">
                  <c:v>4.1343164548824474</c:v>
                </c:pt>
                <c:pt idx="2">
                  <c:v>13.781054849608157</c:v>
                </c:pt>
                <c:pt idx="3">
                  <c:v>14.815260052332533</c:v>
                </c:pt>
                <c:pt idx="4">
                  <c:v>16.622280654782617</c:v>
                </c:pt>
                <c:pt idx="5">
                  <c:v>19.132686944732601</c:v>
                </c:pt>
                <c:pt idx="6">
                  <c:v>22.296169211231177</c:v>
                </c:pt>
                <c:pt idx="7">
                  <c:v>26.08714474656141</c:v>
                </c:pt>
                <c:pt idx="8">
                  <c:v>30.514248178967534</c:v>
                </c:pt>
                <c:pt idx="9">
                  <c:v>35.556778609788061</c:v>
                </c:pt>
                <c:pt idx="10">
                  <c:v>39.374442427451882</c:v>
                </c:pt>
                <c:pt idx="11">
                  <c:v>39.374442427451882</c:v>
                </c:pt>
                <c:pt idx="12">
                  <c:v>39.374442427451882</c:v>
                </c:pt>
                <c:pt idx="13">
                  <c:v>39.374442427451882</c:v>
                </c:pt>
                <c:pt idx="14">
                  <c:v>39.374442427451882</c:v>
                </c:pt>
                <c:pt idx="15">
                  <c:v>39.374442427451882</c:v>
                </c:pt>
                <c:pt idx="16">
                  <c:v>39.374442427451882</c:v>
                </c:pt>
                <c:pt idx="17">
                  <c:v>39.374442427451882</c:v>
                </c:pt>
                <c:pt idx="18">
                  <c:v>39.374442427451882</c:v>
                </c:pt>
                <c:pt idx="19">
                  <c:v>39.374442427451882</c:v>
                </c:pt>
                <c:pt idx="20">
                  <c:v>39.374442427451882</c:v>
                </c:pt>
                <c:pt idx="21">
                  <c:v>39.374442427451882</c:v>
                </c:pt>
                <c:pt idx="22">
                  <c:v>39.374442427451882</c:v>
                </c:pt>
                <c:pt idx="23">
                  <c:v>39.374442427451882</c:v>
                </c:pt>
                <c:pt idx="24">
                  <c:v>39.374442427451882</c:v>
                </c:pt>
                <c:pt idx="25">
                  <c:v>39.374442427451882</c:v>
                </c:pt>
                <c:pt idx="26">
                  <c:v>39.374442427451882</c:v>
                </c:pt>
                <c:pt idx="27">
                  <c:v>39.374442427451882</c:v>
                </c:pt>
              </c:numCache>
            </c:numRef>
          </c:xVal>
          <c:yVal>
            <c:numRef>
              <c:f>'[1]12'!$M$73:$M$100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700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21-42C6-A37F-C56E77C99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2608"/>
        <c:axId val="1114306624"/>
      </c:scatterChart>
      <c:valAx>
        <c:axId val="111430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4992"/>
        <c:crosses val="autoZero"/>
        <c:crossBetween val="midCat"/>
        <c:majorUnit val="5"/>
      </c:valAx>
      <c:valAx>
        <c:axId val="111430499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0640"/>
        <c:crosses val="autoZero"/>
        <c:crossBetween val="midCat"/>
        <c:majorUnit val="1"/>
      </c:valAx>
      <c:valAx>
        <c:axId val="1114312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06624"/>
        <c:crosses val="autoZero"/>
        <c:crossBetween val="midCat"/>
      </c:valAx>
      <c:valAx>
        <c:axId val="111430662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2608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'[1]5'!$AD$4:$AD$54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11.55861494641546</c:v>
                </c:pt>
                <c:pt idx="2">
                  <c:v>11.55861494641546</c:v>
                </c:pt>
                <c:pt idx="3">
                  <c:v>13.041665793873086</c:v>
                </c:pt>
                <c:pt idx="4">
                  <c:v>13.041665793873086</c:v>
                </c:pt>
                <c:pt idx="5">
                  <c:v>14.574151669579301</c:v>
                </c:pt>
                <c:pt idx="6">
                  <c:v>14.574151669579301</c:v>
                </c:pt>
                <c:pt idx="7">
                  <c:v>16.156072573534104</c:v>
                </c:pt>
                <c:pt idx="8">
                  <c:v>16.156072573534104</c:v>
                </c:pt>
                <c:pt idx="9">
                  <c:v>17.787428505737495</c:v>
                </c:pt>
                <c:pt idx="10">
                  <c:v>17.787428505737495</c:v>
                </c:pt>
                <c:pt idx="11">
                  <c:v>19.468219466189474</c:v>
                </c:pt>
                <c:pt idx="12">
                  <c:v>19.468219466189474</c:v>
                </c:pt>
                <c:pt idx="13">
                  <c:v>21.205053956930215</c:v>
                </c:pt>
                <c:pt idx="14">
                  <c:v>21.205053956930215</c:v>
                </c:pt>
                <c:pt idx="15">
                  <c:v>22.992525021745031</c:v>
                </c:pt>
                <c:pt idx="16">
                  <c:v>22.992525021745031</c:v>
                </c:pt>
                <c:pt idx="17">
                  <c:v>24.83063266063392</c:v>
                </c:pt>
                <c:pt idx="18">
                  <c:v>24.83063266063392</c:v>
                </c:pt>
                <c:pt idx="19">
                  <c:v>28.191743771745031</c:v>
                </c:pt>
                <c:pt idx="20">
                  <c:v>28.191743771745031</c:v>
                </c:pt>
                <c:pt idx="21">
                  <c:v>33.191743771745031</c:v>
                </c:pt>
                <c:pt idx="22">
                  <c:v>33.191743771745031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'[1]5'!$AF$4:$AF$54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A-4FDB-ABD7-4D3E70E0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1184"/>
        <c:axId val="1114313152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04EA-4FDB-ABD7-4D3E70E000C9}"/>
              </c:ext>
            </c:extLst>
          </c:dPt>
          <c:xVal>
            <c:numRef>
              <c:f>'[1]5'!$L$73:$L$100</c:f>
              <c:numCache>
                <c:formatCode>General</c:formatCode>
                <c:ptCount val="28"/>
                <c:pt idx="0">
                  <c:v>0</c:v>
                </c:pt>
                <c:pt idx="1">
                  <c:v>11.55861494641546</c:v>
                </c:pt>
                <c:pt idx="2">
                  <c:v>11.55861494641546</c:v>
                </c:pt>
                <c:pt idx="3">
                  <c:v>13.041665793873086</c:v>
                </c:pt>
                <c:pt idx="4">
                  <c:v>14.574151669579301</c:v>
                </c:pt>
                <c:pt idx="5">
                  <c:v>16.156072573534104</c:v>
                </c:pt>
                <c:pt idx="6">
                  <c:v>17.787428505737495</c:v>
                </c:pt>
                <c:pt idx="7">
                  <c:v>19.468219466189474</c:v>
                </c:pt>
                <c:pt idx="8">
                  <c:v>21.205053956930215</c:v>
                </c:pt>
                <c:pt idx="9">
                  <c:v>22.992525021745031</c:v>
                </c:pt>
                <c:pt idx="10">
                  <c:v>24.83063266063392</c:v>
                </c:pt>
                <c:pt idx="11">
                  <c:v>28.191743771745031</c:v>
                </c:pt>
                <c:pt idx="12">
                  <c:v>28.191743771745031</c:v>
                </c:pt>
                <c:pt idx="13">
                  <c:v>28.191743771745031</c:v>
                </c:pt>
                <c:pt idx="14">
                  <c:v>28.191743771745031</c:v>
                </c:pt>
                <c:pt idx="15">
                  <c:v>28.191743771745031</c:v>
                </c:pt>
                <c:pt idx="16">
                  <c:v>28.191743771745031</c:v>
                </c:pt>
                <c:pt idx="17">
                  <c:v>28.191743771745031</c:v>
                </c:pt>
                <c:pt idx="18">
                  <c:v>28.191743771745031</c:v>
                </c:pt>
                <c:pt idx="19">
                  <c:v>28.191743771745031</c:v>
                </c:pt>
                <c:pt idx="20">
                  <c:v>28.191743771745031</c:v>
                </c:pt>
                <c:pt idx="21">
                  <c:v>28.191743771745031</c:v>
                </c:pt>
                <c:pt idx="22">
                  <c:v>28.191743771745031</c:v>
                </c:pt>
                <c:pt idx="23">
                  <c:v>28.191743771745031</c:v>
                </c:pt>
                <c:pt idx="24">
                  <c:v>28.191743771745031</c:v>
                </c:pt>
                <c:pt idx="25">
                  <c:v>28.191743771745031</c:v>
                </c:pt>
                <c:pt idx="26">
                  <c:v>28.191743771745031</c:v>
                </c:pt>
                <c:pt idx="27">
                  <c:v>28.191743771745031</c:v>
                </c:pt>
              </c:numCache>
            </c:numRef>
          </c:xVal>
          <c:yVal>
            <c:numRef>
              <c:f>'[1]5'!$M$73:$M$100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800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EA-4FDB-ABD7-4D3E70E00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10976"/>
        <c:axId val="1114313696"/>
      </c:scatterChart>
      <c:valAx>
        <c:axId val="111430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3152"/>
        <c:crosses val="autoZero"/>
        <c:crossBetween val="midCat"/>
        <c:majorUnit val="5"/>
      </c:valAx>
      <c:valAx>
        <c:axId val="1114313152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1184"/>
        <c:crosses val="autoZero"/>
        <c:crossBetween val="midCat"/>
        <c:majorUnit val="1"/>
      </c:valAx>
      <c:valAx>
        <c:axId val="1114310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13696"/>
        <c:crosses val="autoZero"/>
        <c:crossBetween val="midCat"/>
      </c:valAx>
      <c:valAx>
        <c:axId val="111431369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097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'[1]6'!$AD$4:$AD$54</c:f>
              <c:numCache>
                <c:formatCode>General</c:formatCode>
                <c:ptCount val="51"/>
                <c:pt idx="0">
                  <c:v>0</c:v>
                </c:pt>
                <c:pt idx="1">
                  <c:v>7.1284837822841007</c:v>
                </c:pt>
                <c:pt idx="2">
                  <c:v>7.1284837822841007</c:v>
                </c:pt>
                <c:pt idx="3">
                  <c:v>8.6115346297417279</c:v>
                </c:pt>
                <c:pt idx="4">
                  <c:v>8.6115346297417279</c:v>
                </c:pt>
                <c:pt idx="5">
                  <c:v>10.144020505447942</c:v>
                </c:pt>
                <c:pt idx="6">
                  <c:v>10.144020505447942</c:v>
                </c:pt>
                <c:pt idx="7">
                  <c:v>11.725941409402745</c:v>
                </c:pt>
                <c:pt idx="8">
                  <c:v>11.725941409402745</c:v>
                </c:pt>
                <c:pt idx="9">
                  <c:v>13.357297341606134</c:v>
                </c:pt>
                <c:pt idx="10">
                  <c:v>13.357297341606134</c:v>
                </c:pt>
                <c:pt idx="11">
                  <c:v>15.038088302058112</c:v>
                </c:pt>
                <c:pt idx="12">
                  <c:v>15.038088302058112</c:v>
                </c:pt>
                <c:pt idx="13">
                  <c:v>16.774922792798854</c:v>
                </c:pt>
                <c:pt idx="14">
                  <c:v>16.774922792798854</c:v>
                </c:pt>
                <c:pt idx="15">
                  <c:v>18.562393857613671</c:v>
                </c:pt>
                <c:pt idx="16">
                  <c:v>18.562393857613671</c:v>
                </c:pt>
                <c:pt idx="17">
                  <c:v>20.40050149650256</c:v>
                </c:pt>
                <c:pt idx="18">
                  <c:v>20.40050149650256</c:v>
                </c:pt>
                <c:pt idx="19">
                  <c:v>23.761612607613671</c:v>
                </c:pt>
                <c:pt idx="20">
                  <c:v>23.761612607613671</c:v>
                </c:pt>
                <c:pt idx="21">
                  <c:v>28.761612607613671</c:v>
                </c:pt>
                <c:pt idx="22">
                  <c:v>28.761612607613671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xVal>
          <c:yVal>
            <c:numRef>
              <c:f>'[1]6'!$AF$4:$AF$54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6A-46A9-88E7-FB594841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1728"/>
        <c:axId val="1114314240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9C6A-46A9-88E7-FB594841BE80}"/>
              </c:ext>
            </c:extLst>
          </c:dPt>
          <c:xVal>
            <c:numRef>
              <c:f>'[1]6'!$L$73:$L$100</c:f>
              <c:numCache>
                <c:formatCode>General</c:formatCode>
                <c:ptCount val="28"/>
                <c:pt idx="0">
                  <c:v>0</c:v>
                </c:pt>
                <c:pt idx="1">
                  <c:v>7.1284837822841007</c:v>
                </c:pt>
                <c:pt idx="2">
                  <c:v>7.1284837822841007</c:v>
                </c:pt>
                <c:pt idx="3">
                  <c:v>8.6115346297417279</c:v>
                </c:pt>
                <c:pt idx="4">
                  <c:v>10.144020505447942</c:v>
                </c:pt>
                <c:pt idx="5">
                  <c:v>11.725941409402745</c:v>
                </c:pt>
                <c:pt idx="6">
                  <c:v>13.357297341606134</c:v>
                </c:pt>
                <c:pt idx="7">
                  <c:v>15.038088302058112</c:v>
                </c:pt>
                <c:pt idx="8">
                  <c:v>16.774922792798854</c:v>
                </c:pt>
                <c:pt idx="9">
                  <c:v>18.562393857613671</c:v>
                </c:pt>
                <c:pt idx="10">
                  <c:v>20.40050149650256</c:v>
                </c:pt>
                <c:pt idx="11">
                  <c:v>23.761612607613671</c:v>
                </c:pt>
                <c:pt idx="12">
                  <c:v>23.761612607613671</c:v>
                </c:pt>
                <c:pt idx="13">
                  <c:v>23.761612607613671</c:v>
                </c:pt>
                <c:pt idx="14">
                  <c:v>23.761612607613671</c:v>
                </c:pt>
                <c:pt idx="15">
                  <c:v>23.761612607613671</c:v>
                </c:pt>
                <c:pt idx="16">
                  <c:v>23.761612607613671</c:v>
                </c:pt>
                <c:pt idx="17">
                  <c:v>23.761612607613671</c:v>
                </c:pt>
                <c:pt idx="18">
                  <c:v>23.761612607613671</c:v>
                </c:pt>
                <c:pt idx="19">
                  <c:v>23.761612607613671</c:v>
                </c:pt>
                <c:pt idx="20">
                  <c:v>23.761612607613671</c:v>
                </c:pt>
                <c:pt idx="21">
                  <c:v>23.761612607613671</c:v>
                </c:pt>
                <c:pt idx="22">
                  <c:v>23.761612607613671</c:v>
                </c:pt>
                <c:pt idx="23">
                  <c:v>23.761612607613671</c:v>
                </c:pt>
                <c:pt idx="24">
                  <c:v>23.761612607613671</c:v>
                </c:pt>
                <c:pt idx="25">
                  <c:v>23.761612607613671</c:v>
                </c:pt>
                <c:pt idx="26">
                  <c:v>23.761612607613671</c:v>
                </c:pt>
                <c:pt idx="27">
                  <c:v>23.761612607613671</c:v>
                </c:pt>
              </c:numCache>
            </c:numRef>
          </c:xVal>
          <c:yVal>
            <c:numRef>
              <c:f>'[1]6'!$M$73:$M$100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800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6A-46A9-88E7-FB594841B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302272"/>
        <c:axId val="1114302816"/>
      </c:scatterChart>
      <c:valAx>
        <c:axId val="111430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14240"/>
        <c:crosses val="autoZero"/>
        <c:crossBetween val="midCat"/>
        <c:majorUnit val="5"/>
      </c:valAx>
      <c:valAx>
        <c:axId val="111431424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1728"/>
        <c:crosses val="autoZero"/>
        <c:crossBetween val="midCat"/>
        <c:majorUnit val="1"/>
      </c:valAx>
      <c:valAx>
        <c:axId val="1114302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4302816"/>
        <c:crosses val="autoZero"/>
        <c:crossBetween val="midCat"/>
      </c:valAx>
      <c:valAx>
        <c:axId val="11143028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4302272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'3'!$AD$4:$AD$54</c:f>
              <c:numCache>
                <c:formatCode>General</c:formatCode>
                <c:ptCount val="51"/>
                <c:pt idx="0">
                  <c:v>0</c:v>
                </c:pt>
                <c:pt idx="1">
                  <c:v>7.3657562244518751</c:v>
                </c:pt>
                <c:pt idx="2">
                  <c:v>7.3657562244518751</c:v>
                </c:pt>
                <c:pt idx="3" formatCode="0.00">
                  <c:v>11.428256224451875</c:v>
                </c:pt>
                <c:pt idx="4" formatCode="0.00">
                  <c:v>11.428256224451875</c:v>
                </c:pt>
                <c:pt idx="5">
                  <c:v>15.615756224451875</c:v>
                </c:pt>
                <c:pt idx="6">
                  <c:v>15.615756224451875</c:v>
                </c:pt>
                <c:pt idx="7">
                  <c:v>19.986126594822245</c:v>
                </c:pt>
                <c:pt idx="8">
                  <c:v>19.986126594822245</c:v>
                </c:pt>
                <c:pt idx="9">
                  <c:v>24.504645113340764</c:v>
                </c:pt>
                <c:pt idx="10">
                  <c:v>24.504645113340764</c:v>
                </c:pt>
                <c:pt idx="11">
                  <c:v>29.171311780007429</c:v>
                </c:pt>
                <c:pt idx="12">
                  <c:v>29.171311780007429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'3'!$AF$4:$AF$54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4-406B-B11A-620EA197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78080"/>
        <c:axId val="1062569376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9264-406B-B11A-620EA197998E}"/>
              </c:ext>
            </c:extLst>
          </c:dPt>
          <c:xVal>
            <c:numRef>
              <c:f>'3'!$L$73:$L$100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0</c:v>
                </c:pt>
                <c:pt idx="2">
                  <c:v>7.3657562244518751</c:v>
                </c:pt>
                <c:pt idx="3">
                  <c:v>11.428256224451875</c:v>
                </c:pt>
                <c:pt idx="4">
                  <c:v>15.615756224451875</c:v>
                </c:pt>
                <c:pt idx="5">
                  <c:v>19.986126594822245</c:v>
                </c:pt>
                <c:pt idx="6">
                  <c:v>24.504645113340764</c:v>
                </c:pt>
                <c:pt idx="7">
                  <c:v>29.171311780007429</c:v>
                </c:pt>
                <c:pt idx="8">
                  <c:v>29.171311780007429</c:v>
                </c:pt>
                <c:pt idx="9">
                  <c:v>29.171311780007429</c:v>
                </c:pt>
                <c:pt idx="10">
                  <c:v>29.171311780007429</c:v>
                </c:pt>
                <c:pt idx="11">
                  <c:v>29.171311780007429</c:v>
                </c:pt>
                <c:pt idx="12">
                  <c:v>29.171311780007429</c:v>
                </c:pt>
                <c:pt idx="13">
                  <c:v>29.171311780007429</c:v>
                </c:pt>
                <c:pt idx="14">
                  <c:v>29.171311780007429</c:v>
                </c:pt>
                <c:pt idx="15">
                  <c:v>29.171311780007429</c:v>
                </c:pt>
                <c:pt idx="16">
                  <c:v>29.171311780007429</c:v>
                </c:pt>
                <c:pt idx="17">
                  <c:v>29.171311780007429</c:v>
                </c:pt>
                <c:pt idx="18">
                  <c:v>29.171311780007429</c:v>
                </c:pt>
                <c:pt idx="19">
                  <c:v>29.171311780007429</c:v>
                </c:pt>
                <c:pt idx="20">
                  <c:v>29.171311780007429</c:v>
                </c:pt>
                <c:pt idx="21">
                  <c:v>29.171311780007429</c:v>
                </c:pt>
                <c:pt idx="22">
                  <c:v>29.171311780007429</c:v>
                </c:pt>
                <c:pt idx="23">
                  <c:v>29.171311780007429</c:v>
                </c:pt>
                <c:pt idx="24">
                  <c:v>29.171311780007429</c:v>
                </c:pt>
                <c:pt idx="25">
                  <c:v>29.171311780007429</c:v>
                </c:pt>
                <c:pt idx="26">
                  <c:v>29.171311780007429</c:v>
                </c:pt>
                <c:pt idx="27">
                  <c:v>29.171311780007429</c:v>
                </c:pt>
              </c:numCache>
            </c:numRef>
          </c:xVal>
          <c:yVal>
            <c:numRef>
              <c:f>'3'!$M$73:$M$100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64-406B-B11A-620EA1979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66112"/>
        <c:axId val="1062578624"/>
      </c:scatterChart>
      <c:valAx>
        <c:axId val="106257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69376"/>
        <c:crosses val="autoZero"/>
        <c:crossBetween val="midCat"/>
        <c:majorUnit val="5"/>
      </c:valAx>
      <c:valAx>
        <c:axId val="106256937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78080"/>
        <c:crosses val="autoZero"/>
        <c:crossBetween val="midCat"/>
        <c:majorUnit val="1"/>
      </c:valAx>
      <c:valAx>
        <c:axId val="1062566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62578624"/>
        <c:crosses val="autoZero"/>
        <c:crossBetween val="midCat"/>
      </c:valAx>
      <c:valAx>
        <c:axId val="106257862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66112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'4'!$P$74:$P$124</c:f>
              <c:numCache>
                <c:formatCode>General</c:formatCode>
                <c:ptCount val="51"/>
                <c:pt idx="0">
                  <c:v>0</c:v>
                </c:pt>
                <c:pt idx="1">
                  <c:v>11.097013042123621</c:v>
                </c:pt>
                <c:pt idx="2">
                  <c:v>11.097013042123621</c:v>
                </c:pt>
                <c:pt idx="3" formatCode="0.00">
                  <c:v>13.610557761903351</c:v>
                </c:pt>
                <c:pt idx="4" formatCode="0.00">
                  <c:v>13.610557761903351</c:v>
                </c:pt>
                <c:pt idx="5">
                  <c:v>16.212920316304274</c:v>
                </c:pt>
                <c:pt idx="6">
                  <c:v>16.212920316304274</c:v>
                </c:pt>
                <c:pt idx="7">
                  <c:v>18.904100705326389</c:v>
                </c:pt>
                <c:pt idx="8">
                  <c:v>18.904100705326389</c:v>
                </c:pt>
                <c:pt idx="9">
                  <c:v>21.684098928969696</c:v>
                </c:pt>
                <c:pt idx="10">
                  <c:v>21.684098928969696</c:v>
                </c:pt>
                <c:pt idx="11">
                  <c:v>24.552914987234196</c:v>
                </c:pt>
                <c:pt idx="12">
                  <c:v>24.552914987234196</c:v>
                </c:pt>
                <c:pt idx="13">
                  <c:v>27.525022897613709</c:v>
                </c:pt>
                <c:pt idx="14">
                  <c:v>27.525022897613709</c:v>
                </c:pt>
                <c:pt idx="15">
                  <c:v>30.588580282158752</c:v>
                </c:pt>
                <c:pt idx="16">
                  <c:v>30.588580282158752</c:v>
                </c:pt>
                <c:pt idx="17">
                  <c:v>33.743587140869309</c:v>
                </c:pt>
                <c:pt idx="18">
                  <c:v>33.743587140869309</c:v>
                </c:pt>
                <c:pt idx="19">
                  <c:v>36.990043473745395</c:v>
                </c:pt>
                <c:pt idx="20">
                  <c:v>36.990043473745395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'4'!$R$74:$R$124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9-4888-9B09-574302E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2567744"/>
        <c:axId val="1062569920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FD09-4888-9B09-574302EE8D64}"/>
              </c:ext>
            </c:extLst>
          </c:dPt>
          <c:xVal>
            <c:numRef>
              <c:f>'4'!$L$73:$L$100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3.3291039126370858</c:v>
                </c:pt>
                <c:pt idx="2">
                  <c:v>11.097013042123621</c:v>
                </c:pt>
                <c:pt idx="3">
                  <c:v>13.610557761903351</c:v>
                </c:pt>
                <c:pt idx="4">
                  <c:v>16.212920316304274</c:v>
                </c:pt>
                <c:pt idx="5">
                  <c:v>18.904100705326389</c:v>
                </c:pt>
                <c:pt idx="6">
                  <c:v>21.684098928969696</c:v>
                </c:pt>
                <c:pt idx="7">
                  <c:v>24.552914987234196</c:v>
                </c:pt>
                <c:pt idx="8">
                  <c:v>27.525022897613709</c:v>
                </c:pt>
                <c:pt idx="9">
                  <c:v>30.588580282158752</c:v>
                </c:pt>
                <c:pt idx="10">
                  <c:v>33.743587140869309</c:v>
                </c:pt>
                <c:pt idx="11">
                  <c:v>36.990043473745395</c:v>
                </c:pt>
                <c:pt idx="12">
                  <c:v>36.990043473745395</c:v>
                </c:pt>
                <c:pt idx="13">
                  <c:v>36.990043473745395</c:v>
                </c:pt>
                <c:pt idx="14">
                  <c:v>36.990043473745395</c:v>
                </c:pt>
                <c:pt idx="15">
                  <c:v>36.990043473745395</c:v>
                </c:pt>
                <c:pt idx="16">
                  <c:v>36.990043473745395</c:v>
                </c:pt>
                <c:pt idx="17">
                  <c:v>36.990043473745395</c:v>
                </c:pt>
                <c:pt idx="18">
                  <c:v>36.990043473745395</c:v>
                </c:pt>
                <c:pt idx="19">
                  <c:v>36.990043473745395</c:v>
                </c:pt>
                <c:pt idx="20">
                  <c:v>36.990043473745395</c:v>
                </c:pt>
                <c:pt idx="21">
                  <c:v>36.990043473745395</c:v>
                </c:pt>
                <c:pt idx="22">
                  <c:v>36.990043473745395</c:v>
                </c:pt>
                <c:pt idx="23">
                  <c:v>36.990043473745395</c:v>
                </c:pt>
                <c:pt idx="24">
                  <c:v>36.990043473745395</c:v>
                </c:pt>
                <c:pt idx="25">
                  <c:v>36.990043473745395</c:v>
                </c:pt>
                <c:pt idx="26">
                  <c:v>36.990043473745395</c:v>
                </c:pt>
                <c:pt idx="27">
                  <c:v>36.990043473745395</c:v>
                </c:pt>
              </c:numCache>
            </c:numRef>
          </c:xVal>
          <c:yVal>
            <c:numRef>
              <c:f>'4'!$M$73:$M$100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09-4888-9B09-574302EE8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34096"/>
        <c:axId val="1098930288"/>
      </c:scatterChart>
      <c:valAx>
        <c:axId val="106256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69920"/>
        <c:crosses val="autoZero"/>
        <c:crossBetween val="midCat"/>
        <c:majorUnit val="5"/>
      </c:valAx>
      <c:valAx>
        <c:axId val="1062569920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62567744"/>
        <c:crosses val="autoZero"/>
        <c:crossBetween val="midCat"/>
        <c:majorUnit val="1"/>
      </c:valAx>
      <c:valAx>
        <c:axId val="1098934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930288"/>
        <c:crosses val="autoZero"/>
        <c:crossBetween val="midCat"/>
      </c:valAx>
      <c:valAx>
        <c:axId val="10989302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3409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'5'!$AD$4:$AD$54</c:f>
              <c:numCache>
                <c:formatCode>General</c:formatCode>
                <c:ptCount val="51"/>
                <c:pt idx="0">
                  <c:v>0</c:v>
                </c:pt>
                <c:pt idx="1">
                  <c:v>5.4168643735064368</c:v>
                </c:pt>
                <c:pt idx="2">
                  <c:v>5.4168643735064368</c:v>
                </c:pt>
                <c:pt idx="3" formatCode="0.00">
                  <c:v>6.5449734592559254</c:v>
                </c:pt>
                <c:pt idx="4" formatCode="0.00">
                  <c:v>6.5449734592559254</c:v>
                </c:pt>
                <c:pt idx="5">
                  <c:v>7.8525702736107172</c:v>
                </c:pt>
                <c:pt idx="6">
                  <c:v>7.8525702736107172</c:v>
                </c:pt>
                <c:pt idx="7">
                  <c:v>9.1395164218697094</c:v>
                </c:pt>
                <c:pt idx="8">
                  <c:v>9.1395164218697094</c:v>
                </c:pt>
                <c:pt idx="9">
                  <c:v>10.397344761118298</c:v>
                </c:pt>
                <c:pt idx="10">
                  <c:v>10.397344761118298</c:v>
                </c:pt>
                <c:pt idx="11">
                  <c:v>11.631302342370493</c:v>
                </c:pt>
                <c:pt idx="12">
                  <c:v>11.631302342370493</c:v>
                </c:pt>
                <c:pt idx="13">
                  <c:v>12.85169939306188</c:v>
                </c:pt>
                <c:pt idx="14">
                  <c:v>12.85169939306188</c:v>
                </c:pt>
                <c:pt idx="15">
                  <c:v>14.059567662339257</c:v>
                </c:pt>
                <c:pt idx="16">
                  <c:v>14.059567662339257</c:v>
                </c:pt>
                <c:pt idx="17">
                  <c:v>15.258772883116723</c:v>
                </c:pt>
                <c:pt idx="18">
                  <c:v>15.258772883116723</c:v>
                </c:pt>
                <c:pt idx="19">
                  <c:v>17.758772883116723</c:v>
                </c:pt>
                <c:pt idx="20">
                  <c:v>17.758772883116723</c:v>
                </c:pt>
                <c:pt idx="21">
                  <c:v>137.75877288311673</c:v>
                </c:pt>
                <c:pt idx="22">
                  <c:v>137.75877288311673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'5'!$AF$4:$AF$54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4-4B6E-B58A-6C3DBFB7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31920"/>
        <c:axId val="1098936816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'5'!$AD$4:$AD$54</c:f>
              <c:numCache>
                <c:formatCode>General</c:formatCode>
                <c:ptCount val="51"/>
                <c:pt idx="0">
                  <c:v>0</c:v>
                </c:pt>
                <c:pt idx="1">
                  <c:v>5.4168643735064368</c:v>
                </c:pt>
                <c:pt idx="2">
                  <c:v>5.4168643735064368</c:v>
                </c:pt>
                <c:pt idx="3" formatCode="0.00">
                  <c:v>6.5449734592559254</c:v>
                </c:pt>
                <c:pt idx="4" formatCode="0.00">
                  <c:v>6.5449734592559254</c:v>
                </c:pt>
                <c:pt idx="5">
                  <c:v>7.8525702736107172</c:v>
                </c:pt>
                <c:pt idx="6">
                  <c:v>7.8525702736107172</c:v>
                </c:pt>
                <c:pt idx="7">
                  <c:v>9.1395164218697094</c:v>
                </c:pt>
                <c:pt idx="8">
                  <c:v>9.1395164218697094</c:v>
                </c:pt>
                <c:pt idx="9">
                  <c:v>10.397344761118298</c:v>
                </c:pt>
                <c:pt idx="10">
                  <c:v>10.397344761118298</c:v>
                </c:pt>
                <c:pt idx="11">
                  <c:v>11.631302342370493</c:v>
                </c:pt>
                <c:pt idx="12">
                  <c:v>11.631302342370493</c:v>
                </c:pt>
                <c:pt idx="13">
                  <c:v>12.85169939306188</c:v>
                </c:pt>
                <c:pt idx="14">
                  <c:v>12.85169939306188</c:v>
                </c:pt>
                <c:pt idx="15">
                  <c:v>14.059567662339257</c:v>
                </c:pt>
                <c:pt idx="16">
                  <c:v>14.059567662339257</c:v>
                </c:pt>
                <c:pt idx="17">
                  <c:v>15.258772883116723</c:v>
                </c:pt>
                <c:pt idx="18">
                  <c:v>15.258772883116723</c:v>
                </c:pt>
                <c:pt idx="19">
                  <c:v>17.758772883116723</c:v>
                </c:pt>
                <c:pt idx="20">
                  <c:v>17.758772883116723</c:v>
                </c:pt>
                <c:pt idx="21">
                  <c:v>137.75877288311673</c:v>
                </c:pt>
                <c:pt idx="22">
                  <c:v>137.75877288311673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'5'!$AE$4:$AE$54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4-4B6E-B58A-6C3DBFB72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25936"/>
        <c:axId val="1098937360"/>
      </c:scatterChart>
      <c:valAx>
        <c:axId val="109893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36816"/>
        <c:crosses val="autoZero"/>
        <c:crossBetween val="midCat"/>
        <c:majorUnit val="5"/>
      </c:valAx>
      <c:valAx>
        <c:axId val="109893681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31920"/>
        <c:crosses val="autoZero"/>
        <c:crossBetween val="midCat"/>
        <c:majorUnit val="1"/>
      </c:valAx>
      <c:valAx>
        <c:axId val="109892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937360"/>
        <c:crosses val="autoZero"/>
        <c:crossBetween val="midCat"/>
      </c:valAx>
      <c:valAx>
        <c:axId val="109893736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layout/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2593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'6'!$AD$4:$AD$54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10.774470295923749</c:v>
                </c:pt>
                <c:pt idx="2">
                  <c:v>10.774470295923749</c:v>
                </c:pt>
                <c:pt idx="3" formatCode="0.00">
                  <c:v>11.507881756005158</c:v>
                </c:pt>
                <c:pt idx="4" formatCode="0.00">
                  <c:v>11.507881756005158</c:v>
                </c:pt>
                <c:pt idx="5">
                  <c:v>12.812496993936435</c:v>
                </c:pt>
                <c:pt idx="6">
                  <c:v>12.812496993936435</c:v>
                </c:pt>
                <c:pt idx="7">
                  <c:v>14.426687813613908</c:v>
                </c:pt>
                <c:pt idx="8">
                  <c:v>14.426687813613908</c:v>
                </c:pt>
                <c:pt idx="9">
                  <c:v>16.266164108082393</c:v>
                </c:pt>
                <c:pt idx="10">
                  <c:v>16.266164108082393</c:v>
                </c:pt>
                <c:pt idx="11">
                  <c:v>18.301346474172085</c:v>
                </c:pt>
                <c:pt idx="12">
                  <c:v>18.301346474172085</c:v>
                </c:pt>
                <c:pt idx="13">
                  <c:v>20.504058500207012</c:v>
                </c:pt>
                <c:pt idx="14">
                  <c:v>20.504058500207012</c:v>
                </c:pt>
                <c:pt idx="15">
                  <c:v>22.861168457667866</c:v>
                </c:pt>
                <c:pt idx="16">
                  <c:v>22.861168457667866</c:v>
                </c:pt>
                <c:pt idx="17">
                  <c:v>25.36398326124705</c:v>
                </c:pt>
                <c:pt idx="18">
                  <c:v>25.36398326124705</c:v>
                </c:pt>
                <c:pt idx="19">
                  <c:v>28.006450826534149</c:v>
                </c:pt>
                <c:pt idx="20">
                  <c:v>28.006450826534149</c:v>
                </c:pt>
                <c:pt idx="21">
                  <c:v>30.784200845496422</c:v>
                </c:pt>
                <c:pt idx="22">
                  <c:v>30.784200845496422</c:v>
                </c:pt>
                <c:pt idx="23">
                  <c:v>35.784200845496422</c:v>
                </c:pt>
                <c:pt idx="24">
                  <c:v>35.784200845496422</c:v>
                </c:pt>
                <c:pt idx="25">
                  <c:v>155.78420084549643</c:v>
                </c:pt>
                <c:pt idx="26">
                  <c:v>155.78420084549643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'6'!$AF$4:$AF$54</c:f>
              <c:numCache>
                <c:formatCode>General</c:formatCode>
                <c:ptCount val="5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69-4E8E-9D8D-C5E0B96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37904"/>
        <c:axId val="1098939536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'6'!$AD$4:$AD$54</c:f>
              <c:numCache>
                <c:formatCode>General</c:formatCode>
                <c:ptCount val="51"/>
                <c:pt idx="0">
                  <c:v>0</c:v>
                </c:pt>
                <c:pt idx="1">
                  <c:v>10.774470295923749</c:v>
                </c:pt>
                <c:pt idx="2">
                  <c:v>10.774470295923749</c:v>
                </c:pt>
                <c:pt idx="3" formatCode="0.00">
                  <c:v>11.507881756005158</c:v>
                </c:pt>
                <c:pt idx="4" formatCode="0.00">
                  <c:v>11.507881756005158</c:v>
                </c:pt>
                <c:pt idx="5">
                  <c:v>12.812496993936435</c:v>
                </c:pt>
                <c:pt idx="6">
                  <c:v>12.812496993936435</c:v>
                </c:pt>
                <c:pt idx="7">
                  <c:v>14.426687813613908</c:v>
                </c:pt>
                <c:pt idx="8">
                  <c:v>14.426687813613908</c:v>
                </c:pt>
                <c:pt idx="9">
                  <c:v>16.266164108082393</c:v>
                </c:pt>
                <c:pt idx="10">
                  <c:v>16.266164108082393</c:v>
                </c:pt>
                <c:pt idx="11">
                  <c:v>18.301346474172085</c:v>
                </c:pt>
                <c:pt idx="12">
                  <c:v>18.301346474172085</c:v>
                </c:pt>
                <c:pt idx="13">
                  <c:v>20.504058500207012</c:v>
                </c:pt>
                <c:pt idx="14">
                  <c:v>20.504058500207012</c:v>
                </c:pt>
                <c:pt idx="15">
                  <c:v>22.861168457667866</c:v>
                </c:pt>
                <c:pt idx="16">
                  <c:v>22.861168457667866</c:v>
                </c:pt>
                <c:pt idx="17">
                  <c:v>25.36398326124705</c:v>
                </c:pt>
                <c:pt idx="18">
                  <c:v>25.36398326124705</c:v>
                </c:pt>
                <c:pt idx="19">
                  <c:v>28.006450826534149</c:v>
                </c:pt>
                <c:pt idx="20">
                  <c:v>28.006450826534149</c:v>
                </c:pt>
                <c:pt idx="21">
                  <c:v>30.784200845496422</c:v>
                </c:pt>
                <c:pt idx="22">
                  <c:v>30.784200845496422</c:v>
                </c:pt>
                <c:pt idx="23">
                  <c:v>35.784200845496422</c:v>
                </c:pt>
                <c:pt idx="24">
                  <c:v>35.784200845496422</c:v>
                </c:pt>
                <c:pt idx="25">
                  <c:v>155.78420084549643</c:v>
                </c:pt>
                <c:pt idx="26">
                  <c:v>155.78420084549643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'6'!$AE$4:$AE$54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69-4E8E-9D8D-C5E0B96D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24848"/>
        <c:axId val="1098926480"/>
      </c:scatterChart>
      <c:valAx>
        <c:axId val="109893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39536"/>
        <c:crosses val="autoZero"/>
        <c:crossBetween val="midCat"/>
        <c:majorUnit val="5"/>
      </c:valAx>
      <c:valAx>
        <c:axId val="1098939536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37904"/>
        <c:crosses val="autoZero"/>
        <c:crossBetween val="midCat"/>
        <c:majorUnit val="1"/>
      </c:valAx>
      <c:valAx>
        <c:axId val="109892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8926480"/>
        <c:crosses val="autoZero"/>
        <c:crossBetween val="midCat"/>
      </c:valAx>
      <c:valAx>
        <c:axId val="109892648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24848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'7'!$AD$4:$AD$54</c:f>
              <c:numCache>
                <c:formatCode>General</c:formatCode>
                <c:ptCount val="51"/>
                <c:pt idx="0">
                  <c:v>0</c:v>
                </c:pt>
                <c:pt idx="1">
                  <c:v>4.520597283720531</c:v>
                </c:pt>
                <c:pt idx="2">
                  <c:v>4.520597283720531</c:v>
                </c:pt>
                <c:pt idx="3" formatCode="0.00">
                  <c:v>5.1657310362071129</c:v>
                </c:pt>
                <c:pt idx="4" formatCode="0.00">
                  <c:v>5.1657310362071129</c:v>
                </c:pt>
                <c:pt idx="5">
                  <c:v>6.288818179638838</c:v>
                </c:pt>
                <c:pt idx="6">
                  <c:v>6.288818179638838</c:v>
                </c:pt>
                <c:pt idx="7">
                  <c:v>7.8437147513169165</c:v>
                </c:pt>
                <c:pt idx="8">
                  <c:v>7.8437147513169165</c:v>
                </c:pt>
                <c:pt idx="9">
                  <c:v>9.796798025258429</c:v>
                </c:pt>
                <c:pt idx="10">
                  <c:v>9.796798025258429</c:v>
                </c:pt>
                <c:pt idx="11">
                  <c:v>12.130185674471686</c:v>
                </c:pt>
                <c:pt idx="12">
                  <c:v>12.130185674471686</c:v>
                </c:pt>
                <c:pt idx="13">
                  <c:v>14.834091487570324</c:v>
                </c:pt>
                <c:pt idx="14">
                  <c:v>14.834091487570324</c:v>
                </c:pt>
                <c:pt idx="15">
                  <c:v>17.903355579091215</c:v>
                </c:pt>
                <c:pt idx="16">
                  <c:v>17.903355579091215</c:v>
                </c:pt>
                <c:pt idx="17">
                  <c:v>22.153355579091215</c:v>
                </c:pt>
                <c:pt idx="18">
                  <c:v>22.153355579091215</c:v>
                </c:pt>
                <c:pt idx="19">
                  <c:v>142.15335557909123</c:v>
                </c:pt>
                <c:pt idx="20">
                  <c:v>142.15335557909123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'7'!$AF$4:$AF$54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2A-4F8A-970F-4E566F42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929200"/>
        <c:axId val="1098927024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722A-4F8A-970F-4E566F4288BC}"/>
              </c:ext>
            </c:extLst>
          </c:dPt>
          <c:xVal>
            <c:numRef>
              <c:f>'7'!$L$73:$L$100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0</c:v>
                </c:pt>
                <c:pt idx="2">
                  <c:v>4.520597283720531</c:v>
                </c:pt>
                <c:pt idx="3">
                  <c:v>5.1657310362071129</c:v>
                </c:pt>
                <c:pt idx="4">
                  <c:v>6.288818179638838</c:v>
                </c:pt>
                <c:pt idx="5">
                  <c:v>7.8437147513169165</c:v>
                </c:pt>
                <c:pt idx="6">
                  <c:v>9.796798025258429</c:v>
                </c:pt>
                <c:pt idx="7">
                  <c:v>12.130185674471686</c:v>
                </c:pt>
                <c:pt idx="8">
                  <c:v>14.834091487570324</c:v>
                </c:pt>
                <c:pt idx="9">
                  <c:v>17.903355579091215</c:v>
                </c:pt>
                <c:pt idx="10">
                  <c:v>22.153355579091215</c:v>
                </c:pt>
                <c:pt idx="11">
                  <c:v>142.15335557909123</c:v>
                </c:pt>
                <c:pt idx="12">
                  <c:v>142.15335557909123</c:v>
                </c:pt>
                <c:pt idx="13">
                  <c:v>142.15335557909123</c:v>
                </c:pt>
                <c:pt idx="14">
                  <c:v>142.15335557909123</c:v>
                </c:pt>
                <c:pt idx="15">
                  <c:v>142.15335557909123</c:v>
                </c:pt>
                <c:pt idx="16">
                  <c:v>142.15335557909123</c:v>
                </c:pt>
                <c:pt idx="17">
                  <c:v>142.15335557909123</c:v>
                </c:pt>
                <c:pt idx="18">
                  <c:v>142.15335557909123</c:v>
                </c:pt>
                <c:pt idx="19">
                  <c:v>142.15335557909123</c:v>
                </c:pt>
                <c:pt idx="20">
                  <c:v>142.15335557909123</c:v>
                </c:pt>
                <c:pt idx="21">
                  <c:v>142.15335557909123</c:v>
                </c:pt>
                <c:pt idx="22">
                  <c:v>142.15335557909123</c:v>
                </c:pt>
                <c:pt idx="23">
                  <c:v>142.15335557909123</c:v>
                </c:pt>
                <c:pt idx="24">
                  <c:v>142.15335557909123</c:v>
                </c:pt>
                <c:pt idx="25">
                  <c:v>142.15335557909123</c:v>
                </c:pt>
                <c:pt idx="26">
                  <c:v>142.15335557909123</c:v>
                </c:pt>
                <c:pt idx="27">
                  <c:v>142.15335557909123</c:v>
                </c:pt>
              </c:numCache>
            </c:numRef>
          </c:xVal>
          <c:yVal>
            <c:numRef>
              <c:f>'7'!$M$73:$M$100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2A-4F8A-970F-4E566F42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86096"/>
        <c:axId val="1110098608"/>
      </c:scatterChart>
      <c:valAx>
        <c:axId val="10989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27024"/>
        <c:crosses val="autoZero"/>
        <c:crossBetween val="midCat"/>
        <c:majorUnit val="5"/>
      </c:valAx>
      <c:valAx>
        <c:axId val="109892702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98929200"/>
        <c:crosses val="autoZero"/>
        <c:crossBetween val="midCat"/>
        <c:majorUnit val="1"/>
      </c:valAx>
      <c:valAx>
        <c:axId val="111008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098608"/>
        <c:crosses val="autoZero"/>
        <c:crossBetween val="midCat"/>
      </c:valAx>
      <c:valAx>
        <c:axId val="11100986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6096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55146133710518"/>
          <c:y val="9.9678545574905297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'7'!$AD$4:$AD$54</c:f>
              <c:numCache>
                <c:formatCode>General</c:formatCode>
                <c:ptCount val="51"/>
                <c:pt idx="0">
                  <c:v>0</c:v>
                </c:pt>
                <c:pt idx="1">
                  <c:v>4.520597283720531</c:v>
                </c:pt>
                <c:pt idx="2">
                  <c:v>4.520597283720531</c:v>
                </c:pt>
                <c:pt idx="3" formatCode="0.00">
                  <c:v>5.1657310362071129</c:v>
                </c:pt>
                <c:pt idx="4" formatCode="0.00">
                  <c:v>5.1657310362071129</c:v>
                </c:pt>
                <c:pt idx="5">
                  <c:v>6.288818179638838</c:v>
                </c:pt>
                <c:pt idx="6">
                  <c:v>6.288818179638838</c:v>
                </c:pt>
                <c:pt idx="7">
                  <c:v>7.8437147513169165</c:v>
                </c:pt>
                <c:pt idx="8">
                  <c:v>7.8437147513169165</c:v>
                </c:pt>
                <c:pt idx="9">
                  <c:v>9.796798025258429</c:v>
                </c:pt>
                <c:pt idx="10">
                  <c:v>9.796798025258429</c:v>
                </c:pt>
                <c:pt idx="11">
                  <c:v>12.130185674471686</c:v>
                </c:pt>
                <c:pt idx="12">
                  <c:v>12.130185674471686</c:v>
                </c:pt>
                <c:pt idx="13">
                  <c:v>14.834091487570324</c:v>
                </c:pt>
                <c:pt idx="14">
                  <c:v>14.834091487570324</c:v>
                </c:pt>
                <c:pt idx="15">
                  <c:v>17.903355579091215</c:v>
                </c:pt>
                <c:pt idx="16">
                  <c:v>17.903355579091215</c:v>
                </c:pt>
                <c:pt idx="17">
                  <c:v>22.153355579091215</c:v>
                </c:pt>
                <c:pt idx="18">
                  <c:v>22.153355579091215</c:v>
                </c:pt>
                <c:pt idx="19">
                  <c:v>142.15335557909123</c:v>
                </c:pt>
                <c:pt idx="20">
                  <c:v>142.15335557909123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'7'!$AF$4:$AF$54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6-442C-ADBB-769E3E6E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86640"/>
        <c:axId val="1110087728"/>
      </c:scatterChart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dPt>
            <c:idx val="12"/>
            <c:bubble3D val="0"/>
            <c:spPr>
              <a:ln w="19050" cap="rnd">
                <a:solidFill>
                  <a:schemeClr val="accent2"/>
                </a:solidFill>
                <a:prstDash val="solid"/>
                <a:round/>
              </a:ln>
            </c:spPr>
            <c:extLst>
              <c:ext xmlns:c16="http://schemas.microsoft.com/office/drawing/2014/chart" uri="{C3380CC4-5D6E-409C-BE32-E72D297353CC}">
                <c16:uniqueId val="{00000002-6D26-442C-ADBB-769E3E6E1A90}"/>
              </c:ext>
            </c:extLst>
          </c:dPt>
          <c:xVal>
            <c:numRef>
              <c:f>'7'!$L$73:$L$100</c:f>
              <c:numCache>
                <c:formatCode>0.00</c:formatCode>
                <c:ptCount val="28"/>
                <c:pt idx="0" formatCode="General">
                  <c:v>0</c:v>
                </c:pt>
                <c:pt idx="1">
                  <c:v>0</c:v>
                </c:pt>
                <c:pt idx="2">
                  <c:v>4.520597283720531</c:v>
                </c:pt>
                <c:pt idx="3">
                  <c:v>5.1657310362071129</c:v>
                </c:pt>
                <c:pt idx="4">
                  <c:v>6.288818179638838</c:v>
                </c:pt>
                <c:pt idx="5">
                  <c:v>7.8437147513169165</c:v>
                </c:pt>
                <c:pt idx="6">
                  <c:v>9.796798025258429</c:v>
                </c:pt>
                <c:pt idx="7">
                  <c:v>12.130185674471686</c:v>
                </c:pt>
                <c:pt idx="8">
                  <c:v>14.834091487570324</c:v>
                </c:pt>
                <c:pt idx="9">
                  <c:v>17.903355579091215</c:v>
                </c:pt>
                <c:pt idx="10">
                  <c:v>22.153355579091215</c:v>
                </c:pt>
                <c:pt idx="11">
                  <c:v>142.15335557909123</c:v>
                </c:pt>
                <c:pt idx="12">
                  <c:v>142.15335557909123</c:v>
                </c:pt>
                <c:pt idx="13">
                  <c:v>142.15335557909123</c:v>
                </c:pt>
                <c:pt idx="14">
                  <c:v>142.15335557909123</c:v>
                </c:pt>
                <c:pt idx="15">
                  <c:v>142.15335557909123</c:v>
                </c:pt>
                <c:pt idx="16">
                  <c:v>142.15335557909123</c:v>
                </c:pt>
                <c:pt idx="17">
                  <c:v>142.15335557909123</c:v>
                </c:pt>
                <c:pt idx="18">
                  <c:v>142.15335557909123</c:v>
                </c:pt>
                <c:pt idx="19">
                  <c:v>142.15335557909123</c:v>
                </c:pt>
                <c:pt idx="20">
                  <c:v>142.15335557909123</c:v>
                </c:pt>
                <c:pt idx="21">
                  <c:v>142.15335557909123</c:v>
                </c:pt>
                <c:pt idx="22">
                  <c:v>142.15335557909123</c:v>
                </c:pt>
                <c:pt idx="23">
                  <c:v>142.15335557909123</c:v>
                </c:pt>
                <c:pt idx="24">
                  <c:v>142.15335557909123</c:v>
                </c:pt>
                <c:pt idx="25">
                  <c:v>142.15335557909123</c:v>
                </c:pt>
                <c:pt idx="26">
                  <c:v>142.15335557909123</c:v>
                </c:pt>
                <c:pt idx="27">
                  <c:v>142.15335557909123</c:v>
                </c:pt>
              </c:numCache>
            </c:numRef>
          </c:xVal>
          <c:yVal>
            <c:numRef>
              <c:f>'7'!$M$73:$M$100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26-442C-ADBB-769E3E6E1A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88272"/>
        <c:axId val="1110088816"/>
      </c:scatterChart>
      <c:valAx>
        <c:axId val="1110086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7728"/>
        <c:crosses val="autoZero"/>
        <c:crossBetween val="midCat"/>
        <c:majorUnit val="5"/>
      </c:valAx>
      <c:valAx>
        <c:axId val="1110087728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6640"/>
        <c:crosses val="autoZero"/>
        <c:crossBetween val="midCat"/>
        <c:majorUnit val="1"/>
      </c:valAx>
      <c:valAx>
        <c:axId val="11100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088816"/>
        <c:crosses val="autoZero"/>
        <c:crossBetween val="midCat"/>
      </c:valAx>
      <c:valAx>
        <c:axId val="111008881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8272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600" b="1"/>
              <a:t>График расписания закачки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0.11714558251035399"/>
          <c:y val="9.9678450666592963E-2"/>
          <c:w val="0.75042355825970564"/>
          <c:h val="0.70559624828399536"/>
        </c:manualLayout>
      </c:layout>
      <c:scatterChart>
        <c:scatterStyle val="lineMarker"/>
        <c:varyColors val="0"/>
        <c:ser>
          <c:idx val="0"/>
          <c:order val="0"/>
          <c:tx>
            <c:v>Расход</c:v>
          </c:tx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'9'!$AD$4:$AD$54</c:f>
              <c:numCache>
                <c:formatCode>General</c:formatCode>
                <c:ptCount val="51"/>
                <c:pt idx="0">
                  <c:v>0</c:v>
                </c:pt>
                <c:pt idx="1">
                  <c:v>22.828000356958992</c:v>
                </c:pt>
                <c:pt idx="2">
                  <c:v>22.828000356958992</c:v>
                </c:pt>
                <c:pt idx="3" formatCode="0.00">
                  <c:v>23.340061810872324</c:v>
                </c:pt>
                <c:pt idx="4" formatCode="0.00">
                  <c:v>23.340061810872324</c:v>
                </c:pt>
                <c:pt idx="5">
                  <c:v>24.379763602325866</c:v>
                </c:pt>
                <c:pt idx="6">
                  <c:v>24.379763602325866</c:v>
                </c:pt>
                <c:pt idx="7">
                  <c:v>25.765049180432907</c:v>
                </c:pt>
                <c:pt idx="8">
                  <c:v>25.765049180432907</c:v>
                </c:pt>
                <c:pt idx="9">
                  <c:v>27.42421367245263</c:v>
                </c:pt>
                <c:pt idx="10">
                  <c:v>27.42421367245263</c:v>
                </c:pt>
                <c:pt idx="11">
                  <c:v>29.329864516697839</c:v>
                </c:pt>
                <c:pt idx="12">
                  <c:v>29.329864516697839</c:v>
                </c:pt>
                <c:pt idx="13">
                  <c:v>31.45509482959848</c:v>
                </c:pt>
                <c:pt idx="14">
                  <c:v>31.45509482959848</c:v>
                </c:pt>
                <c:pt idx="15">
                  <c:v>33.786800714267827</c:v>
                </c:pt>
                <c:pt idx="16">
                  <c:v>33.786800714267827</c:v>
                </c:pt>
                <c:pt idx="17">
                  <c:v>36.316224759333551</c:v>
                </c:pt>
                <c:pt idx="18">
                  <c:v>36.316224759333551</c:v>
                </c:pt>
                <c:pt idx="19">
                  <c:v>39.037301233888947</c:v>
                </c:pt>
                <c:pt idx="20">
                  <c:v>39.037301233888947</c:v>
                </c:pt>
                <c:pt idx="21">
                  <c:v>41.945734335869254</c:v>
                </c:pt>
                <c:pt idx="22">
                  <c:v>41.945734335869254</c:v>
                </c:pt>
                <c:pt idx="23">
                  <c:v>45.03844634574353</c:v>
                </c:pt>
                <c:pt idx="24">
                  <c:v>45.03844634574353</c:v>
                </c:pt>
                <c:pt idx="25">
                  <c:v>48.313228268696278</c:v>
                </c:pt>
                <c:pt idx="26">
                  <c:v>48.313228268696278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'9'!$AF$4:$AF$54</c:f>
              <c:numCache>
                <c:formatCode>General</c:formatCode>
                <c:ptCount val="5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87-4921-948C-6BE80AEB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89360"/>
        <c:axId val="1110089904"/>
      </c:scatterChart>
      <c:scatterChart>
        <c:scatterStyle val="lineMarker"/>
        <c:varyColors val="0"/>
        <c:ser>
          <c:idx val="1"/>
          <c:order val="1"/>
          <c:tx>
            <c:v>Концентрация</c:v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'9'!$AD$4:$AD$54</c:f>
              <c:numCache>
                <c:formatCode>General</c:formatCode>
                <c:ptCount val="51"/>
                <c:pt idx="0">
                  <c:v>0</c:v>
                </c:pt>
                <c:pt idx="1">
                  <c:v>22.828000356958992</c:v>
                </c:pt>
                <c:pt idx="2">
                  <c:v>22.828000356958992</c:v>
                </c:pt>
                <c:pt idx="3" formatCode="0.00">
                  <c:v>23.340061810872324</c:v>
                </c:pt>
                <c:pt idx="4" formatCode="0.00">
                  <c:v>23.340061810872324</c:v>
                </c:pt>
                <c:pt idx="5">
                  <c:v>24.379763602325866</c:v>
                </c:pt>
                <c:pt idx="6">
                  <c:v>24.379763602325866</c:v>
                </c:pt>
                <c:pt idx="7">
                  <c:v>25.765049180432907</c:v>
                </c:pt>
                <c:pt idx="8">
                  <c:v>25.765049180432907</c:v>
                </c:pt>
                <c:pt idx="9">
                  <c:v>27.42421367245263</c:v>
                </c:pt>
                <c:pt idx="10">
                  <c:v>27.42421367245263</c:v>
                </c:pt>
                <c:pt idx="11">
                  <c:v>29.329864516697839</c:v>
                </c:pt>
                <c:pt idx="12">
                  <c:v>29.329864516697839</c:v>
                </c:pt>
                <c:pt idx="13">
                  <c:v>31.45509482959848</c:v>
                </c:pt>
                <c:pt idx="14">
                  <c:v>31.45509482959848</c:v>
                </c:pt>
                <c:pt idx="15">
                  <c:v>33.786800714267827</c:v>
                </c:pt>
                <c:pt idx="16">
                  <c:v>33.786800714267827</c:v>
                </c:pt>
                <c:pt idx="17">
                  <c:v>36.316224759333551</c:v>
                </c:pt>
                <c:pt idx="18">
                  <c:v>36.316224759333551</c:v>
                </c:pt>
                <c:pt idx="19">
                  <c:v>39.037301233888947</c:v>
                </c:pt>
                <c:pt idx="20">
                  <c:v>39.037301233888947</c:v>
                </c:pt>
                <c:pt idx="21">
                  <c:v>41.945734335869254</c:v>
                </c:pt>
                <c:pt idx="22">
                  <c:v>41.945734335869254</c:v>
                </c:pt>
                <c:pt idx="23">
                  <c:v>45.03844634574353</c:v>
                </c:pt>
                <c:pt idx="24">
                  <c:v>45.03844634574353</c:v>
                </c:pt>
                <c:pt idx="25">
                  <c:v>48.313228268696278</c:v>
                </c:pt>
                <c:pt idx="26">
                  <c:v>48.313228268696278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 formatCode="0.00">
                  <c:v>0</c:v>
                </c:pt>
                <c:pt idx="32" formatCode="0.00">
                  <c:v>0</c:v>
                </c:pt>
                <c:pt idx="33" formatCode="0.00">
                  <c:v>0</c:v>
                </c:pt>
                <c:pt idx="34" formatCode="0.00">
                  <c:v>0</c:v>
                </c:pt>
                <c:pt idx="35" formatCode="0.00">
                  <c:v>0</c:v>
                </c:pt>
                <c:pt idx="36" formatCode="0.00">
                  <c:v>0</c:v>
                </c:pt>
                <c:pt idx="37" formatCode="0.00">
                  <c:v>0</c:v>
                </c:pt>
                <c:pt idx="38" formatCode="0.00">
                  <c:v>0</c:v>
                </c:pt>
                <c:pt idx="39" formatCode="0.00">
                  <c:v>0</c:v>
                </c:pt>
                <c:pt idx="40" formatCode="0.00">
                  <c:v>0</c:v>
                </c:pt>
                <c:pt idx="41" formatCode="0.00">
                  <c:v>0</c:v>
                </c:pt>
                <c:pt idx="42" formatCode="0.00">
                  <c:v>0</c:v>
                </c:pt>
                <c:pt idx="43" formatCode="0.00">
                  <c:v>0</c:v>
                </c:pt>
                <c:pt idx="44" formatCode="0.00">
                  <c:v>0</c:v>
                </c:pt>
                <c:pt idx="45" formatCode="0.00">
                  <c:v>0</c:v>
                </c:pt>
                <c:pt idx="46" formatCode="0.00">
                  <c:v>0</c:v>
                </c:pt>
                <c:pt idx="47" formatCode="0.00">
                  <c:v>0</c:v>
                </c:pt>
                <c:pt idx="48" formatCode="0.00">
                  <c:v>0</c:v>
                </c:pt>
                <c:pt idx="49" formatCode="0.00">
                  <c:v>0</c:v>
                </c:pt>
                <c:pt idx="50" formatCode="0.00">
                  <c:v>0</c:v>
                </c:pt>
              </c:numCache>
            </c:numRef>
          </c:xVal>
          <c:yVal>
            <c:numRef>
              <c:f>'9'!$AE$4:$AE$54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200</c:v>
                </c:pt>
                <c:pt idx="5">
                  <c:v>200</c:v>
                </c:pt>
                <c:pt idx="6">
                  <c:v>300</c:v>
                </c:pt>
                <c:pt idx="7">
                  <c:v>300</c:v>
                </c:pt>
                <c:pt idx="8">
                  <c:v>400</c:v>
                </c:pt>
                <c:pt idx="9">
                  <c:v>400</c:v>
                </c:pt>
                <c:pt idx="10">
                  <c:v>500</c:v>
                </c:pt>
                <c:pt idx="11">
                  <c:v>500</c:v>
                </c:pt>
                <c:pt idx="12">
                  <c:v>600</c:v>
                </c:pt>
                <c:pt idx="13">
                  <c:v>600</c:v>
                </c:pt>
                <c:pt idx="14">
                  <c:v>700</c:v>
                </c:pt>
                <c:pt idx="15">
                  <c:v>700</c:v>
                </c:pt>
                <c:pt idx="16">
                  <c:v>800</c:v>
                </c:pt>
                <c:pt idx="17">
                  <c:v>800</c:v>
                </c:pt>
                <c:pt idx="18">
                  <c:v>900</c:v>
                </c:pt>
                <c:pt idx="19">
                  <c:v>900</c:v>
                </c:pt>
                <c:pt idx="20">
                  <c:v>1000</c:v>
                </c:pt>
                <c:pt idx="21">
                  <c:v>1000</c:v>
                </c:pt>
                <c:pt idx="22">
                  <c:v>1100</c:v>
                </c:pt>
                <c:pt idx="23">
                  <c:v>1100</c:v>
                </c:pt>
                <c:pt idx="24">
                  <c:v>1200</c:v>
                </c:pt>
                <c:pt idx="25">
                  <c:v>1200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87-4921-948C-6BE80AEB9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0090448"/>
        <c:axId val="1110090992"/>
      </c:scatterChart>
      <c:valAx>
        <c:axId val="111008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Время, 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9904"/>
        <c:crosses val="autoZero"/>
        <c:crossBetween val="midCat"/>
        <c:majorUnit val="5"/>
      </c:valAx>
      <c:valAx>
        <c:axId val="1110089904"/>
        <c:scaling>
          <c:orientation val="minMax"/>
          <c:max val="12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6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Расход, м</a:t>
                </a:r>
                <a:r>
                  <a:rPr lang="ru-RU" sz="1400" b="1" baseline="30000"/>
                  <a:t>3</a:t>
                </a:r>
                <a:r>
                  <a:rPr lang="ru-RU" sz="1400" b="1"/>
                  <a:t>/мин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89360"/>
        <c:crosses val="autoZero"/>
        <c:crossBetween val="midCat"/>
        <c:majorUnit val="1"/>
      </c:valAx>
      <c:valAx>
        <c:axId val="111009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0090992"/>
        <c:crosses val="autoZero"/>
        <c:crossBetween val="midCat"/>
      </c:valAx>
      <c:valAx>
        <c:axId val="111009099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400" b="1"/>
                  <a:t>Концентрация,</a:t>
                </a:r>
                <a:r>
                  <a:rPr lang="ru-RU" sz="1400" b="1" baseline="0"/>
                  <a:t> м</a:t>
                </a:r>
                <a:r>
                  <a:rPr lang="ru-RU" sz="1400" b="1" baseline="30000"/>
                  <a:t>3</a:t>
                </a:r>
                <a:r>
                  <a:rPr lang="ru-RU" sz="1400" b="1" baseline="0"/>
                  <a:t>/мин</a:t>
                </a:r>
                <a:endParaRPr lang="ru-RU" sz="1400" b="1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0090448"/>
        <c:crosses val="max"/>
        <c:crossBetween val="midCat"/>
        <c:majorUnit val="100"/>
        <c:minorUnit val="100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214513</xdr:colOff>
      <xdr:row>22</xdr:row>
      <xdr:rowOff>156882</xdr:rowOff>
    </xdr:from>
    <xdr:to>
      <xdr:col>6</xdr:col>
      <xdr:colOff>11206</xdr:colOff>
      <xdr:row>40</xdr:row>
      <xdr:rowOff>145678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214513</xdr:colOff>
      <xdr:row>22</xdr:row>
      <xdr:rowOff>156882</xdr:rowOff>
    </xdr:from>
    <xdr:to>
      <xdr:col>6</xdr:col>
      <xdr:colOff>11206</xdr:colOff>
      <xdr:row>40</xdr:row>
      <xdr:rowOff>145678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244993</xdr:colOff>
      <xdr:row>25</xdr:row>
      <xdr:rowOff>111162</xdr:rowOff>
    </xdr:from>
    <xdr:to>
      <xdr:col>6</xdr:col>
      <xdr:colOff>41686</xdr:colOff>
      <xdr:row>43</xdr:row>
      <xdr:rowOff>16138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214513</xdr:colOff>
      <xdr:row>22</xdr:row>
      <xdr:rowOff>156882</xdr:rowOff>
    </xdr:from>
    <xdr:to>
      <xdr:col>6</xdr:col>
      <xdr:colOff>11206</xdr:colOff>
      <xdr:row>40</xdr:row>
      <xdr:rowOff>145678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0.1.79\pgsmb\&#1042;&#1085;&#1091;&#1090;&#1088;&#1077;&#1085;&#1085;&#1080;&#1077;%20&#1090;&#1088;&#1077;&#1085;&#1080;&#1085;&#1075;&#1080;\&#1057;&#1077;&#1084;&#1080;&#1085;&#1072;&#1088;%20&#1048;&#1058;&#1057;\3.%20&#1057;&#1077;&#1084;&#1080;&#1085;&#1072;&#1088;&#1099;%20&#1087;&#1086;%20&#1043;&#1080;&#1076;&#1088;&#1086;&#1076;&#1080;&#1085;&#1072;&#1084;&#1080;&#1082;&#1077;\&#1040;&#1075;&#1080;&#1088;&#1088;&#1077;\&#1101;&#1082;&#1089;&#1077;&#1083;&#1080;%20&#1082;%20&#1075;&#1077;&#1085;&#1077;&#1088;&#1072;&#1090;&#1086;&#1088;&#1091;\V%202.2\&#1043;&#1077;&#1085;&#1077;&#1088;&#1072;&#1090;&#1086;&#1088;%20&#1088;&#1072;&#1089;&#1087;&#1080;&#1089;&#1072;&#1085;&#1080;&#1081;%20V2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ЕГЕНДА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</sheetNames>
    <sheetDataSet>
      <sheetData sheetId="0"/>
      <sheetData sheetId="1"/>
      <sheetData sheetId="2"/>
      <sheetData sheetId="3"/>
      <sheetData sheetId="4"/>
      <sheetData sheetId="5">
        <row r="4">
          <cell r="AD4">
            <v>0</v>
          </cell>
          <cell r="AF4">
            <v>3</v>
          </cell>
        </row>
        <row r="5">
          <cell r="AD5">
            <v>11.55861494641546</v>
          </cell>
          <cell r="AF5">
            <v>3</v>
          </cell>
        </row>
        <row r="6">
          <cell r="AD6">
            <v>11.55861494641546</v>
          </cell>
          <cell r="AF6">
            <v>3</v>
          </cell>
        </row>
        <row r="7">
          <cell r="AD7">
            <v>13.041665793873086</v>
          </cell>
          <cell r="AF7">
            <v>3</v>
          </cell>
        </row>
        <row r="8">
          <cell r="AD8">
            <v>13.041665793873086</v>
          </cell>
          <cell r="AF8">
            <v>3</v>
          </cell>
        </row>
        <row r="9">
          <cell r="AD9">
            <v>14.574151669579301</v>
          </cell>
          <cell r="AF9">
            <v>3</v>
          </cell>
        </row>
        <row r="10">
          <cell r="AD10">
            <v>14.574151669579301</v>
          </cell>
          <cell r="AF10">
            <v>3</v>
          </cell>
        </row>
        <row r="11">
          <cell r="AD11">
            <v>16.156072573534104</v>
          </cell>
          <cell r="AF11">
            <v>3</v>
          </cell>
        </row>
        <row r="12">
          <cell r="AD12">
            <v>16.156072573534104</v>
          </cell>
          <cell r="AF12">
            <v>3</v>
          </cell>
        </row>
        <row r="13">
          <cell r="AD13">
            <v>17.787428505737495</v>
          </cell>
          <cell r="AF13">
            <v>3</v>
          </cell>
        </row>
        <row r="14">
          <cell r="AD14">
            <v>17.787428505737495</v>
          </cell>
          <cell r="AF14">
            <v>3</v>
          </cell>
        </row>
        <row r="15">
          <cell r="AD15">
            <v>19.468219466189474</v>
          </cell>
          <cell r="AF15">
            <v>3</v>
          </cell>
        </row>
        <row r="16">
          <cell r="AD16">
            <v>19.468219466189474</v>
          </cell>
          <cell r="AF16">
            <v>3</v>
          </cell>
        </row>
        <row r="17">
          <cell r="AD17">
            <v>21.205053956930215</v>
          </cell>
          <cell r="AF17">
            <v>3</v>
          </cell>
        </row>
        <row r="18">
          <cell r="AD18">
            <v>21.205053956930215</v>
          </cell>
          <cell r="AF18">
            <v>3</v>
          </cell>
        </row>
        <row r="19">
          <cell r="AD19">
            <v>22.992525021745031</v>
          </cell>
          <cell r="AF19">
            <v>3</v>
          </cell>
        </row>
        <row r="20">
          <cell r="AD20">
            <v>22.992525021745031</v>
          </cell>
          <cell r="AF20">
            <v>3</v>
          </cell>
        </row>
        <row r="21">
          <cell r="AD21">
            <v>24.83063266063392</v>
          </cell>
          <cell r="AF21">
            <v>3</v>
          </cell>
        </row>
        <row r="22">
          <cell r="AD22">
            <v>24.83063266063392</v>
          </cell>
          <cell r="AF22">
            <v>3</v>
          </cell>
        </row>
        <row r="23">
          <cell r="AD23">
            <v>28.191743771745031</v>
          </cell>
          <cell r="AF23">
            <v>3</v>
          </cell>
        </row>
        <row r="24">
          <cell r="AD24">
            <v>28.191743771745031</v>
          </cell>
          <cell r="AF24">
            <v>3</v>
          </cell>
        </row>
        <row r="25">
          <cell r="AD25">
            <v>33.191743771745031</v>
          </cell>
          <cell r="AF25">
            <v>3</v>
          </cell>
        </row>
        <row r="26">
          <cell r="AD26">
            <v>33.191743771745031</v>
          </cell>
          <cell r="AF26">
            <v>3</v>
          </cell>
        </row>
        <row r="27">
          <cell r="AD27" t="e">
            <v>#VALUE!</v>
          </cell>
          <cell r="AF27">
            <v>3</v>
          </cell>
        </row>
        <row r="28">
          <cell r="AD28" t="e">
            <v>#VALUE!</v>
          </cell>
          <cell r="AF28">
            <v>3</v>
          </cell>
        </row>
        <row r="29">
          <cell r="AD29" t="e">
            <v>#VALUE!</v>
          </cell>
          <cell r="AF29">
            <v>3</v>
          </cell>
        </row>
        <row r="30">
          <cell r="AD30" t="e">
            <v>#VALUE!</v>
          </cell>
          <cell r="AF30">
            <v>3</v>
          </cell>
        </row>
        <row r="31">
          <cell r="AD31" t="e">
            <v>#VALUE!</v>
          </cell>
          <cell r="AF31">
            <v>3</v>
          </cell>
        </row>
        <row r="32">
          <cell r="AD32" t="e">
            <v>#VALUE!</v>
          </cell>
          <cell r="AF32">
            <v>3</v>
          </cell>
        </row>
        <row r="33">
          <cell r="AD33" t="e">
            <v>#VALUE!</v>
          </cell>
          <cell r="AF33">
            <v>3</v>
          </cell>
        </row>
        <row r="34">
          <cell r="AD34" t="e">
            <v>#VALUE!</v>
          </cell>
          <cell r="AF34">
            <v>3</v>
          </cell>
        </row>
        <row r="35">
          <cell r="AD35" t="e">
            <v>#VALUE!</v>
          </cell>
          <cell r="AF35">
            <v>3</v>
          </cell>
        </row>
        <row r="36">
          <cell r="AD36" t="e">
            <v>#VALUE!</v>
          </cell>
          <cell r="AF36">
            <v>3</v>
          </cell>
        </row>
        <row r="37">
          <cell r="AD37" t="e">
            <v>#VALUE!</v>
          </cell>
          <cell r="AF37">
            <v>3</v>
          </cell>
        </row>
        <row r="38">
          <cell r="AD38" t="e">
            <v>#VALUE!</v>
          </cell>
          <cell r="AF38">
            <v>3</v>
          </cell>
        </row>
        <row r="39">
          <cell r="AD39" t="e">
            <v>#VALUE!</v>
          </cell>
          <cell r="AF39">
            <v>3</v>
          </cell>
        </row>
        <row r="40">
          <cell r="AD40" t="e">
            <v>#VALUE!</v>
          </cell>
          <cell r="AF40">
            <v>3</v>
          </cell>
        </row>
        <row r="41">
          <cell r="AD41" t="e">
            <v>#VALUE!</v>
          </cell>
          <cell r="AF41">
            <v>3</v>
          </cell>
        </row>
        <row r="42">
          <cell r="AD42" t="e">
            <v>#VALUE!</v>
          </cell>
          <cell r="AF42">
            <v>3</v>
          </cell>
        </row>
        <row r="43">
          <cell r="AD43" t="e">
            <v>#VALUE!</v>
          </cell>
          <cell r="AF43">
            <v>3</v>
          </cell>
        </row>
        <row r="44">
          <cell r="AD44" t="e">
            <v>#VALUE!</v>
          </cell>
          <cell r="AF44">
            <v>3</v>
          </cell>
        </row>
        <row r="45">
          <cell r="AD45" t="e">
            <v>#VALUE!</v>
          </cell>
          <cell r="AF45">
            <v>3</v>
          </cell>
        </row>
        <row r="46">
          <cell r="AD46" t="e">
            <v>#VALUE!</v>
          </cell>
          <cell r="AF46">
            <v>3</v>
          </cell>
        </row>
        <row r="47">
          <cell r="AD47" t="e">
            <v>#VALUE!</v>
          </cell>
          <cell r="AF47">
            <v>3</v>
          </cell>
        </row>
        <row r="48">
          <cell r="AD48" t="e">
            <v>#VALUE!</v>
          </cell>
          <cell r="AF48">
            <v>3</v>
          </cell>
        </row>
        <row r="49">
          <cell r="AD49" t="e">
            <v>#VALUE!</v>
          </cell>
          <cell r="AF49">
            <v>3</v>
          </cell>
        </row>
        <row r="50">
          <cell r="AD50" t="e">
            <v>#VALUE!</v>
          </cell>
          <cell r="AF50">
            <v>3</v>
          </cell>
        </row>
        <row r="51">
          <cell r="AD51" t="e">
            <v>#VALUE!</v>
          </cell>
          <cell r="AF51">
            <v>3</v>
          </cell>
        </row>
        <row r="52">
          <cell r="AD52" t="e">
            <v>#VALUE!</v>
          </cell>
          <cell r="AF52">
            <v>3</v>
          </cell>
        </row>
        <row r="53">
          <cell r="AD53" t="e">
            <v>#VALUE!</v>
          </cell>
          <cell r="AF53">
            <v>3</v>
          </cell>
        </row>
        <row r="54">
          <cell r="AD54" t="e">
            <v>#VALUE!</v>
          </cell>
          <cell r="AF54">
            <v>3</v>
          </cell>
        </row>
        <row r="73">
          <cell r="L73">
            <v>0</v>
          </cell>
          <cell r="M73">
            <v>0</v>
          </cell>
        </row>
        <row r="74">
          <cell r="L74">
            <v>11.55861494641546</v>
          </cell>
          <cell r="M74">
            <v>0</v>
          </cell>
        </row>
        <row r="75">
          <cell r="L75">
            <v>11.55861494641546</v>
          </cell>
          <cell r="M75">
            <v>0</v>
          </cell>
        </row>
        <row r="76">
          <cell r="L76">
            <v>13.041665793873086</v>
          </cell>
          <cell r="M76">
            <v>100</v>
          </cell>
        </row>
        <row r="77">
          <cell r="L77">
            <v>14.574151669579301</v>
          </cell>
          <cell r="M77">
            <v>200</v>
          </cell>
        </row>
        <row r="78">
          <cell r="L78">
            <v>16.156072573534104</v>
          </cell>
          <cell r="M78">
            <v>300</v>
          </cell>
        </row>
        <row r="79">
          <cell r="L79">
            <v>17.787428505737495</v>
          </cell>
          <cell r="M79">
            <v>400</v>
          </cell>
        </row>
        <row r="80">
          <cell r="L80">
            <v>19.468219466189474</v>
          </cell>
          <cell r="M80">
            <v>500</v>
          </cell>
        </row>
        <row r="81">
          <cell r="L81">
            <v>21.205053956930215</v>
          </cell>
          <cell r="M81">
            <v>600</v>
          </cell>
        </row>
        <row r="82">
          <cell r="L82">
            <v>22.992525021745031</v>
          </cell>
          <cell r="M82">
            <v>700</v>
          </cell>
        </row>
        <row r="83">
          <cell r="L83">
            <v>24.83063266063392</v>
          </cell>
          <cell r="M83">
            <v>800</v>
          </cell>
        </row>
        <row r="84">
          <cell r="L84">
            <v>28.191743771745031</v>
          </cell>
          <cell r="M84">
            <v>800</v>
          </cell>
        </row>
        <row r="85">
          <cell r="L85">
            <v>28.191743771745031</v>
          </cell>
          <cell r="M85" t="str">
            <v>-</v>
          </cell>
        </row>
        <row r="86">
          <cell r="L86">
            <v>28.191743771745031</v>
          </cell>
          <cell r="M86" t="str">
            <v>-</v>
          </cell>
        </row>
        <row r="87">
          <cell r="L87">
            <v>28.191743771745031</v>
          </cell>
          <cell r="M87" t="str">
            <v>-</v>
          </cell>
        </row>
        <row r="88">
          <cell r="L88">
            <v>28.191743771745031</v>
          </cell>
          <cell r="M88" t="str">
            <v>-</v>
          </cell>
        </row>
        <row r="89">
          <cell r="L89">
            <v>28.191743771745031</v>
          </cell>
          <cell r="M89" t="str">
            <v>-</v>
          </cell>
        </row>
        <row r="90">
          <cell r="L90">
            <v>28.191743771745031</v>
          </cell>
          <cell r="M90" t="str">
            <v>-</v>
          </cell>
        </row>
        <row r="91">
          <cell r="L91">
            <v>28.191743771745031</v>
          </cell>
          <cell r="M91" t="str">
            <v>-</v>
          </cell>
        </row>
        <row r="92">
          <cell r="L92">
            <v>28.191743771745031</v>
          </cell>
          <cell r="M92" t="str">
            <v>-</v>
          </cell>
        </row>
        <row r="93">
          <cell r="L93">
            <v>28.191743771745031</v>
          </cell>
          <cell r="M93" t="str">
            <v>-</v>
          </cell>
        </row>
        <row r="94">
          <cell r="L94">
            <v>28.191743771745031</v>
          </cell>
          <cell r="M94" t="str">
            <v>-</v>
          </cell>
        </row>
        <row r="95">
          <cell r="L95">
            <v>28.191743771745031</v>
          </cell>
          <cell r="M95" t="str">
            <v>-</v>
          </cell>
        </row>
        <row r="96">
          <cell r="L96">
            <v>28.191743771745031</v>
          </cell>
          <cell r="M96" t="str">
            <v>-</v>
          </cell>
        </row>
        <row r="97">
          <cell r="L97">
            <v>28.191743771745031</v>
          </cell>
          <cell r="M97" t="str">
            <v>-</v>
          </cell>
        </row>
        <row r="98">
          <cell r="L98">
            <v>28.191743771745031</v>
          </cell>
          <cell r="M98" t="str">
            <v>-</v>
          </cell>
        </row>
        <row r="99">
          <cell r="L99">
            <v>28.191743771745031</v>
          </cell>
          <cell r="M99" t="str">
            <v>-</v>
          </cell>
        </row>
        <row r="100">
          <cell r="L100">
            <v>28.191743771745031</v>
          </cell>
          <cell r="M100" t="str">
            <v>-</v>
          </cell>
        </row>
      </sheetData>
      <sheetData sheetId="6">
        <row r="4">
          <cell r="AD4">
            <v>0</v>
          </cell>
          <cell r="AF4">
            <v>3</v>
          </cell>
        </row>
        <row r="5">
          <cell r="AD5">
            <v>7.1284837822841007</v>
          </cell>
          <cell r="AF5">
            <v>3</v>
          </cell>
        </row>
        <row r="6">
          <cell r="AD6">
            <v>7.1284837822841007</v>
          </cell>
          <cell r="AF6">
            <v>3</v>
          </cell>
        </row>
        <row r="7">
          <cell r="AD7">
            <v>8.6115346297417279</v>
          </cell>
          <cell r="AF7">
            <v>3</v>
          </cell>
        </row>
        <row r="8">
          <cell r="AD8">
            <v>8.6115346297417279</v>
          </cell>
          <cell r="AF8">
            <v>3</v>
          </cell>
        </row>
        <row r="9">
          <cell r="AD9">
            <v>10.144020505447942</v>
          </cell>
          <cell r="AF9">
            <v>3</v>
          </cell>
        </row>
        <row r="10">
          <cell r="AD10">
            <v>10.144020505447942</v>
          </cell>
          <cell r="AF10">
            <v>3</v>
          </cell>
        </row>
        <row r="11">
          <cell r="AD11">
            <v>11.725941409402745</v>
          </cell>
          <cell r="AF11">
            <v>3</v>
          </cell>
        </row>
        <row r="12">
          <cell r="AD12">
            <v>11.725941409402745</v>
          </cell>
          <cell r="AF12">
            <v>3</v>
          </cell>
        </row>
        <row r="13">
          <cell r="AD13">
            <v>13.357297341606134</v>
          </cell>
          <cell r="AF13">
            <v>3</v>
          </cell>
        </row>
        <row r="14">
          <cell r="AD14">
            <v>13.357297341606134</v>
          </cell>
          <cell r="AF14">
            <v>3</v>
          </cell>
        </row>
        <row r="15">
          <cell r="AD15">
            <v>15.038088302058112</v>
          </cell>
          <cell r="AF15">
            <v>3</v>
          </cell>
        </row>
        <row r="16">
          <cell r="AD16">
            <v>15.038088302058112</v>
          </cell>
          <cell r="AF16">
            <v>3</v>
          </cell>
        </row>
        <row r="17">
          <cell r="AD17">
            <v>16.774922792798854</v>
          </cell>
          <cell r="AF17">
            <v>3</v>
          </cell>
        </row>
        <row r="18">
          <cell r="AD18">
            <v>16.774922792798854</v>
          </cell>
          <cell r="AF18">
            <v>3</v>
          </cell>
        </row>
        <row r="19">
          <cell r="AD19">
            <v>18.562393857613671</v>
          </cell>
          <cell r="AF19">
            <v>3</v>
          </cell>
        </row>
        <row r="20">
          <cell r="AD20">
            <v>18.562393857613671</v>
          </cell>
          <cell r="AF20">
            <v>3</v>
          </cell>
        </row>
        <row r="21">
          <cell r="AD21">
            <v>20.40050149650256</v>
          </cell>
          <cell r="AF21">
            <v>3</v>
          </cell>
        </row>
        <row r="22">
          <cell r="AD22">
            <v>20.40050149650256</v>
          </cell>
          <cell r="AF22">
            <v>3</v>
          </cell>
        </row>
        <row r="23">
          <cell r="AD23">
            <v>23.761612607613671</v>
          </cell>
          <cell r="AF23">
            <v>3</v>
          </cell>
        </row>
        <row r="24">
          <cell r="AD24">
            <v>23.761612607613671</v>
          </cell>
          <cell r="AF24">
            <v>3</v>
          </cell>
        </row>
        <row r="25">
          <cell r="AD25">
            <v>28.761612607613671</v>
          </cell>
          <cell r="AF25">
            <v>3</v>
          </cell>
        </row>
        <row r="26">
          <cell r="AD26">
            <v>28.761612607613671</v>
          </cell>
          <cell r="AF26">
            <v>3</v>
          </cell>
        </row>
        <row r="27">
          <cell r="AD27" t="e">
            <v>#VALUE!</v>
          </cell>
          <cell r="AF27">
            <v>3</v>
          </cell>
        </row>
        <row r="28">
          <cell r="AD28" t="e">
            <v>#VALUE!</v>
          </cell>
          <cell r="AF28">
            <v>3</v>
          </cell>
        </row>
        <row r="29">
          <cell r="AD29" t="e">
            <v>#VALUE!</v>
          </cell>
          <cell r="AF29">
            <v>3</v>
          </cell>
        </row>
        <row r="30">
          <cell r="AD30" t="e">
            <v>#VALUE!</v>
          </cell>
          <cell r="AF30">
            <v>3</v>
          </cell>
        </row>
        <row r="31">
          <cell r="AD31" t="e">
            <v>#VALUE!</v>
          </cell>
          <cell r="AF31">
            <v>3</v>
          </cell>
        </row>
        <row r="32">
          <cell r="AD32" t="e">
            <v>#VALUE!</v>
          </cell>
          <cell r="AF32">
            <v>3</v>
          </cell>
        </row>
        <row r="33">
          <cell r="AD33" t="e">
            <v>#VALUE!</v>
          </cell>
          <cell r="AF33">
            <v>3</v>
          </cell>
        </row>
        <row r="34">
          <cell r="AD34" t="e">
            <v>#VALUE!</v>
          </cell>
          <cell r="AF34">
            <v>3</v>
          </cell>
        </row>
        <row r="35">
          <cell r="AD35" t="e">
            <v>#VALUE!</v>
          </cell>
          <cell r="AF35">
            <v>3</v>
          </cell>
        </row>
        <row r="36">
          <cell r="AD36" t="e">
            <v>#VALUE!</v>
          </cell>
          <cell r="AF36">
            <v>3</v>
          </cell>
        </row>
        <row r="37">
          <cell r="AD37" t="e">
            <v>#VALUE!</v>
          </cell>
          <cell r="AF37">
            <v>3</v>
          </cell>
        </row>
        <row r="38">
          <cell r="AD38" t="e">
            <v>#VALUE!</v>
          </cell>
          <cell r="AF38">
            <v>3</v>
          </cell>
        </row>
        <row r="39">
          <cell r="AD39" t="e">
            <v>#VALUE!</v>
          </cell>
          <cell r="AF39">
            <v>3</v>
          </cell>
        </row>
        <row r="40">
          <cell r="AD40" t="e">
            <v>#VALUE!</v>
          </cell>
          <cell r="AF40">
            <v>3</v>
          </cell>
        </row>
        <row r="41">
          <cell r="AD41" t="e">
            <v>#VALUE!</v>
          </cell>
          <cell r="AF41">
            <v>3</v>
          </cell>
        </row>
        <row r="42">
          <cell r="AD42" t="e">
            <v>#VALUE!</v>
          </cell>
          <cell r="AF42">
            <v>3</v>
          </cell>
        </row>
        <row r="43">
          <cell r="AD43" t="e">
            <v>#VALUE!</v>
          </cell>
          <cell r="AF43">
            <v>3</v>
          </cell>
        </row>
        <row r="44">
          <cell r="AD44" t="e">
            <v>#VALUE!</v>
          </cell>
          <cell r="AF44">
            <v>3</v>
          </cell>
        </row>
        <row r="45">
          <cell r="AD45" t="e">
            <v>#VALUE!</v>
          </cell>
          <cell r="AF45">
            <v>3</v>
          </cell>
        </row>
        <row r="46">
          <cell r="AD46" t="e">
            <v>#VALUE!</v>
          </cell>
          <cell r="AF46">
            <v>3</v>
          </cell>
        </row>
        <row r="47">
          <cell r="AD47" t="e">
            <v>#VALUE!</v>
          </cell>
          <cell r="AF47">
            <v>3</v>
          </cell>
        </row>
        <row r="48">
          <cell r="AD48" t="e">
            <v>#VALUE!</v>
          </cell>
          <cell r="AF48">
            <v>3</v>
          </cell>
        </row>
        <row r="49">
          <cell r="AD49" t="e">
            <v>#VALUE!</v>
          </cell>
          <cell r="AF49">
            <v>3</v>
          </cell>
        </row>
        <row r="50">
          <cell r="AD50" t="e">
            <v>#VALUE!</v>
          </cell>
          <cell r="AF50">
            <v>3</v>
          </cell>
        </row>
        <row r="51">
          <cell r="AD51" t="e">
            <v>#VALUE!</v>
          </cell>
          <cell r="AF51">
            <v>3</v>
          </cell>
        </row>
        <row r="52">
          <cell r="AD52" t="e">
            <v>#VALUE!</v>
          </cell>
          <cell r="AF52">
            <v>3</v>
          </cell>
        </row>
        <row r="53">
          <cell r="AD53" t="e">
            <v>#VALUE!</v>
          </cell>
          <cell r="AF53">
            <v>3</v>
          </cell>
        </row>
        <row r="54">
          <cell r="AD54" t="e">
            <v>#VALUE!</v>
          </cell>
          <cell r="AF54">
            <v>3</v>
          </cell>
        </row>
        <row r="73">
          <cell r="L73">
            <v>0</v>
          </cell>
          <cell r="M73">
            <v>0</v>
          </cell>
        </row>
        <row r="74">
          <cell r="L74">
            <v>7.1284837822841007</v>
          </cell>
          <cell r="M74">
            <v>0</v>
          </cell>
        </row>
        <row r="75">
          <cell r="L75">
            <v>7.1284837822841007</v>
          </cell>
          <cell r="M75">
            <v>0</v>
          </cell>
        </row>
        <row r="76">
          <cell r="L76">
            <v>8.6115346297417279</v>
          </cell>
          <cell r="M76">
            <v>100</v>
          </cell>
        </row>
        <row r="77">
          <cell r="L77">
            <v>10.144020505447942</v>
          </cell>
          <cell r="M77">
            <v>200</v>
          </cell>
        </row>
        <row r="78">
          <cell r="L78">
            <v>11.725941409402745</v>
          </cell>
          <cell r="M78">
            <v>300</v>
          </cell>
        </row>
        <row r="79">
          <cell r="L79">
            <v>13.357297341606134</v>
          </cell>
          <cell r="M79">
            <v>400</v>
          </cell>
        </row>
        <row r="80">
          <cell r="L80">
            <v>15.038088302058112</v>
          </cell>
          <cell r="M80">
            <v>500</v>
          </cell>
        </row>
        <row r="81">
          <cell r="L81">
            <v>16.774922792798854</v>
          </cell>
          <cell r="M81">
            <v>600</v>
          </cell>
        </row>
        <row r="82">
          <cell r="L82">
            <v>18.562393857613671</v>
          </cell>
          <cell r="M82">
            <v>700</v>
          </cell>
        </row>
        <row r="83">
          <cell r="L83">
            <v>20.40050149650256</v>
          </cell>
          <cell r="M83">
            <v>800</v>
          </cell>
        </row>
        <row r="84">
          <cell r="L84">
            <v>23.761612607613671</v>
          </cell>
          <cell r="M84">
            <v>800</v>
          </cell>
        </row>
        <row r="85">
          <cell r="L85">
            <v>23.761612607613671</v>
          </cell>
          <cell r="M85" t="str">
            <v>-</v>
          </cell>
        </row>
        <row r="86">
          <cell r="L86">
            <v>23.761612607613671</v>
          </cell>
          <cell r="M86" t="str">
            <v>-</v>
          </cell>
        </row>
        <row r="87">
          <cell r="L87">
            <v>23.761612607613671</v>
          </cell>
          <cell r="M87" t="str">
            <v>-</v>
          </cell>
        </row>
        <row r="88">
          <cell r="L88">
            <v>23.761612607613671</v>
          </cell>
          <cell r="M88" t="str">
            <v>-</v>
          </cell>
        </row>
        <row r="89">
          <cell r="L89">
            <v>23.761612607613671</v>
          </cell>
          <cell r="M89" t="str">
            <v>-</v>
          </cell>
        </row>
        <row r="90">
          <cell r="L90">
            <v>23.761612607613671</v>
          </cell>
          <cell r="M90" t="str">
            <v>-</v>
          </cell>
        </row>
        <row r="91">
          <cell r="L91">
            <v>23.761612607613671</v>
          </cell>
          <cell r="M91" t="str">
            <v>-</v>
          </cell>
        </row>
        <row r="92">
          <cell r="L92">
            <v>23.761612607613671</v>
          </cell>
          <cell r="M92" t="str">
            <v>-</v>
          </cell>
        </row>
        <row r="93">
          <cell r="L93">
            <v>23.761612607613671</v>
          </cell>
          <cell r="M93" t="str">
            <v>-</v>
          </cell>
        </row>
        <row r="94">
          <cell r="L94">
            <v>23.761612607613671</v>
          </cell>
          <cell r="M94" t="str">
            <v>-</v>
          </cell>
        </row>
        <row r="95">
          <cell r="L95">
            <v>23.761612607613671</v>
          </cell>
          <cell r="M95" t="str">
            <v>-</v>
          </cell>
        </row>
        <row r="96">
          <cell r="L96">
            <v>23.761612607613671</v>
          </cell>
          <cell r="M96" t="str">
            <v>-</v>
          </cell>
        </row>
        <row r="97">
          <cell r="L97">
            <v>23.761612607613671</v>
          </cell>
          <cell r="M97" t="str">
            <v>-</v>
          </cell>
        </row>
        <row r="98">
          <cell r="L98">
            <v>23.761612607613671</v>
          </cell>
          <cell r="M98" t="str">
            <v>-</v>
          </cell>
        </row>
        <row r="99">
          <cell r="L99">
            <v>23.761612607613671</v>
          </cell>
          <cell r="M99" t="str">
            <v>-</v>
          </cell>
        </row>
        <row r="100">
          <cell r="L100">
            <v>23.761612607613671</v>
          </cell>
          <cell r="M100" t="str">
            <v>-</v>
          </cell>
        </row>
      </sheetData>
      <sheetData sheetId="7"/>
      <sheetData sheetId="8"/>
      <sheetData sheetId="9"/>
      <sheetData sheetId="10"/>
      <sheetData sheetId="11">
        <row r="4">
          <cell r="AD4">
            <v>0</v>
          </cell>
          <cell r="AF4">
            <v>4</v>
          </cell>
        </row>
        <row r="5">
          <cell r="AD5">
            <v>12.414540002034025</v>
          </cell>
          <cell r="AF5">
            <v>4</v>
          </cell>
        </row>
        <row r="6">
          <cell r="AD6">
            <v>12.414540002034025</v>
          </cell>
          <cell r="AF6">
            <v>4</v>
          </cell>
        </row>
        <row r="7">
          <cell r="AD7">
            <v>16.559948165299332</v>
          </cell>
          <cell r="AF7">
            <v>4</v>
          </cell>
        </row>
        <row r="8">
          <cell r="AD8">
            <v>16.559948165299332</v>
          </cell>
          <cell r="AF8">
            <v>4</v>
          </cell>
        </row>
        <row r="9">
          <cell r="AD9">
            <v>20.8329073489728</v>
          </cell>
          <cell r="AF9">
            <v>4</v>
          </cell>
        </row>
        <row r="10">
          <cell r="AD10">
            <v>20.8329073489728</v>
          </cell>
          <cell r="AF10">
            <v>4</v>
          </cell>
        </row>
        <row r="11">
          <cell r="AD11">
            <v>25.23341755305443</v>
          </cell>
          <cell r="AF11">
            <v>4</v>
          </cell>
        </row>
        <row r="12">
          <cell r="AD12">
            <v>25.23341755305443</v>
          </cell>
          <cell r="AF12">
            <v>4</v>
          </cell>
        </row>
        <row r="13">
          <cell r="AD13">
            <v>29.761478777544227</v>
          </cell>
          <cell r="AF13">
            <v>4</v>
          </cell>
        </row>
        <row r="14">
          <cell r="AD14">
            <v>29.761478777544227</v>
          </cell>
          <cell r="AF14">
            <v>4</v>
          </cell>
        </row>
        <row r="15">
          <cell r="AD15">
            <v>34.417091022442186</v>
          </cell>
          <cell r="AF15">
            <v>4</v>
          </cell>
        </row>
        <row r="16">
          <cell r="AD16">
            <v>34.417091022442186</v>
          </cell>
          <cell r="AF16">
            <v>4</v>
          </cell>
        </row>
        <row r="17">
          <cell r="AD17">
            <v>39.330167364089952</v>
          </cell>
          <cell r="AF17">
            <v>4</v>
          </cell>
        </row>
        <row r="18">
          <cell r="AD18">
            <v>39.330167364089952</v>
          </cell>
          <cell r="AF18">
            <v>4</v>
          </cell>
        </row>
        <row r="19">
          <cell r="AD19">
            <v>44.394415285480733</v>
          </cell>
          <cell r="AF19">
            <v>4</v>
          </cell>
        </row>
        <row r="20">
          <cell r="AD20">
            <v>44.394415285480733</v>
          </cell>
          <cell r="AF20">
            <v>4</v>
          </cell>
        </row>
        <row r="21">
          <cell r="AD21">
            <v>49.166495057560503</v>
          </cell>
          <cell r="AF21">
            <v>4</v>
          </cell>
        </row>
        <row r="22">
          <cell r="AD22">
            <v>49.166495057560503</v>
          </cell>
          <cell r="AF22">
            <v>4</v>
          </cell>
        </row>
        <row r="23">
          <cell r="AD23">
            <v>53.416495057560503</v>
          </cell>
          <cell r="AF23">
            <v>4</v>
          </cell>
        </row>
        <row r="24">
          <cell r="AD24">
            <v>53.416495057560503</v>
          </cell>
          <cell r="AF24">
            <v>4</v>
          </cell>
        </row>
        <row r="25">
          <cell r="AD25" t="e">
            <v>#VALUE!</v>
          </cell>
          <cell r="AF25">
            <v>4</v>
          </cell>
        </row>
        <row r="26">
          <cell r="AD26" t="e">
            <v>#VALUE!</v>
          </cell>
          <cell r="AF26">
            <v>4</v>
          </cell>
        </row>
        <row r="27">
          <cell r="AD27" t="e">
            <v>#VALUE!</v>
          </cell>
          <cell r="AF27">
            <v>4</v>
          </cell>
        </row>
        <row r="28">
          <cell r="AD28" t="e">
            <v>#VALUE!</v>
          </cell>
          <cell r="AF28">
            <v>4</v>
          </cell>
        </row>
        <row r="29">
          <cell r="AD29" t="e">
            <v>#VALUE!</v>
          </cell>
          <cell r="AF29">
            <v>4</v>
          </cell>
        </row>
        <row r="30">
          <cell r="AD30" t="e">
            <v>#VALUE!</v>
          </cell>
          <cell r="AF30">
            <v>4</v>
          </cell>
        </row>
        <row r="31">
          <cell r="AD31" t="e">
            <v>#VALUE!</v>
          </cell>
          <cell r="AF31">
            <v>4</v>
          </cell>
        </row>
        <row r="32">
          <cell r="AD32" t="e">
            <v>#VALUE!</v>
          </cell>
          <cell r="AF32">
            <v>4</v>
          </cell>
        </row>
        <row r="33">
          <cell r="AD33" t="e">
            <v>#VALUE!</v>
          </cell>
          <cell r="AF33">
            <v>4</v>
          </cell>
        </row>
        <row r="34">
          <cell r="AD34" t="e">
            <v>#VALUE!</v>
          </cell>
          <cell r="AF34">
            <v>4</v>
          </cell>
        </row>
        <row r="35">
          <cell r="AD35" t="e">
            <v>#VALUE!</v>
          </cell>
          <cell r="AF35">
            <v>4</v>
          </cell>
        </row>
        <row r="36">
          <cell r="AD36" t="e">
            <v>#VALUE!</v>
          </cell>
          <cell r="AF36">
            <v>4</v>
          </cell>
        </row>
        <row r="37">
          <cell r="AD37" t="e">
            <v>#VALUE!</v>
          </cell>
          <cell r="AF37">
            <v>4</v>
          </cell>
        </row>
        <row r="38">
          <cell r="AD38" t="e">
            <v>#VALUE!</v>
          </cell>
          <cell r="AF38">
            <v>4</v>
          </cell>
        </row>
        <row r="39">
          <cell r="AD39" t="e">
            <v>#VALUE!</v>
          </cell>
          <cell r="AF39">
            <v>4</v>
          </cell>
        </row>
        <row r="40">
          <cell r="AD40" t="e">
            <v>#VALUE!</v>
          </cell>
          <cell r="AF40">
            <v>4</v>
          </cell>
        </row>
        <row r="41">
          <cell r="AD41" t="e">
            <v>#VALUE!</v>
          </cell>
          <cell r="AF41">
            <v>4</v>
          </cell>
        </row>
        <row r="42">
          <cell r="AD42" t="e">
            <v>#VALUE!</v>
          </cell>
          <cell r="AF42">
            <v>4</v>
          </cell>
        </row>
        <row r="43">
          <cell r="AD43" t="e">
            <v>#VALUE!</v>
          </cell>
          <cell r="AF43">
            <v>4</v>
          </cell>
        </row>
        <row r="44">
          <cell r="AD44" t="e">
            <v>#VALUE!</v>
          </cell>
          <cell r="AF44">
            <v>4</v>
          </cell>
        </row>
        <row r="45">
          <cell r="AD45" t="e">
            <v>#VALUE!</v>
          </cell>
          <cell r="AF45">
            <v>4</v>
          </cell>
        </row>
        <row r="46">
          <cell r="AD46" t="e">
            <v>#VALUE!</v>
          </cell>
          <cell r="AF46">
            <v>4</v>
          </cell>
        </row>
        <row r="47">
          <cell r="AD47" t="e">
            <v>#VALUE!</v>
          </cell>
          <cell r="AF47">
            <v>4</v>
          </cell>
        </row>
        <row r="48">
          <cell r="AD48" t="e">
            <v>#VALUE!</v>
          </cell>
          <cell r="AF48">
            <v>4</v>
          </cell>
        </row>
        <row r="49">
          <cell r="AD49" t="e">
            <v>#VALUE!</v>
          </cell>
          <cell r="AF49">
            <v>4</v>
          </cell>
        </row>
        <row r="50">
          <cell r="AD50" t="e">
            <v>#VALUE!</v>
          </cell>
          <cell r="AF50">
            <v>4</v>
          </cell>
        </row>
        <row r="51">
          <cell r="AD51" t="e">
            <v>#VALUE!</v>
          </cell>
          <cell r="AF51">
            <v>4</v>
          </cell>
        </row>
        <row r="52">
          <cell r="AD52" t="e">
            <v>#VALUE!</v>
          </cell>
          <cell r="AF52">
            <v>4</v>
          </cell>
        </row>
        <row r="53">
          <cell r="AD53" t="e">
            <v>#VALUE!</v>
          </cell>
          <cell r="AF53">
            <v>4</v>
          </cell>
        </row>
        <row r="54">
          <cell r="AD54" t="e">
            <v>#VALUE!</v>
          </cell>
          <cell r="AF54">
            <v>4</v>
          </cell>
        </row>
        <row r="73">
          <cell r="L73">
            <v>0</v>
          </cell>
          <cell r="M73">
            <v>0</v>
          </cell>
        </row>
        <row r="74">
          <cell r="L74">
            <v>0</v>
          </cell>
          <cell r="M74">
            <v>0</v>
          </cell>
        </row>
        <row r="75">
          <cell r="L75">
            <v>12.414540002034025</v>
          </cell>
          <cell r="M75">
            <v>0</v>
          </cell>
        </row>
        <row r="76">
          <cell r="L76">
            <v>16.559948165299332</v>
          </cell>
          <cell r="M76">
            <v>100</v>
          </cell>
        </row>
        <row r="77">
          <cell r="L77">
            <v>20.8329073489728</v>
          </cell>
          <cell r="M77">
            <v>200</v>
          </cell>
        </row>
        <row r="78">
          <cell r="L78">
            <v>25.23341755305443</v>
          </cell>
          <cell r="M78">
            <v>300</v>
          </cell>
        </row>
        <row r="79">
          <cell r="L79">
            <v>29.761478777544227</v>
          </cell>
          <cell r="M79">
            <v>400</v>
          </cell>
        </row>
        <row r="80">
          <cell r="L80">
            <v>34.417091022442186</v>
          </cell>
          <cell r="M80">
            <v>500</v>
          </cell>
        </row>
        <row r="81">
          <cell r="L81">
            <v>39.330167364089952</v>
          </cell>
          <cell r="M81">
            <v>600</v>
          </cell>
        </row>
        <row r="82">
          <cell r="L82">
            <v>44.394415285480733</v>
          </cell>
          <cell r="M82">
            <v>700</v>
          </cell>
        </row>
        <row r="83">
          <cell r="L83">
            <v>49.166495057560503</v>
          </cell>
          <cell r="M83">
            <v>700</v>
          </cell>
        </row>
        <row r="84">
          <cell r="L84">
            <v>49.166495057560503</v>
          </cell>
          <cell r="M84" t="str">
            <v>-</v>
          </cell>
        </row>
        <row r="85">
          <cell r="L85">
            <v>49.166495057560503</v>
          </cell>
          <cell r="M85" t="str">
            <v>-</v>
          </cell>
        </row>
        <row r="86">
          <cell r="L86">
            <v>49.166495057560503</v>
          </cell>
          <cell r="M86" t="str">
            <v>-</v>
          </cell>
        </row>
        <row r="87">
          <cell r="L87">
            <v>49.166495057560503</v>
          </cell>
          <cell r="M87" t="str">
            <v>-</v>
          </cell>
        </row>
        <row r="88">
          <cell r="L88">
            <v>49.166495057560503</v>
          </cell>
          <cell r="M88" t="str">
            <v>-</v>
          </cell>
        </row>
        <row r="89">
          <cell r="L89">
            <v>49.166495057560503</v>
          </cell>
          <cell r="M89" t="str">
            <v>-</v>
          </cell>
        </row>
        <row r="90">
          <cell r="L90">
            <v>49.166495057560503</v>
          </cell>
          <cell r="M90" t="str">
            <v>-</v>
          </cell>
        </row>
        <row r="91">
          <cell r="L91">
            <v>49.166495057560503</v>
          </cell>
          <cell r="M91" t="str">
            <v>-</v>
          </cell>
        </row>
        <row r="92">
          <cell r="L92">
            <v>49.166495057560503</v>
          </cell>
          <cell r="M92" t="str">
            <v>-</v>
          </cell>
        </row>
        <row r="93">
          <cell r="L93">
            <v>49.166495057560503</v>
          </cell>
          <cell r="M93" t="str">
            <v>-</v>
          </cell>
        </row>
        <row r="94">
          <cell r="L94">
            <v>49.166495057560503</v>
          </cell>
          <cell r="M94" t="str">
            <v>-</v>
          </cell>
        </row>
        <row r="95">
          <cell r="L95">
            <v>49.166495057560503</v>
          </cell>
          <cell r="M95" t="str">
            <v>-</v>
          </cell>
        </row>
        <row r="96">
          <cell r="L96">
            <v>49.166495057560503</v>
          </cell>
          <cell r="M96" t="str">
            <v>-</v>
          </cell>
        </row>
        <row r="97">
          <cell r="L97">
            <v>49.166495057560503</v>
          </cell>
          <cell r="M97" t="str">
            <v>-</v>
          </cell>
        </row>
        <row r="98">
          <cell r="L98">
            <v>49.166495057560503</v>
          </cell>
          <cell r="M98" t="str">
            <v>-</v>
          </cell>
        </row>
        <row r="99">
          <cell r="L99">
            <v>49.166495057560503</v>
          </cell>
          <cell r="M99" t="str">
            <v>-</v>
          </cell>
        </row>
        <row r="100">
          <cell r="L100">
            <v>49.166495057560503</v>
          </cell>
          <cell r="M100" t="str">
            <v>-</v>
          </cell>
        </row>
      </sheetData>
      <sheetData sheetId="12">
        <row r="4">
          <cell r="AD4">
            <v>0</v>
          </cell>
          <cell r="AF4">
            <v>3</v>
          </cell>
        </row>
        <row r="5">
          <cell r="AD5">
            <v>13.781054849608157</v>
          </cell>
          <cell r="AF5">
            <v>3</v>
          </cell>
        </row>
        <row r="6">
          <cell r="AD6">
            <v>13.781054849608157</v>
          </cell>
          <cell r="AF6">
            <v>3</v>
          </cell>
        </row>
        <row r="7">
          <cell r="AD7">
            <v>14.815260052332533</v>
          </cell>
          <cell r="AF7">
            <v>3</v>
          </cell>
        </row>
        <row r="8">
          <cell r="AD8">
            <v>14.815260052332533</v>
          </cell>
          <cell r="AF8">
            <v>3</v>
          </cell>
        </row>
        <row r="9">
          <cell r="AD9">
            <v>16.622280654782617</v>
          </cell>
          <cell r="AF9">
            <v>3</v>
          </cell>
        </row>
        <row r="10">
          <cell r="AD10">
            <v>16.622280654782617</v>
          </cell>
          <cell r="AF10">
            <v>3</v>
          </cell>
        </row>
        <row r="11">
          <cell r="AD11">
            <v>19.132686944732601</v>
          </cell>
          <cell r="AF11">
            <v>3</v>
          </cell>
        </row>
        <row r="12">
          <cell r="AD12">
            <v>19.132686944732601</v>
          </cell>
          <cell r="AF12">
            <v>3</v>
          </cell>
        </row>
        <row r="13">
          <cell r="AD13">
            <v>22.296169211231177</v>
          </cell>
          <cell r="AF13">
            <v>3</v>
          </cell>
        </row>
        <row r="14">
          <cell r="AD14">
            <v>22.296169211231177</v>
          </cell>
          <cell r="AF14">
            <v>3</v>
          </cell>
        </row>
        <row r="15">
          <cell r="AD15">
            <v>26.08714474656141</v>
          </cell>
          <cell r="AF15">
            <v>3</v>
          </cell>
        </row>
        <row r="16">
          <cell r="AD16">
            <v>26.08714474656141</v>
          </cell>
          <cell r="AF16">
            <v>3</v>
          </cell>
        </row>
        <row r="17">
          <cell r="AD17">
            <v>30.514248178967534</v>
          </cell>
          <cell r="AF17">
            <v>3</v>
          </cell>
        </row>
        <row r="18">
          <cell r="AD18">
            <v>30.514248178967534</v>
          </cell>
          <cell r="AF18">
            <v>3</v>
          </cell>
        </row>
        <row r="19">
          <cell r="AD19">
            <v>35.556778609788061</v>
          </cell>
          <cell r="AF19">
            <v>3</v>
          </cell>
        </row>
        <row r="20">
          <cell r="AD20">
            <v>35.556778609788061</v>
          </cell>
          <cell r="AF20">
            <v>3</v>
          </cell>
        </row>
        <row r="21">
          <cell r="AD21">
            <v>39.374442427451882</v>
          </cell>
          <cell r="AF21">
            <v>3</v>
          </cell>
        </row>
        <row r="22">
          <cell r="AD22">
            <v>39.374442427451882</v>
          </cell>
          <cell r="AF22">
            <v>3</v>
          </cell>
        </row>
        <row r="23">
          <cell r="AD23">
            <v>44.374442427451882</v>
          </cell>
          <cell r="AF23">
            <v>3</v>
          </cell>
        </row>
        <row r="24">
          <cell r="AD24">
            <v>44.374442427451882</v>
          </cell>
          <cell r="AF24">
            <v>3</v>
          </cell>
        </row>
        <row r="25">
          <cell r="AD25" t="e">
            <v>#VALUE!</v>
          </cell>
          <cell r="AF25">
            <v>3</v>
          </cell>
        </row>
        <row r="26">
          <cell r="AD26" t="e">
            <v>#VALUE!</v>
          </cell>
          <cell r="AF26">
            <v>3</v>
          </cell>
        </row>
        <row r="27">
          <cell r="AD27" t="e">
            <v>#VALUE!</v>
          </cell>
          <cell r="AF27">
            <v>3</v>
          </cell>
        </row>
        <row r="28">
          <cell r="AD28" t="e">
            <v>#VALUE!</v>
          </cell>
          <cell r="AF28">
            <v>3</v>
          </cell>
        </row>
        <row r="29">
          <cell r="AD29" t="e">
            <v>#VALUE!</v>
          </cell>
          <cell r="AF29">
            <v>3</v>
          </cell>
        </row>
        <row r="30">
          <cell r="AD30" t="e">
            <v>#VALUE!</v>
          </cell>
          <cell r="AF30">
            <v>3</v>
          </cell>
        </row>
        <row r="31">
          <cell r="AD31" t="e">
            <v>#VALUE!</v>
          </cell>
          <cell r="AF31">
            <v>3</v>
          </cell>
        </row>
        <row r="32">
          <cell r="AD32" t="e">
            <v>#VALUE!</v>
          </cell>
          <cell r="AF32">
            <v>3</v>
          </cell>
        </row>
        <row r="33">
          <cell r="AD33" t="e">
            <v>#VALUE!</v>
          </cell>
          <cell r="AF33">
            <v>3</v>
          </cell>
        </row>
        <row r="34">
          <cell r="AD34" t="e">
            <v>#VALUE!</v>
          </cell>
          <cell r="AF34">
            <v>3</v>
          </cell>
        </row>
        <row r="35">
          <cell r="AD35" t="e">
            <v>#VALUE!</v>
          </cell>
          <cell r="AF35">
            <v>3</v>
          </cell>
        </row>
        <row r="36">
          <cell r="AD36" t="e">
            <v>#VALUE!</v>
          </cell>
          <cell r="AF36">
            <v>3</v>
          </cell>
        </row>
        <row r="37">
          <cell r="AD37" t="e">
            <v>#VALUE!</v>
          </cell>
          <cell r="AF37">
            <v>3</v>
          </cell>
        </row>
        <row r="38">
          <cell r="AD38" t="e">
            <v>#VALUE!</v>
          </cell>
          <cell r="AF38">
            <v>3</v>
          </cell>
        </row>
        <row r="39">
          <cell r="AD39" t="e">
            <v>#VALUE!</v>
          </cell>
          <cell r="AF39">
            <v>3</v>
          </cell>
        </row>
        <row r="40">
          <cell r="AD40" t="e">
            <v>#VALUE!</v>
          </cell>
          <cell r="AF40">
            <v>3</v>
          </cell>
        </row>
        <row r="41">
          <cell r="AD41" t="e">
            <v>#VALUE!</v>
          </cell>
          <cell r="AF41">
            <v>3</v>
          </cell>
        </row>
        <row r="42">
          <cell r="AD42" t="e">
            <v>#VALUE!</v>
          </cell>
          <cell r="AF42">
            <v>3</v>
          </cell>
        </row>
        <row r="43">
          <cell r="AD43" t="e">
            <v>#VALUE!</v>
          </cell>
          <cell r="AF43">
            <v>3</v>
          </cell>
        </row>
        <row r="44">
          <cell r="AD44" t="e">
            <v>#VALUE!</v>
          </cell>
          <cell r="AF44">
            <v>3</v>
          </cell>
        </row>
        <row r="45">
          <cell r="AD45" t="e">
            <v>#VALUE!</v>
          </cell>
          <cell r="AF45">
            <v>3</v>
          </cell>
        </row>
        <row r="46">
          <cell r="AD46" t="e">
            <v>#VALUE!</v>
          </cell>
          <cell r="AF46">
            <v>3</v>
          </cell>
        </row>
        <row r="47">
          <cell r="AD47" t="e">
            <v>#VALUE!</v>
          </cell>
          <cell r="AF47">
            <v>3</v>
          </cell>
        </row>
        <row r="48">
          <cell r="AD48" t="e">
            <v>#VALUE!</v>
          </cell>
          <cell r="AF48">
            <v>3</v>
          </cell>
        </row>
        <row r="49">
          <cell r="AD49" t="e">
            <v>#VALUE!</v>
          </cell>
          <cell r="AF49">
            <v>3</v>
          </cell>
        </row>
        <row r="50">
          <cell r="AD50" t="e">
            <v>#VALUE!</v>
          </cell>
          <cell r="AF50">
            <v>3</v>
          </cell>
        </row>
        <row r="51">
          <cell r="AD51" t="e">
            <v>#VALUE!</v>
          </cell>
          <cell r="AF51">
            <v>3</v>
          </cell>
        </row>
        <row r="52">
          <cell r="AD52" t="e">
            <v>#VALUE!</v>
          </cell>
          <cell r="AF52">
            <v>3</v>
          </cell>
        </row>
        <row r="53">
          <cell r="AD53" t="e">
            <v>#VALUE!</v>
          </cell>
          <cell r="AF53">
            <v>3</v>
          </cell>
        </row>
        <row r="54">
          <cell r="AD54" t="e">
            <v>#VALUE!</v>
          </cell>
          <cell r="AF54">
            <v>3</v>
          </cell>
        </row>
        <row r="73">
          <cell r="L73">
            <v>0</v>
          </cell>
          <cell r="M73">
            <v>0</v>
          </cell>
        </row>
        <row r="74">
          <cell r="L74">
            <v>4.1343164548824474</v>
          </cell>
          <cell r="M74">
            <v>0</v>
          </cell>
        </row>
        <row r="75">
          <cell r="L75">
            <v>13.781054849608157</v>
          </cell>
          <cell r="M75">
            <v>0</v>
          </cell>
        </row>
        <row r="76">
          <cell r="L76">
            <v>14.815260052332533</v>
          </cell>
          <cell r="M76">
            <v>100</v>
          </cell>
        </row>
        <row r="77">
          <cell r="L77">
            <v>16.622280654782617</v>
          </cell>
          <cell r="M77">
            <v>200</v>
          </cell>
        </row>
        <row r="78">
          <cell r="L78">
            <v>19.132686944732601</v>
          </cell>
          <cell r="M78">
            <v>300</v>
          </cell>
        </row>
        <row r="79">
          <cell r="L79">
            <v>22.296169211231177</v>
          </cell>
          <cell r="M79">
            <v>400</v>
          </cell>
        </row>
        <row r="80">
          <cell r="L80">
            <v>26.08714474656141</v>
          </cell>
          <cell r="M80">
            <v>500</v>
          </cell>
        </row>
        <row r="81">
          <cell r="L81">
            <v>30.514248178967534</v>
          </cell>
          <cell r="M81">
            <v>600</v>
          </cell>
        </row>
        <row r="82">
          <cell r="L82">
            <v>35.556778609788061</v>
          </cell>
          <cell r="M82">
            <v>700</v>
          </cell>
        </row>
        <row r="83">
          <cell r="L83">
            <v>39.374442427451882</v>
          </cell>
          <cell r="M83">
            <v>700</v>
          </cell>
        </row>
        <row r="84">
          <cell r="L84">
            <v>39.374442427451882</v>
          </cell>
          <cell r="M84" t="str">
            <v>-</v>
          </cell>
        </row>
        <row r="85">
          <cell r="L85">
            <v>39.374442427451882</v>
          </cell>
          <cell r="M85" t="str">
            <v>-</v>
          </cell>
        </row>
        <row r="86">
          <cell r="L86">
            <v>39.374442427451882</v>
          </cell>
          <cell r="M86" t="str">
            <v>-</v>
          </cell>
        </row>
        <row r="87">
          <cell r="L87">
            <v>39.374442427451882</v>
          </cell>
          <cell r="M87" t="str">
            <v>-</v>
          </cell>
        </row>
        <row r="88">
          <cell r="L88">
            <v>39.374442427451882</v>
          </cell>
          <cell r="M88" t="str">
            <v>-</v>
          </cell>
        </row>
        <row r="89">
          <cell r="L89">
            <v>39.374442427451882</v>
          </cell>
          <cell r="M89" t="str">
            <v>-</v>
          </cell>
        </row>
        <row r="90">
          <cell r="L90">
            <v>39.374442427451882</v>
          </cell>
          <cell r="M90" t="str">
            <v>-</v>
          </cell>
        </row>
        <row r="91">
          <cell r="L91">
            <v>39.374442427451882</v>
          </cell>
          <cell r="M91" t="str">
            <v>-</v>
          </cell>
        </row>
        <row r="92">
          <cell r="L92">
            <v>39.374442427451882</v>
          </cell>
          <cell r="M92" t="str">
            <v>-</v>
          </cell>
        </row>
        <row r="93">
          <cell r="L93">
            <v>39.374442427451882</v>
          </cell>
          <cell r="M93" t="str">
            <v>-</v>
          </cell>
        </row>
        <row r="94">
          <cell r="L94">
            <v>39.374442427451882</v>
          </cell>
          <cell r="M94" t="str">
            <v>-</v>
          </cell>
        </row>
        <row r="95">
          <cell r="L95">
            <v>39.374442427451882</v>
          </cell>
          <cell r="M95" t="str">
            <v>-</v>
          </cell>
        </row>
        <row r="96">
          <cell r="L96">
            <v>39.374442427451882</v>
          </cell>
          <cell r="M96" t="str">
            <v>-</v>
          </cell>
        </row>
        <row r="97">
          <cell r="L97">
            <v>39.374442427451882</v>
          </cell>
          <cell r="M97" t="str">
            <v>-</v>
          </cell>
        </row>
        <row r="98">
          <cell r="L98">
            <v>39.374442427451882</v>
          </cell>
          <cell r="M98" t="str">
            <v>-</v>
          </cell>
        </row>
        <row r="99">
          <cell r="L99">
            <v>39.374442427451882</v>
          </cell>
          <cell r="M99" t="str">
            <v>-</v>
          </cell>
        </row>
        <row r="100">
          <cell r="L100">
            <v>39.374442427451882</v>
          </cell>
          <cell r="M100" t="str">
            <v>-</v>
          </cell>
        </row>
      </sheetData>
      <sheetData sheetId="13"/>
      <sheetData sheetId="14"/>
      <sheetData sheetId="15"/>
      <sheetData sheetId="16"/>
      <sheetData sheetId="17">
        <row r="4">
          <cell r="AD4">
            <v>0</v>
          </cell>
          <cell r="AF4">
            <v>4</v>
          </cell>
        </row>
        <row r="5">
          <cell r="AD5">
            <v>8.7148951958134564</v>
          </cell>
          <cell r="AF5">
            <v>4</v>
          </cell>
        </row>
        <row r="6">
          <cell r="AD6">
            <v>8.7148951958134564</v>
          </cell>
          <cell r="AF6">
            <v>4</v>
          </cell>
        </row>
        <row r="7">
          <cell r="AD7">
            <v>9.3859111617910145</v>
          </cell>
          <cell r="AF7">
            <v>4</v>
          </cell>
        </row>
        <row r="8">
          <cell r="AD8">
            <v>9.3859111617910145</v>
          </cell>
          <cell r="AF8">
            <v>4</v>
          </cell>
        </row>
        <row r="9">
          <cell r="AD9">
            <v>10.553176262171769</v>
          </cell>
          <cell r="AF9">
            <v>4</v>
          </cell>
        </row>
        <row r="10">
          <cell r="AD10">
            <v>10.553176262171769</v>
          </cell>
          <cell r="AF10">
            <v>4</v>
          </cell>
        </row>
        <row r="11">
          <cell r="AD11">
            <v>12.189762241063594</v>
          </cell>
          <cell r="AF11">
            <v>4</v>
          </cell>
        </row>
        <row r="12">
          <cell r="AD12">
            <v>12.189762241063594</v>
          </cell>
          <cell r="AF12">
            <v>4</v>
          </cell>
        </row>
        <row r="13">
          <cell r="AD13">
            <v>14.253888840085521</v>
          </cell>
          <cell r="AF13">
            <v>4</v>
          </cell>
        </row>
        <row r="14">
          <cell r="AD14">
            <v>14.253888840085521</v>
          </cell>
          <cell r="AF14">
            <v>4</v>
          </cell>
        </row>
        <row r="15">
          <cell r="AD15">
            <v>16.729454430361383</v>
          </cell>
          <cell r="AF15">
            <v>4</v>
          </cell>
        </row>
        <row r="16">
          <cell r="AD16">
            <v>16.729454430361383</v>
          </cell>
          <cell r="AF16">
            <v>4</v>
          </cell>
        </row>
        <row r="17">
          <cell r="AD17">
            <v>19.608536608633301</v>
          </cell>
          <cell r="AF17">
            <v>4</v>
          </cell>
        </row>
        <row r="18">
          <cell r="AD18">
            <v>19.608536608633301</v>
          </cell>
          <cell r="AF18">
            <v>4</v>
          </cell>
        </row>
        <row r="19">
          <cell r="AD19">
            <v>22.887849983265429</v>
          </cell>
          <cell r="AF19">
            <v>4</v>
          </cell>
        </row>
        <row r="20">
          <cell r="AD20">
            <v>22.887849983265429</v>
          </cell>
          <cell r="AF20">
            <v>4</v>
          </cell>
        </row>
        <row r="21">
          <cell r="AD21">
            <v>26.566967606733854</v>
          </cell>
          <cell r="AF21">
            <v>4</v>
          </cell>
        </row>
        <row r="22">
          <cell r="AD22">
            <v>26.566967606733854</v>
          </cell>
          <cell r="AF22">
            <v>4</v>
          </cell>
        </row>
        <row r="23">
          <cell r="AD23">
            <v>30.647334022549035</v>
          </cell>
          <cell r="AF23">
            <v>4</v>
          </cell>
        </row>
        <row r="24">
          <cell r="AD24">
            <v>30.647334022549035</v>
          </cell>
          <cell r="AF24">
            <v>4</v>
          </cell>
        </row>
        <row r="25">
          <cell r="AD25">
            <v>34.514436419063195</v>
          </cell>
          <cell r="AF25">
            <v>4</v>
          </cell>
        </row>
        <row r="26">
          <cell r="AD26">
            <v>34.514436419063195</v>
          </cell>
          <cell r="AF26">
            <v>4</v>
          </cell>
        </row>
        <row r="27">
          <cell r="AD27" t="e">
            <v>#VALUE!</v>
          </cell>
          <cell r="AF27">
            <v>4</v>
          </cell>
        </row>
        <row r="28">
          <cell r="AD28" t="e">
            <v>#VALUE!</v>
          </cell>
          <cell r="AF28">
            <v>4</v>
          </cell>
        </row>
        <row r="29">
          <cell r="AD29" t="e">
            <v>#VALUE!</v>
          </cell>
          <cell r="AF29">
            <v>4</v>
          </cell>
        </row>
        <row r="30">
          <cell r="AD30" t="e">
            <v>#VALUE!</v>
          </cell>
          <cell r="AF30">
            <v>4</v>
          </cell>
        </row>
        <row r="31">
          <cell r="AD31" t="e">
            <v>#VALUE!</v>
          </cell>
          <cell r="AF31">
            <v>4</v>
          </cell>
        </row>
        <row r="32">
          <cell r="AD32" t="e">
            <v>#VALUE!</v>
          </cell>
          <cell r="AF32">
            <v>4</v>
          </cell>
        </row>
        <row r="33">
          <cell r="AD33" t="e">
            <v>#VALUE!</v>
          </cell>
          <cell r="AF33">
            <v>4</v>
          </cell>
        </row>
        <row r="34">
          <cell r="AD34" t="e">
            <v>#VALUE!</v>
          </cell>
          <cell r="AF34">
            <v>4</v>
          </cell>
        </row>
        <row r="35">
          <cell r="AD35" t="e">
            <v>#VALUE!</v>
          </cell>
          <cell r="AF35">
            <v>4</v>
          </cell>
        </row>
        <row r="36">
          <cell r="AD36" t="e">
            <v>#VALUE!</v>
          </cell>
          <cell r="AF36">
            <v>4</v>
          </cell>
        </row>
        <row r="37">
          <cell r="AD37" t="e">
            <v>#VALUE!</v>
          </cell>
          <cell r="AF37">
            <v>4</v>
          </cell>
        </row>
        <row r="38">
          <cell r="AD38" t="e">
            <v>#VALUE!</v>
          </cell>
          <cell r="AF38">
            <v>4</v>
          </cell>
        </row>
        <row r="39">
          <cell r="AD39" t="e">
            <v>#VALUE!</v>
          </cell>
          <cell r="AF39">
            <v>4</v>
          </cell>
        </row>
        <row r="40">
          <cell r="AD40" t="e">
            <v>#VALUE!</v>
          </cell>
          <cell r="AF40">
            <v>4</v>
          </cell>
        </row>
        <row r="41">
          <cell r="AD41" t="e">
            <v>#VALUE!</v>
          </cell>
          <cell r="AF41">
            <v>4</v>
          </cell>
        </row>
        <row r="42">
          <cell r="AD42" t="e">
            <v>#VALUE!</v>
          </cell>
          <cell r="AF42">
            <v>4</v>
          </cell>
        </row>
        <row r="43">
          <cell r="AD43" t="e">
            <v>#VALUE!</v>
          </cell>
          <cell r="AF43">
            <v>4</v>
          </cell>
        </row>
        <row r="44">
          <cell r="AD44" t="e">
            <v>#VALUE!</v>
          </cell>
          <cell r="AF44">
            <v>4</v>
          </cell>
        </row>
        <row r="45">
          <cell r="AD45" t="e">
            <v>#VALUE!</v>
          </cell>
          <cell r="AF45">
            <v>4</v>
          </cell>
        </row>
        <row r="46">
          <cell r="AD46" t="e">
            <v>#VALUE!</v>
          </cell>
          <cell r="AF46">
            <v>4</v>
          </cell>
        </row>
        <row r="47">
          <cell r="AD47" t="e">
            <v>#VALUE!</v>
          </cell>
          <cell r="AF47">
            <v>4</v>
          </cell>
        </row>
        <row r="48">
          <cell r="AD48" t="e">
            <v>#VALUE!</v>
          </cell>
          <cell r="AF48">
            <v>4</v>
          </cell>
        </row>
        <row r="49">
          <cell r="AD49" t="e">
            <v>#VALUE!</v>
          </cell>
          <cell r="AF49">
            <v>4</v>
          </cell>
        </row>
        <row r="50">
          <cell r="AD50" t="e">
            <v>#VALUE!</v>
          </cell>
          <cell r="AF50">
            <v>4</v>
          </cell>
        </row>
        <row r="51">
          <cell r="AD51" t="e">
            <v>#VALUE!</v>
          </cell>
          <cell r="AF51">
            <v>4</v>
          </cell>
        </row>
        <row r="52">
          <cell r="AD52" t="e">
            <v>#VALUE!</v>
          </cell>
          <cell r="AF52">
            <v>4</v>
          </cell>
        </row>
        <row r="53">
          <cell r="AD53" t="e">
            <v>#VALUE!</v>
          </cell>
          <cell r="AF53">
            <v>4</v>
          </cell>
        </row>
        <row r="54">
          <cell r="AD54" t="e">
            <v>#VALUE!</v>
          </cell>
          <cell r="AF54">
            <v>4</v>
          </cell>
        </row>
        <row r="73">
          <cell r="L73">
            <v>0</v>
          </cell>
          <cell r="M73">
            <v>0</v>
          </cell>
        </row>
        <row r="74">
          <cell r="L74">
            <v>8.7148951958134564</v>
          </cell>
          <cell r="M74">
            <v>0</v>
          </cell>
        </row>
        <row r="75">
          <cell r="L75">
            <v>9.3859111617910145</v>
          </cell>
          <cell r="M75">
            <v>100</v>
          </cell>
        </row>
        <row r="76">
          <cell r="L76">
            <v>10.553176262171769</v>
          </cell>
          <cell r="M76">
            <v>200</v>
          </cell>
        </row>
        <row r="77">
          <cell r="L77">
            <v>12.189762241063594</v>
          </cell>
          <cell r="M77">
            <v>300</v>
          </cell>
        </row>
        <row r="78">
          <cell r="L78">
            <v>14.253888840085521</v>
          </cell>
          <cell r="M78">
            <v>400</v>
          </cell>
        </row>
        <row r="79">
          <cell r="L79">
            <v>16.729454430361383</v>
          </cell>
          <cell r="M79">
            <v>500</v>
          </cell>
        </row>
        <row r="80">
          <cell r="L80">
            <v>19.608536608633301</v>
          </cell>
          <cell r="M80">
            <v>600</v>
          </cell>
        </row>
        <row r="81">
          <cell r="L81">
            <v>22.887849983265429</v>
          </cell>
          <cell r="M81">
            <v>700</v>
          </cell>
        </row>
        <row r="82">
          <cell r="L82">
            <v>26.566967606733854</v>
          </cell>
          <cell r="M82">
            <v>800</v>
          </cell>
        </row>
        <row r="83">
          <cell r="L83">
            <v>30.647334022549035</v>
          </cell>
          <cell r="M83">
            <v>900</v>
          </cell>
        </row>
        <row r="84">
          <cell r="L84">
            <v>34.514436419063195</v>
          </cell>
          <cell r="M84">
            <v>900</v>
          </cell>
        </row>
        <row r="85">
          <cell r="L85">
            <v>34.514436419063195</v>
          </cell>
          <cell r="M85" t="str">
            <v>-</v>
          </cell>
        </row>
        <row r="86">
          <cell r="L86">
            <v>34.514436419063195</v>
          </cell>
          <cell r="M86" t="str">
            <v>-</v>
          </cell>
        </row>
        <row r="87">
          <cell r="L87">
            <v>34.514436419063195</v>
          </cell>
          <cell r="M87" t="str">
            <v>-</v>
          </cell>
        </row>
        <row r="88">
          <cell r="L88">
            <v>34.514436419063195</v>
          </cell>
          <cell r="M88" t="str">
            <v>-</v>
          </cell>
        </row>
        <row r="89">
          <cell r="L89">
            <v>34.514436419063195</v>
          </cell>
          <cell r="M89" t="str">
            <v>-</v>
          </cell>
        </row>
        <row r="90">
          <cell r="L90">
            <v>34.514436419063195</v>
          </cell>
          <cell r="M90" t="str">
            <v>-</v>
          </cell>
        </row>
        <row r="91">
          <cell r="L91">
            <v>34.514436419063195</v>
          </cell>
          <cell r="M91" t="str">
            <v>-</v>
          </cell>
        </row>
        <row r="92">
          <cell r="L92">
            <v>34.514436419063195</v>
          </cell>
          <cell r="M92" t="str">
            <v>-</v>
          </cell>
        </row>
        <row r="93">
          <cell r="L93">
            <v>34.514436419063195</v>
          </cell>
          <cell r="M93" t="str">
            <v>-</v>
          </cell>
        </row>
        <row r="94">
          <cell r="L94">
            <v>34.514436419063195</v>
          </cell>
          <cell r="M94" t="str">
            <v>-</v>
          </cell>
        </row>
        <row r="95">
          <cell r="L95">
            <v>34.514436419063195</v>
          </cell>
          <cell r="M95" t="str">
            <v>-</v>
          </cell>
        </row>
        <row r="96">
          <cell r="L96">
            <v>34.514436419063195</v>
          </cell>
          <cell r="M96" t="str">
            <v>-</v>
          </cell>
        </row>
        <row r="97">
          <cell r="L97">
            <v>34.514436419063195</v>
          </cell>
          <cell r="M97" t="str">
            <v>-</v>
          </cell>
        </row>
        <row r="98">
          <cell r="L98">
            <v>34.514436419063195</v>
          </cell>
          <cell r="M98" t="str">
            <v>-</v>
          </cell>
        </row>
        <row r="99">
          <cell r="L99">
            <v>34.514436419063195</v>
          </cell>
          <cell r="M99" t="str">
            <v>-</v>
          </cell>
        </row>
      </sheetData>
      <sheetData sheetId="18">
        <row r="73">
          <cell r="L73">
            <v>0</v>
          </cell>
          <cell r="M73">
            <v>0</v>
          </cell>
        </row>
        <row r="74">
          <cell r="L74">
            <v>16.69286792787992</v>
          </cell>
          <cell r="M74">
            <v>0</v>
          </cell>
          <cell r="P74">
            <v>0</v>
          </cell>
          <cell r="R74">
            <v>4</v>
          </cell>
        </row>
        <row r="75">
          <cell r="L75">
            <v>16.69286792787992</v>
          </cell>
          <cell r="M75">
            <v>0</v>
          </cell>
          <cell r="P75">
            <v>16.69286792787992</v>
          </cell>
          <cell r="R75">
            <v>4</v>
          </cell>
        </row>
        <row r="76">
          <cell r="L76">
            <v>24.836752819966254</v>
          </cell>
          <cell r="M76">
            <v>100</v>
          </cell>
          <cell r="P76">
            <v>16.69286792787992</v>
          </cell>
          <cell r="R76">
            <v>4</v>
          </cell>
        </row>
        <row r="77">
          <cell r="L77">
            <v>33.268407496225251</v>
          </cell>
          <cell r="M77">
            <v>200</v>
          </cell>
          <cell r="P77">
            <v>24.836752819966254</v>
          </cell>
          <cell r="R77">
            <v>4</v>
          </cell>
        </row>
        <row r="78">
          <cell r="L78">
            <v>41.987831956656905</v>
          </cell>
          <cell r="M78">
            <v>300</v>
          </cell>
          <cell r="P78">
            <v>24.836752819966254</v>
          </cell>
          <cell r="R78">
            <v>4</v>
          </cell>
        </row>
        <row r="79">
          <cell r="L79">
            <v>50.995026201261226</v>
          </cell>
          <cell r="M79">
            <v>400</v>
          </cell>
          <cell r="P79">
            <v>33.268407496225251</v>
          </cell>
          <cell r="R79">
            <v>4</v>
          </cell>
        </row>
        <row r="80">
          <cell r="L80">
            <v>60.2899902300382</v>
          </cell>
          <cell r="M80">
            <v>500</v>
          </cell>
          <cell r="P80">
            <v>33.268407496225251</v>
          </cell>
          <cell r="R80">
            <v>4</v>
          </cell>
        </row>
        <row r="81">
          <cell r="L81">
            <v>66.771471711519681</v>
          </cell>
          <cell r="M81">
            <v>500</v>
          </cell>
          <cell r="P81">
            <v>41.987831956656905</v>
          </cell>
          <cell r="R81">
            <v>4</v>
          </cell>
        </row>
        <row r="82">
          <cell r="L82">
            <v>66.771471711519681</v>
          </cell>
          <cell r="M82" t="str">
            <v>-</v>
          </cell>
          <cell r="P82">
            <v>41.987831956656905</v>
          </cell>
          <cell r="R82">
            <v>4</v>
          </cell>
        </row>
        <row r="83">
          <cell r="L83">
            <v>66.771471711519681</v>
          </cell>
          <cell r="M83" t="str">
            <v>-</v>
          </cell>
          <cell r="P83">
            <v>50.995026201261226</v>
          </cell>
          <cell r="R83">
            <v>4</v>
          </cell>
        </row>
        <row r="84">
          <cell r="L84">
            <v>66.771471711519681</v>
          </cell>
          <cell r="M84" t="str">
            <v>-</v>
          </cell>
          <cell r="P84">
            <v>50.995026201261226</v>
          </cell>
          <cell r="R84">
            <v>4</v>
          </cell>
        </row>
        <row r="85">
          <cell r="L85">
            <v>66.771471711519681</v>
          </cell>
          <cell r="M85" t="str">
            <v>-</v>
          </cell>
          <cell r="P85">
            <v>60.2899902300382</v>
          </cell>
          <cell r="R85">
            <v>4</v>
          </cell>
        </row>
        <row r="86">
          <cell r="L86">
            <v>66.771471711519681</v>
          </cell>
          <cell r="M86" t="str">
            <v>-</v>
          </cell>
          <cell r="P86">
            <v>60.2899902300382</v>
          </cell>
          <cell r="R86">
            <v>4</v>
          </cell>
        </row>
        <row r="87">
          <cell r="L87">
            <v>66.771471711519681</v>
          </cell>
          <cell r="M87" t="str">
            <v>-</v>
          </cell>
          <cell r="P87">
            <v>66.771471711519681</v>
          </cell>
          <cell r="R87">
            <v>4</v>
          </cell>
        </row>
        <row r="88">
          <cell r="L88">
            <v>66.771471711519681</v>
          </cell>
          <cell r="M88" t="str">
            <v>-</v>
          </cell>
          <cell r="P88">
            <v>66.771471711519681</v>
          </cell>
          <cell r="R88">
            <v>4</v>
          </cell>
        </row>
        <row r="89">
          <cell r="L89">
            <v>66.771471711519681</v>
          </cell>
          <cell r="M89" t="str">
            <v>-</v>
          </cell>
          <cell r="P89" t="e">
            <v>#VALUE!</v>
          </cell>
          <cell r="R89">
            <v>4</v>
          </cell>
        </row>
        <row r="90">
          <cell r="L90">
            <v>66.771471711519681</v>
          </cell>
          <cell r="M90" t="str">
            <v>-</v>
          </cell>
          <cell r="P90" t="e">
            <v>#VALUE!</v>
          </cell>
          <cell r="R90">
            <v>4</v>
          </cell>
        </row>
        <row r="91">
          <cell r="L91">
            <v>66.771471711519681</v>
          </cell>
          <cell r="M91" t="str">
            <v>-</v>
          </cell>
          <cell r="P91" t="e">
            <v>#VALUE!</v>
          </cell>
          <cell r="R91">
            <v>4</v>
          </cell>
        </row>
        <row r="92">
          <cell r="L92">
            <v>66.771471711519681</v>
          </cell>
          <cell r="M92" t="str">
            <v>-</v>
          </cell>
          <cell r="P92" t="e">
            <v>#VALUE!</v>
          </cell>
          <cell r="R92">
            <v>4</v>
          </cell>
        </row>
        <row r="93">
          <cell r="L93">
            <v>66.771471711519681</v>
          </cell>
          <cell r="M93" t="str">
            <v>-</v>
          </cell>
          <cell r="P93" t="e">
            <v>#VALUE!</v>
          </cell>
          <cell r="R93">
            <v>4</v>
          </cell>
        </row>
        <row r="94">
          <cell r="L94">
            <v>66.771471711519681</v>
          </cell>
          <cell r="M94" t="str">
            <v>-</v>
          </cell>
          <cell r="P94" t="e">
            <v>#VALUE!</v>
          </cell>
          <cell r="R94">
            <v>4</v>
          </cell>
        </row>
        <row r="95">
          <cell r="L95">
            <v>66.771471711519681</v>
          </cell>
          <cell r="M95" t="str">
            <v>-</v>
          </cell>
          <cell r="P95" t="e">
            <v>#VALUE!</v>
          </cell>
          <cell r="R95">
            <v>4</v>
          </cell>
        </row>
        <row r="96">
          <cell r="L96">
            <v>66.771471711519681</v>
          </cell>
          <cell r="M96" t="str">
            <v>-</v>
          </cell>
          <cell r="P96" t="e">
            <v>#VALUE!</v>
          </cell>
          <cell r="R96">
            <v>4</v>
          </cell>
        </row>
        <row r="97">
          <cell r="L97">
            <v>66.771471711519681</v>
          </cell>
          <cell r="M97" t="str">
            <v>-</v>
          </cell>
          <cell r="P97" t="e">
            <v>#VALUE!</v>
          </cell>
          <cell r="R97">
            <v>4</v>
          </cell>
        </row>
        <row r="98">
          <cell r="L98">
            <v>66.771471711519681</v>
          </cell>
          <cell r="M98" t="str">
            <v>-</v>
          </cell>
          <cell r="P98" t="e">
            <v>#VALUE!</v>
          </cell>
          <cell r="R98">
            <v>4</v>
          </cell>
        </row>
        <row r="99">
          <cell r="L99">
            <v>66.771471711519681</v>
          </cell>
          <cell r="M99" t="str">
            <v>-</v>
          </cell>
          <cell r="P99" t="e">
            <v>#VALUE!</v>
          </cell>
          <cell r="R99">
            <v>4</v>
          </cell>
        </row>
        <row r="100">
          <cell r="L100">
            <v>66.771471711519681</v>
          </cell>
          <cell r="M100" t="str">
            <v>-</v>
          </cell>
          <cell r="P100" t="e">
            <v>#VALUE!</v>
          </cell>
          <cell r="R100">
            <v>4</v>
          </cell>
        </row>
        <row r="101">
          <cell r="P101" t="e">
            <v>#VALUE!</v>
          </cell>
          <cell r="R101">
            <v>4</v>
          </cell>
        </row>
        <row r="102">
          <cell r="P102" t="e">
            <v>#VALUE!</v>
          </cell>
          <cell r="R102">
            <v>4</v>
          </cell>
        </row>
        <row r="103">
          <cell r="P103" t="e">
            <v>#VALUE!</v>
          </cell>
          <cell r="R103">
            <v>4</v>
          </cell>
        </row>
        <row r="104">
          <cell r="P104" t="e">
            <v>#VALUE!</v>
          </cell>
          <cell r="R104">
            <v>4</v>
          </cell>
        </row>
        <row r="105">
          <cell r="P105" t="e">
            <v>#VALUE!</v>
          </cell>
          <cell r="R105">
            <v>4</v>
          </cell>
        </row>
        <row r="106">
          <cell r="P106" t="e">
            <v>#VALUE!</v>
          </cell>
          <cell r="R106">
            <v>4</v>
          </cell>
        </row>
        <row r="107">
          <cell r="P107" t="e">
            <v>#VALUE!</v>
          </cell>
          <cell r="R107">
            <v>4</v>
          </cell>
        </row>
        <row r="108">
          <cell r="P108" t="e">
            <v>#VALUE!</v>
          </cell>
          <cell r="R108">
            <v>4</v>
          </cell>
        </row>
        <row r="109">
          <cell r="P109" t="e">
            <v>#VALUE!</v>
          </cell>
          <cell r="R109">
            <v>4</v>
          </cell>
        </row>
        <row r="110">
          <cell r="P110" t="e">
            <v>#VALUE!</v>
          </cell>
          <cell r="R110">
            <v>4</v>
          </cell>
        </row>
        <row r="111">
          <cell r="P111" t="e">
            <v>#VALUE!</v>
          </cell>
          <cell r="R111">
            <v>4</v>
          </cell>
        </row>
        <row r="112">
          <cell r="P112" t="e">
            <v>#VALUE!</v>
          </cell>
          <cell r="R112">
            <v>4</v>
          </cell>
        </row>
        <row r="113">
          <cell r="P113" t="e">
            <v>#VALUE!</v>
          </cell>
          <cell r="R113">
            <v>4</v>
          </cell>
        </row>
        <row r="114">
          <cell r="P114" t="e">
            <v>#VALUE!</v>
          </cell>
          <cell r="R114">
            <v>4</v>
          </cell>
        </row>
        <row r="115">
          <cell r="P115" t="e">
            <v>#VALUE!</v>
          </cell>
          <cell r="R115">
            <v>4</v>
          </cell>
        </row>
        <row r="116">
          <cell r="P116" t="e">
            <v>#VALUE!</v>
          </cell>
          <cell r="R116">
            <v>4</v>
          </cell>
        </row>
        <row r="117">
          <cell r="P117" t="e">
            <v>#VALUE!</v>
          </cell>
          <cell r="R117">
            <v>4</v>
          </cell>
        </row>
        <row r="118">
          <cell r="P118" t="e">
            <v>#VALUE!</v>
          </cell>
          <cell r="R118">
            <v>4</v>
          </cell>
        </row>
        <row r="119">
          <cell r="P119" t="e">
            <v>#VALUE!</v>
          </cell>
          <cell r="R119">
            <v>4</v>
          </cell>
        </row>
        <row r="120">
          <cell r="P120" t="e">
            <v>#VALUE!</v>
          </cell>
          <cell r="R120">
            <v>4</v>
          </cell>
        </row>
        <row r="121">
          <cell r="P121" t="e">
            <v>#VALUE!</v>
          </cell>
          <cell r="R121">
            <v>4</v>
          </cell>
        </row>
        <row r="122">
          <cell r="P122" t="e">
            <v>#VALUE!</v>
          </cell>
          <cell r="R122">
            <v>4</v>
          </cell>
        </row>
        <row r="123">
          <cell r="P123" t="e">
            <v>#VALUE!</v>
          </cell>
          <cell r="R123">
            <v>4</v>
          </cell>
        </row>
        <row r="124">
          <cell r="P124" t="e">
            <v>#VALUE!</v>
          </cell>
          <cell r="R124">
            <v>4</v>
          </cell>
        </row>
      </sheetData>
      <sheetData sheetId="19"/>
      <sheetData sheetId="20"/>
      <sheetData sheetId="21"/>
      <sheetData sheetId="22"/>
      <sheetData sheetId="23">
        <row r="4">
          <cell r="AD4">
            <v>0</v>
          </cell>
          <cell r="AF4">
            <v>4</v>
          </cell>
        </row>
        <row r="5">
          <cell r="AD5">
            <v>6.1709711383624404</v>
          </cell>
          <cell r="AF5">
            <v>4</v>
          </cell>
        </row>
        <row r="6">
          <cell r="AD6">
            <v>6.1709711383624404</v>
          </cell>
          <cell r="AF6">
            <v>4</v>
          </cell>
        </row>
        <row r="7">
          <cell r="AD7">
            <v>8.6084711383624413</v>
          </cell>
          <cell r="AF7">
            <v>4</v>
          </cell>
        </row>
        <row r="8">
          <cell r="AD8">
            <v>8.6084711383624413</v>
          </cell>
          <cell r="AF8">
            <v>4</v>
          </cell>
        </row>
        <row r="9">
          <cell r="AD9">
            <v>11.120971138362442</v>
          </cell>
          <cell r="AF9">
            <v>4</v>
          </cell>
        </row>
        <row r="10">
          <cell r="AD10">
            <v>11.120971138362442</v>
          </cell>
          <cell r="AF10">
            <v>4</v>
          </cell>
        </row>
        <row r="11">
          <cell r="AD11">
            <v>13.743193360584664</v>
          </cell>
          <cell r="AF11">
            <v>4</v>
          </cell>
        </row>
        <row r="12">
          <cell r="AD12">
            <v>13.743193360584664</v>
          </cell>
          <cell r="AF12">
            <v>4</v>
          </cell>
        </row>
        <row r="13">
          <cell r="AD13">
            <v>16.454304471695778</v>
          </cell>
          <cell r="AF13">
            <v>4</v>
          </cell>
        </row>
        <row r="14">
          <cell r="AD14">
            <v>16.454304471695778</v>
          </cell>
          <cell r="AF14">
            <v>4</v>
          </cell>
        </row>
        <row r="15">
          <cell r="AD15">
            <v>19.254304471695775</v>
          </cell>
          <cell r="AF15">
            <v>4</v>
          </cell>
        </row>
        <row r="16">
          <cell r="AD16">
            <v>19.254304471695775</v>
          </cell>
          <cell r="AF16">
            <v>4</v>
          </cell>
        </row>
        <row r="17">
          <cell r="AD17">
            <v>24.439489656880959</v>
          </cell>
          <cell r="AF17">
            <v>4</v>
          </cell>
        </row>
        <row r="18">
          <cell r="AD18">
            <v>24.439489656880959</v>
          </cell>
          <cell r="AF18">
            <v>4</v>
          </cell>
        </row>
        <row r="19">
          <cell r="AD19" t="e">
            <v>#VALUE!</v>
          </cell>
          <cell r="AF19">
            <v>4</v>
          </cell>
        </row>
        <row r="20">
          <cell r="AD20" t="e">
            <v>#VALUE!</v>
          </cell>
          <cell r="AF20">
            <v>4</v>
          </cell>
        </row>
        <row r="21">
          <cell r="AD21" t="e">
            <v>#VALUE!</v>
          </cell>
          <cell r="AF21">
            <v>4</v>
          </cell>
        </row>
        <row r="22">
          <cell r="AD22" t="e">
            <v>#VALUE!</v>
          </cell>
          <cell r="AF22">
            <v>4</v>
          </cell>
        </row>
        <row r="23">
          <cell r="AD23" t="e">
            <v>#VALUE!</v>
          </cell>
          <cell r="AF23">
            <v>4</v>
          </cell>
        </row>
        <row r="24">
          <cell r="AD24" t="e">
            <v>#VALUE!</v>
          </cell>
          <cell r="AF24">
            <v>4</v>
          </cell>
        </row>
        <row r="25">
          <cell r="AD25" t="e">
            <v>#VALUE!</v>
          </cell>
          <cell r="AF25">
            <v>4</v>
          </cell>
        </row>
        <row r="26">
          <cell r="AD26" t="e">
            <v>#VALUE!</v>
          </cell>
          <cell r="AF26">
            <v>4</v>
          </cell>
        </row>
        <row r="27">
          <cell r="AD27" t="e">
            <v>#VALUE!</v>
          </cell>
          <cell r="AF27">
            <v>4</v>
          </cell>
        </row>
        <row r="28">
          <cell r="AD28" t="e">
            <v>#VALUE!</v>
          </cell>
          <cell r="AF28">
            <v>4</v>
          </cell>
        </row>
        <row r="29">
          <cell r="AD29" t="e">
            <v>#VALUE!</v>
          </cell>
          <cell r="AF29">
            <v>4</v>
          </cell>
        </row>
        <row r="30">
          <cell r="AD30" t="e">
            <v>#VALUE!</v>
          </cell>
          <cell r="AF30">
            <v>4</v>
          </cell>
        </row>
        <row r="31">
          <cell r="AD31" t="e">
            <v>#VALUE!</v>
          </cell>
          <cell r="AF31">
            <v>4</v>
          </cell>
        </row>
        <row r="32">
          <cell r="AD32" t="e">
            <v>#VALUE!</v>
          </cell>
          <cell r="AF32">
            <v>4</v>
          </cell>
        </row>
        <row r="33">
          <cell r="AD33" t="e">
            <v>#VALUE!</v>
          </cell>
          <cell r="AF33">
            <v>4</v>
          </cell>
        </row>
        <row r="34">
          <cell r="AD34" t="e">
            <v>#VALUE!</v>
          </cell>
          <cell r="AF34">
            <v>4</v>
          </cell>
        </row>
        <row r="35">
          <cell r="AD35" t="e">
            <v>#VALUE!</v>
          </cell>
          <cell r="AF35">
            <v>4</v>
          </cell>
        </row>
        <row r="36">
          <cell r="AD36" t="e">
            <v>#VALUE!</v>
          </cell>
          <cell r="AF36">
            <v>4</v>
          </cell>
        </row>
        <row r="37">
          <cell r="AD37" t="e">
            <v>#VALUE!</v>
          </cell>
          <cell r="AF37">
            <v>4</v>
          </cell>
        </row>
        <row r="38">
          <cell r="AD38" t="e">
            <v>#VALUE!</v>
          </cell>
          <cell r="AF38">
            <v>4</v>
          </cell>
        </row>
        <row r="39">
          <cell r="AD39" t="e">
            <v>#VALUE!</v>
          </cell>
          <cell r="AF39">
            <v>4</v>
          </cell>
        </row>
        <row r="40">
          <cell r="AD40" t="e">
            <v>#VALUE!</v>
          </cell>
          <cell r="AF40">
            <v>4</v>
          </cell>
        </row>
        <row r="41">
          <cell r="AD41" t="e">
            <v>#VALUE!</v>
          </cell>
          <cell r="AF41">
            <v>4</v>
          </cell>
        </row>
        <row r="42">
          <cell r="AD42" t="e">
            <v>#VALUE!</v>
          </cell>
          <cell r="AF42">
            <v>4</v>
          </cell>
        </row>
        <row r="43">
          <cell r="AD43" t="e">
            <v>#VALUE!</v>
          </cell>
          <cell r="AF43">
            <v>4</v>
          </cell>
        </row>
        <row r="44">
          <cell r="AD44" t="e">
            <v>#VALUE!</v>
          </cell>
          <cell r="AF44">
            <v>4</v>
          </cell>
        </row>
        <row r="45">
          <cell r="AD45" t="e">
            <v>#VALUE!</v>
          </cell>
          <cell r="AF45">
            <v>4</v>
          </cell>
        </row>
        <row r="46">
          <cell r="AD46" t="e">
            <v>#VALUE!</v>
          </cell>
          <cell r="AF46">
            <v>4</v>
          </cell>
        </row>
        <row r="47">
          <cell r="AD47" t="e">
            <v>#VALUE!</v>
          </cell>
          <cell r="AF47">
            <v>4</v>
          </cell>
        </row>
        <row r="48">
          <cell r="AD48" t="e">
            <v>#VALUE!</v>
          </cell>
          <cell r="AF48">
            <v>4</v>
          </cell>
        </row>
        <row r="49">
          <cell r="AD49" t="e">
            <v>#VALUE!</v>
          </cell>
          <cell r="AF49">
            <v>4</v>
          </cell>
        </row>
        <row r="50">
          <cell r="AD50" t="e">
            <v>#VALUE!</v>
          </cell>
          <cell r="AF50">
            <v>4</v>
          </cell>
        </row>
        <row r="51">
          <cell r="AD51" t="e">
            <v>#VALUE!</v>
          </cell>
          <cell r="AF51">
            <v>4</v>
          </cell>
        </row>
        <row r="52">
          <cell r="AD52" t="e">
            <v>#VALUE!</v>
          </cell>
          <cell r="AF52">
            <v>4</v>
          </cell>
        </row>
        <row r="53">
          <cell r="AD53" t="e">
            <v>#VALUE!</v>
          </cell>
          <cell r="AF53">
            <v>4</v>
          </cell>
        </row>
        <row r="54">
          <cell r="AD54" t="e">
            <v>#VALUE!</v>
          </cell>
          <cell r="AF54">
            <v>4</v>
          </cell>
        </row>
        <row r="73">
          <cell r="L73">
            <v>0</v>
          </cell>
          <cell r="M73">
            <v>0</v>
          </cell>
        </row>
        <row r="74">
          <cell r="L74">
            <v>0</v>
          </cell>
          <cell r="M74">
            <v>0</v>
          </cell>
        </row>
        <row r="75">
          <cell r="L75">
            <v>6.1709711383624404</v>
          </cell>
          <cell r="M75">
            <v>0</v>
          </cell>
        </row>
        <row r="76">
          <cell r="L76">
            <v>8.6084711383624413</v>
          </cell>
          <cell r="M76">
            <v>100</v>
          </cell>
        </row>
        <row r="77">
          <cell r="L77">
            <v>11.120971138362442</v>
          </cell>
          <cell r="M77">
            <v>200</v>
          </cell>
        </row>
        <row r="78">
          <cell r="L78">
            <v>13.743193360584664</v>
          </cell>
          <cell r="M78">
            <v>300</v>
          </cell>
        </row>
        <row r="79">
          <cell r="L79">
            <v>16.454304471695778</v>
          </cell>
          <cell r="M79">
            <v>400</v>
          </cell>
        </row>
        <row r="80">
          <cell r="L80">
            <v>19.254304471695775</v>
          </cell>
          <cell r="M80">
            <v>500</v>
          </cell>
        </row>
        <row r="81">
          <cell r="L81">
            <v>24.439489656880959</v>
          </cell>
          <cell r="M81">
            <v>500</v>
          </cell>
        </row>
        <row r="82">
          <cell r="L82">
            <v>24.439489656880959</v>
          </cell>
          <cell r="M82" t="str">
            <v>-</v>
          </cell>
        </row>
        <row r="83">
          <cell r="L83">
            <v>24.439489656880959</v>
          </cell>
          <cell r="M83" t="str">
            <v>-</v>
          </cell>
        </row>
        <row r="84">
          <cell r="L84">
            <v>24.439489656880959</v>
          </cell>
          <cell r="M84" t="str">
            <v>-</v>
          </cell>
        </row>
        <row r="85">
          <cell r="L85">
            <v>24.439489656880959</v>
          </cell>
          <cell r="M85" t="str">
            <v>-</v>
          </cell>
        </row>
        <row r="86">
          <cell r="L86">
            <v>24.439489656880959</v>
          </cell>
          <cell r="M86" t="str">
            <v>-</v>
          </cell>
        </row>
        <row r="87">
          <cell r="L87">
            <v>24.439489656880959</v>
          </cell>
          <cell r="M87" t="str">
            <v>-</v>
          </cell>
        </row>
        <row r="88">
          <cell r="L88">
            <v>24.439489656880959</v>
          </cell>
          <cell r="M88" t="str">
            <v>-</v>
          </cell>
        </row>
        <row r="89">
          <cell r="L89">
            <v>24.439489656880959</v>
          </cell>
          <cell r="M89" t="str">
            <v>-</v>
          </cell>
        </row>
        <row r="90">
          <cell r="L90">
            <v>24.439489656880959</v>
          </cell>
          <cell r="M90" t="str">
            <v>-</v>
          </cell>
        </row>
        <row r="91">
          <cell r="L91">
            <v>24.439489656880959</v>
          </cell>
          <cell r="M91" t="str">
            <v>-</v>
          </cell>
        </row>
        <row r="92">
          <cell r="L92">
            <v>24.439489656880959</v>
          </cell>
          <cell r="M92" t="str">
            <v>-</v>
          </cell>
        </row>
        <row r="93">
          <cell r="L93">
            <v>24.439489656880959</v>
          </cell>
          <cell r="M93" t="str">
            <v>-</v>
          </cell>
        </row>
        <row r="94">
          <cell r="L94">
            <v>24.439489656880959</v>
          </cell>
          <cell r="M94" t="str">
            <v>-</v>
          </cell>
        </row>
        <row r="95">
          <cell r="L95">
            <v>24.439489656880959</v>
          </cell>
          <cell r="M95" t="str">
            <v>-</v>
          </cell>
        </row>
        <row r="96">
          <cell r="L96">
            <v>24.439489656880959</v>
          </cell>
          <cell r="M96" t="str">
            <v>-</v>
          </cell>
        </row>
        <row r="97">
          <cell r="L97">
            <v>24.439489656880959</v>
          </cell>
          <cell r="M97" t="str">
            <v>-</v>
          </cell>
        </row>
        <row r="98">
          <cell r="L98">
            <v>24.439489656880959</v>
          </cell>
          <cell r="M98" t="str">
            <v>-</v>
          </cell>
        </row>
        <row r="99">
          <cell r="L99">
            <v>24.439489656880959</v>
          </cell>
          <cell r="M99" t="str">
            <v>-</v>
          </cell>
        </row>
        <row r="100">
          <cell r="L100">
            <v>24.439489656880959</v>
          </cell>
          <cell r="M100" t="str">
            <v>-</v>
          </cell>
        </row>
      </sheetData>
      <sheetData sheetId="24">
        <row r="73">
          <cell r="L73">
            <v>0</v>
          </cell>
          <cell r="M73">
            <v>0</v>
          </cell>
        </row>
        <row r="74">
          <cell r="L74">
            <v>3.0610422337511256</v>
          </cell>
          <cell r="M74">
            <v>0</v>
          </cell>
          <cell r="P74">
            <v>0</v>
          </cell>
          <cell r="R74">
            <v>3</v>
          </cell>
        </row>
        <row r="75">
          <cell r="L75">
            <v>10.203474112503752</v>
          </cell>
          <cell r="M75">
            <v>0</v>
          </cell>
          <cell r="P75">
            <v>10.203474112503752</v>
          </cell>
          <cell r="R75">
            <v>3</v>
          </cell>
        </row>
        <row r="76">
          <cell r="L76">
            <v>12.214309888327538</v>
          </cell>
          <cell r="M76">
            <v>100</v>
          </cell>
          <cell r="P76">
            <v>10.203474112503752</v>
          </cell>
          <cell r="R76">
            <v>3</v>
          </cell>
        </row>
        <row r="77">
          <cell r="L77">
            <v>14.296199931848276</v>
          </cell>
          <cell r="M77">
            <v>200</v>
          </cell>
          <cell r="P77">
            <v>12.214309888327538</v>
          </cell>
          <cell r="R77">
            <v>3</v>
          </cell>
        </row>
        <row r="78">
          <cell r="L78">
            <v>16.44914424306597</v>
          </cell>
          <cell r="M78">
            <v>300</v>
          </cell>
          <cell r="P78">
            <v>12.214309888327538</v>
          </cell>
          <cell r="R78">
            <v>3</v>
          </cell>
        </row>
        <row r="79">
          <cell r="L79">
            <v>18.673142821980615</v>
          </cell>
          <cell r="M79">
            <v>400</v>
          </cell>
          <cell r="P79">
            <v>14.296199931848276</v>
          </cell>
          <cell r="R79">
            <v>3</v>
          </cell>
        </row>
        <row r="80">
          <cell r="L80">
            <v>20.968195668592216</v>
          </cell>
          <cell r="M80">
            <v>500</v>
          </cell>
          <cell r="P80">
            <v>14.296199931848276</v>
          </cell>
          <cell r="R80">
            <v>3</v>
          </cell>
        </row>
        <row r="81">
          <cell r="L81">
            <v>23.345881996895827</v>
          </cell>
          <cell r="M81">
            <v>600</v>
          </cell>
          <cell r="P81">
            <v>16.44914424306597</v>
          </cell>
          <cell r="R81">
            <v>3</v>
          </cell>
        </row>
        <row r="82">
          <cell r="L82">
            <v>25.796727904531856</v>
          </cell>
          <cell r="M82">
            <v>700</v>
          </cell>
          <cell r="P82">
            <v>16.44914424306597</v>
          </cell>
          <cell r="R82">
            <v>3</v>
          </cell>
        </row>
        <row r="83">
          <cell r="L83">
            <v>28.320733391500308</v>
          </cell>
          <cell r="M83">
            <v>800</v>
          </cell>
          <cell r="P83">
            <v>18.673142821980615</v>
          </cell>
          <cell r="R83">
            <v>3</v>
          </cell>
        </row>
        <row r="84">
          <cell r="L84">
            <v>30.917898457801176</v>
          </cell>
          <cell r="M84">
            <v>900</v>
          </cell>
          <cell r="P84">
            <v>18.673142821980615</v>
          </cell>
          <cell r="R84">
            <v>3</v>
          </cell>
        </row>
        <row r="85">
          <cell r="L85">
            <v>34.011580375012507</v>
          </cell>
          <cell r="M85">
            <v>900</v>
          </cell>
          <cell r="P85">
            <v>20.968195668592216</v>
          </cell>
          <cell r="R85">
            <v>3</v>
          </cell>
        </row>
        <row r="86">
          <cell r="L86">
            <v>34.011580375012507</v>
          </cell>
          <cell r="M86" t="str">
            <v>-</v>
          </cell>
          <cell r="P86">
            <v>20.968195668592216</v>
          </cell>
          <cell r="R86">
            <v>3</v>
          </cell>
        </row>
        <row r="87">
          <cell r="L87">
            <v>34.011580375012507</v>
          </cell>
          <cell r="M87" t="str">
            <v>-</v>
          </cell>
          <cell r="P87">
            <v>23.345881996895827</v>
          </cell>
          <cell r="R87">
            <v>3</v>
          </cell>
        </row>
        <row r="88">
          <cell r="L88">
            <v>34.011580375012507</v>
          </cell>
          <cell r="M88" t="str">
            <v>-</v>
          </cell>
          <cell r="P88">
            <v>23.345881996895827</v>
          </cell>
          <cell r="R88">
            <v>3</v>
          </cell>
        </row>
        <row r="89">
          <cell r="L89">
            <v>34.011580375012507</v>
          </cell>
          <cell r="M89" t="str">
            <v>-</v>
          </cell>
          <cell r="P89">
            <v>25.796727904531856</v>
          </cell>
          <cell r="R89">
            <v>3</v>
          </cell>
        </row>
        <row r="90">
          <cell r="L90">
            <v>34.011580375012507</v>
          </cell>
          <cell r="M90" t="str">
            <v>-</v>
          </cell>
          <cell r="P90">
            <v>25.796727904531856</v>
          </cell>
          <cell r="R90">
            <v>3</v>
          </cell>
        </row>
        <row r="91">
          <cell r="L91">
            <v>34.011580375012507</v>
          </cell>
          <cell r="M91" t="str">
            <v>-</v>
          </cell>
          <cell r="P91">
            <v>28.320733391500308</v>
          </cell>
          <cell r="R91">
            <v>3</v>
          </cell>
        </row>
        <row r="92">
          <cell r="L92">
            <v>34.011580375012507</v>
          </cell>
          <cell r="M92" t="str">
            <v>-</v>
          </cell>
          <cell r="P92">
            <v>28.320733391500308</v>
          </cell>
          <cell r="R92">
            <v>3</v>
          </cell>
        </row>
        <row r="93">
          <cell r="L93">
            <v>34.011580375012507</v>
          </cell>
          <cell r="M93" t="str">
            <v>-</v>
          </cell>
          <cell r="P93">
            <v>30.917898457801176</v>
          </cell>
          <cell r="R93">
            <v>3</v>
          </cell>
        </row>
        <row r="94">
          <cell r="L94">
            <v>34.011580375012507</v>
          </cell>
          <cell r="M94" t="str">
            <v>-</v>
          </cell>
          <cell r="P94">
            <v>30.917898457801176</v>
          </cell>
          <cell r="R94">
            <v>3</v>
          </cell>
        </row>
        <row r="95">
          <cell r="L95">
            <v>34.011580375012507</v>
          </cell>
          <cell r="M95" t="str">
            <v>-</v>
          </cell>
          <cell r="P95">
            <v>34.011580375012507</v>
          </cell>
          <cell r="R95">
            <v>3</v>
          </cell>
        </row>
        <row r="96">
          <cell r="L96">
            <v>34.011580375012507</v>
          </cell>
          <cell r="M96" t="str">
            <v>-</v>
          </cell>
          <cell r="P96">
            <v>34.011580375012507</v>
          </cell>
          <cell r="R96">
            <v>3</v>
          </cell>
        </row>
        <row r="97">
          <cell r="L97">
            <v>34.011580375012507</v>
          </cell>
          <cell r="M97" t="str">
            <v>-</v>
          </cell>
          <cell r="P97" t="e">
            <v>#VALUE!</v>
          </cell>
          <cell r="R97">
            <v>3</v>
          </cell>
        </row>
        <row r="98">
          <cell r="L98">
            <v>34.011580375012507</v>
          </cell>
          <cell r="M98" t="str">
            <v>-</v>
          </cell>
          <cell r="P98" t="e">
            <v>#VALUE!</v>
          </cell>
          <cell r="R98">
            <v>3</v>
          </cell>
        </row>
        <row r="99">
          <cell r="L99">
            <v>34.011580375012507</v>
          </cell>
          <cell r="M99" t="str">
            <v>-</v>
          </cell>
          <cell r="P99" t="e">
            <v>#VALUE!</v>
          </cell>
          <cell r="R99">
            <v>3</v>
          </cell>
        </row>
        <row r="100">
          <cell r="L100">
            <v>34.011580375012507</v>
          </cell>
          <cell r="M100" t="str">
            <v>-</v>
          </cell>
          <cell r="P100" t="e">
            <v>#VALUE!</v>
          </cell>
          <cell r="R100">
            <v>3</v>
          </cell>
        </row>
        <row r="101">
          <cell r="P101" t="e">
            <v>#VALUE!</v>
          </cell>
          <cell r="R101">
            <v>3</v>
          </cell>
        </row>
        <row r="102">
          <cell r="P102" t="e">
            <v>#VALUE!</v>
          </cell>
          <cell r="R102">
            <v>3</v>
          </cell>
        </row>
        <row r="103">
          <cell r="P103" t="e">
            <v>#VALUE!</v>
          </cell>
          <cell r="R103">
            <v>3</v>
          </cell>
        </row>
        <row r="104">
          <cell r="P104" t="e">
            <v>#VALUE!</v>
          </cell>
          <cell r="R104">
            <v>3</v>
          </cell>
        </row>
        <row r="105">
          <cell r="P105" t="e">
            <v>#VALUE!</v>
          </cell>
          <cell r="R105">
            <v>3</v>
          </cell>
        </row>
        <row r="106">
          <cell r="P106" t="e">
            <v>#VALUE!</v>
          </cell>
          <cell r="R106">
            <v>3</v>
          </cell>
        </row>
        <row r="107">
          <cell r="P107" t="e">
            <v>#VALUE!</v>
          </cell>
          <cell r="R107">
            <v>3</v>
          </cell>
        </row>
        <row r="108">
          <cell r="P108" t="e">
            <v>#VALUE!</v>
          </cell>
          <cell r="R108">
            <v>3</v>
          </cell>
        </row>
        <row r="109">
          <cell r="P109" t="e">
            <v>#VALUE!</v>
          </cell>
          <cell r="R109">
            <v>3</v>
          </cell>
        </row>
        <row r="110">
          <cell r="P110" t="e">
            <v>#VALUE!</v>
          </cell>
          <cell r="R110">
            <v>3</v>
          </cell>
        </row>
        <row r="111">
          <cell r="P111" t="e">
            <v>#VALUE!</v>
          </cell>
          <cell r="R111">
            <v>3</v>
          </cell>
        </row>
        <row r="112">
          <cell r="P112" t="e">
            <v>#VALUE!</v>
          </cell>
          <cell r="R112">
            <v>3</v>
          </cell>
        </row>
        <row r="113">
          <cell r="P113" t="e">
            <v>#VALUE!</v>
          </cell>
          <cell r="R113">
            <v>3</v>
          </cell>
        </row>
        <row r="114">
          <cell r="P114" t="e">
            <v>#VALUE!</v>
          </cell>
          <cell r="R114">
            <v>3</v>
          </cell>
        </row>
        <row r="115">
          <cell r="P115" t="e">
            <v>#VALUE!</v>
          </cell>
          <cell r="R115">
            <v>3</v>
          </cell>
        </row>
        <row r="116">
          <cell r="P116" t="e">
            <v>#VALUE!</v>
          </cell>
          <cell r="R116">
            <v>3</v>
          </cell>
        </row>
        <row r="117">
          <cell r="P117" t="e">
            <v>#VALUE!</v>
          </cell>
          <cell r="R117">
            <v>3</v>
          </cell>
        </row>
        <row r="118">
          <cell r="P118" t="e">
            <v>#VALUE!</v>
          </cell>
          <cell r="R118">
            <v>3</v>
          </cell>
        </row>
        <row r="119">
          <cell r="P119" t="e">
            <v>#VALUE!</v>
          </cell>
          <cell r="R119">
            <v>3</v>
          </cell>
        </row>
        <row r="120">
          <cell r="P120" t="e">
            <v>#VALUE!</v>
          </cell>
          <cell r="R120">
            <v>3</v>
          </cell>
        </row>
        <row r="121">
          <cell r="P121" t="e">
            <v>#VALUE!</v>
          </cell>
          <cell r="R121">
            <v>3</v>
          </cell>
        </row>
        <row r="122">
          <cell r="P122" t="e">
            <v>#VALUE!</v>
          </cell>
          <cell r="R122">
            <v>3</v>
          </cell>
        </row>
        <row r="123">
          <cell r="P123" t="e">
            <v>#VALUE!</v>
          </cell>
          <cell r="R123">
            <v>3</v>
          </cell>
        </row>
        <row r="124">
          <cell r="P124" t="e">
            <v>#VALUE!</v>
          </cell>
          <cell r="R124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A69" sqref="A69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5</v>
      </c>
      <c r="J4" s="41">
        <f>C5</f>
        <v>3</v>
      </c>
      <c r="K4" s="29">
        <f>L4</f>
        <v>15</v>
      </c>
      <c r="L4" s="29">
        <f>C23</f>
        <v>15</v>
      </c>
      <c r="M4" s="41" t="str">
        <f>C22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$C$5</f>
        <v>3</v>
      </c>
      <c r="AI4" t="s">
        <v>27</v>
      </c>
      <c r="AJ4" s="5">
        <f>SUM(K7:K31)</f>
        <v>58.154493253924031</v>
      </c>
    </row>
    <row r="5" spans="1:36" ht="18" customHeight="1" x14ac:dyDescent="0.25">
      <c r="A5" s="6"/>
      <c r="B5" s="26" t="s">
        <v>28</v>
      </c>
      <c r="C5" s="39">
        <v>3</v>
      </c>
      <c r="D5" s="6"/>
      <c r="E5" s="12" t="str">
        <f>IF(C14=0,"",C11)</f>
        <v/>
      </c>
      <c r="F5" s="62" t="str">
        <f>IF(E5="","",SUMIF(M5:M31,C11,L5:L31))</f>
        <v/>
      </c>
      <c r="G5" s="6"/>
      <c r="H5" s="20" t="str">
        <f>IF(I5="-","-","Буфер")</f>
        <v>Буфер</v>
      </c>
      <c r="I5" s="9">
        <f t="shared" ref="I5:I31" si="1">IFERROR(K5/J5,"-")</f>
        <v>3.1555484769869309</v>
      </c>
      <c r="J5" s="43">
        <f t="shared" ref="J5:J31" si="2">IF(K5="-","-",$C$5)</f>
        <v>3</v>
      </c>
      <c r="K5" s="9">
        <f>IFERROR(J74, "-")</f>
        <v>9.4666454309607921</v>
      </c>
      <c r="L5" s="9">
        <f>IFERROR(K5,0)</f>
        <v>9.4666454309607921</v>
      </c>
      <c r="M5" s="43" t="str">
        <f>IF(L5="-","-",$C$18)</f>
        <v>LG24</v>
      </c>
      <c r="N5" s="43"/>
      <c r="O5" s="43"/>
      <c r="P5" s="43"/>
      <c r="Q5" s="9"/>
      <c r="R5" s="9">
        <f>IF(L5="-","-",L5)</f>
        <v>9.4666454309607921</v>
      </c>
      <c r="S5" s="9"/>
      <c r="T5" s="21">
        <f>IF(K5="-","-",K5)</f>
        <v>9.4666454309607921</v>
      </c>
      <c r="U5" s="6"/>
      <c r="V5" s="6"/>
      <c r="W5" s="6"/>
      <c r="X5" s="6"/>
      <c r="Y5" s="6"/>
      <c r="Z5" s="6"/>
      <c r="AA5" s="6"/>
      <c r="AC5">
        <f>AC4+I5+I6</f>
        <v>10.51849492328977</v>
      </c>
      <c r="AD5">
        <f>AC5</f>
        <v>10.51849492328977</v>
      </c>
      <c r="AE5">
        <f>P5</f>
        <v>0</v>
      </c>
      <c r="AF5">
        <f t="shared" si="0"/>
        <v>3</v>
      </c>
      <c r="AI5" t="s">
        <v>29</v>
      </c>
      <c r="AJ5">
        <f>AJ4/(1-J81)</f>
        <v>89.70997802379334</v>
      </c>
    </row>
    <row r="6" spans="1:36" ht="18" customHeight="1" x14ac:dyDescent="0.25">
      <c r="A6" s="6"/>
      <c r="B6" s="24" t="s">
        <v>30</v>
      </c>
      <c r="C6" s="39">
        <v>100</v>
      </c>
      <c r="D6" s="6"/>
      <c r="E6" s="12" t="str">
        <f>C12</f>
        <v>LG28</v>
      </c>
      <c r="F6" s="62">
        <f>SUMIF(M5:M31,C12,L5:L31)</f>
        <v>22.85006980715881</v>
      </c>
      <c r="G6" s="6"/>
      <c r="H6" s="20" t="str">
        <f>IF(I6="-","-","Буфер")</f>
        <v>Буфер</v>
      </c>
      <c r="I6" s="9">
        <f t="shared" si="1"/>
        <v>7.3629464463028391</v>
      </c>
      <c r="J6" s="43">
        <f t="shared" si="2"/>
        <v>3</v>
      </c>
      <c r="K6" s="9">
        <f>IFERROR(J75, "-")</f>
        <v>22.088839338908517</v>
      </c>
      <c r="L6" s="9">
        <f>IFERROR(K6,0)</f>
        <v>22.088839338908517</v>
      </c>
      <c r="M6" s="43" t="str">
        <f>IF(L6="-","-",$C$19)</f>
        <v>DX26</v>
      </c>
      <c r="N6" s="43"/>
      <c r="O6" s="43"/>
      <c r="P6" s="43"/>
      <c r="Q6" s="9"/>
      <c r="R6" s="9">
        <f>IF(L6="-","-",R5+L6)</f>
        <v>31.55548476986931</v>
      </c>
      <c r="S6" s="9"/>
      <c r="T6" s="21">
        <f>IF(K6="-","-",K6+T5)</f>
        <v>31.55548476986931</v>
      </c>
      <c r="U6" s="6"/>
      <c r="V6" s="6"/>
      <c r="W6" s="6"/>
      <c r="X6" s="6"/>
      <c r="Y6" s="6"/>
      <c r="Z6" s="6"/>
      <c r="AA6" s="6"/>
      <c r="AC6" s="5">
        <f t="shared" ref="AC6:AC30" si="3">AC5+I7</f>
        <v>11.037710474673419</v>
      </c>
      <c r="AD6">
        <f>AD5</f>
        <v>10.51849492328977</v>
      </c>
      <c r="AE6">
        <f>O7</f>
        <v>100</v>
      </c>
      <c r="AF6">
        <f t="shared" si="0"/>
        <v>3</v>
      </c>
    </row>
    <row r="7" spans="1:36" ht="15.75" customHeight="1" x14ac:dyDescent="0.25">
      <c r="A7" s="6"/>
      <c r="B7" s="24" t="s">
        <v>31</v>
      </c>
      <c r="C7" s="39">
        <v>3</v>
      </c>
      <c r="D7" s="6"/>
      <c r="E7" s="12" t="str">
        <f>C13</f>
        <v>DX28</v>
      </c>
      <c r="F7" s="62">
        <f>SUMIF(M5:M31,C13,L5:L31)</f>
        <v>24.232175723941619</v>
      </c>
      <c r="G7" s="6"/>
      <c r="H7" s="20" t="str">
        <f t="shared" ref="H7:H31" si="4">IF(I7="-","-","Пропант")</f>
        <v>Пропант</v>
      </c>
      <c r="I7" s="9">
        <f t="shared" si="1"/>
        <v>0.51921555138364928</v>
      </c>
      <c r="J7" s="43">
        <f t="shared" si="2"/>
        <v>3</v>
      </c>
      <c r="K7" s="9">
        <f t="shared" ref="K7:K31" si="5">IFERROR(L7+Q7/(IF(N7=$C$8,$G$103,$G$104)*1000),"-")</f>
        <v>1.5576466541509479</v>
      </c>
      <c r="L7" s="9">
        <f t="shared" ref="L7:L31" si="6">IFERROR(Q7/O7,"-")</f>
        <v>1.5035617008818178</v>
      </c>
      <c r="M7" s="43" t="str">
        <f t="shared" ref="M7:M31" si="7">IF(L7="-","-",IF(P7&lt;=$C$14,$C$11,IF(P7&gt;$C$15,$C$13,$C$12)))</f>
        <v>LG28</v>
      </c>
      <c r="N7" s="43" t="str">
        <f t="shared" ref="N7:N31" si="8">IF(P7="-","-",IF(P7&lt;$C$10,$C$8,$C$9))</f>
        <v>20/40 Новатэк</v>
      </c>
      <c r="O7" s="43">
        <f>IFERROR(O6+($C$4-O6)/($J$78-D5),"-")</f>
        <v>100</v>
      </c>
      <c r="P7" s="43">
        <f t="shared" ref="P7:P31" si="9">O7</f>
        <v>100</v>
      </c>
      <c r="Q7" s="9">
        <f>IF(S7="-","-",S7)</f>
        <v>150.35617008818178</v>
      </c>
      <c r="R7" s="9">
        <f t="shared" ref="R7:R31" si="10">IFERROR(IF(L7="-","-",R6+L7),"-")</f>
        <v>33.059046470751127</v>
      </c>
      <c r="S7" s="9">
        <f t="shared" ref="S7:S31" si="11">IF(G76="-","-",G76*$C$3*1000)</f>
        <v>150.35617008818178</v>
      </c>
      <c r="T7" s="21">
        <f t="shared" ref="T7:T31" si="12">IFERROR(IF(K7="-","-",T6+K7),"-")</f>
        <v>33.11313142402026</v>
      </c>
      <c r="U7" s="6"/>
      <c r="V7" s="6"/>
      <c r="W7" s="6"/>
      <c r="X7" s="6"/>
      <c r="Y7" s="6"/>
      <c r="Z7" s="6"/>
      <c r="AA7" s="6"/>
      <c r="AC7" s="5">
        <f t="shared" si="3"/>
        <v>12.091938116294507</v>
      </c>
      <c r="AD7" s="5">
        <f>AC6</f>
        <v>11.037710474673419</v>
      </c>
      <c r="AE7">
        <f>P7</f>
        <v>100</v>
      </c>
      <c r="AF7">
        <f t="shared" si="0"/>
        <v>3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SUM(L5:L31)</f>
        <v>78.637730300969736</v>
      </c>
      <c r="G8" s="6"/>
      <c r="H8" s="20" t="str">
        <f t="shared" si="4"/>
        <v>Пропант</v>
      </c>
      <c r="I8" s="9">
        <f t="shared" si="1"/>
        <v>1.0542276416210876</v>
      </c>
      <c r="J8" s="43">
        <f t="shared" si="2"/>
        <v>3</v>
      </c>
      <c r="K8" s="9">
        <f t="shared" si="5"/>
        <v>3.1626829248632626</v>
      </c>
      <c r="L8" s="9">
        <f t="shared" si="6"/>
        <v>2.9504223258791509</v>
      </c>
      <c r="M8" s="43" t="str">
        <f t="shared" si="7"/>
        <v>LG28</v>
      </c>
      <c r="N8" s="43" t="str">
        <f t="shared" si="8"/>
        <v>20/40 Новатэк</v>
      </c>
      <c r="O8" s="43">
        <f t="shared" ref="O8:O31" si="13">IFERROR(O7+($C$4-O7)/($J$78-E76),"-")</f>
        <v>200</v>
      </c>
      <c r="P8" s="43">
        <f t="shared" si="9"/>
        <v>200</v>
      </c>
      <c r="Q8" s="9">
        <f t="shared" ref="Q8:Q31" si="14">IF(S8="-","-",S8-S7)</f>
        <v>590.08446517583013</v>
      </c>
      <c r="R8" s="9">
        <f t="shared" si="10"/>
        <v>36.00946879663028</v>
      </c>
      <c r="S8" s="9">
        <f t="shared" si="11"/>
        <v>740.44063526401192</v>
      </c>
      <c r="T8" s="21">
        <f t="shared" si="12"/>
        <v>36.275814348883522</v>
      </c>
      <c r="U8" s="6"/>
      <c r="V8" s="6"/>
      <c r="W8" s="6"/>
      <c r="X8" s="6"/>
      <c r="Y8" s="6"/>
      <c r="Z8" s="6"/>
      <c r="AA8" s="6"/>
      <c r="AC8">
        <f t="shared" si="3"/>
        <v>13.496577754298581</v>
      </c>
      <c r="AD8" s="5">
        <f>AD7</f>
        <v>11.037710474673419</v>
      </c>
      <c r="AE8">
        <f>O8</f>
        <v>200</v>
      </c>
      <c r="AF8">
        <f t="shared" si="0"/>
        <v>3</v>
      </c>
      <c r="AI8">
        <f>C3/AJ4</f>
        <v>0.5158672756206284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1.4046396380040742</v>
      </c>
      <c r="J9" s="43">
        <f t="shared" si="2"/>
        <v>3</v>
      </c>
      <c r="K9" s="9">
        <f t="shared" si="5"/>
        <v>4.2139189140122228</v>
      </c>
      <c r="L9" s="9">
        <f t="shared" si="6"/>
        <v>3.8034722665434999</v>
      </c>
      <c r="M9" s="43" t="str">
        <f t="shared" si="7"/>
        <v>LG28</v>
      </c>
      <c r="N9" s="43" t="str">
        <f t="shared" si="8"/>
        <v>20/40 Новатэк</v>
      </c>
      <c r="O9" s="43">
        <f t="shared" si="13"/>
        <v>300</v>
      </c>
      <c r="P9" s="43">
        <f t="shared" si="9"/>
        <v>300</v>
      </c>
      <c r="Q9" s="9">
        <f t="shared" si="14"/>
        <v>1141.04167996305</v>
      </c>
      <c r="R9" s="9">
        <f t="shared" si="10"/>
        <v>39.812941063173781</v>
      </c>
      <c r="S9" s="9">
        <f t="shared" si="11"/>
        <v>1881.4823152270619</v>
      </c>
      <c r="T9" s="21">
        <f t="shared" si="12"/>
        <v>40.489733262895747</v>
      </c>
      <c r="U9" s="6"/>
      <c r="V9" s="6"/>
      <c r="W9" s="6"/>
      <c r="X9" s="6"/>
      <c r="Y9" s="6"/>
      <c r="Z9" s="6"/>
      <c r="AA9" s="6"/>
      <c r="AC9">
        <f t="shared" si="3"/>
        <v>15.178922714999331</v>
      </c>
      <c r="AD9">
        <f>AC7</f>
        <v>12.091938116294507</v>
      </c>
      <c r="AE9">
        <f>P8</f>
        <v>200</v>
      </c>
      <c r="AF9">
        <f t="shared" si="0"/>
        <v>3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1.6823449607007497</v>
      </c>
      <c r="J10" s="43">
        <f t="shared" si="2"/>
        <v>3</v>
      </c>
      <c r="K10" s="9">
        <f t="shared" si="5"/>
        <v>5.047034882102249</v>
      </c>
      <c r="L10" s="9">
        <f t="shared" si="6"/>
        <v>4.4121877271208341</v>
      </c>
      <c r="M10" s="43" t="str">
        <f t="shared" si="7"/>
        <v>LG28</v>
      </c>
      <c r="N10" s="43" t="str">
        <f t="shared" si="8"/>
        <v>20/40 Новатэк</v>
      </c>
      <c r="O10" s="43">
        <f t="shared" si="13"/>
        <v>400</v>
      </c>
      <c r="P10" s="43">
        <f t="shared" si="9"/>
        <v>400</v>
      </c>
      <c r="Q10" s="9">
        <f t="shared" si="14"/>
        <v>1764.8750908483335</v>
      </c>
      <c r="R10" s="9">
        <f t="shared" si="10"/>
        <v>44.225128790294619</v>
      </c>
      <c r="S10" s="9">
        <f t="shared" si="11"/>
        <v>3646.3574060753954</v>
      </c>
      <c r="T10" s="21">
        <f t="shared" si="12"/>
        <v>45.536768144997993</v>
      </c>
      <c r="U10" s="6"/>
      <c r="V10" s="6"/>
      <c r="W10" s="6"/>
      <c r="X10" s="6"/>
      <c r="Y10" s="6"/>
      <c r="Z10" s="6"/>
      <c r="AA10" s="6"/>
      <c r="AC10">
        <f t="shared" si="3"/>
        <v>17.111197730581651</v>
      </c>
      <c r="AD10">
        <f>AD9</f>
        <v>12.091938116294507</v>
      </c>
      <c r="AE10">
        <f>O9</f>
        <v>300</v>
      </c>
      <c r="AF10">
        <f t="shared" si="0"/>
        <v>3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IF(E11="","",SUMIF(N5:N31,C8,Q5:Q31)/1000)</f>
        <v>3.6463574060753952</v>
      </c>
      <c r="G11" s="6"/>
      <c r="H11" s="20" t="str">
        <f t="shared" si="4"/>
        <v>Пропант</v>
      </c>
      <c r="I11" s="9">
        <f t="shared" si="1"/>
        <v>1.932275015582319</v>
      </c>
      <c r="J11" s="43">
        <f t="shared" si="2"/>
        <v>3</v>
      </c>
      <c r="K11" s="9">
        <f t="shared" si="5"/>
        <v>5.7968250467469566</v>
      </c>
      <c r="L11" s="9">
        <f t="shared" si="6"/>
        <v>4.891071133192745</v>
      </c>
      <c r="M11" s="43" t="str">
        <f t="shared" si="7"/>
        <v>LG28</v>
      </c>
      <c r="N11" s="43" t="str">
        <f t="shared" si="8"/>
        <v>16/20 Новатэк</v>
      </c>
      <c r="O11" s="43">
        <f t="shared" si="13"/>
        <v>500</v>
      </c>
      <c r="P11" s="43">
        <f t="shared" si="9"/>
        <v>500</v>
      </c>
      <c r="Q11" s="9">
        <f t="shared" si="14"/>
        <v>2445.5355665963725</v>
      </c>
      <c r="R11" s="9">
        <f t="shared" si="10"/>
        <v>49.116199923487365</v>
      </c>
      <c r="S11" s="9">
        <f t="shared" si="11"/>
        <v>6091.8929726717679</v>
      </c>
      <c r="T11" s="21">
        <f t="shared" si="12"/>
        <v>51.333593191744953</v>
      </c>
      <c r="U11" s="6"/>
      <c r="V11" s="6"/>
      <c r="W11" s="6"/>
      <c r="X11" s="6"/>
      <c r="Y11" s="6"/>
      <c r="Z11" s="6"/>
      <c r="AA11" s="6"/>
      <c r="AC11">
        <f t="shared" si="3"/>
        <v>19.266119996838999</v>
      </c>
      <c r="AD11">
        <f>AC8</f>
        <v>13.496577754298581</v>
      </c>
      <c r="AE11">
        <f>P9</f>
        <v>300</v>
      </c>
      <c r="AF11">
        <f t="shared" si="0"/>
        <v>3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SUMIF(N5:N31,C9,Q5:Q31)/1000</f>
        <v>26.353642593924604</v>
      </c>
      <c r="G12" s="6"/>
      <c r="H12" s="20" t="str">
        <f t="shared" si="4"/>
        <v>Пропант</v>
      </c>
      <c r="I12" s="9">
        <f t="shared" si="1"/>
        <v>2.1549222662573468</v>
      </c>
      <c r="J12" s="43">
        <f t="shared" si="2"/>
        <v>3</v>
      </c>
      <c r="K12" s="9">
        <f t="shared" si="5"/>
        <v>6.4647667987720405</v>
      </c>
      <c r="L12" s="9">
        <f t="shared" si="6"/>
        <v>5.2893546535407605</v>
      </c>
      <c r="M12" s="43" t="str">
        <f t="shared" si="7"/>
        <v>LG28</v>
      </c>
      <c r="N12" s="43" t="str">
        <f t="shared" si="8"/>
        <v>16/20 Новатэк</v>
      </c>
      <c r="O12" s="43">
        <f t="shared" si="13"/>
        <v>600</v>
      </c>
      <c r="P12" s="43">
        <f t="shared" si="9"/>
        <v>600</v>
      </c>
      <c r="Q12" s="9">
        <f t="shared" si="14"/>
        <v>3173.6127921244561</v>
      </c>
      <c r="R12" s="9">
        <f t="shared" si="10"/>
        <v>54.405554577028127</v>
      </c>
      <c r="S12" s="9">
        <f t="shared" si="11"/>
        <v>9265.505764796224</v>
      </c>
      <c r="T12" s="21">
        <f t="shared" si="12"/>
        <v>57.798359990516992</v>
      </c>
      <c r="U12" s="6"/>
      <c r="V12" s="6"/>
      <c r="W12" s="6"/>
      <c r="X12" s="6"/>
      <c r="Y12" s="6"/>
      <c r="Z12" s="6"/>
      <c r="AA12" s="6"/>
      <c r="AC12">
        <f t="shared" si="3"/>
        <v>21.630402540117483</v>
      </c>
      <c r="AD12">
        <f>AD11</f>
        <v>13.496577754298581</v>
      </c>
      <c r="AE12">
        <f>O10</f>
        <v>400</v>
      </c>
      <c r="AF12">
        <f t="shared" si="0"/>
        <v>3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4"/>
        <v>Пропант</v>
      </c>
      <c r="I13" s="9">
        <f t="shared" si="1"/>
        <v>2.3642825432784851</v>
      </c>
      <c r="J13" s="43">
        <f t="shared" si="2"/>
        <v>3</v>
      </c>
      <c r="K13" s="9">
        <f t="shared" si="5"/>
        <v>7.0928476298354557</v>
      </c>
      <c r="L13" s="9">
        <f t="shared" si="6"/>
        <v>5.6325554707516856</v>
      </c>
      <c r="M13" s="43" t="str">
        <f t="shared" si="7"/>
        <v>DX28</v>
      </c>
      <c r="N13" s="43" t="str">
        <f t="shared" si="8"/>
        <v>16/20 Новатэк</v>
      </c>
      <c r="O13" s="43">
        <f t="shared" si="13"/>
        <v>700</v>
      </c>
      <c r="P13" s="43">
        <f t="shared" si="9"/>
        <v>700</v>
      </c>
      <c r="Q13" s="9">
        <f t="shared" si="14"/>
        <v>3942.7888295261801</v>
      </c>
      <c r="R13" s="9">
        <f t="shared" si="10"/>
        <v>60.03811004777981</v>
      </c>
      <c r="S13" s="9">
        <f t="shared" si="11"/>
        <v>13208.294594322404</v>
      </c>
      <c r="T13" s="21">
        <f t="shared" si="12"/>
        <v>64.891207620352446</v>
      </c>
      <c r="U13" s="6"/>
      <c r="V13" s="6"/>
      <c r="W13" s="6"/>
      <c r="X13" s="6"/>
      <c r="Y13" s="6"/>
      <c r="Z13" s="6"/>
      <c r="AA13" s="6"/>
      <c r="AC13">
        <f t="shared" si="3"/>
        <v>24.195165597764358</v>
      </c>
      <c r="AD13">
        <f>AC9</f>
        <v>15.178922714999331</v>
      </c>
      <c r="AE13">
        <f>P10</f>
        <v>400</v>
      </c>
      <c r="AF13">
        <f t="shared" si="0"/>
        <v>3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2.5647630576468767</v>
      </c>
      <c r="J14" s="43">
        <f t="shared" si="2"/>
        <v>3</v>
      </c>
      <c r="K14" s="9">
        <f t="shared" si="5"/>
        <v>7.6942891729406302</v>
      </c>
      <c r="L14" s="9">
        <f t="shared" si="6"/>
        <v>5.9355945048399148</v>
      </c>
      <c r="M14" s="43" t="str">
        <f t="shared" si="7"/>
        <v>DX28</v>
      </c>
      <c r="N14" s="43" t="str">
        <f t="shared" si="8"/>
        <v>16/20 Новатэк</v>
      </c>
      <c r="O14" s="43">
        <f t="shared" si="13"/>
        <v>800</v>
      </c>
      <c r="P14" s="43">
        <f t="shared" si="9"/>
        <v>800</v>
      </c>
      <c r="Q14" s="9">
        <f t="shared" si="14"/>
        <v>4748.4756038719315</v>
      </c>
      <c r="R14" s="9">
        <f t="shared" si="10"/>
        <v>65.973704552619722</v>
      </c>
      <c r="S14" s="9">
        <f t="shared" si="11"/>
        <v>17956.770198194336</v>
      </c>
      <c r="T14" s="21">
        <f t="shared" si="12"/>
        <v>72.585496793293075</v>
      </c>
      <c r="U14" s="6"/>
      <c r="V14" s="6"/>
      <c r="W14" s="6"/>
      <c r="X14" s="6"/>
      <c r="Y14" s="6"/>
      <c r="Z14" s="6"/>
      <c r="AA14" s="6"/>
      <c r="AC14" s="5">
        <f t="shared" si="3"/>
        <v>26.954258693517033</v>
      </c>
      <c r="AD14">
        <f>AD13</f>
        <v>15.178922714999331</v>
      </c>
      <c r="AE14">
        <f>O11</f>
        <v>500</v>
      </c>
      <c r="AF14">
        <f t="shared" si="0"/>
        <v>3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4"/>
        <v>Пропант</v>
      </c>
      <c r="I15" s="9">
        <f t="shared" si="1"/>
        <v>2.7590930957526751</v>
      </c>
      <c r="J15" s="43">
        <f t="shared" si="2"/>
        <v>3</v>
      </c>
      <c r="K15" s="9">
        <f t="shared" si="5"/>
        <v>8.2772792872580254</v>
      </c>
      <c r="L15" s="9">
        <f t="shared" si="6"/>
        <v>6.20795946544352</v>
      </c>
      <c r="M15" s="43" t="str">
        <f t="shared" si="7"/>
        <v>DX28</v>
      </c>
      <c r="N15" s="43" t="str">
        <f t="shared" si="8"/>
        <v>16/20 Новатэк</v>
      </c>
      <c r="O15" s="43">
        <f t="shared" si="13"/>
        <v>900</v>
      </c>
      <c r="P15" s="43">
        <f t="shared" si="9"/>
        <v>900</v>
      </c>
      <c r="Q15" s="9">
        <f t="shared" si="14"/>
        <v>5587.1635188991677</v>
      </c>
      <c r="R15" s="9">
        <f t="shared" si="10"/>
        <v>72.181664018063245</v>
      </c>
      <c r="S15" s="9">
        <f t="shared" si="11"/>
        <v>23543.933717093503</v>
      </c>
      <c r="T15" s="21">
        <f t="shared" si="12"/>
        <v>80.8627760805511</v>
      </c>
      <c r="U15" s="6"/>
      <c r="V15" s="6"/>
      <c r="W15" s="6"/>
      <c r="X15" s="6"/>
      <c r="Y15" s="6"/>
      <c r="Z15" s="6"/>
      <c r="AA15" s="6"/>
      <c r="AC15">
        <f t="shared" si="3"/>
        <v>29.903326007931113</v>
      </c>
      <c r="AD15">
        <f>AC10</f>
        <v>17.111197730581651</v>
      </c>
      <c r="AE15">
        <f>P11</f>
        <v>500</v>
      </c>
      <c r="AF15">
        <f t="shared" si="0"/>
        <v>3</v>
      </c>
      <c r="AH15">
        <v>2</v>
      </c>
      <c r="AI15">
        <v>2.15</v>
      </c>
    </row>
    <row r="16" spans="1:36" ht="15.75" customHeight="1" x14ac:dyDescent="0.25">
      <c r="A16" s="6"/>
      <c r="B16" s="35" t="s">
        <v>47</v>
      </c>
      <c r="C16" s="39">
        <v>35</v>
      </c>
      <c r="D16" s="6"/>
      <c r="E16" s="10"/>
      <c r="F16" s="11"/>
      <c r="G16" s="6"/>
      <c r="H16" s="20" t="str">
        <f t="shared" si="4"/>
        <v>Пропант</v>
      </c>
      <c r="I16" s="9">
        <f t="shared" si="1"/>
        <v>2.9490673144140787</v>
      </c>
      <c r="J16" s="43">
        <f t="shared" si="2"/>
        <v>3</v>
      </c>
      <c r="K16" s="9">
        <f t="shared" si="5"/>
        <v>8.8472019432422364</v>
      </c>
      <c r="L16" s="9">
        <f t="shared" si="6"/>
        <v>6.4560662829064972</v>
      </c>
      <c r="M16" s="43" t="str">
        <f t="shared" si="7"/>
        <v>DX28</v>
      </c>
      <c r="N16" s="43" t="str">
        <f t="shared" si="8"/>
        <v>16/20 Новатэк</v>
      </c>
      <c r="O16" s="43">
        <f t="shared" si="13"/>
        <v>1000</v>
      </c>
      <c r="P16" s="43">
        <f t="shared" si="9"/>
        <v>1000</v>
      </c>
      <c r="Q16" s="9">
        <f t="shared" si="14"/>
        <v>6456.0662829064968</v>
      </c>
      <c r="R16" s="9">
        <f t="shared" si="10"/>
        <v>78.637730300969736</v>
      </c>
      <c r="S16" s="9">
        <f t="shared" si="11"/>
        <v>30000</v>
      </c>
      <c r="T16" s="21">
        <f t="shared" si="12"/>
        <v>89.70997802379334</v>
      </c>
      <c r="U16" s="6"/>
      <c r="V16" s="6"/>
      <c r="W16" s="6"/>
      <c r="X16" s="6"/>
      <c r="Y16" s="6"/>
      <c r="Z16" s="6"/>
      <c r="AA16" s="6"/>
      <c r="AC16" t="e">
        <f t="shared" si="3"/>
        <v>#VALUE!</v>
      </c>
      <c r="AD16">
        <f>AD15</f>
        <v>17.111197730581651</v>
      </c>
      <c r="AE16">
        <f>O12</f>
        <v>600</v>
      </c>
      <c r="AF16">
        <f t="shared" si="0"/>
        <v>3</v>
      </c>
      <c r="AH16">
        <v>3</v>
      </c>
      <c r="AI16">
        <v>2.2999999999999998</v>
      </c>
    </row>
    <row r="17" spans="1:40" ht="19.5" customHeight="1" x14ac:dyDescent="0.25">
      <c r="A17" s="6"/>
      <c r="B17" s="35" t="s">
        <v>48</v>
      </c>
      <c r="C17" s="39">
        <v>50</v>
      </c>
      <c r="D17" s="6"/>
      <c r="E17" s="77" t="s">
        <v>49</v>
      </c>
      <c r="F17" s="66"/>
      <c r="G17" s="6"/>
      <c r="H17" s="20" t="str">
        <f t="shared" si="4"/>
        <v>-</v>
      </c>
      <c r="I17" s="9" t="str">
        <f t="shared" si="1"/>
        <v>-</v>
      </c>
      <c r="J17" s="43" t="str">
        <f t="shared" si="2"/>
        <v>-</v>
      </c>
      <c r="K17" s="9" t="str">
        <f t="shared" si="5"/>
        <v>-</v>
      </c>
      <c r="L17" s="9" t="str">
        <f t="shared" si="6"/>
        <v>-</v>
      </c>
      <c r="M17" s="43" t="str">
        <f t="shared" si="7"/>
        <v>-</v>
      </c>
      <c r="N17" s="43" t="str">
        <f t="shared" si="8"/>
        <v>-</v>
      </c>
      <c r="O17" s="43" t="str">
        <f t="shared" si="13"/>
        <v>-</v>
      </c>
      <c r="P17" s="43" t="str">
        <f t="shared" si="9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3"/>
        <v>#VALUE!</v>
      </c>
      <c r="AD17">
        <f>AC11</f>
        <v>19.266119996838999</v>
      </c>
      <c r="AE17">
        <f>P12</f>
        <v>600</v>
      </c>
      <c r="AF17">
        <f t="shared" si="0"/>
        <v>3</v>
      </c>
    </row>
    <row r="18" spans="1:40" ht="15.75" customHeight="1" x14ac:dyDescent="0.25">
      <c r="A18" s="6"/>
      <c r="B18" s="24" t="s">
        <v>50</v>
      </c>
      <c r="C18" s="39" t="s">
        <v>51</v>
      </c>
      <c r="D18" s="6"/>
      <c r="E18" s="65">
        <f>IFERROR(C3/SUM(L5:L31), "-")</f>
        <v>0.38149625994012254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13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19.266119996838999</v>
      </c>
      <c r="AE18">
        <f>O13</f>
        <v>700</v>
      </c>
      <c r="AF18">
        <f t="shared" si="0"/>
        <v>3</v>
      </c>
      <c r="AH18" s="44" t="s">
        <v>52</v>
      </c>
      <c r="AI18" s="2">
        <f>IF(C7=-3,AI10,IF(C7=-2,AI11,IF(C7=-1,AI12,IF(C7=0,AI13,IF(C7=1,AI14,IF(C7=2,AI15,IF(C7=3,AI16)))))))</f>
        <v>2.2999999999999998</v>
      </c>
    </row>
    <row r="19" spans="1:40" ht="15.75" customHeight="1" x14ac:dyDescent="0.25">
      <c r="A19" s="6"/>
      <c r="B19" s="24" t="s">
        <v>53</v>
      </c>
      <c r="C19" s="39" t="s">
        <v>54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13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21.630402540117483</v>
      </c>
      <c r="AE19">
        <f>P13</f>
        <v>700</v>
      </c>
      <c r="AF19">
        <f t="shared" si="0"/>
        <v>3</v>
      </c>
    </row>
    <row r="20" spans="1:40" ht="16.5" customHeight="1" thickBot="1" x14ac:dyDescent="0.3">
      <c r="A20" s="6"/>
      <c r="B20" s="24" t="s">
        <v>55</v>
      </c>
      <c r="C20" s="39">
        <v>30</v>
      </c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13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21.630402540117483</v>
      </c>
      <c r="AE20">
        <f>O14</f>
        <v>800</v>
      </c>
      <c r="AF20">
        <f t="shared" si="0"/>
        <v>3</v>
      </c>
    </row>
    <row r="21" spans="1:40" ht="15.75" customHeight="1" x14ac:dyDescent="0.25">
      <c r="A21" s="6"/>
      <c r="B21" s="33" t="s">
        <v>56</v>
      </c>
      <c r="C21" s="56">
        <f>100-C20</f>
        <v>70</v>
      </c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13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24.195165597764358</v>
      </c>
      <c r="AE21">
        <f>P14</f>
        <v>800</v>
      </c>
      <c r="AF21">
        <f t="shared" si="0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24" t="s">
        <v>58</v>
      </c>
      <c r="C22" s="39" t="s">
        <v>59</v>
      </c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13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24.195165597764358</v>
      </c>
      <c r="AE22">
        <f>O15</f>
        <v>900</v>
      </c>
      <c r="AF22">
        <f t="shared" si="0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8.75" customHeight="1" thickBot="1" x14ac:dyDescent="0.3">
      <c r="A23" s="6"/>
      <c r="B23" s="27" t="s">
        <v>65</v>
      </c>
      <c r="C23" s="47">
        <v>15</v>
      </c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13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26.954258693517033</v>
      </c>
      <c r="AE23">
        <f>P15</f>
        <v>900</v>
      </c>
      <c r="AF23">
        <f t="shared" si="0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13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26.954258693517033</v>
      </c>
      <c r="AE24">
        <f>O16</f>
        <v>1000</v>
      </c>
      <c r="AF24">
        <f t="shared" si="0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13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>
        <f>AC15</f>
        <v>29.903326007931113</v>
      </c>
      <c r="AE25">
        <f>P16</f>
        <v>1000</v>
      </c>
      <c r="AF25">
        <f t="shared" si="0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13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>
        <f>AD25</f>
        <v>29.903326007931113</v>
      </c>
      <c r="AE26" t="str">
        <f>O17</f>
        <v>-</v>
      </c>
      <c r="AF26">
        <f t="shared" si="0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13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 t="e">
        <f>AC16</f>
        <v>#VALUE!</v>
      </c>
      <c r="AE27" t="str">
        <f>P17</f>
        <v>-</v>
      </c>
      <c r="AF27">
        <f t="shared" si="0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13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 t="e">
        <f>AD27</f>
        <v>#VALUE!</v>
      </c>
      <c r="AE28" t="str">
        <f>O18</f>
        <v>-</v>
      </c>
      <c r="AF28">
        <f t="shared" si="0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13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 t="e">
        <f>AC17</f>
        <v>#VALUE!</v>
      </c>
      <c r="AE29" t="str">
        <f>P18</f>
        <v>-</v>
      </c>
      <c r="AF29">
        <f t="shared" si="0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13"/>
        <v>-</v>
      </c>
      <c r="P30" s="43" t="str">
        <f t="shared" si="9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 t="e">
        <f>AD29</f>
        <v>#VALUE!</v>
      </c>
      <c r="AE30" t="str">
        <f>O19</f>
        <v>-</v>
      </c>
      <c r="AF30">
        <f t="shared" si="0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4"/>
        <v>-</v>
      </c>
      <c r="I31" s="23" t="str">
        <f t="shared" si="1"/>
        <v>-</v>
      </c>
      <c r="J31" s="48" t="str">
        <f t="shared" si="2"/>
        <v>-</v>
      </c>
      <c r="K31" s="23" t="str">
        <f t="shared" si="5"/>
        <v>-</v>
      </c>
      <c r="L31" s="23" t="str">
        <f t="shared" si="6"/>
        <v>-</v>
      </c>
      <c r="M31" s="48" t="str">
        <f t="shared" si="7"/>
        <v>-</v>
      </c>
      <c r="N31" s="48" t="str">
        <f t="shared" si="8"/>
        <v>-</v>
      </c>
      <c r="O31" s="48" t="str">
        <f t="shared" si="13"/>
        <v>-</v>
      </c>
      <c r="P31" s="48" t="str">
        <f t="shared" si="9"/>
        <v>-</v>
      </c>
      <c r="Q31" s="23" t="str">
        <f t="shared" si="14"/>
        <v>-</v>
      </c>
      <c r="R31" s="23" t="str">
        <f t="shared" si="10"/>
        <v>-</v>
      </c>
      <c r="S31" s="23" t="str">
        <f t="shared" si="11"/>
        <v>-</v>
      </c>
      <c r="T31" s="36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P19</f>
        <v>-</v>
      </c>
      <c r="AF31">
        <f t="shared" si="0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O20</f>
        <v>-</v>
      </c>
      <c r="AF32">
        <f t="shared" si="0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P20</f>
        <v>-</v>
      </c>
      <c r="AF33">
        <f t="shared" si="0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O21</f>
        <v>-</v>
      </c>
      <c r="AF34">
        <f t="shared" si="0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P21</f>
        <v>-</v>
      </c>
      <c r="AF35">
        <f t="shared" si="0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O22</f>
        <v>-</v>
      </c>
      <c r="AF36">
        <f t="shared" ref="AF36:AF54" si="16">$C$5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P22</f>
        <v>-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O23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P23</f>
        <v>-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O24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P24</f>
        <v>-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O25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P25</f>
        <v>-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O26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P26</f>
        <v>-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O27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P27</f>
        <v>-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O28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P28</f>
        <v>-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O29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P29</f>
        <v>-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O30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P30</f>
        <v>-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O31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31.55548476986931</v>
      </c>
    </row>
    <row r="74" spans="1:27" x14ac:dyDescent="0.25">
      <c r="F74" s="52"/>
      <c r="G74" s="52"/>
      <c r="I74" s="54" t="s">
        <v>125</v>
      </c>
      <c r="J74" s="54">
        <f>C20/100*J73</f>
        <v>9.4666454309607921</v>
      </c>
    </row>
    <row r="75" spans="1:27" x14ac:dyDescent="0.25">
      <c r="F75" s="52"/>
      <c r="G75" s="52"/>
      <c r="I75" s="54" t="s">
        <v>126</v>
      </c>
      <c r="J75" s="54">
        <f>J73-J74</f>
        <v>22.088839338908517</v>
      </c>
    </row>
    <row r="76" spans="1:27" x14ac:dyDescent="0.25">
      <c r="E76">
        <v>1</v>
      </c>
      <c r="F76" s="53">
        <f t="shared" ref="F76:F100" si="17">IF(O7="-","-",O7/$C$4)</f>
        <v>0.1</v>
      </c>
      <c r="G76" s="53">
        <f t="shared" ref="G76:G100" si="18">IF(F76="-","-",F76^$AI$18)</f>
        <v>5.0118723362727264E-3</v>
      </c>
    </row>
    <row r="77" spans="1:27" x14ac:dyDescent="0.25">
      <c r="E77">
        <v>2</v>
      </c>
      <c r="F77" s="53">
        <f t="shared" si="17"/>
        <v>0.2</v>
      </c>
      <c r="G77" s="53">
        <f t="shared" si="18"/>
        <v>2.4681354508800397E-2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0.3</v>
      </c>
      <c r="G78" s="53">
        <f t="shared" si="18"/>
        <v>6.2716077174235399E-2</v>
      </c>
      <c r="I78" s="54" t="s">
        <v>128</v>
      </c>
      <c r="J78" s="54">
        <f>C4/C6</f>
        <v>10</v>
      </c>
    </row>
    <row r="79" spans="1:27" x14ac:dyDescent="0.25">
      <c r="E79">
        <v>4</v>
      </c>
      <c r="F79" s="53">
        <f t="shared" si="17"/>
        <v>0.4</v>
      </c>
      <c r="G79" s="53">
        <f t="shared" si="18"/>
        <v>0.12154524686917983</v>
      </c>
      <c r="I79" s="54" t="s">
        <v>129</v>
      </c>
      <c r="J79" s="54">
        <f>(1-C16/100)^2+J77</f>
        <v>0.47250000000000003</v>
      </c>
    </row>
    <row r="80" spans="1:27" x14ac:dyDescent="0.25">
      <c r="E80">
        <v>5</v>
      </c>
      <c r="F80" s="53">
        <f t="shared" si="17"/>
        <v>0.5</v>
      </c>
      <c r="G80" s="53">
        <f t="shared" si="18"/>
        <v>0.20306309908905892</v>
      </c>
    </row>
    <row r="81" spans="5:10" x14ac:dyDescent="0.25">
      <c r="E81">
        <v>6</v>
      </c>
      <c r="F81" s="53">
        <f t="shared" si="17"/>
        <v>0.6</v>
      </c>
      <c r="G81" s="53">
        <f t="shared" si="18"/>
        <v>0.30885019215987414</v>
      </c>
      <c r="I81" s="34" t="s">
        <v>130</v>
      </c>
      <c r="J81" s="34">
        <f>C20/100*((1-C16/100)^2+J82)+C21/100*((1-C17/100)^2+J83)</f>
        <v>0.35175000000000001</v>
      </c>
    </row>
    <row r="82" spans="5:10" x14ac:dyDescent="0.25">
      <c r="E82">
        <v>7</v>
      </c>
      <c r="F82" s="53">
        <f t="shared" si="17"/>
        <v>0.7</v>
      </c>
      <c r="G82" s="53">
        <f t="shared" si="18"/>
        <v>0.44027648647741346</v>
      </c>
      <c r="I82" s="34" t="s">
        <v>131</v>
      </c>
      <c r="J82" s="34">
        <f>IF(C16&gt;20,0.05,0.25*(C16/100))</f>
        <v>0.05</v>
      </c>
    </row>
    <row r="83" spans="5:10" x14ac:dyDescent="0.25">
      <c r="E83">
        <v>8</v>
      </c>
      <c r="F83" s="53">
        <f t="shared" si="17"/>
        <v>0.8</v>
      </c>
      <c r="G83" s="53">
        <f t="shared" si="18"/>
        <v>0.59855900660647776</v>
      </c>
      <c r="I83" s="34" t="s">
        <v>132</v>
      </c>
      <c r="J83" s="34">
        <f>IF(C17&gt;20,0.05,0.25*(C17/100))</f>
        <v>0.05</v>
      </c>
    </row>
    <row r="84" spans="5:10" x14ac:dyDescent="0.25">
      <c r="E84">
        <v>9</v>
      </c>
      <c r="F84" s="53">
        <f t="shared" si="17"/>
        <v>0.9</v>
      </c>
      <c r="G84" s="53">
        <f t="shared" si="18"/>
        <v>0.78479779056978338</v>
      </c>
    </row>
    <row r="85" spans="5:10" x14ac:dyDescent="0.25">
      <c r="E85">
        <v>10</v>
      </c>
      <c r="F85" s="53">
        <f t="shared" si="17"/>
        <v>1</v>
      </c>
      <c r="G85" s="53">
        <f t="shared" si="18"/>
        <v>1</v>
      </c>
    </row>
    <row r="86" spans="5:10" x14ac:dyDescent="0.25">
      <c r="E86">
        <v>11</v>
      </c>
      <c r="F86" s="53" t="str">
        <f t="shared" si="17"/>
        <v>-</v>
      </c>
      <c r="G86" s="53" t="str">
        <f t="shared" si="18"/>
        <v>-</v>
      </c>
    </row>
    <row r="87" spans="5:10" x14ac:dyDescent="0.25">
      <c r="E87">
        <v>12</v>
      </c>
      <c r="F87" s="53" t="str">
        <f t="shared" si="17"/>
        <v>-</v>
      </c>
      <c r="G87" s="53" t="str">
        <f t="shared" si="18"/>
        <v>-</v>
      </c>
    </row>
    <row r="88" spans="5:10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10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10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10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10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10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10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10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10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disablePrompts="1"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22 C18:C19">
      <formula1>$AK$23:$AK$58</formula1>
    </dataValidation>
  </dataValidations>
  <pageMargins left="0.7" right="0.7" top="0.75" bottom="0.75" header="0.3" footer="0.3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54" workbookViewId="0">
      <selection activeCell="M40" sqref="M40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60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1200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C19</f>
        <v>15</v>
      </c>
      <c r="M4" s="41" t="str">
        <f>C18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$C$5</f>
        <v>4</v>
      </c>
      <c r="AI4" t="s">
        <v>27</v>
      </c>
      <c r="AJ4" s="5">
        <f>SUM(K6:K31)</f>
        <v>105.24410191485237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IF(E5="","",SUMIF(M5:M30,C11,L5:L30))</f>
        <v/>
      </c>
      <c r="G5" s="6"/>
      <c r="H5" s="20" t="str">
        <f>IF(I5="-","-","Буфер")</f>
        <v>Буфер</v>
      </c>
      <c r="I5" s="9">
        <f t="shared" ref="I5:I31" si="1">IFERROR(K5/J5,"-")</f>
        <v>8.7703418262376971</v>
      </c>
      <c r="J5" s="43">
        <f t="shared" ref="J5:J31" si="2">IF(K5="-","-",$C$5)</f>
        <v>4</v>
      </c>
      <c r="K5" s="9">
        <f>IFERROR(J73, "-")</f>
        <v>35.081367304950788</v>
      </c>
      <c r="L5" s="9">
        <f>IFERROR(K5,0)</f>
        <v>35.081367304950788</v>
      </c>
      <c r="M5" s="43" t="str">
        <f>IF(L5="-","-",$C$17)</f>
        <v>LG30</v>
      </c>
      <c r="N5" s="43"/>
      <c r="O5" s="43"/>
      <c r="P5" s="43"/>
      <c r="Q5" s="9"/>
      <c r="R5" s="9">
        <f>IF(L5="-","-",L5)</f>
        <v>35.081367304950788</v>
      </c>
      <c r="S5" s="9"/>
      <c r="T5" s="21">
        <f>IF(K5="-","-",K5)</f>
        <v>35.081367304950788</v>
      </c>
      <c r="U5" s="6"/>
      <c r="V5" s="6"/>
      <c r="W5" s="6"/>
      <c r="X5" s="6"/>
      <c r="Y5" s="6"/>
      <c r="Z5" s="6"/>
      <c r="AA5" s="6"/>
      <c r="AC5" s="5">
        <f t="shared" ref="AC5:AC30" si="3">AC4+I5</f>
        <v>8.7703418262376971</v>
      </c>
      <c r="AD5">
        <f>AC5</f>
        <v>8.7703418262376971</v>
      </c>
      <c r="AE5">
        <f>P5</f>
        <v>0</v>
      </c>
      <c r="AF5">
        <f t="shared" si="0"/>
        <v>4</v>
      </c>
      <c r="AI5" t="s">
        <v>29</v>
      </c>
      <c r="AJ5">
        <f>AJ4/(1-C16/100)</f>
        <v>140.32546921980315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SUMIF(M5:M30,C12,L5:L30)</f>
        <v>34.499589977342836</v>
      </c>
      <c r="G6" s="6"/>
      <c r="H6" s="20" t="str">
        <f t="shared" ref="H6:H31" si="4">IF(I6="-","-","Пропант")</f>
        <v>Пропант</v>
      </c>
      <c r="I6" s="9">
        <f t="shared" si="1"/>
        <v>0.74336014339226719</v>
      </c>
      <c r="J6" s="43">
        <f t="shared" si="2"/>
        <v>4</v>
      </c>
      <c r="K6" s="9">
        <f t="shared" ref="K6:K31" si="5">IFERROR(L6+Q6/(IF(N6=$C$8,$G$103,$G$104)*1000),"-")</f>
        <v>2.9734405735690688</v>
      </c>
      <c r="L6" s="9">
        <f t="shared" ref="L6:L31" si="6">IFERROR(Q6/O6,"-")</f>
        <v>2.8701961092090316</v>
      </c>
      <c r="M6" s="43" t="str">
        <f t="shared" ref="M6:M31" si="7">IF(L6="-","-",IF(P6&lt;=$C$14,$C$11,IF(P6&gt;$C$15,$C$13,$C$12)))</f>
        <v>LG28</v>
      </c>
      <c r="N6" s="43" t="str">
        <f t="shared" ref="N6:N31" si="8">IF(P6="-","-",IF(P6&lt;$C$10,$C$8,$C$9))</f>
        <v>20/40 Новатэк</v>
      </c>
      <c r="O6" s="43">
        <f>IFERROR(O5+($C$4-O5)/($J$76-D5),"-")</f>
        <v>100</v>
      </c>
      <c r="P6" s="43">
        <f t="shared" ref="P6:P31" si="9">O6</f>
        <v>100</v>
      </c>
      <c r="Q6" s="9">
        <f>IF(S6="-","-",S6)</f>
        <v>287.01961092090318</v>
      </c>
      <c r="R6" s="9">
        <f t="shared" ref="R6:R31" si="10">IFERROR(IF(L6="-","-",R5+L6),"-")</f>
        <v>37.951563414159821</v>
      </c>
      <c r="S6" s="9">
        <f t="shared" ref="S6:S31" si="11">IF(G76="-","-",G76*$C$3*1000)</f>
        <v>287.01961092090318</v>
      </c>
      <c r="T6" s="21">
        <f t="shared" ref="T6:T31" si="12">IFERROR(IF(K6="-","-",T5+K6),"-")</f>
        <v>38.05480787851986</v>
      </c>
      <c r="U6" s="6"/>
      <c r="V6" s="6"/>
      <c r="W6" s="6"/>
      <c r="X6" s="6"/>
      <c r="Y6" s="6"/>
      <c r="Z6" s="6"/>
      <c r="AA6" s="6"/>
      <c r="AC6" s="5">
        <f t="shared" si="3"/>
        <v>9.5137019696299649</v>
      </c>
      <c r="AD6">
        <f>AD5</f>
        <v>8.7703418262376971</v>
      </c>
      <c r="AE6">
        <f>O6</f>
        <v>100</v>
      </c>
      <c r="AF6">
        <f t="shared" si="0"/>
        <v>4</v>
      </c>
    </row>
    <row r="7" spans="1:36" ht="15.75" customHeight="1" x14ac:dyDescent="0.25">
      <c r="A7" s="6"/>
      <c r="B7" s="24" t="s">
        <v>31</v>
      </c>
      <c r="C7" s="39">
        <v>2</v>
      </c>
      <c r="D7" s="6"/>
      <c r="E7" s="12" t="str">
        <f>C13</f>
        <v>DX28</v>
      </c>
      <c r="F7" s="62">
        <f>SUMIF(M5:M30,C13,L5:L30)</f>
        <v>48.582548723527026</v>
      </c>
      <c r="G7" s="6"/>
      <c r="H7" s="20" t="str">
        <f t="shared" si="4"/>
        <v>Пропант</v>
      </c>
      <c r="I7" s="9">
        <f t="shared" si="1"/>
        <v>1.3223122668858798</v>
      </c>
      <c r="J7" s="43">
        <f t="shared" si="2"/>
        <v>4</v>
      </c>
      <c r="K7" s="9">
        <f t="shared" si="5"/>
        <v>5.2892490675435191</v>
      </c>
      <c r="L7" s="9">
        <f t="shared" si="6"/>
        <v>4.9342659086479808</v>
      </c>
      <c r="M7" s="43" t="str">
        <f t="shared" si="7"/>
        <v>LG28</v>
      </c>
      <c r="N7" s="43" t="str">
        <f t="shared" si="8"/>
        <v>20/40 Новатэк</v>
      </c>
      <c r="O7" s="43">
        <f t="shared" ref="O7:O31" si="13">IFERROR(O6+($C$4-O6)/($J$76-E76),"-")</f>
        <v>200</v>
      </c>
      <c r="P7" s="43">
        <f t="shared" si="9"/>
        <v>200</v>
      </c>
      <c r="Q7" s="9">
        <f t="shared" ref="Q7:Q31" si="14">IF(S7="-","-",S7-S6)</f>
        <v>986.85318172959614</v>
      </c>
      <c r="R7" s="9">
        <f t="shared" si="10"/>
        <v>42.885829322807801</v>
      </c>
      <c r="S7" s="9">
        <f t="shared" si="11"/>
        <v>1273.8727926504994</v>
      </c>
      <c r="T7" s="21">
        <f t="shared" si="12"/>
        <v>43.344056946063375</v>
      </c>
      <c r="U7" s="6"/>
      <c r="V7" s="6"/>
      <c r="W7" s="6"/>
      <c r="X7" s="6"/>
      <c r="Y7" s="6"/>
      <c r="Z7" s="6"/>
      <c r="AA7" s="6"/>
      <c r="AC7" s="5">
        <f t="shared" si="3"/>
        <v>10.836014236515844</v>
      </c>
      <c r="AD7" s="5">
        <f>AC6</f>
        <v>9.5137019696299649</v>
      </c>
      <c r="AE7">
        <f>P6</f>
        <v>100</v>
      </c>
      <c r="AF7">
        <f t="shared" si="0"/>
        <v>4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SUM(L5:L30)</f>
        <v>118.16350600582064</v>
      </c>
      <c r="G8" s="6"/>
      <c r="H8" s="20" t="str">
        <f t="shared" si="4"/>
        <v>Пропант</v>
      </c>
      <c r="I8" s="9">
        <f t="shared" si="1"/>
        <v>1.6360872231867454</v>
      </c>
      <c r="J8" s="43">
        <f t="shared" si="2"/>
        <v>4</v>
      </c>
      <c r="K8" s="9">
        <f t="shared" si="5"/>
        <v>6.5443488927469815</v>
      </c>
      <c r="L8" s="9">
        <f t="shared" si="6"/>
        <v>5.9069123122846134</v>
      </c>
      <c r="M8" s="43" t="str">
        <f t="shared" si="7"/>
        <v>LG28</v>
      </c>
      <c r="N8" s="43" t="str">
        <f t="shared" si="8"/>
        <v>20/40 Новатэк</v>
      </c>
      <c r="O8" s="43">
        <f t="shared" si="13"/>
        <v>300</v>
      </c>
      <c r="P8" s="43">
        <f t="shared" si="9"/>
        <v>300</v>
      </c>
      <c r="Q8" s="9">
        <f t="shared" si="14"/>
        <v>1772.0736936853841</v>
      </c>
      <c r="R8" s="9">
        <f t="shared" si="10"/>
        <v>48.792741635092412</v>
      </c>
      <c r="S8" s="9">
        <f t="shared" si="11"/>
        <v>3045.9464863358835</v>
      </c>
      <c r="T8" s="21">
        <f t="shared" si="12"/>
        <v>49.888405838810357</v>
      </c>
      <c r="U8" s="6"/>
      <c r="V8" s="6"/>
      <c r="W8" s="6"/>
      <c r="X8" s="6"/>
      <c r="Y8" s="6"/>
      <c r="Z8" s="6"/>
      <c r="AA8" s="6"/>
      <c r="AC8">
        <f t="shared" si="3"/>
        <v>12.472101459702589</v>
      </c>
      <c r="AD8" s="5">
        <f>AD7</f>
        <v>9.5137019696299649</v>
      </c>
      <c r="AE8">
        <f>O7</f>
        <v>200</v>
      </c>
      <c r="AF8">
        <f t="shared" si="0"/>
        <v>4</v>
      </c>
      <c r="AI8">
        <f>C3/AJ4</f>
        <v>0.57010320681479076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1.8644286821901928</v>
      </c>
      <c r="J9" s="43">
        <f t="shared" si="2"/>
        <v>4</v>
      </c>
      <c r="K9" s="9">
        <f t="shared" si="5"/>
        <v>7.457714728760771</v>
      </c>
      <c r="L9" s="9">
        <f t="shared" si="6"/>
        <v>6.5196374043883472</v>
      </c>
      <c r="M9" s="43" t="str">
        <f t="shared" si="7"/>
        <v>LG28</v>
      </c>
      <c r="N9" s="43" t="str">
        <f t="shared" si="8"/>
        <v>20/40 Новатэк</v>
      </c>
      <c r="O9" s="43">
        <f t="shared" si="13"/>
        <v>400</v>
      </c>
      <c r="P9" s="43">
        <f t="shared" si="9"/>
        <v>400</v>
      </c>
      <c r="Q9" s="9">
        <f t="shared" si="14"/>
        <v>2607.854961755339</v>
      </c>
      <c r="R9" s="9">
        <f t="shared" si="10"/>
        <v>55.31237903948076</v>
      </c>
      <c r="S9" s="9">
        <f t="shared" si="11"/>
        <v>5653.8014480912225</v>
      </c>
      <c r="T9" s="21">
        <f t="shared" si="12"/>
        <v>57.346120567571127</v>
      </c>
      <c r="U9" s="6"/>
      <c r="V9" s="6"/>
      <c r="W9" s="6"/>
      <c r="X9" s="6"/>
      <c r="Y9" s="6"/>
      <c r="Z9" s="6"/>
      <c r="AA9" s="6"/>
      <c r="AC9">
        <f t="shared" si="3"/>
        <v>14.336530141892782</v>
      </c>
      <c r="AD9">
        <f>AC7</f>
        <v>10.836014236515844</v>
      </c>
      <c r="AE9">
        <f>P7</f>
        <v>200</v>
      </c>
      <c r="AF9">
        <f t="shared" si="0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2.0627894951599473</v>
      </c>
      <c r="J10" s="43">
        <f t="shared" si="2"/>
        <v>4</v>
      </c>
      <c r="K10" s="9">
        <f t="shared" si="5"/>
        <v>8.251157980639789</v>
      </c>
      <c r="L10" s="9">
        <f t="shared" si="6"/>
        <v>6.961914546164822</v>
      </c>
      <c r="M10" s="43" t="str">
        <f t="shared" si="7"/>
        <v>LG28</v>
      </c>
      <c r="N10" s="43" t="str">
        <f t="shared" si="8"/>
        <v>16/20 Новатэк</v>
      </c>
      <c r="O10" s="43">
        <f t="shared" si="13"/>
        <v>500</v>
      </c>
      <c r="P10" s="43">
        <f t="shared" si="9"/>
        <v>500</v>
      </c>
      <c r="Q10" s="9">
        <f t="shared" si="14"/>
        <v>3480.9572730824111</v>
      </c>
      <c r="R10" s="9">
        <f t="shared" si="10"/>
        <v>62.27429358564558</v>
      </c>
      <c r="S10" s="9">
        <f t="shared" si="11"/>
        <v>9134.7587211736336</v>
      </c>
      <c r="T10" s="21">
        <f t="shared" si="12"/>
        <v>65.597278548210909</v>
      </c>
      <c r="U10" s="6"/>
      <c r="V10" s="6"/>
      <c r="W10" s="6"/>
      <c r="X10" s="6"/>
      <c r="Y10" s="6"/>
      <c r="Z10" s="6"/>
      <c r="AA10" s="6"/>
      <c r="AC10">
        <f t="shared" si="3"/>
        <v>16.399319637052727</v>
      </c>
      <c r="AD10">
        <f>AD9</f>
        <v>10.836014236515844</v>
      </c>
      <c r="AE10">
        <f>O8</f>
        <v>300</v>
      </c>
      <c r="AF10">
        <f t="shared" si="0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IF(E11="","",SUMIF(N5:N30,C8,Q5:Q30)/1000)</f>
        <v>5.6538014480912224</v>
      </c>
      <c r="G11" s="6"/>
      <c r="H11" s="20" t="str">
        <f t="shared" si="4"/>
        <v>Пропант</v>
      </c>
      <c r="I11" s="9">
        <f t="shared" si="1"/>
        <v>2.2325916850868999</v>
      </c>
      <c r="J11" s="43">
        <f t="shared" si="2"/>
        <v>4</v>
      </c>
      <c r="K11" s="9">
        <f t="shared" si="5"/>
        <v>8.9303667403475995</v>
      </c>
      <c r="L11" s="9">
        <f t="shared" si="6"/>
        <v>7.3066636966480356</v>
      </c>
      <c r="M11" s="43" t="str">
        <f t="shared" si="7"/>
        <v>LG28</v>
      </c>
      <c r="N11" s="43" t="str">
        <f t="shared" si="8"/>
        <v>16/20 Новатэк</v>
      </c>
      <c r="O11" s="43">
        <f t="shared" si="13"/>
        <v>600</v>
      </c>
      <c r="P11" s="43">
        <f t="shared" si="9"/>
        <v>600</v>
      </c>
      <c r="Q11" s="9">
        <f t="shared" si="14"/>
        <v>4383.9982179888211</v>
      </c>
      <c r="R11" s="9">
        <f t="shared" si="10"/>
        <v>69.58095728229361</v>
      </c>
      <c r="S11" s="9">
        <f t="shared" si="11"/>
        <v>13518.756939162455</v>
      </c>
      <c r="T11" s="21">
        <f t="shared" si="12"/>
        <v>74.527645288558503</v>
      </c>
      <c r="U11" s="6"/>
      <c r="V11" s="6"/>
      <c r="W11" s="6"/>
      <c r="X11" s="6"/>
      <c r="Y11" s="6"/>
      <c r="Z11" s="6"/>
      <c r="AA11" s="6"/>
      <c r="AC11">
        <f t="shared" si="3"/>
        <v>18.631911322139626</v>
      </c>
      <c r="AD11">
        <f>AC8</f>
        <v>12.472101459702589</v>
      </c>
      <c r="AE11">
        <f>P8</f>
        <v>300</v>
      </c>
      <c r="AF11">
        <f t="shared" si="0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SUMIF(N5:N30,C9,Q5:Q30)/1000</f>
        <v>54.346198551908778</v>
      </c>
      <c r="G12" s="6"/>
      <c r="H12" s="20" t="str">
        <f t="shared" si="4"/>
        <v>Пропант</v>
      </c>
      <c r="I12" s="9">
        <f t="shared" si="1"/>
        <v>2.3890840153696953</v>
      </c>
      <c r="J12" s="43">
        <f t="shared" si="2"/>
        <v>4</v>
      </c>
      <c r="K12" s="9">
        <f t="shared" si="5"/>
        <v>9.5563360614787811</v>
      </c>
      <c r="L12" s="9">
        <f t="shared" si="6"/>
        <v>7.588855107644914</v>
      </c>
      <c r="M12" s="43" t="str">
        <f t="shared" si="7"/>
        <v>DX28</v>
      </c>
      <c r="N12" s="43" t="str">
        <f t="shared" si="8"/>
        <v>16/20 Новатэк</v>
      </c>
      <c r="O12" s="43">
        <f t="shared" si="13"/>
        <v>700</v>
      </c>
      <c r="P12" s="43">
        <f t="shared" si="9"/>
        <v>700</v>
      </c>
      <c r="Q12" s="9">
        <f t="shared" si="14"/>
        <v>5312.19857535144</v>
      </c>
      <c r="R12" s="9">
        <f t="shared" si="10"/>
        <v>77.169812389938528</v>
      </c>
      <c r="S12" s="9">
        <f t="shared" si="11"/>
        <v>18830.955514513895</v>
      </c>
      <c r="T12" s="21">
        <f t="shared" si="12"/>
        <v>84.083981350037277</v>
      </c>
      <c r="U12" s="6"/>
      <c r="V12" s="6"/>
      <c r="W12" s="6"/>
      <c r="X12" s="6"/>
      <c r="Y12" s="6"/>
      <c r="Z12" s="6"/>
      <c r="AA12" s="6"/>
      <c r="AC12">
        <f t="shared" si="3"/>
        <v>21.020995337509319</v>
      </c>
      <c r="AD12">
        <f>AD11</f>
        <v>12.472101459702589</v>
      </c>
      <c r="AE12">
        <f>O9</f>
        <v>400</v>
      </c>
      <c r="AF12">
        <f t="shared" si="0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60</v>
      </c>
      <c r="G13" s="6"/>
      <c r="H13" s="20" t="str">
        <f t="shared" si="4"/>
        <v>Пропант</v>
      </c>
      <c r="I13" s="9">
        <f t="shared" si="1"/>
        <v>2.536765339154087</v>
      </c>
      <c r="J13" s="43">
        <f t="shared" si="2"/>
        <v>4</v>
      </c>
      <c r="K13" s="9">
        <f t="shared" si="5"/>
        <v>10.147061356616348</v>
      </c>
      <c r="L13" s="9">
        <f t="shared" si="6"/>
        <v>7.8277330465326118</v>
      </c>
      <c r="M13" s="43" t="str">
        <f t="shared" si="7"/>
        <v>DX28</v>
      </c>
      <c r="N13" s="43" t="str">
        <f t="shared" si="8"/>
        <v>16/20 Новатэк</v>
      </c>
      <c r="O13" s="43">
        <f t="shared" si="13"/>
        <v>800</v>
      </c>
      <c r="P13" s="43">
        <f t="shared" si="9"/>
        <v>800</v>
      </c>
      <c r="Q13" s="9">
        <f t="shared" si="14"/>
        <v>6262.1864372260898</v>
      </c>
      <c r="R13" s="9">
        <f t="shared" si="10"/>
        <v>84.997545436471142</v>
      </c>
      <c r="S13" s="9">
        <f t="shared" si="11"/>
        <v>25093.141951739985</v>
      </c>
      <c r="T13" s="21">
        <f t="shared" si="12"/>
        <v>94.231042706653625</v>
      </c>
      <c r="U13" s="6"/>
      <c r="V13" s="6"/>
      <c r="W13" s="6"/>
      <c r="X13" s="6"/>
      <c r="Y13" s="6"/>
      <c r="Z13" s="6"/>
      <c r="AA13" s="6"/>
      <c r="AC13">
        <f t="shared" si="3"/>
        <v>23.557760676663406</v>
      </c>
      <c r="AD13">
        <f>AC9</f>
        <v>14.336530141892782</v>
      </c>
      <c r="AE13">
        <f>P9</f>
        <v>400</v>
      </c>
      <c r="AF13">
        <f t="shared" si="0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2.6783124823590736</v>
      </c>
      <c r="J14" s="43">
        <f t="shared" si="2"/>
        <v>4</v>
      </c>
      <c r="K14" s="9">
        <f t="shared" si="5"/>
        <v>10.713249929436294</v>
      </c>
      <c r="L14" s="9">
        <f t="shared" si="6"/>
        <v>8.0349374470772208</v>
      </c>
      <c r="M14" s="43" t="str">
        <f t="shared" si="7"/>
        <v>DX28</v>
      </c>
      <c r="N14" s="43" t="str">
        <f t="shared" si="8"/>
        <v>16/20 Новатэк</v>
      </c>
      <c r="O14" s="43">
        <f t="shared" si="13"/>
        <v>900</v>
      </c>
      <c r="P14" s="43">
        <f t="shared" si="9"/>
        <v>900</v>
      </c>
      <c r="Q14" s="9">
        <f t="shared" si="14"/>
        <v>7231.4437023694991</v>
      </c>
      <c r="R14" s="9">
        <f t="shared" si="10"/>
        <v>93.032482883548369</v>
      </c>
      <c r="S14" s="9">
        <f t="shared" si="11"/>
        <v>32324.585654109484</v>
      </c>
      <c r="T14" s="21">
        <f t="shared" si="12"/>
        <v>104.94429263608993</v>
      </c>
      <c r="U14" s="6"/>
      <c r="V14" s="6"/>
      <c r="W14" s="6"/>
      <c r="X14" s="6"/>
      <c r="Y14" s="6"/>
      <c r="Z14" s="6"/>
      <c r="AA14" s="6"/>
      <c r="AC14" s="5">
        <f t="shared" si="3"/>
        <v>26.236073159022482</v>
      </c>
      <c r="AD14">
        <f>AD13</f>
        <v>14.336530141892782</v>
      </c>
      <c r="AE14">
        <f>O10</f>
        <v>500</v>
      </c>
      <c r="AF14">
        <f t="shared" si="0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4"/>
        <v>Пропант</v>
      </c>
      <c r="I15" s="9">
        <f t="shared" si="1"/>
        <v>2.8154300345599581</v>
      </c>
      <c r="J15" s="43">
        <f t="shared" si="2"/>
        <v>4</v>
      </c>
      <c r="K15" s="9">
        <f t="shared" si="5"/>
        <v>11.261720138239832</v>
      </c>
      <c r="L15" s="9">
        <f t="shared" si="6"/>
        <v>8.2180119927696076</v>
      </c>
      <c r="M15" s="43" t="str">
        <f t="shared" si="7"/>
        <v>DX28</v>
      </c>
      <c r="N15" s="43" t="str">
        <f t="shared" si="8"/>
        <v>16/20 Новатэк</v>
      </c>
      <c r="O15" s="43">
        <f t="shared" si="13"/>
        <v>1000</v>
      </c>
      <c r="P15" s="43">
        <f t="shared" si="9"/>
        <v>1000</v>
      </c>
      <c r="Q15" s="9">
        <f t="shared" si="14"/>
        <v>8218.0119927696069</v>
      </c>
      <c r="R15" s="9">
        <f t="shared" si="10"/>
        <v>101.25049487631797</v>
      </c>
      <c r="S15" s="9">
        <f t="shared" si="11"/>
        <v>40542.59764687909</v>
      </c>
      <c r="T15" s="21">
        <f t="shared" si="12"/>
        <v>116.20601277432976</v>
      </c>
      <c r="U15" s="6"/>
      <c r="V15" s="6"/>
      <c r="W15" s="6"/>
      <c r="X15" s="6"/>
      <c r="Y15" s="6"/>
      <c r="Z15" s="6"/>
      <c r="AA15" s="6"/>
      <c r="AC15">
        <f t="shared" si="3"/>
        <v>29.051503193582441</v>
      </c>
      <c r="AD15">
        <f>AC10</f>
        <v>16.399319637052727</v>
      </c>
      <c r="AE15">
        <f>P10</f>
        <v>500</v>
      </c>
      <c r="AF15">
        <f t="shared" si="0"/>
        <v>4</v>
      </c>
      <c r="AH15">
        <v>2</v>
      </c>
      <c r="AI15">
        <v>2.15</v>
      </c>
    </row>
    <row r="16" spans="1:36" ht="15.75" customHeight="1" x14ac:dyDescent="0.25">
      <c r="A16" s="6"/>
      <c r="B16" s="35" t="s">
        <v>135</v>
      </c>
      <c r="C16" s="39">
        <v>25</v>
      </c>
      <c r="D16" s="6"/>
      <c r="E16" s="10"/>
      <c r="F16" s="11"/>
      <c r="G16" s="6"/>
      <c r="H16" s="20" t="str">
        <f t="shared" si="4"/>
        <v>Пропант</v>
      </c>
      <c r="I16" s="9">
        <f t="shared" si="1"/>
        <v>2.9492609339562366</v>
      </c>
      <c r="J16" s="43">
        <f t="shared" si="2"/>
        <v>4</v>
      </c>
      <c r="K16" s="9">
        <f t="shared" si="5"/>
        <v>11.797043735824946</v>
      </c>
      <c r="L16" s="9">
        <f t="shared" si="6"/>
        <v>8.3821100228229888</v>
      </c>
      <c r="M16" s="43" t="str">
        <f t="shared" si="7"/>
        <v>DX28</v>
      </c>
      <c r="N16" s="43" t="str">
        <f t="shared" si="8"/>
        <v>16/20 Новатэк</v>
      </c>
      <c r="O16" s="43">
        <f t="shared" si="13"/>
        <v>1100</v>
      </c>
      <c r="P16" s="43">
        <f t="shared" si="9"/>
        <v>1100</v>
      </c>
      <c r="Q16" s="9">
        <f t="shared" si="14"/>
        <v>9220.3210251052878</v>
      </c>
      <c r="R16" s="9">
        <f t="shared" si="10"/>
        <v>109.63260489914096</v>
      </c>
      <c r="S16" s="9">
        <f t="shared" si="11"/>
        <v>49762.918671984378</v>
      </c>
      <c r="T16" s="21">
        <f t="shared" si="12"/>
        <v>128.00305651015472</v>
      </c>
      <c r="U16" s="6"/>
      <c r="V16" s="6"/>
      <c r="W16" s="6"/>
      <c r="X16" s="6"/>
      <c r="Y16" s="6"/>
      <c r="Z16" s="6"/>
      <c r="AA16" s="6"/>
      <c r="AC16">
        <f t="shared" si="3"/>
        <v>32.00076412753868</v>
      </c>
      <c r="AD16">
        <f>AD15</f>
        <v>16.399319637052727</v>
      </c>
      <c r="AE16">
        <f>O11</f>
        <v>600</v>
      </c>
      <c r="AF16">
        <f t="shared" si="0"/>
        <v>4</v>
      </c>
      <c r="AH16">
        <v>3</v>
      </c>
      <c r="AI16">
        <v>2.2999999999999998</v>
      </c>
    </row>
    <row r="17" spans="1:40" ht="19.5" customHeight="1" x14ac:dyDescent="0.25">
      <c r="A17" s="6"/>
      <c r="B17" s="24" t="s">
        <v>142</v>
      </c>
      <c r="C17" s="39" t="s">
        <v>85</v>
      </c>
      <c r="D17" s="6"/>
      <c r="E17" s="77" t="s">
        <v>49</v>
      </c>
      <c r="F17" s="66"/>
      <c r="G17" s="6"/>
      <c r="H17" s="20" t="str">
        <f t="shared" si="4"/>
        <v>Пропант</v>
      </c>
      <c r="I17" s="9">
        <f t="shared" si="1"/>
        <v>3.0806031774121085</v>
      </c>
      <c r="J17" s="43">
        <f t="shared" si="2"/>
        <v>4</v>
      </c>
      <c r="K17" s="9">
        <f t="shared" si="5"/>
        <v>12.322412709648434</v>
      </c>
      <c r="L17" s="9">
        <f t="shared" si="6"/>
        <v>8.5309011066796856</v>
      </c>
      <c r="M17" s="43" t="str">
        <f t="shared" si="7"/>
        <v>DX28</v>
      </c>
      <c r="N17" s="43" t="str">
        <f t="shared" si="8"/>
        <v>16/20 Новатэк</v>
      </c>
      <c r="O17" s="43">
        <f t="shared" si="13"/>
        <v>1200</v>
      </c>
      <c r="P17" s="43">
        <f t="shared" si="9"/>
        <v>1200</v>
      </c>
      <c r="Q17" s="9">
        <f t="shared" si="14"/>
        <v>10237.081328015622</v>
      </c>
      <c r="R17" s="9">
        <f t="shared" si="10"/>
        <v>118.16350600582064</v>
      </c>
      <c r="S17" s="9">
        <f t="shared" si="11"/>
        <v>60000</v>
      </c>
      <c r="T17" s="21">
        <f t="shared" si="12"/>
        <v>140.32546921980315</v>
      </c>
      <c r="U17" s="6"/>
      <c r="V17" s="6"/>
      <c r="W17" s="6"/>
      <c r="X17" s="6"/>
      <c r="Y17" s="6"/>
      <c r="Z17" s="6"/>
      <c r="AA17" s="6"/>
      <c r="AC17">
        <f t="shared" si="3"/>
        <v>35.081367304950788</v>
      </c>
      <c r="AD17">
        <f>AC11</f>
        <v>18.631911322139626</v>
      </c>
      <c r="AE17">
        <f>P11</f>
        <v>600</v>
      </c>
      <c r="AF17">
        <f t="shared" si="0"/>
        <v>4</v>
      </c>
    </row>
    <row r="18" spans="1:40" ht="15.75" customHeight="1" x14ac:dyDescent="0.25">
      <c r="A18" s="6"/>
      <c r="B18" s="24" t="s">
        <v>58</v>
      </c>
      <c r="C18" s="39" t="s">
        <v>59</v>
      </c>
      <c r="D18" s="6"/>
      <c r="E18" s="65">
        <f>IFERROR(C3/SUM(L5:L30), "-")</f>
        <v>0.50777098639104745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13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18.631911322139626</v>
      </c>
      <c r="AE18">
        <f>O12</f>
        <v>700</v>
      </c>
      <c r="AF18">
        <f t="shared" si="0"/>
        <v>4</v>
      </c>
      <c r="AH18" s="44" t="s">
        <v>52</v>
      </c>
      <c r="AI18" s="2">
        <f>IF(C7=-3,AI10,IF(C7=-2,AI11,IF(C7=-1,AI12,IF(C7=0,AI13,IF(C7=1,AI14,IF(C7=2,AI15,IF(C7=3,AI16)))))))</f>
        <v>2.15</v>
      </c>
    </row>
    <row r="19" spans="1:40" ht="18.75" customHeight="1" thickBot="1" x14ac:dyDescent="0.3">
      <c r="A19" s="6"/>
      <c r="B19" s="27" t="s">
        <v>65</v>
      </c>
      <c r="C19" s="47">
        <v>15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13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21.020995337509319</v>
      </c>
      <c r="AE19">
        <f>P12</f>
        <v>700</v>
      </c>
      <c r="AF19">
        <f t="shared" si="0"/>
        <v>4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13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21.020995337509319</v>
      </c>
      <c r="AE20">
        <f>O13</f>
        <v>800</v>
      </c>
      <c r="AF20">
        <f t="shared" si="0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13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23.557760676663406</v>
      </c>
      <c r="AE21">
        <f>P13</f>
        <v>800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13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23.557760676663406</v>
      </c>
      <c r="AE22">
        <f>O14</f>
        <v>900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13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26.236073159022482</v>
      </c>
      <c r="AE23">
        <f>P14</f>
        <v>900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13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26.236073159022482</v>
      </c>
      <c r="AE24">
        <f>O15</f>
        <v>1000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13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>
        <f>AC15</f>
        <v>29.051503193582441</v>
      </c>
      <c r="AE25">
        <f>P15</f>
        <v>1000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13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>
        <f>AD25</f>
        <v>29.051503193582441</v>
      </c>
      <c r="AE26">
        <f>O16</f>
        <v>1100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13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>
        <f>AC16</f>
        <v>32.00076412753868</v>
      </c>
      <c r="AE27">
        <f>P16</f>
        <v>1100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13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>
        <f>AD27</f>
        <v>32.00076412753868</v>
      </c>
      <c r="AE28">
        <f>O17</f>
        <v>1200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13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>
        <f>AC17</f>
        <v>35.081367304950788</v>
      </c>
      <c r="AE29">
        <f>P17</f>
        <v>1200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13"/>
        <v>-</v>
      </c>
      <c r="P30" s="43" t="str">
        <f t="shared" si="9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>
        <f>AD29</f>
        <v>35.081367304950788</v>
      </c>
      <c r="AE30" t="str">
        <f>O18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5.75" customHeight="1" x14ac:dyDescent="0.25">
      <c r="A31" s="6"/>
      <c r="B31" s="6"/>
      <c r="C31" s="6"/>
      <c r="D31" s="6"/>
      <c r="E31" s="6"/>
      <c r="F31" s="6"/>
      <c r="G31" s="6"/>
      <c r="H31" s="20" t="str">
        <f t="shared" si="4"/>
        <v>-</v>
      </c>
      <c r="I31" s="9" t="str">
        <f t="shared" si="1"/>
        <v>-</v>
      </c>
      <c r="J31" s="43" t="str">
        <f t="shared" si="2"/>
        <v>-</v>
      </c>
      <c r="K31" s="9" t="str">
        <f t="shared" si="5"/>
        <v>-</v>
      </c>
      <c r="L31" s="9" t="str">
        <f t="shared" si="6"/>
        <v>-</v>
      </c>
      <c r="M31" s="43" t="str">
        <f t="shared" si="7"/>
        <v>-</v>
      </c>
      <c r="N31" s="43" t="str">
        <f t="shared" si="8"/>
        <v>-</v>
      </c>
      <c r="O31" s="43" t="str">
        <f t="shared" si="13"/>
        <v>-</v>
      </c>
      <c r="P31" s="43" t="str">
        <f t="shared" si="9"/>
        <v>-</v>
      </c>
      <c r="Q31" s="9" t="str">
        <f t="shared" si="14"/>
        <v>-</v>
      </c>
      <c r="R31" s="9" t="str">
        <f t="shared" si="10"/>
        <v>-</v>
      </c>
      <c r="S31" s="9" t="str">
        <f t="shared" si="11"/>
        <v>-</v>
      </c>
      <c r="T31" s="21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P18</f>
        <v>-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O19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P19</f>
        <v>-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O20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P20</f>
        <v>-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O21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P21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P22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P23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P24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P25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P26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P27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P28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P29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35.081367304950788</v>
      </c>
    </row>
    <row r="74" spans="1:27" x14ac:dyDescent="0.25">
      <c r="F74" s="52"/>
      <c r="G74" s="52"/>
    </row>
    <row r="75" spans="1:27" x14ac:dyDescent="0.25">
      <c r="F75" s="52"/>
      <c r="G75" s="52"/>
      <c r="I75" s="4" t="s">
        <v>127</v>
      </c>
      <c r="J75" s="4">
        <f>IF(C16&gt;20,0.05,0.25*(C16/100))</f>
        <v>0.05</v>
      </c>
    </row>
    <row r="76" spans="1:27" x14ac:dyDescent="0.25">
      <c r="E76">
        <v>1</v>
      </c>
      <c r="F76" s="53">
        <f t="shared" ref="F76:F101" si="17">IF(O6="-","-",O6/$C$4)</f>
        <v>8.3333333333333329E-2</v>
      </c>
      <c r="G76" s="53">
        <f t="shared" ref="G76:G101" si="18">IF(F76="-","-",F76^$AI$18)</f>
        <v>4.7836601820150527E-3</v>
      </c>
      <c r="I76" s="54" t="s">
        <v>128</v>
      </c>
      <c r="J76" s="54">
        <f>C4/C6</f>
        <v>12</v>
      </c>
    </row>
    <row r="77" spans="1:27" x14ac:dyDescent="0.25">
      <c r="E77">
        <v>2</v>
      </c>
      <c r="F77" s="53">
        <f t="shared" si="17"/>
        <v>0.16666666666666666</v>
      </c>
      <c r="G77" s="53">
        <f t="shared" si="18"/>
        <v>2.1231213210841655E-2</v>
      </c>
      <c r="I77" s="54" t="s">
        <v>129</v>
      </c>
      <c r="J77" s="54">
        <f>(1-C16/100)^2+J75</f>
        <v>0.61250000000000004</v>
      </c>
    </row>
    <row r="78" spans="1:27" x14ac:dyDescent="0.25">
      <c r="E78">
        <v>3</v>
      </c>
      <c r="F78" s="53">
        <f t="shared" si="17"/>
        <v>0.25</v>
      </c>
      <c r="G78" s="53">
        <f t="shared" si="18"/>
        <v>5.0765774772264724E-2</v>
      </c>
    </row>
    <row r="79" spans="1:27" x14ac:dyDescent="0.25">
      <c r="E79">
        <v>4</v>
      </c>
      <c r="F79" s="53">
        <f t="shared" si="17"/>
        <v>0.33333333333333331</v>
      </c>
      <c r="G79" s="53">
        <f t="shared" si="18"/>
        <v>9.4230024134853707E-2</v>
      </c>
    </row>
    <row r="80" spans="1:27" x14ac:dyDescent="0.25">
      <c r="E80">
        <v>5</v>
      </c>
      <c r="F80" s="53">
        <f t="shared" si="17"/>
        <v>0.41666666666666669</v>
      </c>
      <c r="G80" s="53">
        <f t="shared" si="18"/>
        <v>0.15224597868622725</v>
      </c>
    </row>
    <row r="81" spans="5:7" x14ac:dyDescent="0.25">
      <c r="E81">
        <v>6</v>
      </c>
      <c r="F81" s="53">
        <f t="shared" si="17"/>
        <v>0.5</v>
      </c>
      <c r="G81" s="53">
        <f t="shared" si="18"/>
        <v>0.22531261565270758</v>
      </c>
    </row>
    <row r="82" spans="5:7" x14ac:dyDescent="0.25">
      <c r="E82">
        <v>7</v>
      </c>
      <c r="F82" s="53">
        <f t="shared" si="17"/>
        <v>0.58333333333333337</v>
      </c>
      <c r="G82" s="53">
        <f t="shared" si="18"/>
        <v>0.3138492585752316</v>
      </c>
    </row>
    <row r="83" spans="5:7" x14ac:dyDescent="0.25">
      <c r="E83">
        <v>8</v>
      </c>
      <c r="F83" s="53">
        <f t="shared" si="17"/>
        <v>0.66666666666666663</v>
      </c>
      <c r="G83" s="53">
        <f t="shared" si="18"/>
        <v>0.41821903252899972</v>
      </c>
    </row>
    <row r="84" spans="5:7" x14ac:dyDescent="0.25">
      <c r="E84">
        <v>9</v>
      </c>
      <c r="F84" s="53">
        <f t="shared" si="17"/>
        <v>0.75</v>
      </c>
      <c r="G84" s="53">
        <f t="shared" si="18"/>
        <v>0.53874309423515809</v>
      </c>
    </row>
    <row r="85" spans="5:7" x14ac:dyDescent="0.25">
      <c r="E85">
        <v>10</v>
      </c>
      <c r="F85" s="53">
        <f t="shared" si="17"/>
        <v>0.83333333333333337</v>
      </c>
      <c r="G85" s="53">
        <f t="shared" si="18"/>
        <v>0.67570996078131818</v>
      </c>
    </row>
    <row r="86" spans="5:7" x14ac:dyDescent="0.25">
      <c r="E86">
        <v>11</v>
      </c>
      <c r="F86" s="53">
        <f t="shared" si="17"/>
        <v>0.91666666666666663</v>
      </c>
      <c r="G86" s="53">
        <f t="shared" si="18"/>
        <v>0.82938197786640633</v>
      </c>
    </row>
    <row r="87" spans="5:7" x14ac:dyDescent="0.25">
      <c r="E87">
        <v>12</v>
      </c>
      <c r="F87" s="53">
        <f t="shared" si="17"/>
        <v>1</v>
      </c>
      <c r="G87" s="53">
        <f t="shared" si="18"/>
        <v>1</v>
      </c>
    </row>
    <row r="88" spans="5:7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7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7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7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7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7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7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7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7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1" spans="5:7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7:C18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B1" zoomScale="80" zoomScaleNormal="80" workbookViewId="0">
      <selection activeCell="B17" sqref="B17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50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900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C19</f>
        <v>15</v>
      </c>
      <c r="M4" s="41" t="str">
        <f>C18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$C$5</f>
        <v>4</v>
      </c>
      <c r="AI4" t="s">
        <v>27</v>
      </c>
      <c r="AJ4" s="5">
        <f>SUM(K6:K31)</f>
        <v>129.48673982624601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>FR01</v>
      </c>
      <c r="F5" s="62">
        <f>IF(E5="","",SUMIF(M5:M30,C11,L5:L30))</f>
        <v>12.345679012345679</v>
      </c>
      <c r="G5" s="6"/>
      <c r="H5" s="20" t="str">
        <f>IF(I5="-","-","Буфер")</f>
        <v>Буфер</v>
      </c>
      <c r="I5" s="9">
        <f t="shared" ref="I5:I31" si="1">IFERROR(K5/J5,"-")</f>
        <v>10.934916992015756</v>
      </c>
      <c r="J5" s="43">
        <f t="shared" ref="J5:J31" si="2">IF(K5="-","-",$C$5)</f>
        <v>4</v>
      </c>
      <c r="K5" s="9">
        <f>IFERROR(J73, "-")</f>
        <v>43.739667968063024</v>
      </c>
      <c r="L5" s="9">
        <f>IFERROR(K5,0)</f>
        <v>43.739667968063024</v>
      </c>
      <c r="M5" s="43" t="str">
        <f>IF(L5="-","-",$C$17)</f>
        <v>LG24</v>
      </c>
      <c r="N5" s="43"/>
      <c r="O5" s="43"/>
      <c r="P5" s="43"/>
      <c r="Q5" s="9"/>
      <c r="R5" s="9">
        <f>IF(L5="-","-",L5)</f>
        <v>43.739667968063024</v>
      </c>
      <c r="S5" s="9"/>
      <c r="T5" s="21">
        <f>IF(K5="-","-",K5)</f>
        <v>43.739667968063024</v>
      </c>
      <c r="U5" s="6"/>
      <c r="V5" s="6"/>
      <c r="W5" s="6"/>
      <c r="X5" s="6"/>
      <c r="Y5" s="6"/>
      <c r="Z5" s="6"/>
      <c r="AA5" s="6"/>
      <c r="AC5" s="5">
        <f t="shared" ref="AC5:AC30" si="3">AC4+I5</f>
        <v>10.934916992015756</v>
      </c>
      <c r="AD5">
        <f>AC5</f>
        <v>10.934916992015756</v>
      </c>
      <c r="AE5">
        <f>P5</f>
        <v>0</v>
      </c>
      <c r="AF5">
        <f t="shared" si="0"/>
        <v>4</v>
      </c>
      <c r="AI5" t="s">
        <v>29</v>
      </c>
      <c r="AJ5">
        <f>AJ4/(1-J81)</f>
        <v>173.22640779430904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LG32</v>
      </c>
      <c r="F6" s="62">
        <f>SUMIF(M5:M30,C12,L5:L30)</f>
        <v>12.345679012345679</v>
      </c>
      <c r="G6" s="6"/>
      <c r="H6" s="20" t="str">
        <f t="shared" ref="H6:H31" si="4">IF(I6="-","-","Пропант")</f>
        <v>Пропант</v>
      </c>
      <c r="I6" s="9">
        <f t="shared" si="1"/>
        <v>3.1346450617283952</v>
      </c>
      <c r="J6" s="43">
        <f t="shared" si="2"/>
        <v>4</v>
      </c>
      <c r="K6" s="9">
        <f t="shared" ref="K6:K31" si="5">IFERROR(L6+Q6/(IF(N6=$C$8,$G$103,$G$104)*1000),"-")</f>
        <v>12.538580246913581</v>
      </c>
      <c r="L6" s="9">
        <f t="shared" ref="L6:L31" si="6">IFERROR(Q6/(P6-($C$6/2)),"-")</f>
        <v>12.345679012345679</v>
      </c>
      <c r="M6" s="43" t="str">
        <f t="shared" ref="M6:M31" si="7">IF(L6="-","-",IF(O6&lt;$C$14,$C$11,IF(P6&gt;$C$15,$C$13,$C$12)))</f>
        <v>FR01</v>
      </c>
      <c r="N6" s="43" t="str">
        <f t="shared" ref="N6:N31" si="8">IF(O6="-","-",IF(O6&lt;$C$10,$C$8,$C$9))</f>
        <v>FP_20/40</v>
      </c>
      <c r="O6" s="43">
        <f t="shared" ref="O6:O31" si="9">IFERROR(P6-$C$6,"-")</f>
        <v>0</v>
      </c>
      <c r="P6" s="43">
        <f>IFERROR(P5+($C$4-P5)/($J$78-D5),"-")</f>
        <v>100</v>
      </c>
      <c r="Q6" s="9">
        <f>IF(S6="-","-",S6)</f>
        <v>617.28395061728395</v>
      </c>
      <c r="R6" s="9">
        <f t="shared" ref="R6:R31" si="10">IFERROR(IF(L6="-","-",R5+L6),"-")</f>
        <v>56.085346980408701</v>
      </c>
      <c r="S6" s="9">
        <f t="shared" ref="S6:S31" si="11">IF(G76="-","-",G76*$C$3*1000)</f>
        <v>617.28395061728395</v>
      </c>
      <c r="T6" s="21">
        <f t="shared" ref="T6:T31" si="12">IFERROR(IF(K6="-","-",T5+K6),"-")</f>
        <v>56.278248214976607</v>
      </c>
      <c r="U6" s="6"/>
      <c r="V6" s="6"/>
      <c r="W6" s="6"/>
      <c r="X6" s="6"/>
      <c r="Y6" s="6"/>
      <c r="Z6" s="6"/>
      <c r="AA6" s="6"/>
      <c r="AC6" s="5">
        <f t="shared" si="3"/>
        <v>14.069562053744152</v>
      </c>
      <c r="AD6">
        <f>AD5</f>
        <v>10.934916992015756</v>
      </c>
      <c r="AE6">
        <f>P6</f>
        <v>100</v>
      </c>
      <c r="AF6">
        <f t="shared" si="0"/>
        <v>4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SUMIF(M5:M30,C13,L5:L30)</f>
        <v>86.41975308641976</v>
      </c>
      <c r="G7" s="6"/>
      <c r="H7" s="20" t="str">
        <f t="shared" si="4"/>
        <v>Пропант</v>
      </c>
      <c r="I7" s="9">
        <f t="shared" si="1"/>
        <v>3.2310956790123457</v>
      </c>
      <c r="J7" s="43">
        <f t="shared" si="2"/>
        <v>4</v>
      </c>
      <c r="K7" s="9">
        <f t="shared" si="5"/>
        <v>12.924382716049383</v>
      </c>
      <c r="L7" s="9">
        <f t="shared" si="6"/>
        <v>12.345679012345679</v>
      </c>
      <c r="M7" s="43" t="str">
        <f t="shared" si="7"/>
        <v>LG32</v>
      </c>
      <c r="N7" s="43" t="str">
        <f t="shared" si="8"/>
        <v>FP_20/40</v>
      </c>
      <c r="O7" s="43">
        <f t="shared" si="9"/>
        <v>100</v>
      </c>
      <c r="P7" s="43">
        <f t="shared" ref="P7:P31" si="13">IFERROR(P6+($C$4-P6)/($J$78-E76),"-")</f>
        <v>200</v>
      </c>
      <c r="Q7" s="9">
        <f t="shared" ref="Q7:Q31" si="14">IF(S7="-","-",S7-S6)</f>
        <v>1851.8518518518517</v>
      </c>
      <c r="R7" s="9">
        <f t="shared" si="10"/>
        <v>68.431025992754385</v>
      </c>
      <c r="S7" s="9">
        <f t="shared" si="11"/>
        <v>2469.1358024691358</v>
      </c>
      <c r="T7" s="21">
        <f t="shared" si="12"/>
        <v>69.202630931025993</v>
      </c>
      <c r="U7" s="6"/>
      <c r="V7" s="6"/>
      <c r="W7" s="6"/>
      <c r="X7" s="6"/>
      <c r="Y7" s="6"/>
      <c r="Z7" s="6"/>
      <c r="AA7" s="6"/>
      <c r="AC7" s="5">
        <f t="shared" si="3"/>
        <v>17.300657732756498</v>
      </c>
      <c r="AD7" s="5">
        <f>AC6</f>
        <v>14.069562053744152</v>
      </c>
      <c r="AE7" t="e">
        <f>#REF!</f>
        <v>#REF!</v>
      </c>
      <c r="AF7">
        <f t="shared" si="0"/>
        <v>4</v>
      </c>
    </row>
    <row r="8" spans="1:36" ht="15.75" customHeight="1" x14ac:dyDescent="0.25">
      <c r="A8" s="6"/>
      <c r="B8" s="24" t="s">
        <v>32</v>
      </c>
      <c r="C8" s="39" t="s">
        <v>90</v>
      </c>
      <c r="D8" s="6"/>
      <c r="E8" s="13" t="s">
        <v>34</v>
      </c>
      <c r="F8" s="14">
        <f>SUM(L5:L30)</f>
        <v>154.85077907917412</v>
      </c>
      <c r="G8" s="6"/>
      <c r="H8" s="20" t="str">
        <f t="shared" si="4"/>
        <v>Пропант</v>
      </c>
      <c r="I8" s="9">
        <f t="shared" si="1"/>
        <v>3.3721993598536808</v>
      </c>
      <c r="J8" s="43">
        <f t="shared" si="2"/>
        <v>4</v>
      </c>
      <c r="K8" s="9">
        <f t="shared" si="5"/>
        <v>13.488797439414723</v>
      </c>
      <c r="L8" s="9">
        <f t="shared" si="6"/>
        <v>12.345679012345679</v>
      </c>
      <c r="M8" s="43" t="str">
        <f t="shared" si="7"/>
        <v>DX28</v>
      </c>
      <c r="N8" s="43" t="str">
        <f t="shared" si="8"/>
        <v>16/20 Новатэк</v>
      </c>
      <c r="O8" s="43">
        <f t="shared" si="9"/>
        <v>200</v>
      </c>
      <c r="P8" s="43">
        <f t="shared" si="13"/>
        <v>300</v>
      </c>
      <c r="Q8" s="9">
        <f t="shared" si="14"/>
        <v>3086.4197530864199</v>
      </c>
      <c r="R8" s="9">
        <f t="shared" si="10"/>
        <v>80.776705005100069</v>
      </c>
      <c r="S8" s="9">
        <f t="shared" si="11"/>
        <v>5555.5555555555557</v>
      </c>
      <c r="T8" s="21">
        <f t="shared" si="12"/>
        <v>82.691428370440718</v>
      </c>
      <c r="U8" s="6"/>
      <c r="V8" s="6"/>
      <c r="W8" s="6"/>
      <c r="X8" s="6"/>
      <c r="Y8" s="6"/>
      <c r="Z8" s="6"/>
      <c r="AA8" s="6"/>
      <c r="AC8">
        <f t="shared" si="3"/>
        <v>20.67285709261018</v>
      </c>
      <c r="AD8" s="5">
        <f>AD7</f>
        <v>14.069562053744152</v>
      </c>
      <c r="AE8">
        <f>P7</f>
        <v>200</v>
      </c>
      <c r="AF8">
        <f t="shared" si="0"/>
        <v>4</v>
      </c>
      <c r="AI8">
        <f>C3/AJ4</f>
        <v>0.38613992496137717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3.4865112025605853</v>
      </c>
      <c r="J9" s="43">
        <f t="shared" si="2"/>
        <v>4</v>
      </c>
      <c r="K9" s="9">
        <f t="shared" si="5"/>
        <v>13.946044810242341</v>
      </c>
      <c r="L9" s="9">
        <f t="shared" si="6"/>
        <v>12.345679012345679</v>
      </c>
      <c r="M9" s="43" t="str">
        <f t="shared" si="7"/>
        <v>DX28</v>
      </c>
      <c r="N9" s="43" t="str">
        <f t="shared" si="8"/>
        <v>16/20 Новатэк</v>
      </c>
      <c r="O9" s="43">
        <f t="shared" si="9"/>
        <v>300</v>
      </c>
      <c r="P9" s="43">
        <f t="shared" si="13"/>
        <v>400</v>
      </c>
      <c r="Q9" s="9">
        <f t="shared" si="14"/>
        <v>4320.9876543209875</v>
      </c>
      <c r="R9" s="9">
        <f t="shared" si="10"/>
        <v>93.122384017445754</v>
      </c>
      <c r="S9" s="9">
        <f t="shared" si="11"/>
        <v>9876.5432098765432</v>
      </c>
      <c r="T9" s="21">
        <f t="shared" si="12"/>
        <v>96.63747318068306</v>
      </c>
      <c r="U9" s="6"/>
      <c r="V9" s="6"/>
      <c r="W9" s="6"/>
      <c r="X9" s="6"/>
      <c r="Y9" s="6"/>
      <c r="Z9" s="6"/>
      <c r="AA9" s="6"/>
      <c r="AC9">
        <f t="shared" si="3"/>
        <v>24.159368295170765</v>
      </c>
      <c r="AD9">
        <f>AC7</f>
        <v>17.300657732756498</v>
      </c>
      <c r="AE9" t="e">
        <f>#REF!</f>
        <v>#REF!</v>
      </c>
      <c r="AF9">
        <f t="shared" si="0"/>
        <v>4</v>
      </c>
    </row>
    <row r="10" spans="1:36" ht="18" customHeight="1" x14ac:dyDescent="0.25">
      <c r="A10" s="6"/>
      <c r="B10" s="24" t="s">
        <v>37</v>
      </c>
      <c r="C10" s="39">
        <v>200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3.6008230452674916</v>
      </c>
      <c r="J10" s="43">
        <f t="shared" si="2"/>
        <v>4</v>
      </c>
      <c r="K10" s="9">
        <f t="shared" si="5"/>
        <v>14.403292181069967</v>
      </c>
      <c r="L10" s="9">
        <f t="shared" si="6"/>
        <v>12.345679012345686</v>
      </c>
      <c r="M10" s="43" t="str">
        <f t="shared" si="7"/>
        <v>DX28</v>
      </c>
      <c r="N10" s="43" t="str">
        <f t="shared" si="8"/>
        <v>16/20 Новатэк</v>
      </c>
      <c r="O10" s="43">
        <f t="shared" si="9"/>
        <v>400</v>
      </c>
      <c r="P10" s="43">
        <f t="shared" si="13"/>
        <v>500</v>
      </c>
      <c r="Q10" s="9">
        <f t="shared" si="14"/>
        <v>5555.5555555555584</v>
      </c>
      <c r="R10" s="9">
        <f t="shared" si="10"/>
        <v>105.46806302979144</v>
      </c>
      <c r="S10" s="9">
        <f t="shared" si="11"/>
        <v>15432.098765432102</v>
      </c>
      <c r="T10" s="21">
        <f t="shared" si="12"/>
        <v>111.04076536175303</v>
      </c>
      <c r="U10" s="6"/>
      <c r="V10" s="6"/>
      <c r="W10" s="6"/>
      <c r="X10" s="6"/>
      <c r="Y10" s="6"/>
      <c r="Z10" s="6"/>
      <c r="AA10" s="6"/>
      <c r="AC10">
        <f t="shared" si="3"/>
        <v>27.760191340438258</v>
      </c>
      <c r="AD10">
        <f>AD9</f>
        <v>17.300657732756498</v>
      </c>
      <c r="AE10">
        <f>P8</f>
        <v>300</v>
      </c>
      <c r="AF10">
        <f t="shared" si="0"/>
        <v>4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FP_20/40</v>
      </c>
      <c r="F11" s="62">
        <f>IF(E11="","",SUMIF(N5:N30,C8,Q5:Q30)/1000)</f>
        <v>2.4691358024691357</v>
      </c>
      <c r="G11" s="6"/>
      <c r="H11" s="20" t="str">
        <f t="shared" si="4"/>
        <v>Пропант</v>
      </c>
      <c r="I11" s="9">
        <f t="shared" si="1"/>
        <v>3.7151348879743931</v>
      </c>
      <c r="J11" s="43">
        <f t="shared" si="2"/>
        <v>4</v>
      </c>
      <c r="K11" s="9">
        <f t="shared" si="5"/>
        <v>14.860539551897572</v>
      </c>
      <c r="L11" s="9">
        <f t="shared" si="6"/>
        <v>12.345679012345675</v>
      </c>
      <c r="M11" s="43" t="str">
        <f t="shared" si="7"/>
        <v>DX28</v>
      </c>
      <c r="N11" s="43" t="str">
        <f t="shared" si="8"/>
        <v>16/20 Новатэк</v>
      </c>
      <c r="O11" s="43">
        <f t="shared" si="9"/>
        <v>500</v>
      </c>
      <c r="P11" s="43">
        <f t="shared" si="13"/>
        <v>600</v>
      </c>
      <c r="Q11" s="9">
        <f t="shared" si="14"/>
        <v>6790.1234567901211</v>
      </c>
      <c r="R11" s="9">
        <f t="shared" si="10"/>
        <v>117.81374204213711</v>
      </c>
      <c r="S11" s="9">
        <f t="shared" si="11"/>
        <v>22222.222222222223</v>
      </c>
      <c r="T11" s="21">
        <f t="shared" si="12"/>
        <v>125.90130491365061</v>
      </c>
      <c r="U11" s="6"/>
      <c r="V11" s="6"/>
      <c r="W11" s="6"/>
      <c r="X11" s="6"/>
      <c r="Y11" s="6"/>
      <c r="Z11" s="6"/>
      <c r="AA11" s="6"/>
      <c r="AC11">
        <f t="shared" si="3"/>
        <v>31.475326228412651</v>
      </c>
      <c r="AD11">
        <f>AC8</f>
        <v>20.67285709261018</v>
      </c>
      <c r="AE11" t="e">
        <f>#REF!</f>
        <v>#REF!</v>
      </c>
      <c r="AF11">
        <f t="shared" si="0"/>
        <v>4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88</v>
      </c>
      <c r="D12" s="6"/>
      <c r="E12" s="12" t="str">
        <f>C9</f>
        <v>16/20 Новатэк</v>
      </c>
      <c r="F12" s="62">
        <f>SUMIF(N5:N30,C9,Q5:Q30)/1000</f>
        <v>47.53086419753086</v>
      </c>
      <c r="G12" s="6"/>
      <c r="H12" s="20" t="str">
        <f t="shared" si="4"/>
        <v>Пропант</v>
      </c>
      <c r="I12" s="9">
        <f t="shared" si="1"/>
        <v>3.8294467306812985</v>
      </c>
      <c r="J12" s="43">
        <f t="shared" si="2"/>
        <v>4</v>
      </c>
      <c r="K12" s="9">
        <f t="shared" si="5"/>
        <v>15.317786922725194</v>
      </c>
      <c r="L12" s="9">
        <f t="shared" si="6"/>
        <v>12.345679012345679</v>
      </c>
      <c r="M12" s="43" t="str">
        <f t="shared" si="7"/>
        <v>DX28</v>
      </c>
      <c r="N12" s="43" t="str">
        <f t="shared" si="8"/>
        <v>16/20 Новатэк</v>
      </c>
      <c r="O12" s="43">
        <f t="shared" si="9"/>
        <v>600</v>
      </c>
      <c r="P12" s="43">
        <f t="shared" si="13"/>
        <v>700</v>
      </c>
      <c r="Q12" s="9">
        <f t="shared" si="14"/>
        <v>8024.691358024691</v>
      </c>
      <c r="R12" s="9">
        <f t="shared" si="10"/>
        <v>130.15942105448278</v>
      </c>
      <c r="S12" s="9">
        <f t="shared" si="11"/>
        <v>30246.913580246914</v>
      </c>
      <c r="T12" s="21">
        <f t="shared" si="12"/>
        <v>141.21909183637581</v>
      </c>
      <c r="U12" s="6"/>
      <c r="V12" s="6"/>
      <c r="W12" s="6"/>
      <c r="X12" s="6"/>
      <c r="Y12" s="6"/>
      <c r="Z12" s="6"/>
      <c r="AA12" s="6"/>
      <c r="AC12">
        <f t="shared" si="3"/>
        <v>35.304772959093953</v>
      </c>
      <c r="AD12">
        <f>AD11</f>
        <v>20.67285709261018</v>
      </c>
      <c r="AE12">
        <f>P9</f>
        <v>400</v>
      </c>
      <c r="AF12">
        <f t="shared" si="0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50</v>
      </c>
      <c r="G13" s="6"/>
      <c r="H13" s="20" t="str">
        <f t="shared" si="4"/>
        <v>Пропант</v>
      </c>
      <c r="I13" s="9">
        <f t="shared" si="1"/>
        <v>3.943758573388203</v>
      </c>
      <c r="J13" s="43">
        <f t="shared" si="2"/>
        <v>4</v>
      </c>
      <c r="K13" s="9">
        <f t="shared" si="5"/>
        <v>15.775034293552812</v>
      </c>
      <c r="L13" s="9">
        <f t="shared" si="6"/>
        <v>12.345679012345679</v>
      </c>
      <c r="M13" s="43" t="str">
        <f t="shared" si="7"/>
        <v>DX28</v>
      </c>
      <c r="N13" s="43" t="str">
        <f t="shared" si="8"/>
        <v>16/20 Новатэк</v>
      </c>
      <c r="O13" s="43">
        <f t="shared" si="9"/>
        <v>700</v>
      </c>
      <c r="P13" s="43">
        <f t="shared" si="13"/>
        <v>800</v>
      </c>
      <c r="Q13" s="9">
        <f t="shared" si="14"/>
        <v>9259.2592592592591</v>
      </c>
      <c r="R13" s="9">
        <f t="shared" si="10"/>
        <v>142.50510006682845</v>
      </c>
      <c r="S13" s="9">
        <f t="shared" si="11"/>
        <v>39506.172839506173</v>
      </c>
      <c r="T13" s="21">
        <f t="shared" si="12"/>
        <v>156.99412612992862</v>
      </c>
      <c r="U13" s="6"/>
      <c r="V13" s="6"/>
      <c r="W13" s="6"/>
      <c r="X13" s="6"/>
      <c r="Y13" s="6"/>
      <c r="Z13" s="6"/>
      <c r="AA13" s="6"/>
      <c r="AC13">
        <f t="shared" si="3"/>
        <v>39.248531532482154</v>
      </c>
      <c r="AD13">
        <f>AC9</f>
        <v>24.159368295170765</v>
      </c>
      <c r="AE13" t="e">
        <f>#REF!</f>
        <v>#REF!</v>
      </c>
      <c r="AF13">
        <f t="shared" si="0"/>
        <v>4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100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4.0580704160951075</v>
      </c>
      <c r="J14" s="43">
        <f t="shared" si="2"/>
        <v>4</v>
      </c>
      <c r="K14" s="9">
        <f t="shared" si="5"/>
        <v>16.23228166438043</v>
      </c>
      <c r="L14" s="9">
        <f t="shared" si="6"/>
        <v>12.345679012345679</v>
      </c>
      <c r="M14" s="43" t="str">
        <f t="shared" si="7"/>
        <v>DX28</v>
      </c>
      <c r="N14" s="43" t="str">
        <f t="shared" si="8"/>
        <v>16/20 Новатэк</v>
      </c>
      <c r="O14" s="43">
        <f t="shared" si="9"/>
        <v>800</v>
      </c>
      <c r="P14" s="43">
        <f t="shared" si="13"/>
        <v>900</v>
      </c>
      <c r="Q14" s="9">
        <f t="shared" si="14"/>
        <v>10493.827160493827</v>
      </c>
      <c r="R14" s="9">
        <f t="shared" si="10"/>
        <v>154.85077907917412</v>
      </c>
      <c r="S14" s="9">
        <f t="shared" si="11"/>
        <v>50000</v>
      </c>
      <c r="T14" s="21">
        <f t="shared" si="12"/>
        <v>173.22640779430904</v>
      </c>
      <c r="U14" s="6"/>
      <c r="V14" s="6"/>
      <c r="W14" s="6"/>
      <c r="X14" s="6"/>
      <c r="Y14" s="6"/>
      <c r="Z14" s="6"/>
      <c r="AA14" s="6"/>
      <c r="AC14" s="5">
        <f t="shared" si="3"/>
        <v>43.30660194857726</v>
      </c>
      <c r="AD14">
        <f>AD13</f>
        <v>24.159368295170765</v>
      </c>
      <c r="AE14">
        <f>P10</f>
        <v>500</v>
      </c>
      <c r="AF14">
        <f t="shared" si="0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200</v>
      </c>
      <c r="D15" s="6"/>
      <c r="E15" s="10"/>
      <c r="F15" s="11"/>
      <c r="G15" s="6"/>
      <c r="H15" s="20" t="str">
        <f t="shared" si="4"/>
        <v>-</v>
      </c>
      <c r="I15" s="9" t="str">
        <f t="shared" si="1"/>
        <v>-</v>
      </c>
      <c r="J15" s="43" t="str">
        <f t="shared" si="2"/>
        <v>-</v>
      </c>
      <c r="K15" s="9" t="str">
        <f t="shared" si="5"/>
        <v>-</v>
      </c>
      <c r="L15" s="9" t="str">
        <f t="shared" si="6"/>
        <v>-</v>
      </c>
      <c r="M15" s="43" t="str">
        <f t="shared" si="7"/>
        <v>-</v>
      </c>
      <c r="N15" s="43" t="str">
        <f t="shared" si="8"/>
        <v>-</v>
      </c>
      <c r="O15" s="43" t="str">
        <f t="shared" si="9"/>
        <v>-</v>
      </c>
      <c r="P15" s="43" t="str">
        <f t="shared" si="13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 t="e">
        <f t="shared" si="3"/>
        <v>#VALUE!</v>
      </c>
      <c r="AD15">
        <f>AC10</f>
        <v>27.760191340438258</v>
      </c>
      <c r="AE15" t="e">
        <f>#REF!</f>
        <v>#REF!</v>
      </c>
      <c r="AF15">
        <f t="shared" si="0"/>
        <v>4</v>
      </c>
      <c r="AH15">
        <v>2</v>
      </c>
      <c r="AI15">
        <v>2.4</v>
      </c>
    </row>
    <row r="16" spans="1:36" ht="15.75" customHeight="1" x14ac:dyDescent="0.25">
      <c r="A16" s="6"/>
      <c r="B16" s="35" t="s">
        <v>141</v>
      </c>
      <c r="C16" s="39">
        <v>55</v>
      </c>
      <c r="D16" s="6"/>
      <c r="E16" s="10"/>
      <c r="F16" s="11"/>
      <c r="G16" s="6"/>
      <c r="H16" s="20" t="str">
        <f t="shared" si="4"/>
        <v>-</v>
      </c>
      <c r="I16" s="9" t="str">
        <f t="shared" si="1"/>
        <v>-</v>
      </c>
      <c r="J16" s="43" t="str">
        <f t="shared" si="2"/>
        <v>-</v>
      </c>
      <c r="K16" s="9" t="str">
        <f t="shared" si="5"/>
        <v>-</v>
      </c>
      <c r="L16" s="9" t="str">
        <f t="shared" si="6"/>
        <v>-</v>
      </c>
      <c r="M16" s="43" t="str">
        <f t="shared" si="7"/>
        <v>-</v>
      </c>
      <c r="N16" s="43" t="str">
        <f t="shared" si="8"/>
        <v>-</v>
      </c>
      <c r="O16" s="43" t="str">
        <f t="shared" si="9"/>
        <v>-</v>
      </c>
      <c r="P16" s="43" t="str">
        <f t="shared" si="13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 t="e">
        <f t="shared" si="3"/>
        <v>#VALUE!</v>
      </c>
      <c r="AD16">
        <f>AD15</f>
        <v>27.760191340438258</v>
      </c>
      <c r="AE16">
        <f>P11</f>
        <v>600</v>
      </c>
      <c r="AF16">
        <f t="shared" si="0"/>
        <v>4</v>
      </c>
      <c r="AH16">
        <v>3</v>
      </c>
      <c r="AI16">
        <v>2.6</v>
      </c>
    </row>
    <row r="17" spans="1:40" ht="19.5" customHeight="1" x14ac:dyDescent="0.25">
      <c r="A17" s="6"/>
      <c r="B17" s="24" t="s">
        <v>142</v>
      </c>
      <c r="C17" s="39" t="s">
        <v>51</v>
      </c>
      <c r="D17" s="6"/>
      <c r="E17" s="77" t="s">
        <v>49</v>
      </c>
      <c r="F17" s="66"/>
      <c r="G17" s="6"/>
      <c r="H17" s="20" t="str">
        <f t="shared" si="4"/>
        <v>-</v>
      </c>
      <c r="I17" s="9" t="str">
        <f t="shared" si="1"/>
        <v>-</v>
      </c>
      <c r="J17" s="43" t="str">
        <f t="shared" si="2"/>
        <v>-</v>
      </c>
      <c r="K17" s="9" t="str">
        <f t="shared" si="5"/>
        <v>-</v>
      </c>
      <c r="L17" s="9" t="str">
        <f t="shared" si="6"/>
        <v>-</v>
      </c>
      <c r="M17" s="43" t="str">
        <f t="shared" si="7"/>
        <v>-</v>
      </c>
      <c r="N17" s="43" t="str">
        <f t="shared" si="8"/>
        <v>-</v>
      </c>
      <c r="O17" s="43" t="str">
        <f t="shared" si="9"/>
        <v>-</v>
      </c>
      <c r="P17" s="43" t="str">
        <f t="shared" si="13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3"/>
        <v>#VALUE!</v>
      </c>
      <c r="AD17">
        <f>AC11</f>
        <v>31.475326228412651</v>
      </c>
      <c r="AE17" t="e">
        <f>#REF!</f>
        <v>#REF!</v>
      </c>
      <c r="AF17">
        <f t="shared" si="0"/>
        <v>4</v>
      </c>
    </row>
    <row r="18" spans="1:40" ht="15.75" customHeight="1" x14ac:dyDescent="0.25">
      <c r="A18" s="6"/>
      <c r="B18" s="24" t="s">
        <v>58</v>
      </c>
      <c r="C18" s="39" t="s">
        <v>59</v>
      </c>
      <c r="D18" s="6"/>
      <c r="E18" s="65">
        <f>IFERROR(C3/SUM(L5:L30), "-")</f>
        <v>0.32289149784926396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9"/>
        <v>-</v>
      </c>
      <c r="P18" s="43" t="str">
        <f t="shared" si="13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31.475326228412651</v>
      </c>
      <c r="AE18">
        <f>P12</f>
        <v>700</v>
      </c>
      <c r="AF18">
        <f t="shared" si="0"/>
        <v>4</v>
      </c>
      <c r="AH18" s="44" t="s">
        <v>52</v>
      </c>
      <c r="AI18" s="2">
        <f>IF(C7=-3,AI10,IF(C7=-2,AI11,IF(C7=-1,AI12,IF(C7=0,AI13,IF(C7=1,AI14,IF(C7=2,AI15,IF(C7=3,AI16)))))))</f>
        <v>2</v>
      </c>
    </row>
    <row r="19" spans="1:40" ht="18.75" customHeight="1" thickBot="1" x14ac:dyDescent="0.3">
      <c r="A19" s="6"/>
      <c r="B19" s="27" t="s">
        <v>65</v>
      </c>
      <c r="C19" s="47">
        <v>15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9"/>
        <v>-</v>
      </c>
      <c r="P19" s="43" t="str">
        <f t="shared" si="13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35.304772959093953</v>
      </c>
      <c r="AE19" t="e">
        <f>#REF!</f>
        <v>#REF!</v>
      </c>
      <c r="AF19">
        <f t="shared" si="0"/>
        <v>4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9"/>
        <v>-</v>
      </c>
      <c r="P20" s="43" t="str">
        <f t="shared" si="13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35.304772959093953</v>
      </c>
      <c r="AE20">
        <f>P13</f>
        <v>800</v>
      </c>
      <c r="AF20">
        <f t="shared" si="0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9"/>
        <v>-</v>
      </c>
      <c r="P21" s="43" t="str">
        <f t="shared" si="13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39.248531532482154</v>
      </c>
      <c r="AE21" t="e">
        <f>#REF!</f>
        <v>#REF!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9"/>
        <v>-</v>
      </c>
      <c r="P22" s="43" t="str">
        <f t="shared" si="13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39.248531532482154</v>
      </c>
      <c r="AE22">
        <f>P14</f>
        <v>900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9"/>
        <v>-</v>
      </c>
      <c r="P23" s="43" t="str">
        <f t="shared" si="13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43.30660194857726</v>
      </c>
      <c r="AE23" t="e">
        <f>#REF!</f>
        <v>#REF!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9"/>
        <v>-</v>
      </c>
      <c r="P24" s="43" t="str">
        <f t="shared" si="13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43.30660194857726</v>
      </c>
      <c r="AE24" t="str">
        <f>P15</f>
        <v>-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9"/>
        <v>-</v>
      </c>
      <c r="P25" s="43" t="str">
        <f t="shared" si="13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 t="e">
        <f>AC15</f>
        <v>#VALUE!</v>
      </c>
      <c r="AE25" t="e">
        <f>#REF!</f>
        <v>#REF!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9"/>
        <v>-</v>
      </c>
      <c r="P26" s="43" t="str">
        <f t="shared" si="13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 t="e">
        <f>AD25</f>
        <v>#VALUE!</v>
      </c>
      <c r="AE26" t="str">
        <f>P16</f>
        <v>-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9"/>
        <v>-</v>
      </c>
      <c r="P27" s="43" t="str">
        <f t="shared" si="13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 t="e">
        <f>AC16</f>
        <v>#VALUE!</v>
      </c>
      <c r="AE27" t="e">
        <f>#REF!</f>
        <v>#REF!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9"/>
        <v>-</v>
      </c>
      <c r="P28" s="43" t="str">
        <f t="shared" si="13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 t="e">
        <f>AD27</f>
        <v>#VALUE!</v>
      </c>
      <c r="AE28" t="str">
        <f>P17</f>
        <v>-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9"/>
        <v>-</v>
      </c>
      <c r="P29" s="43" t="str">
        <f t="shared" si="13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 t="e">
        <f>AC17</f>
        <v>#VALUE!</v>
      </c>
      <c r="AE29" t="e">
        <f>#REF!</f>
        <v>#REF!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9"/>
        <v>-</v>
      </c>
      <c r="P30" s="43" t="str">
        <f t="shared" si="13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 t="e">
        <f>AD29</f>
        <v>#VALUE!</v>
      </c>
      <c r="AE30" t="str">
        <f>P18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5.75" customHeight="1" x14ac:dyDescent="0.25">
      <c r="A31" s="6"/>
      <c r="B31" s="6"/>
      <c r="C31" s="6"/>
      <c r="D31" s="6"/>
      <c r="E31" s="6"/>
      <c r="F31" s="6"/>
      <c r="G31" s="6"/>
      <c r="H31" s="20" t="str">
        <f t="shared" si="4"/>
        <v>-</v>
      </c>
      <c r="I31" s="9" t="str">
        <f t="shared" si="1"/>
        <v>-</v>
      </c>
      <c r="J31" s="43" t="str">
        <f t="shared" si="2"/>
        <v>-</v>
      </c>
      <c r="K31" s="9" t="str">
        <f t="shared" si="5"/>
        <v>-</v>
      </c>
      <c r="L31" s="9" t="str">
        <f t="shared" si="6"/>
        <v>-</v>
      </c>
      <c r="M31" s="43" t="str">
        <f t="shared" si="7"/>
        <v>-</v>
      </c>
      <c r="N31" s="43" t="str">
        <f t="shared" si="8"/>
        <v>-</v>
      </c>
      <c r="O31" s="43" t="str">
        <f t="shared" si="9"/>
        <v>-</v>
      </c>
      <c r="P31" s="43" t="str">
        <f t="shared" si="13"/>
        <v>-</v>
      </c>
      <c r="Q31" s="9" t="str">
        <f t="shared" si="14"/>
        <v>-</v>
      </c>
      <c r="R31" s="9" t="str">
        <f t="shared" si="10"/>
        <v>-</v>
      </c>
      <c r="S31" s="9" t="str">
        <f t="shared" si="11"/>
        <v>-</v>
      </c>
      <c r="T31" s="21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43.739667968063024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 t="shared" ref="L74:L100" si="17">IFERROR(L73+I5,L73)</f>
        <v>10.934916992015756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 t="shared" si="17"/>
        <v>14.069562053744152</v>
      </c>
      <c r="M75">
        <f t="shared" ref="M75:M100" si="18">P6</f>
        <v>100</v>
      </c>
    </row>
    <row r="76" spans="1:27" x14ac:dyDescent="0.25">
      <c r="E76">
        <v>1</v>
      </c>
      <c r="F76" s="53">
        <f t="shared" ref="F76:F101" si="19">IF(P6="-","-",P6/$C$4)</f>
        <v>0.1111111111111111</v>
      </c>
      <c r="G76" s="53">
        <f t="shared" ref="G76:G101" si="20">IF(F76="-","-",F76^$AI$18)</f>
        <v>1.2345679012345678E-2</v>
      </c>
      <c r="L76" s="5">
        <f t="shared" si="17"/>
        <v>17.300657732756498</v>
      </c>
      <c r="M76">
        <f t="shared" si="18"/>
        <v>200</v>
      </c>
    </row>
    <row r="77" spans="1:27" x14ac:dyDescent="0.25">
      <c r="E77">
        <v>2</v>
      </c>
      <c r="F77" s="53">
        <f t="shared" si="19"/>
        <v>0.22222222222222221</v>
      </c>
      <c r="G77" s="53">
        <f t="shared" si="20"/>
        <v>4.9382716049382713E-2</v>
      </c>
      <c r="I77" s="4" t="s">
        <v>127</v>
      </c>
      <c r="J77" s="4">
        <f>IF(C16&gt;20,0.05,0.25*(C16/100))</f>
        <v>0.05</v>
      </c>
      <c r="L77" s="5">
        <f t="shared" si="17"/>
        <v>20.67285709261018</v>
      </c>
      <c r="M77">
        <f t="shared" si="18"/>
        <v>300</v>
      </c>
    </row>
    <row r="78" spans="1:27" x14ac:dyDescent="0.25">
      <c r="E78">
        <v>3</v>
      </c>
      <c r="F78" s="53">
        <f t="shared" si="19"/>
        <v>0.33333333333333331</v>
      </c>
      <c r="G78" s="53">
        <f t="shared" si="20"/>
        <v>0.1111111111111111</v>
      </c>
      <c r="I78" s="54" t="s">
        <v>128</v>
      </c>
      <c r="J78" s="54">
        <f>C4/C6</f>
        <v>9</v>
      </c>
      <c r="L78" s="5">
        <f t="shared" si="17"/>
        <v>24.159368295170765</v>
      </c>
      <c r="M78">
        <f t="shared" si="18"/>
        <v>400</v>
      </c>
    </row>
    <row r="79" spans="1:27" x14ac:dyDescent="0.25">
      <c r="E79">
        <v>4</v>
      </c>
      <c r="F79" s="53">
        <f t="shared" si="19"/>
        <v>0.44444444444444442</v>
      </c>
      <c r="G79" s="53">
        <f t="shared" si="20"/>
        <v>0.19753086419753085</v>
      </c>
      <c r="I79" s="54" t="s">
        <v>129</v>
      </c>
      <c r="J79" s="54">
        <f>(1-C16/100)^2+J77</f>
        <v>0.25249999999999995</v>
      </c>
      <c r="L79" s="5">
        <f t="shared" si="17"/>
        <v>27.760191340438258</v>
      </c>
      <c r="M79">
        <f t="shared" si="18"/>
        <v>500</v>
      </c>
    </row>
    <row r="80" spans="1:27" x14ac:dyDescent="0.25">
      <c r="E80">
        <v>5</v>
      </c>
      <c r="F80" s="53">
        <f t="shared" si="19"/>
        <v>0.55555555555555558</v>
      </c>
      <c r="G80" s="53">
        <f t="shared" si="20"/>
        <v>0.30864197530864201</v>
      </c>
      <c r="L80" s="5">
        <f t="shared" si="17"/>
        <v>31.475326228412651</v>
      </c>
      <c r="M80">
        <f t="shared" si="18"/>
        <v>600</v>
      </c>
    </row>
    <row r="81" spans="5:13" x14ac:dyDescent="0.25">
      <c r="E81">
        <v>6</v>
      </c>
      <c r="F81" s="53">
        <f t="shared" si="19"/>
        <v>0.66666666666666663</v>
      </c>
      <c r="G81" s="53">
        <f t="shared" si="20"/>
        <v>0.44444444444444442</v>
      </c>
      <c r="I81" s="34" t="s">
        <v>130</v>
      </c>
      <c r="J81" s="34">
        <f>((1-C16/100)^2+J82)</f>
        <v>0.25249999999999995</v>
      </c>
      <c r="L81" s="5">
        <f t="shared" si="17"/>
        <v>35.304772959093953</v>
      </c>
      <c r="M81">
        <f t="shared" si="18"/>
        <v>700</v>
      </c>
    </row>
    <row r="82" spans="5:13" x14ac:dyDescent="0.25">
      <c r="E82">
        <v>7</v>
      </c>
      <c r="F82" s="53">
        <f t="shared" si="19"/>
        <v>0.77777777777777779</v>
      </c>
      <c r="G82" s="53">
        <f t="shared" si="20"/>
        <v>0.60493827160493829</v>
      </c>
      <c r="I82" s="34" t="s">
        <v>131</v>
      </c>
      <c r="J82" s="34">
        <f>IF(C16&gt;20,0.05,0.25*(C16/100))</f>
        <v>0.05</v>
      </c>
      <c r="L82" s="5">
        <f t="shared" si="17"/>
        <v>39.248531532482154</v>
      </c>
      <c r="M82">
        <f t="shared" si="18"/>
        <v>800</v>
      </c>
    </row>
    <row r="83" spans="5:13" x14ac:dyDescent="0.25">
      <c r="E83">
        <v>8</v>
      </c>
      <c r="F83" s="53">
        <f t="shared" si="19"/>
        <v>0.88888888888888884</v>
      </c>
      <c r="G83" s="53">
        <f t="shared" si="20"/>
        <v>0.79012345679012341</v>
      </c>
      <c r="I83" s="34" t="s">
        <v>132</v>
      </c>
      <c r="J83" s="34" t="e">
        <f>IF(#REF!&gt;20,0.05,0.25*(#REF!/100))</f>
        <v>#REF!</v>
      </c>
      <c r="L83" s="5">
        <f t="shared" si="17"/>
        <v>43.30660194857726</v>
      </c>
      <c r="M83">
        <f t="shared" si="18"/>
        <v>900</v>
      </c>
    </row>
    <row r="84" spans="5:13" x14ac:dyDescent="0.25">
      <c r="E84">
        <v>9</v>
      </c>
      <c r="F84" s="53">
        <f t="shared" si="19"/>
        <v>1</v>
      </c>
      <c r="G84" s="53">
        <f t="shared" si="20"/>
        <v>1</v>
      </c>
      <c r="L84" s="5">
        <f t="shared" si="17"/>
        <v>43.30660194857726</v>
      </c>
      <c r="M84" t="str">
        <f t="shared" si="18"/>
        <v>-</v>
      </c>
    </row>
    <row r="85" spans="5:13" x14ac:dyDescent="0.25">
      <c r="E85">
        <v>10</v>
      </c>
      <c r="F85" s="53" t="str">
        <f t="shared" si="19"/>
        <v>-</v>
      </c>
      <c r="G85" s="53" t="str">
        <f t="shared" si="20"/>
        <v>-</v>
      </c>
      <c r="L85" s="5">
        <f t="shared" si="17"/>
        <v>43.30660194857726</v>
      </c>
      <c r="M85" t="str">
        <f t="shared" si="18"/>
        <v>-</v>
      </c>
    </row>
    <row r="86" spans="5:13" x14ac:dyDescent="0.25">
      <c r="E86">
        <v>11</v>
      </c>
      <c r="F86" s="53" t="str">
        <f t="shared" si="19"/>
        <v>-</v>
      </c>
      <c r="G86" s="53" t="str">
        <f t="shared" si="20"/>
        <v>-</v>
      </c>
      <c r="L86" s="5">
        <f t="shared" si="17"/>
        <v>43.30660194857726</v>
      </c>
      <c r="M86" t="str">
        <f t="shared" si="18"/>
        <v>-</v>
      </c>
    </row>
    <row r="87" spans="5:13" x14ac:dyDescent="0.25">
      <c r="E87">
        <v>12</v>
      </c>
      <c r="F87" s="53" t="str">
        <f t="shared" si="19"/>
        <v>-</v>
      </c>
      <c r="G87" s="53" t="str">
        <f t="shared" si="20"/>
        <v>-</v>
      </c>
      <c r="L87" s="5">
        <f t="shared" si="17"/>
        <v>43.30660194857726</v>
      </c>
      <c r="M87" t="str">
        <f t="shared" si="18"/>
        <v>-</v>
      </c>
    </row>
    <row r="88" spans="5:13" x14ac:dyDescent="0.25">
      <c r="E88">
        <v>13</v>
      </c>
      <c r="F88" s="53" t="str">
        <f t="shared" si="19"/>
        <v>-</v>
      </c>
      <c r="G88" s="53" t="str">
        <f t="shared" si="20"/>
        <v>-</v>
      </c>
      <c r="L88" s="5">
        <f t="shared" si="17"/>
        <v>43.30660194857726</v>
      </c>
      <c r="M88" t="str">
        <f t="shared" si="18"/>
        <v>-</v>
      </c>
    </row>
    <row r="89" spans="5:13" x14ac:dyDescent="0.25">
      <c r="E89">
        <v>14</v>
      </c>
      <c r="F89" s="53" t="str">
        <f t="shared" si="19"/>
        <v>-</v>
      </c>
      <c r="G89" s="53" t="str">
        <f t="shared" si="20"/>
        <v>-</v>
      </c>
      <c r="L89" s="5">
        <f t="shared" si="17"/>
        <v>43.30660194857726</v>
      </c>
      <c r="M89" t="str">
        <f t="shared" si="18"/>
        <v>-</v>
      </c>
    </row>
    <row r="90" spans="5:13" x14ac:dyDescent="0.25">
      <c r="E90">
        <v>15</v>
      </c>
      <c r="F90" s="53" t="str">
        <f t="shared" si="19"/>
        <v>-</v>
      </c>
      <c r="G90" s="53" t="str">
        <f t="shared" si="20"/>
        <v>-</v>
      </c>
      <c r="L90" s="5">
        <f t="shared" si="17"/>
        <v>43.30660194857726</v>
      </c>
      <c r="M90" t="str">
        <f t="shared" si="18"/>
        <v>-</v>
      </c>
    </row>
    <row r="91" spans="5:13" x14ac:dyDescent="0.25">
      <c r="E91">
        <v>16</v>
      </c>
      <c r="F91" s="53" t="str">
        <f t="shared" si="19"/>
        <v>-</v>
      </c>
      <c r="G91" s="53" t="str">
        <f t="shared" si="20"/>
        <v>-</v>
      </c>
      <c r="L91" s="5">
        <f t="shared" si="17"/>
        <v>43.30660194857726</v>
      </c>
      <c r="M91" t="str">
        <f t="shared" si="18"/>
        <v>-</v>
      </c>
    </row>
    <row r="92" spans="5:13" x14ac:dyDescent="0.25">
      <c r="E92">
        <v>17</v>
      </c>
      <c r="F92" s="53" t="str">
        <f t="shared" si="19"/>
        <v>-</v>
      </c>
      <c r="G92" s="53" t="str">
        <f t="shared" si="20"/>
        <v>-</v>
      </c>
      <c r="L92" s="5">
        <f t="shared" si="17"/>
        <v>43.30660194857726</v>
      </c>
      <c r="M92" t="str">
        <f t="shared" si="18"/>
        <v>-</v>
      </c>
    </row>
    <row r="93" spans="5:13" x14ac:dyDescent="0.25">
      <c r="E93">
        <v>18</v>
      </c>
      <c r="F93" s="53" t="str">
        <f t="shared" si="19"/>
        <v>-</v>
      </c>
      <c r="G93" s="53" t="str">
        <f t="shared" si="20"/>
        <v>-</v>
      </c>
      <c r="L93" s="5">
        <f t="shared" si="17"/>
        <v>43.30660194857726</v>
      </c>
      <c r="M93" t="str">
        <f t="shared" si="18"/>
        <v>-</v>
      </c>
    </row>
    <row r="94" spans="5:13" x14ac:dyDescent="0.25">
      <c r="E94">
        <v>19</v>
      </c>
      <c r="F94" s="53" t="str">
        <f t="shared" si="19"/>
        <v>-</v>
      </c>
      <c r="G94" s="53" t="str">
        <f t="shared" si="20"/>
        <v>-</v>
      </c>
      <c r="L94" s="5">
        <f t="shared" si="17"/>
        <v>43.30660194857726</v>
      </c>
      <c r="M94" t="str">
        <f t="shared" si="18"/>
        <v>-</v>
      </c>
    </row>
    <row r="95" spans="5:13" x14ac:dyDescent="0.25">
      <c r="E95">
        <v>20</v>
      </c>
      <c r="F95" s="53" t="str">
        <f t="shared" si="19"/>
        <v>-</v>
      </c>
      <c r="G95" s="53" t="str">
        <f t="shared" si="20"/>
        <v>-</v>
      </c>
      <c r="L95" s="5">
        <f t="shared" si="17"/>
        <v>43.30660194857726</v>
      </c>
      <c r="M95" t="str">
        <f t="shared" si="18"/>
        <v>-</v>
      </c>
    </row>
    <row r="96" spans="5:13" x14ac:dyDescent="0.25">
      <c r="E96">
        <v>21</v>
      </c>
      <c r="F96" s="53" t="str">
        <f t="shared" si="19"/>
        <v>-</v>
      </c>
      <c r="G96" s="53" t="str">
        <f t="shared" si="20"/>
        <v>-</v>
      </c>
      <c r="L96" s="5">
        <f t="shared" si="17"/>
        <v>43.30660194857726</v>
      </c>
      <c r="M96" t="str">
        <f t="shared" si="18"/>
        <v>-</v>
      </c>
    </row>
    <row r="97" spans="5:13" x14ac:dyDescent="0.25">
      <c r="E97">
        <v>22</v>
      </c>
      <c r="F97" s="53" t="str">
        <f t="shared" si="19"/>
        <v>-</v>
      </c>
      <c r="G97" s="53" t="str">
        <f t="shared" si="20"/>
        <v>-</v>
      </c>
      <c r="L97" s="5">
        <f t="shared" si="17"/>
        <v>43.30660194857726</v>
      </c>
      <c r="M97" t="str">
        <f t="shared" si="18"/>
        <v>-</v>
      </c>
    </row>
    <row r="98" spans="5:13" x14ac:dyDescent="0.25">
      <c r="E98">
        <v>23</v>
      </c>
      <c r="F98" s="53" t="str">
        <f t="shared" si="19"/>
        <v>-</v>
      </c>
      <c r="G98" s="53" t="str">
        <f t="shared" si="20"/>
        <v>-</v>
      </c>
      <c r="L98" s="5">
        <f t="shared" si="17"/>
        <v>43.30660194857726</v>
      </c>
      <c r="M98" t="str">
        <f t="shared" si="18"/>
        <v>-</v>
      </c>
    </row>
    <row r="99" spans="5:13" x14ac:dyDescent="0.25">
      <c r="E99">
        <v>24</v>
      </c>
      <c r="F99" s="53" t="str">
        <f t="shared" si="19"/>
        <v>-</v>
      </c>
      <c r="G99" s="53" t="str">
        <f t="shared" si="20"/>
        <v>-</v>
      </c>
      <c r="L99" s="5">
        <f t="shared" si="17"/>
        <v>43.30660194857726</v>
      </c>
      <c r="M99" t="str">
        <f t="shared" si="18"/>
        <v>-</v>
      </c>
    </row>
    <row r="100" spans="5:13" x14ac:dyDescent="0.25">
      <c r="E100">
        <v>25</v>
      </c>
      <c r="F100" s="53" t="str">
        <f t="shared" si="19"/>
        <v>-</v>
      </c>
      <c r="G100" s="53" t="str">
        <f t="shared" si="20"/>
        <v>-</v>
      </c>
      <c r="L100" s="5">
        <f t="shared" si="17"/>
        <v>43.30660194857726</v>
      </c>
      <c r="M100" t="str">
        <f t="shared" si="18"/>
        <v>-</v>
      </c>
    </row>
    <row r="101" spans="5:13" x14ac:dyDescent="0.25">
      <c r="E101">
        <v>26</v>
      </c>
      <c r="F101" s="53" t="str">
        <f t="shared" si="19"/>
        <v>-</v>
      </c>
      <c r="G101" s="53" t="str">
        <f t="shared" si="20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3.2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7:C18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zoomScale="71" workbookViewId="0">
      <selection activeCell="B17" sqref="B17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  <col min="34" max="34" width="10" style="64" bestFit="1" customWidth="1"/>
    <col min="35" max="35" width="16.28515625" style="64" customWidth="1"/>
    <col min="39" max="39" width="13.85546875" style="64" bestFit="1" customWidth="1"/>
    <col min="40" max="40" width="10.140625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</row>
    <row r="4" spans="1:36" ht="18" customHeight="1" x14ac:dyDescent="0.25">
      <c r="A4" s="6"/>
      <c r="B4" s="24" t="s">
        <v>23</v>
      </c>
      <c r="C4" s="39">
        <v>900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C19</f>
        <v>15</v>
      </c>
      <c r="M4" s="41" t="str">
        <f>C18</f>
        <v>LG24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I4" t="s">
        <v>27</v>
      </c>
      <c r="AJ4" s="5">
        <f>SUM(K6:K31)</f>
        <v>77.679091294865344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IF(E5="","",SUMIF(M5:M30,C11,L5:L30))</f>
        <v/>
      </c>
      <c r="G5" s="6"/>
      <c r="H5" s="20" t="str">
        <f>IF(I5="-","-","Буфер")</f>
        <v>Буфер</v>
      </c>
      <c r="I5" s="9">
        <f t="shared" ref="I5:I31" si="0">IFERROR(K5/J5,"-")</f>
        <v>6.4732576079054454</v>
      </c>
      <c r="J5" s="43">
        <f t="shared" ref="J5:J31" si="1">IF(K5="-","-",$C$5)</f>
        <v>4</v>
      </c>
      <c r="K5" s="9">
        <f>IFERROR(J73, "-")</f>
        <v>25.893030431621781</v>
      </c>
      <c r="L5" s="9">
        <f>IFERROR(K5,0)</f>
        <v>25.893030431621781</v>
      </c>
      <c r="M5" s="43" t="str">
        <f>IF(L5="-","-",$C$17)</f>
        <v>LG24</v>
      </c>
      <c r="N5" s="43"/>
      <c r="O5" s="43"/>
      <c r="P5" s="43"/>
      <c r="Q5" s="9"/>
      <c r="R5" s="9">
        <f>IF(L5="-","-",L5)</f>
        <v>25.893030431621781</v>
      </c>
      <c r="S5" s="9"/>
      <c r="T5" s="21">
        <f>IF(K5="-","-",K5)</f>
        <v>25.893030431621781</v>
      </c>
      <c r="U5" s="6"/>
      <c r="V5" s="6"/>
      <c r="W5" s="6"/>
      <c r="X5" s="6"/>
      <c r="Y5" s="6"/>
      <c r="Z5" s="6"/>
      <c r="AA5" s="6"/>
      <c r="AI5" t="s">
        <v>29</v>
      </c>
      <c r="AJ5">
        <f>AJ4/(1-$C$16/100)</f>
        <v>103.57212172648713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SUMIF(M5:M30,C12,L5:L30)</f>
        <v>37.037037037037038</v>
      </c>
      <c r="G6" s="6"/>
      <c r="H6" s="20" t="str">
        <f t="shared" ref="H6:H31" si="2">IF(I6="-","-","Пропант")</f>
        <v>Пропант</v>
      </c>
      <c r="I6" s="9">
        <f t="shared" si="0"/>
        <v>1.8851585398347985</v>
      </c>
      <c r="J6" s="43">
        <f t="shared" si="1"/>
        <v>4</v>
      </c>
      <c r="K6" s="9">
        <f t="shared" ref="K6:K31" si="3">IFERROR(L6+Q6/(IF(N6=$C$8,$G$103,$G$104)*1000),"-")</f>
        <v>7.5406341593391941</v>
      </c>
      <c r="L6" s="9">
        <f t="shared" ref="L6:L31" si="4">IFERROR(Q6/(P6-($C$6/2)),"-")</f>
        <v>7.4074074074074066</v>
      </c>
      <c r="M6" s="43" t="str">
        <f t="shared" ref="M6:M31" si="5">IF(L6="-","-",IF(O6&lt;$C$14,$C$11,IF(P6&gt;$C$15,$C$13,$C$12)))</f>
        <v>LG28</v>
      </c>
      <c r="N6" s="43" t="str">
        <f t="shared" ref="N6:N31" si="6">IF(O6="-","-",IF(O6&lt;$C$10,$C$8,$C$9))</f>
        <v>20/40 Новатэк</v>
      </c>
      <c r="O6" s="43">
        <f t="shared" ref="O6:O31" si="7">IFERROR(P6-$C$6,"-")</f>
        <v>0</v>
      </c>
      <c r="P6" s="43">
        <f>IFERROR(P5+($C$4-P5)/($J$77-D5),"-")</f>
        <v>100</v>
      </c>
      <c r="Q6" s="9">
        <f>IF(S6="-","-",S6)</f>
        <v>370.37037037037032</v>
      </c>
      <c r="R6" s="9">
        <f t="shared" ref="R6:R31" si="8">IFERROR(IF(L6="-","-",R5+L6),"-")</f>
        <v>33.300437839029186</v>
      </c>
      <c r="S6" s="9">
        <f t="shared" ref="S6:S31" si="9">IF(G76="-","-",G76*$C$3*1000)</f>
        <v>370.37037037037032</v>
      </c>
      <c r="T6" s="21">
        <f t="shared" ref="T6:T31" si="10">IFERROR(IF(K6="-","-",T5+K6),"-")</f>
        <v>33.433664590960973</v>
      </c>
      <c r="U6" s="6"/>
      <c r="V6" s="6"/>
      <c r="W6" s="6"/>
      <c r="X6" s="6"/>
      <c r="Y6" s="6"/>
      <c r="Z6" s="6"/>
      <c r="AA6" s="6"/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SUMIF(M5:M30,C13,L5:L30)</f>
        <v>29.62962962962963</v>
      </c>
      <c r="G7" s="6"/>
      <c r="H7" s="20" t="str">
        <f t="shared" si="2"/>
        <v>Пропант</v>
      </c>
      <c r="I7" s="9">
        <f t="shared" si="0"/>
        <v>1.9517719158006923</v>
      </c>
      <c r="J7" s="43">
        <f t="shared" si="1"/>
        <v>4</v>
      </c>
      <c r="K7" s="9">
        <f t="shared" si="3"/>
        <v>7.8070876632027693</v>
      </c>
      <c r="L7" s="9">
        <f t="shared" si="4"/>
        <v>7.4074074074074057</v>
      </c>
      <c r="M7" s="43" t="str">
        <f t="shared" si="5"/>
        <v>LG28</v>
      </c>
      <c r="N7" s="43" t="str">
        <f t="shared" si="6"/>
        <v>20/40 Новатэк</v>
      </c>
      <c r="O7" s="43">
        <f t="shared" si="7"/>
        <v>100</v>
      </c>
      <c r="P7" s="43">
        <f t="shared" ref="P7:P31" si="11">IFERROR(P6+($C$4-P6)/($J$77-E76),"-")</f>
        <v>200</v>
      </c>
      <c r="Q7" s="9">
        <f t="shared" ref="Q7:Q31" si="12">IF(S7="-","-",S7-S6)</f>
        <v>1111.1111111111109</v>
      </c>
      <c r="R7" s="9">
        <f t="shared" si="8"/>
        <v>40.707845246436591</v>
      </c>
      <c r="S7" s="9">
        <f t="shared" si="9"/>
        <v>1481.4814814814813</v>
      </c>
      <c r="T7" s="21">
        <f t="shared" si="10"/>
        <v>41.240752254163745</v>
      </c>
      <c r="U7" s="6"/>
      <c r="V7" s="6"/>
      <c r="W7" s="6"/>
      <c r="X7" s="6"/>
      <c r="Y7" s="6"/>
      <c r="Z7" s="6"/>
      <c r="AA7" s="6"/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SUM(L5:L30)</f>
        <v>92.559697098288439</v>
      </c>
      <c r="G8" s="6"/>
      <c r="H8" s="20" t="str">
        <f t="shared" si="2"/>
        <v>Пропант</v>
      </c>
      <c r="I8" s="9">
        <f t="shared" si="0"/>
        <v>2.0183852917665863</v>
      </c>
      <c r="J8" s="43">
        <f t="shared" si="1"/>
        <v>4</v>
      </c>
      <c r="K8" s="9">
        <f t="shared" si="3"/>
        <v>8.0735411670663453</v>
      </c>
      <c r="L8" s="9">
        <f t="shared" si="4"/>
        <v>7.4074074074074066</v>
      </c>
      <c r="M8" s="43" t="str">
        <f t="shared" si="5"/>
        <v>LG28</v>
      </c>
      <c r="N8" s="43" t="str">
        <f t="shared" si="6"/>
        <v>20/40 Новатэк</v>
      </c>
      <c r="O8" s="43">
        <f t="shared" si="7"/>
        <v>200</v>
      </c>
      <c r="P8" s="43">
        <f t="shared" si="11"/>
        <v>300</v>
      </c>
      <c r="Q8" s="9">
        <f t="shared" si="12"/>
        <v>1851.8518518518517</v>
      </c>
      <c r="R8" s="9">
        <f t="shared" si="8"/>
        <v>48.115252653843996</v>
      </c>
      <c r="S8" s="9">
        <f t="shared" si="9"/>
        <v>3333.333333333333</v>
      </c>
      <c r="T8" s="21">
        <f t="shared" si="10"/>
        <v>49.31429342123009</v>
      </c>
      <c r="U8" s="6"/>
      <c r="V8" s="6"/>
      <c r="W8" s="6"/>
      <c r="X8" s="6"/>
      <c r="Y8" s="6"/>
      <c r="Z8" s="6"/>
      <c r="AA8" s="6"/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0"/>
        <v>2.0849986677324805</v>
      </c>
      <c r="J9" s="43">
        <f t="shared" si="1"/>
        <v>4</v>
      </c>
      <c r="K9" s="9">
        <f t="shared" si="3"/>
        <v>8.3399946709299222</v>
      </c>
      <c r="L9" s="9">
        <f t="shared" si="4"/>
        <v>7.4074074074074066</v>
      </c>
      <c r="M9" s="43" t="str">
        <f t="shared" si="5"/>
        <v>LG28</v>
      </c>
      <c r="N9" s="43" t="str">
        <f t="shared" si="6"/>
        <v>20/40 Новатэк</v>
      </c>
      <c r="O9" s="43">
        <f t="shared" si="7"/>
        <v>300</v>
      </c>
      <c r="P9" s="43">
        <f t="shared" si="11"/>
        <v>400</v>
      </c>
      <c r="Q9" s="9">
        <f t="shared" si="12"/>
        <v>2592.5925925925922</v>
      </c>
      <c r="R9" s="9">
        <f t="shared" si="8"/>
        <v>55.522660061251401</v>
      </c>
      <c r="S9" s="9">
        <f t="shared" si="9"/>
        <v>5925.9259259259252</v>
      </c>
      <c r="T9" s="21">
        <f t="shared" si="10"/>
        <v>57.654288092160016</v>
      </c>
      <c r="U9" s="6"/>
      <c r="V9" s="6"/>
      <c r="W9" s="6"/>
      <c r="X9" s="6"/>
      <c r="Y9" s="6"/>
      <c r="Z9" s="6"/>
      <c r="AA9" s="6"/>
      <c r="AH9" s="78" t="s">
        <v>136</v>
      </c>
      <c r="AI9" s="80"/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0"/>
        <v>2.1516120436983748</v>
      </c>
      <c r="J10" s="43">
        <f t="shared" si="1"/>
        <v>4</v>
      </c>
      <c r="K10" s="9">
        <f t="shared" si="3"/>
        <v>8.6064481747934991</v>
      </c>
      <c r="L10" s="9">
        <f t="shared" si="4"/>
        <v>7.4074074074074083</v>
      </c>
      <c r="M10" s="43" t="str">
        <f t="shared" si="5"/>
        <v>LG28</v>
      </c>
      <c r="N10" s="43" t="str">
        <f t="shared" si="6"/>
        <v>20/40 Новатэк</v>
      </c>
      <c r="O10" s="43">
        <f t="shared" si="7"/>
        <v>400</v>
      </c>
      <c r="P10" s="43">
        <f t="shared" si="11"/>
        <v>500</v>
      </c>
      <c r="Q10" s="9">
        <f t="shared" si="12"/>
        <v>3333.3333333333339</v>
      </c>
      <c r="R10" s="9">
        <f t="shared" si="8"/>
        <v>62.930067468658805</v>
      </c>
      <c r="S10" s="9">
        <f t="shared" si="9"/>
        <v>9259.2592592592591</v>
      </c>
      <c r="T10" s="21">
        <f t="shared" si="10"/>
        <v>66.260736266953515</v>
      </c>
      <c r="U10" s="6"/>
      <c r="V10" s="6"/>
      <c r="W10" s="6"/>
      <c r="X10" s="6"/>
      <c r="Y10" s="6"/>
      <c r="Z10" s="6"/>
      <c r="AA10" s="6"/>
      <c r="AH10" s="34">
        <v>-3</v>
      </c>
      <c r="AI10" s="34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IF(E11="","",SUMIF(N5:N30,C8,Q5:Q30)/1000)</f>
        <v>9.2592592592592595</v>
      </c>
      <c r="G11" s="6"/>
      <c r="H11" s="20" t="str">
        <f t="shared" si="2"/>
        <v>Пропант</v>
      </c>
      <c r="I11" s="9">
        <f t="shared" si="0"/>
        <v>2.2290809327846359</v>
      </c>
      <c r="J11" s="43">
        <f t="shared" si="1"/>
        <v>4</v>
      </c>
      <c r="K11" s="9">
        <f t="shared" si="3"/>
        <v>8.9163237311385437</v>
      </c>
      <c r="L11" s="9">
        <f t="shared" si="4"/>
        <v>7.4074074074074057</v>
      </c>
      <c r="M11" s="43" t="str">
        <f t="shared" si="5"/>
        <v>DX28</v>
      </c>
      <c r="N11" s="43" t="str">
        <f t="shared" si="6"/>
        <v>16/20 Новатэк</v>
      </c>
      <c r="O11" s="43">
        <f t="shared" si="7"/>
        <v>500</v>
      </c>
      <c r="P11" s="43">
        <f t="shared" si="11"/>
        <v>600</v>
      </c>
      <c r="Q11" s="9">
        <f t="shared" si="12"/>
        <v>4074.074074074073</v>
      </c>
      <c r="R11" s="9">
        <f t="shared" si="8"/>
        <v>70.33747487606621</v>
      </c>
      <c r="S11" s="9">
        <f t="shared" si="9"/>
        <v>13333.333333333332</v>
      </c>
      <c r="T11" s="21">
        <f t="shared" si="10"/>
        <v>75.177059998092062</v>
      </c>
      <c r="U11" s="6"/>
      <c r="V11" s="6"/>
      <c r="W11" s="6"/>
      <c r="X11" s="6"/>
      <c r="Y11" s="6"/>
      <c r="Z11" s="6"/>
      <c r="AA11" s="6"/>
      <c r="AH11" s="34">
        <v>-2</v>
      </c>
      <c r="AI11" s="34">
        <v>1.4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SUMIF(N5:N30,C9,Q5:Q30)/1000</f>
        <v>20.74074074074074</v>
      </c>
      <c r="G12" s="6"/>
      <c r="H12" s="20" t="str">
        <f t="shared" si="2"/>
        <v>Пропант</v>
      </c>
      <c r="I12" s="9">
        <f t="shared" si="0"/>
        <v>2.2976680384087804</v>
      </c>
      <c r="J12" s="43">
        <f t="shared" si="1"/>
        <v>4</v>
      </c>
      <c r="K12" s="9">
        <f t="shared" si="3"/>
        <v>9.1906721536351217</v>
      </c>
      <c r="L12" s="9">
        <f t="shared" si="4"/>
        <v>7.4074074074074119</v>
      </c>
      <c r="M12" s="43" t="str">
        <f t="shared" si="5"/>
        <v>DX28</v>
      </c>
      <c r="N12" s="43" t="str">
        <f t="shared" si="6"/>
        <v>16/20 Новатэк</v>
      </c>
      <c r="O12" s="43">
        <f t="shared" si="7"/>
        <v>600</v>
      </c>
      <c r="P12" s="43">
        <f t="shared" si="11"/>
        <v>700</v>
      </c>
      <c r="Q12" s="9">
        <f t="shared" si="12"/>
        <v>4814.8148148148175</v>
      </c>
      <c r="R12" s="9">
        <f t="shared" si="8"/>
        <v>77.744882283473629</v>
      </c>
      <c r="S12" s="9">
        <f t="shared" si="9"/>
        <v>18148.14814814815</v>
      </c>
      <c r="T12" s="21">
        <f t="shared" si="10"/>
        <v>84.367732151727182</v>
      </c>
      <c r="U12" s="6"/>
      <c r="V12" s="6"/>
      <c r="W12" s="6"/>
      <c r="X12" s="6"/>
      <c r="Y12" s="6"/>
      <c r="Z12" s="6"/>
      <c r="AA12" s="6"/>
      <c r="AH12" s="34">
        <v>-1</v>
      </c>
      <c r="AI12" s="34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0"/>
        <v>2.3662551440329196</v>
      </c>
      <c r="J13" s="43">
        <f t="shared" si="1"/>
        <v>4</v>
      </c>
      <c r="K13" s="9">
        <f t="shared" si="3"/>
        <v>9.4650205761316784</v>
      </c>
      <c r="L13" s="9">
        <f t="shared" si="4"/>
        <v>7.4074074074074012</v>
      </c>
      <c r="M13" s="43" t="str">
        <f t="shared" si="5"/>
        <v>DX28</v>
      </c>
      <c r="N13" s="43" t="str">
        <f t="shared" si="6"/>
        <v>16/20 Новатэк</v>
      </c>
      <c r="O13" s="43">
        <f t="shared" si="7"/>
        <v>700</v>
      </c>
      <c r="P13" s="43">
        <f t="shared" si="11"/>
        <v>800</v>
      </c>
      <c r="Q13" s="9">
        <f t="shared" si="12"/>
        <v>5555.5555555555511</v>
      </c>
      <c r="R13" s="9">
        <f t="shared" si="8"/>
        <v>85.152289690881034</v>
      </c>
      <c r="S13" s="9">
        <f t="shared" si="9"/>
        <v>23703.703703703701</v>
      </c>
      <c r="T13" s="21">
        <f t="shared" si="10"/>
        <v>93.83275272785886</v>
      </c>
      <c r="U13" s="6"/>
      <c r="V13" s="6"/>
      <c r="W13" s="6"/>
      <c r="X13" s="6"/>
      <c r="Y13" s="6"/>
      <c r="Z13" s="6"/>
      <c r="AA13" s="6"/>
      <c r="AH13" s="34">
        <v>0</v>
      </c>
      <c r="AI13" s="34">
        <v>2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Пропант</v>
      </c>
      <c r="I14" s="9">
        <f t="shared" si="0"/>
        <v>2.4348422496570654</v>
      </c>
      <c r="J14" s="43">
        <f t="shared" si="1"/>
        <v>4</v>
      </c>
      <c r="K14" s="9">
        <f t="shared" si="3"/>
        <v>9.7393689986282617</v>
      </c>
      <c r="L14" s="9">
        <f t="shared" si="4"/>
        <v>7.407407407407411</v>
      </c>
      <c r="M14" s="43" t="str">
        <f t="shared" si="5"/>
        <v>DX28</v>
      </c>
      <c r="N14" s="43" t="str">
        <f t="shared" si="6"/>
        <v>16/20 Новатэк</v>
      </c>
      <c r="O14" s="43">
        <f t="shared" si="7"/>
        <v>800</v>
      </c>
      <c r="P14" s="43">
        <f t="shared" si="11"/>
        <v>900</v>
      </c>
      <c r="Q14" s="9">
        <f t="shared" si="12"/>
        <v>6296.2962962962993</v>
      </c>
      <c r="R14" s="9">
        <f t="shared" si="8"/>
        <v>92.559697098288439</v>
      </c>
      <c r="S14" s="9">
        <f t="shared" si="9"/>
        <v>30000</v>
      </c>
      <c r="T14" s="21">
        <f t="shared" si="10"/>
        <v>103.57212172648713</v>
      </c>
      <c r="U14" s="6"/>
      <c r="V14" s="6"/>
      <c r="W14" s="6"/>
      <c r="X14" s="6"/>
      <c r="Y14" s="6"/>
      <c r="Z14" s="6"/>
      <c r="AA14" s="6"/>
      <c r="AH14" s="34">
        <v>1</v>
      </c>
      <c r="AI14" s="34">
        <v>2.2000000000000002</v>
      </c>
    </row>
    <row r="15" spans="1:36" ht="18" customHeight="1" x14ac:dyDescent="0.25">
      <c r="A15" s="6"/>
      <c r="B15" s="24" t="s">
        <v>46</v>
      </c>
      <c r="C15" s="39">
        <v>500</v>
      </c>
      <c r="D15" s="6"/>
      <c r="E15" s="10"/>
      <c r="F15" s="11"/>
      <c r="G15" s="6"/>
      <c r="H15" s="20" t="str">
        <f t="shared" si="2"/>
        <v>-</v>
      </c>
      <c r="I15" s="9" t="str">
        <f t="shared" si="0"/>
        <v>-</v>
      </c>
      <c r="J15" s="43" t="str">
        <f t="shared" si="1"/>
        <v>-</v>
      </c>
      <c r="K15" s="9" t="str">
        <f t="shared" si="3"/>
        <v>-</v>
      </c>
      <c r="L15" s="9" t="str">
        <f t="shared" si="4"/>
        <v>-</v>
      </c>
      <c r="M15" s="43" t="str">
        <f t="shared" si="5"/>
        <v>-</v>
      </c>
      <c r="N15" s="43" t="str">
        <f t="shared" si="6"/>
        <v>-</v>
      </c>
      <c r="O15" s="43" t="str">
        <f t="shared" si="7"/>
        <v>-</v>
      </c>
      <c r="P15" s="43" t="str">
        <f t="shared" si="11"/>
        <v>-</v>
      </c>
      <c r="Q15" s="9" t="str">
        <f t="shared" si="12"/>
        <v>-</v>
      </c>
      <c r="R15" s="9" t="str">
        <f t="shared" si="8"/>
        <v>-</v>
      </c>
      <c r="S15" s="9" t="str">
        <f t="shared" si="9"/>
        <v>-</v>
      </c>
      <c r="T15" s="21" t="str">
        <f t="shared" si="10"/>
        <v>-</v>
      </c>
      <c r="U15" s="6"/>
      <c r="V15" s="6"/>
      <c r="W15" s="6"/>
      <c r="X15" s="6"/>
      <c r="Y15" s="6"/>
      <c r="Z15" s="6"/>
      <c r="AA15" s="6"/>
      <c r="AH15" s="34">
        <v>2</v>
      </c>
      <c r="AI15" s="34">
        <v>2.4</v>
      </c>
    </row>
    <row r="16" spans="1:36" ht="15.75" customHeight="1" x14ac:dyDescent="0.25">
      <c r="A16" s="6"/>
      <c r="B16" s="35" t="s">
        <v>135</v>
      </c>
      <c r="C16" s="39">
        <v>25</v>
      </c>
      <c r="D16" s="6"/>
      <c r="E16" s="10"/>
      <c r="F16" s="11"/>
      <c r="G16" s="6"/>
      <c r="H16" s="20" t="str">
        <f t="shared" si="2"/>
        <v>-</v>
      </c>
      <c r="I16" s="9" t="str">
        <f t="shared" si="0"/>
        <v>-</v>
      </c>
      <c r="J16" s="43" t="str">
        <f t="shared" si="1"/>
        <v>-</v>
      </c>
      <c r="K16" s="9" t="str">
        <f t="shared" si="3"/>
        <v>-</v>
      </c>
      <c r="L16" s="9" t="str">
        <f t="shared" si="4"/>
        <v>-</v>
      </c>
      <c r="M16" s="43" t="str">
        <f t="shared" si="5"/>
        <v>-</v>
      </c>
      <c r="N16" s="43" t="str">
        <f t="shared" si="6"/>
        <v>-</v>
      </c>
      <c r="O16" s="43" t="str">
        <f t="shared" si="7"/>
        <v>-</v>
      </c>
      <c r="P16" s="43" t="str">
        <f t="shared" si="11"/>
        <v>-</v>
      </c>
      <c r="Q16" s="9" t="str">
        <f t="shared" si="12"/>
        <v>-</v>
      </c>
      <c r="R16" s="9" t="str">
        <f t="shared" si="8"/>
        <v>-</v>
      </c>
      <c r="S16" s="9" t="str">
        <f t="shared" si="9"/>
        <v>-</v>
      </c>
      <c r="T16" s="21" t="str">
        <f t="shared" si="10"/>
        <v>-</v>
      </c>
      <c r="U16" s="6"/>
      <c r="V16" s="6"/>
      <c r="W16" s="6"/>
      <c r="X16" s="6"/>
      <c r="Y16" s="6"/>
      <c r="Z16" s="6"/>
      <c r="AA16" s="6"/>
      <c r="AH16" s="34">
        <v>3</v>
      </c>
      <c r="AI16" s="34">
        <v>2.6</v>
      </c>
    </row>
    <row r="17" spans="1:40" ht="19.5" customHeight="1" x14ac:dyDescent="0.25">
      <c r="A17" s="6"/>
      <c r="B17" s="24" t="s">
        <v>142</v>
      </c>
      <c r="C17" s="39" t="s">
        <v>51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0"/>
        <v>-</v>
      </c>
      <c r="J17" s="43" t="str">
        <f t="shared" si="1"/>
        <v>-</v>
      </c>
      <c r="K17" s="9" t="str">
        <f t="shared" si="3"/>
        <v>-</v>
      </c>
      <c r="L17" s="9" t="str">
        <f t="shared" si="4"/>
        <v>-</v>
      </c>
      <c r="M17" s="43" t="str">
        <f t="shared" si="5"/>
        <v>-</v>
      </c>
      <c r="N17" s="43" t="str">
        <f t="shared" si="6"/>
        <v>-</v>
      </c>
      <c r="O17" s="43" t="str">
        <f t="shared" si="7"/>
        <v>-</v>
      </c>
      <c r="P17" s="43" t="str">
        <f t="shared" si="11"/>
        <v>-</v>
      </c>
      <c r="Q17" s="9" t="str">
        <f t="shared" si="12"/>
        <v>-</v>
      </c>
      <c r="R17" s="9" t="str">
        <f t="shared" si="8"/>
        <v>-</v>
      </c>
      <c r="S17" s="9" t="str">
        <f t="shared" si="9"/>
        <v>-</v>
      </c>
      <c r="T17" s="21" t="str">
        <f t="shared" si="10"/>
        <v>-</v>
      </c>
      <c r="U17" s="6"/>
      <c r="V17" s="6"/>
      <c r="W17" s="6"/>
      <c r="X17" s="6"/>
      <c r="Y17" s="6"/>
      <c r="Z17" s="6"/>
      <c r="AA17" s="6"/>
      <c r="AH17" s="81" t="s">
        <v>137</v>
      </c>
      <c r="AI17" s="79"/>
    </row>
    <row r="18" spans="1:40" ht="15.75" customHeight="1" x14ac:dyDescent="0.25">
      <c r="A18" s="6"/>
      <c r="B18" s="24" t="s">
        <v>58</v>
      </c>
      <c r="C18" s="39" t="s">
        <v>51</v>
      </c>
      <c r="D18" s="6"/>
      <c r="E18" s="65">
        <f>IFERROR(C3/SUM(L5:L30), "-")</f>
        <v>0.3241151488227455</v>
      </c>
      <c r="F18" s="66"/>
      <c r="G18" s="6"/>
      <c r="H18" s="20" t="str">
        <f t="shared" si="2"/>
        <v>-</v>
      </c>
      <c r="I18" s="9" t="str">
        <f t="shared" si="0"/>
        <v>-</v>
      </c>
      <c r="J18" s="43" t="str">
        <f t="shared" si="1"/>
        <v>-</v>
      </c>
      <c r="K18" s="9" t="str">
        <f t="shared" si="3"/>
        <v>-</v>
      </c>
      <c r="L18" s="9" t="str">
        <f t="shared" si="4"/>
        <v>-</v>
      </c>
      <c r="M18" s="43" t="str">
        <f t="shared" si="5"/>
        <v>-</v>
      </c>
      <c r="N18" s="43" t="str">
        <f t="shared" si="6"/>
        <v>-</v>
      </c>
      <c r="O18" s="43" t="str">
        <f t="shared" si="7"/>
        <v>-</v>
      </c>
      <c r="P18" s="43" t="str">
        <f t="shared" si="11"/>
        <v>-</v>
      </c>
      <c r="Q18" s="9" t="str">
        <f t="shared" si="12"/>
        <v>-</v>
      </c>
      <c r="R18" s="9" t="str">
        <f t="shared" si="8"/>
        <v>-</v>
      </c>
      <c r="S18" s="9" t="str">
        <f t="shared" si="9"/>
        <v>-</v>
      </c>
      <c r="T18" s="21" t="str">
        <f t="shared" si="10"/>
        <v>-</v>
      </c>
      <c r="U18" s="6"/>
      <c r="V18" s="6"/>
      <c r="W18" s="6"/>
      <c r="X18" s="6"/>
      <c r="Y18" s="6"/>
      <c r="Z18" s="6"/>
      <c r="AA18" s="6"/>
      <c r="AH18" s="44" t="s">
        <v>52</v>
      </c>
      <c r="AI18" s="2">
        <f>IF(C7=-3,AI10,IF(C7=-2,AI11,IF(C7=-1,AI12,IF(C7=0,AI13,IF(C7=1,AI14,IF(C7=2,AI15,IF(C7=3,AI16)))))))</f>
        <v>2</v>
      </c>
    </row>
    <row r="19" spans="1:40" ht="18.75" customHeight="1" thickBot="1" x14ac:dyDescent="0.3">
      <c r="A19" s="6"/>
      <c r="B19" s="27" t="s">
        <v>65</v>
      </c>
      <c r="C19" s="47">
        <v>15</v>
      </c>
      <c r="D19" s="6"/>
      <c r="E19" s="10"/>
      <c r="F19" s="11"/>
      <c r="G19" s="6"/>
      <c r="H19" s="20" t="str">
        <f t="shared" si="2"/>
        <v>-</v>
      </c>
      <c r="I19" s="9" t="str">
        <f t="shared" si="0"/>
        <v>-</v>
      </c>
      <c r="J19" s="43" t="str">
        <f t="shared" si="1"/>
        <v>-</v>
      </c>
      <c r="K19" s="9" t="str">
        <f t="shared" si="3"/>
        <v>-</v>
      </c>
      <c r="L19" s="9" t="str">
        <f t="shared" si="4"/>
        <v>-</v>
      </c>
      <c r="M19" s="43" t="str">
        <f t="shared" si="5"/>
        <v>-</v>
      </c>
      <c r="N19" s="43" t="str">
        <f t="shared" si="6"/>
        <v>-</v>
      </c>
      <c r="O19" s="43" t="str">
        <f t="shared" si="7"/>
        <v>-</v>
      </c>
      <c r="P19" s="43" t="str">
        <f t="shared" si="11"/>
        <v>-</v>
      </c>
      <c r="Q19" s="9" t="str">
        <f t="shared" si="12"/>
        <v>-</v>
      </c>
      <c r="R19" s="9" t="str">
        <f t="shared" si="8"/>
        <v>-</v>
      </c>
      <c r="S19" s="9" t="str">
        <f t="shared" si="9"/>
        <v>-</v>
      </c>
      <c r="T19" s="21" t="str">
        <f t="shared" si="10"/>
        <v>-</v>
      </c>
      <c r="U19" s="6"/>
      <c r="V19" s="6"/>
      <c r="W19" s="6"/>
      <c r="X19" s="6"/>
      <c r="Y19" s="6"/>
      <c r="Z19" s="6"/>
      <c r="AA19" s="6"/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2"/>
        <v>-</v>
      </c>
      <c r="I20" s="9" t="str">
        <f t="shared" si="0"/>
        <v>-</v>
      </c>
      <c r="J20" s="43" t="str">
        <f t="shared" si="1"/>
        <v>-</v>
      </c>
      <c r="K20" s="9" t="str">
        <f t="shared" si="3"/>
        <v>-</v>
      </c>
      <c r="L20" s="9" t="str">
        <f t="shared" si="4"/>
        <v>-</v>
      </c>
      <c r="M20" s="43" t="str">
        <f t="shared" si="5"/>
        <v>-</v>
      </c>
      <c r="N20" s="43" t="str">
        <f t="shared" si="6"/>
        <v>-</v>
      </c>
      <c r="O20" s="43" t="str">
        <f t="shared" si="7"/>
        <v>-</v>
      </c>
      <c r="P20" s="43" t="str">
        <f t="shared" si="11"/>
        <v>-</v>
      </c>
      <c r="Q20" s="9" t="str">
        <f t="shared" si="12"/>
        <v>-</v>
      </c>
      <c r="R20" s="9" t="str">
        <f t="shared" si="8"/>
        <v>-</v>
      </c>
      <c r="S20" s="9" t="str">
        <f t="shared" si="9"/>
        <v>-</v>
      </c>
      <c r="T20" s="21" t="str">
        <f t="shared" si="10"/>
        <v>-</v>
      </c>
      <c r="U20" s="6"/>
      <c r="V20" s="6"/>
      <c r="W20" s="6"/>
      <c r="X20" s="6"/>
      <c r="Y20" s="6"/>
      <c r="Z20" s="6"/>
      <c r="AA20" s="6"/>
      <c r="AH20" s="67" t="s">
        <v>138</v>
      </c>
      <c r="AI20" s="68"/>
      <c r="AJ20" s="68"/>
      <c r="AK20" s="68"/>
      <c r="AL20" s="68"/>
      <c r="AM20" s="68"/>
      <c r="AN20" s="68"/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0"/>
        <v>-</v>
      </c>
      <c r="J21" s="43" t="str">
        <f t="shared" si="1"/>
        <v>-</v>
      </c>
      <c r="K21" s="9" t="str">
        <f t="shared" si="3"/>
        <v>-</v>
      </c>
      <c r="L21" s="9" t="str">
        <f t="shared" si="4"/>
        <v>-</v>
      </c>
      <c r="M21" s="43" t="str">
        <f t="shared" si="5"/>
        <v>-</v>
      </c>
      <c r="N21" s="43" t="str">
        <f t="shared" si="6"/>
        <v>-</v>
      </c>
      <c r="O21" s="43" t="str">
        <f t="shared" si="7"/>
        <v>-</v>
      </c>
      <c r="P21" s="43" t="str">
        <f t="shared" si="11"/>
        <v>-</v>
      </c>
      <c r="Q21" s="9" t="str">
        <f t="shared" si="12"/>
        <v>-</v>
      </c>
      <c r="R21" s="9" t="str">
        <f t="shared" si="8"/>
        <v>-</v>
      </c>
      <c r="S21" s="9" t="str">
        <f t="shared" si="9"/>
        <v>-</v>
      </c>
      <c r="T21" s="21" t="str">
        <f t="shared" si="10"/>
        <v>-</v>
      </c>
      <c r="U21" s="6"/>
      <c r="V21" s="6"/>
      <c r="W21" s="6"/>
      <c r="X21" s="6"/>
      <c r="Y21" s="6"/>
      <c r="Z21" s="6"/>
      <c r="AA21" s="6"/>
      <c r="AH21" s="78" t="s">
        <v>57</v>
      </c>
      <c r="AI21" s="79"/>
      <c r="AJ21" s="79"/>
      <c r="AK21" s="80"/>
      <c r="AM21" s="78" t="s">
        <v>64</v>
      </c>
      <c r="AN21" s="80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0"/>
        <v>-</v>
      </c>
      <c r="J22" s="43" t="str">
        <f t="shared" si="1"/>
        <v>-</v>
      </c>
      <c r="K22" s="9" t="str">
        <f t="shared" si="3"/>
        <v>-</v>
      </c>
      <c r="L22" s="9" t="str">
        <f t="shared" si="4"/>
        <v>-</v>
      </c>
      <c r="M22" s="43" t="str">
        <f t="shared" si="5"/>
        <v>-</v>
      </c>
      <c r="N22" s="43" t="str">
        <f t="shared" si="6"/>
        <v>-</v>
      </c>
      <c r="O22" s="43" t="str">
        <f t="shared" si="7"/>
        <v>-</v>
      </c>
      <c r="P22" s="43" t="str">
        <f t="shared" si="11"/>
        <v>-</v>
      </c>
      <c r="Q22" s="9" t="str">
        <f t="shared" si="12"/>
        <v>-</v>
      </c>
      <c r="R22" s="9" t="str">
        <f t="shared" si="8"/>
        <v>-</v>
      </c>
      <c r="S22" s="9" t="str">
        <f t="shared" si="9"/>
        <v>-</v>
      </c>
      <c r="T22" s="21" t="str">
        <f t="shared" si="10"/>
        <v>-</v>
      </c>
      <c r="U22" s="6"/>
      <c r="V22" s="6"/>
      <c r="W22" s="6"/>
      <c r="X22" s="6"/>
      <c r="Y22" s="6"/>
      <c r="Z22" s="6"/>
      <c r="AA22" s="6"/>
      <c r="AH22" s="38" t="s">
        <v>60</v>
      </c>
      <c r="AI22" s="38" t="s">
        <v>61</v>
      </c>
      <c r="AJ22" s="38" t="s">
        <v>62</v>
      </c>
      <c r="AK22" s="38" t="s">
        <v>63</v>
      </c>
      <c r="AM22" s="34" t="s">
        <v>68</v>
      </c>
      <c r="AN22" s="34" t="s">
        <v>69</v>
      </c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0"/>
        <v>-</v>
      </c>
      <c r="J23" s="43" t="str">
        <f t="shared" si="1"/>
        <v>-</v>
      </c>
      <c r="K23" s="9" t="str">
        <f t="shared" si="3"/>
        <v>-</v>
      </c>
      <c r="L23" s="9" t="str">
        <f t="shared" si="4"/>
        <v>-</v>
      </c>
      <c r="M23" s="43" t="str">
        <f t="shared" si="5"/>
        <v>-</v>
      </c>
      <c r="N23" s="43" t="str">
        <f t="shared" si="6"/>
        <v>-</v>
      </c>
      <c r="O23" s="43" t="str">
        <f t="shared" si="7"/>
        <v>-</v>
      </c>
      <c r="P23" s="43" t="str">
        <f t="shared" si="11"/>
        <v>-</v>
      </c>
      <c r="Q23" s="9" t="str">
        <f t="shared" si="12"/>
        <v>-</v>
      </c>
      <c r="R23" s="9" t="str">
        <f t="shared" si="8"/>
        <v>-</v>
      </c>
      <c r="S23" s="9" t="str">
        <f t="shared" si="9"/>
        <v>-</v>
      </c>
      <c r="T23" s="21" t="str">
        <f t="shared" si="10"/>
        <v>-</v>
      </c>
      <c r="U23" s="6"/>
      <c r="V23" s="6"/>
      <c r="W23" s="6"/>
      <c r="X23" s="6"/>
      <c r="Y23" s="6"/>
      <c r="Z23" s="6"/>
      <c r="AA23" s="6"/>
      <c r="AH23" s="34" t="s">
        <v>40</v>
      </c>
      <c r="AI23" s="34" t="s">
        <v>66</v>
      </c>
      <c r="AJ23" s="34" t="s">
        <v>67</v>
      </c>
      <c r="AK23" s="34" t="s">
        <v>59</v>
      </c>
      <c r="AM23" s="34" t="s">
        <v>72</v>
      </c>
      <c r="AN23" s="34">
        <v>3.11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0"/>
        <v>-</v>
      </c>
      <c r="J24" s="43" t="str">
        <f t="shared" si="1"/>
        <v>-</v>
      </c>
      <c r="K24" s="9" t="str">
        <f t="shared" si="3"/>
        <v>-</v>
      </c>
      <c r="L24" s="9" t="str">
        <f t="shared" si="4"/>
        <v>-</v>
      </c>
      <c r="M24" s="43" t="str">
        <f t="shared" si="5"/>
        <v>-</v>
      </c>
      <c r="N24" s="43" t="str">
        <f t="shared" si="6"/>
        <v>-</v>
      </c>
      <c r="O24" s="43" t="str">
        <f t="shared" si="7"/>
        <v>-</v>
      </c>
      <c r="P24" s="43" t="str">
        <f t="shared" si="11"/>
        <v>-</v>
      </c>
      <c r="Q24" s="9" t="str">
        <f t="shared" si="12"/>
        <v>-</v>
      </c>
      <c r="R24" s="9" t="str">
        <f t="shared" si="8"/>
        <v>-</v>
      </c>
      <c r="S24" s="9" t="str">
        <f t="shared" si="9"/>
        <v>-</v>
      </c>
      <c r="T24" s="21" t="str">
        <f t="shared" si="10"/>
        <v>-</v>
      </c>
      <c r="U24" s="6"/>
      <c r="V24" s="6"/>
      <c r="W24" s="6"/>
      <c r="X24" s="6"/>
      <c r="Y24" s="6"/>
      <c r="Z24" s="6"/>
      <c r="AA24" s="6"/>
      <c r="AH24" s="34"/>
      <c r="AI24" s="34" t="s">
        <v>70</v>
      </c>
      <c r="AJ24" s="34" t="s">
        <v>71</v>
      </c>
      <c r="AK24" s="34" t="s">
        <v>40</v>
      </c>
      <c r="AM24" s="34" t="s">
        <v>75</v>
      </c>
      <c r="AN24" s="34">
        <v>2.95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0"/>
        <v>-</v>
      </c>
      <c r="J25" s="43" t="str">
        <f t="shared" si="1"/>
        <v>-</v>
      </c>
      <c r="K25" s="9" t="str">
        <f t="shared" si="3"/>
        <v>-</v>
      </c>
      <c r="L25" s="9" t="str">
        <f t="shared" si="4"/>
        <v>-</v>
      </c>
      <c r="M25" s="43" t="str">
        <f t="shared" si="5"/>
        <v>-</v>
      </c>
      <c r="N25" s="43" t="str">
        <f t="shared" si="6"/>
        <v>-</v>
      </c>
      <c r="O25" s="43" t="str">
        <f t="shared" si="7"/>
        <v>-</v>
      </c>
      <c r="P25" s="43" t="str">
        <f t="shared" si="11"/>
        <v>-</v>
      </c>
      <c r="Q25" s="9" t="str">
        <f t="shared" si="12"/>
        <v>-</v>
      </c>
      <c r="R25" s="9" t="str">
        <f t="shared" si="8"/>
        <v>-</v>
      </c>
      <c r="S25" s="9" t="str">
        <f t="shared" si="9"/>
        <v>-</v>
      </c>
      <c r="T25" s="21" t="str">
        <f t="shared" si="10"/>
        <v>-</v>
      </c>
      <c r="U25" s="6"/>
      <c r="V25" s="6"/>
      <c r="W25" s="6"/>
      <c r="X25" s="6"/>
      <c r="Y25" s="6"/>
      <c r="Z25" s="6"/>
      <c r="AA25" s="6"/>
      <c r="AH25" s="34"/>
      <c r="AI25" s="34" t="s">
        <v>73</v>
      </c>
      <c r="AJ25" s="34" t="s">
        <v>74</v>
      </c>
      <c r="AK25" s="34" t="s">
        <v>66</v>
      </c>
      <c r="AM25" s="34" t="s">
        <v>36</v>
      </c>
      <c r="AN25" s="34">
        <v>2.7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0"/>
        <v>-</v>
      </c>
      <c r="J26" s="43" t="str">
        <f t="shared" si="1"/>
        <v>-</v>
      </c>
      <c r="K26" s="9" t="str">
        <f t="shared" si="3"/>
        <v>-</v>
      </c>
      <c r="L26" s="9" t="str">
        <f t="shared" si="4"/>
        <v>-</v>
      </c>
      <c r="M26" s="43" t="str">
        <f t="shared" si="5"/>
        <v>-</v>
      </c>
      <c r="N26" s="43" t="str">
        <f t="shared" si="6"/>
        <v>-</v>
      </c>
      <c r="O26" s="43" t="str">
        <f t="shared" si="7"/>
        <v>-</v>
      </c>
      <c r="P26" s="43" t="str">
        <f t="shared" si="11"/>
        <v>-</v>
      </c>
      <c r="Q26" s="9" t="str">
        <f t="shared" si="12"/>
        <v>-</v>
      </c>
      <c r="R26" s="9" t="str">
        <f t="shared" si="8"/>
        <v>-</v>
      </c>
      <c r="S26" s="9" t="str">
        <f t="shared" si="9"/>
        <v>-</v>
      </c>
      <c r="T26" s="21" t="str">
        <f t="shared" si="10"/>
        <v>-</v>
      </c>
      <c r="U26" s="6"/>
      <c r="V26" s="6"/>
      <c r="W26" s="6"/>
      <c r="X26" s="6"/>
      <c r="Y26" s="6"/>
      <c r="Z26" s="6"/>
      <c r="AA26" s="6"/>
      <c r="AH26" s="34"/>
      <c r="AI26" s="34" t="s">
        <v>76</v>
      </c>
      <c r="AJ26" s="34" t="s">
        <v>77</v>
      </c>
      <c r="AK26" s="34" t="s">
        <v>70</v>
      </c>
      <c r="AM26" s="34" t="s">
        <v>80</v>
      </c>
      <c r="AN26" s="34">
        <v>3.2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0"/>
        <v>-</v>
      </c>
      <c r="J27" s="43" t="str">
        <f t="shared" si="1"/>
        <v>-</v>
      </c>
      <c r="K27" s="9" t="str">
        <f t="shared" si="3"/>
        <v>-</v>
      </c>
      <c r="L27" s="9" t="str">
        <f t="shared" si="4"/>
        <v>-</v>
      </c>
      <c r="M27" s="43" t="str">
        <f t="shared" si="5"/>
        <v>-</v>
      </c>
      <c r="N27" s="43" t="str">
        <f t="shared" si="6"/>
        <v>-</v>
      </c>
      <c r="O27" s="43" t="str">
        <f t="shared" si="7"/>
        <v>-</v>
      </c>
      <c r="P27" s="43" t="str">
        <f t="shared" si="11"/>
        <v>-</v>
      </c>
      <c r="Q27" s="9" t="str">
        <f t="shared" si="12"/>
        <v>-</v>
      </c>
      <c r="R27" s="9" t="str">
        <f t="shared" si="8"/>
        <v>-</v>
      </c>
      <c r="S27" s="9" t="str">
        <f t="shared" si="9"/>
        <v>-</v>
      </c>
      <c r="T27" s="21" t="str">
        <f t="shared" si="10"/>
        <v>-</v>
      </c>
      <c r="U27" s="6"/>
      <c r="V27" s="6"/>
      <c r="W27" s="6"/>
      <c r="X27" s="6"/>
      <c r="Y27" s="6"/>
      <c r="Z27" s="6"/>
      <c r="AA27" s="6"/>
      <c r="AH27" s="34"/>
      <c r="AI27" s="34" t="s">
        <v>78</v>
      </c>
      <c r="AJ27" s="34" t="s">
        <v>79</v>
      </c>
      <c r="AK27" s="34" t="s">
        <v>73</v>
      </c>
      <c r="AM27" s="34" t="s">
        <v>33</v>
      </c>
      <c r="AN27" s="34">
        <v>2.78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0"/>
        <v>-</v>
      </c>
      <c r="J28" s="43" t="str">
        <f t="shared" si="1"/>
        <v>-</v>
      </c>
      <c r="K28" s="9" t="str">
        <f t="shared" si="3"/>
        <v>-</v>
      </c>
      <c r="L28" s="9" t="str">
        <f t="shared" si="4"/>
        <v>-</v>
      </c>
      <c r="M28" s="43" t="str">
        <f t="shared" si="5"/>
        <v>-</v>
      </c>
      <c r="N28" s="43" t="str">
        <f t="shared" si="6"/>
        <v>-</v>
      </c>
      <c r="O28" s="43" t="str">
        <f t="shared" si="7"/>
        <v>-</v>
      </c>
      <c r="P28" s="43" t="str">
        <f t="shared" si="11"/>
        <v>-</v>
      </c>
      <c r="Q28" s="9" t="str">
        <f t="shared" si="12"/>
        <v>-</v>
      </c>
      <c r="R28" s="9" t="str">
        <f t="shared" si="8"/>
        <v>-</v>
      </c>
      <c r="S28" s="9" t="str">
        <f t="shared" si="9"/>
        <v>-</v>
      </c>
      <c r="T28" s="21" t="str">
        <f t="shared" si="10"/>
        <v>-</v>
      </c>
      <c r="U28" s="6"/>
      <c r="V28" s="6"/>
      <c r="W28" s="6"/>
      <c r="X28" s="6"/>
      <c r="Y28" s="6"/>
      <c r="Z28" s="6"/>
      <c r="AA28" s="6"/>
      <c r="AH28" s="34"/>
      <c r="AI28" s="34" t="s">
        <v>51</v>
      </c>
      <c r="AJ28" s="34" t="s">
        <v>81</v>
      </c>
      <c r="AK28" s="34" t="s">
        <v>76</v>
      </c>
      <c r="AM28" s="34" t="s">
        <v>83</v>
      </c>
      <c r="AN28" s="34">
        <v>3.15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0"/>
        <v>-</v>
      </c>
      <c r="J29" s="43" t="str">
        <f t="shared" si="1"/>
        <v>-</v>
      </c>
      <c r="K29" s="9" t="str">
        <f t="shared" si="3"/>
        <v>-</v>
      </c>
      <c r="L29" s="9" t="str">
        <f t="shared" si="4"/>
        <v>-</v>
      </c>
      <c r="M29" s="43" t="str">
        <f t="shared" si="5"/>
        <v>-</v>
      </c>
      <c r="N29" s="43" t="str">
        <f t="shared" si="6"/>
        <v>-</v>
      </c>
      <c r="O29" s="43" t="str">
        <f t="shared" si="7"/>
        <v>-</v>
      </c>
      <c r="P29" s="43" t="str">
        <f t="shared" si="11"/>
        <v>-</v>
      </c>
      <c r="Q29" s="9" t="str">
        <f t="shared" si="12"/>
        <v>-</v>
      </c>
      <c r="R29" s="9" t="str">
        <f t="shared" si="8"/>
        <v>-</v>
      </c>
      <c r="S29" s="9" t="str">
        <f t="shared" si="9"/>
        <v>-</v>
      </c>
      <c r="T29" s="21" t="str">
        <f t="shared" si="10"/>
        <v>-</v>
      </c>
      <c r="U29" s="6"/>
      <c r="V29" s="6"/>
      <c r="W29" s="6"/>
      <c r="X29" s="6"/>
      <c r="Y29" s="6"/>
      <c r="Z29" s="6"/>
      <c r="AA29" s="6"/>
      <c r="AH29" s="34"/>
      <c r="AI29" s="34" t="s">
        <v>82</v>
      </c>
      <c r="AJ29" s="34" t="s">
        <v>54</v>
      </c>
      <c r="AK29" s="34" t="s">
        <v>78</v>
      </c>
      <c r="AM29" s="34" t="s">
        <v>84</v>
      </c>
      <c r="AN29" s="34">
        <v>3.11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0"/>
        <v>-</v>
      </c>
      <c r="J30" s="43" t="str">
        <f t="shared" si="1"/>
        <v>-</v>
      </c>
      <c r="K30" s="9" t="str">
        <f t="shared" si="3"/>
        <v>-</v>
      </c>
      <c r="L30" s="9" t="str">
        <f t="shared" si="4"/>
        <v>-</v>
      </c>
      <c r="M30" s="43" t="str">
        <f t="shared" si="5"/>
        <v>-</v>
      </c>
      <c r="N30" s="43" t="str">
        <f t="shared" si="6"/>
        <v>-</v>
      </c>
      <c r="O30" s="43" t="str">
        <f t="shared" si="7"/>
        <v>-</v>
      </c>
      <c r="P30" s="43" t="str">
        <f t="shared" si="11"/>
        <v>-</v>
      </c>
      <c r="Q30" s="9" t="str">
        <f t="shared" si="12"/>
        <v>-</v>
      </c>
      <c r="R30" s="9" t="str">
        <f t="shared" si="8"/>
        <v>-</v>
      </c>
      <c r="S30" s="9" t="str">
        <f t="shared" si="9"/>
        <v>-</v>
      </c>
      <c r="T30" s="21" t="str">
        <f t="shared" si="10"/>
        <v>-</v>
      </c>
      <c r="U30" s="6"/>
      <c r="V30" s="6"/>
      <c r="W30" s="6"/>
      <c r="X30" s="6"/>
      <c r="Y30" s="6"/>
      <c r="Z30" s="6"/>
      <c r="AA30" s="6"/>
      <c r="AH30" s="34"/>
      <c r="AI30" s="34" t="s">
        <v>42</v>
      </c>
      <c r="AJ30" s="34" t="s">
        <v>44</v>
      </c>
      <c r="AK30" s="34" t="s">
        <v>51</v>
      </c>
      <c r="AM30" s="34" t="s">
        <v>87</v>
      </c>
      <c r="AN30" s="34">
        <v>2.78</v>
      </c>
    </row>
    <row r="31" spans="1:40" ht="15.75" customHeight="1" x14ac:dyDescent="0.25">
      <c r="A31" s="6"/>
      <c r="B31" s="6"/>
      <c r="C31" s="6"/>
      <c r="D31" s="6"/>
      <c r="E31" s="6"/>
      <c r="F31" s="6"/>
      <c r="G31" s="6"/>
      <c r="H31" s="20" t="str">
        <f t="shared" si="2"/>
        <v>-</v>
      </c>
      <c r="I31" s="9" t="str">
        <f t="shared" si="0"/>
        <v>-</v>
      </c>
      <c r="J31" s="43" t="str">
        <f t="shared" si="1"/>
        <v>-</v>
      </c>
      <c r="K31" s="9" t="str">
        <f t="shared" si="3"/>
        <v>-</v>
      </c>
      <c r="L31" s="9" t="str">
        <f t="shared" si="4"/>
        <v>-</v>
      </c>
      <c r="M31" s="43" t="str">
        <f t="shared" si="5"/>
        <v>-</v>
      </c>
      <c r="N31" s="43" t="str">
        <f t="shared" si="6"/>
        <v>-</v>
      </c>
      <c r="O31" s="43" t="str">
        <f t="shared" si="7"/>
        <v>-</v>
      </c>
      <c r="P31" s="43" t="str">
        <f t="shared" si="11"/>
        <v>-</v>
      </c>
      <c r="Q31" s="9" t="str">
        <f t="shared" si="12"/>
        <v>-</v>
      </c>
      <c r="R31" s="9" t="str">
        <f t="shared" si="8"/>
        <v>-</v>
      </c>
      <c r="S31" s="9" t="str">
        <f t="shared" si="9"/>
        <v>-</v>
      </c>
      <c r="T31" s="21" t="str">
        <f t="shared" si="10"/>
        <v>-</v>
      </c>
      <c r="U31" s="6"/>
      <c r="V31" s="6"/>
      <c r="W31" s="6"/>
      <c r="X31" s="6"/>
      <c r="Y31" s="6"/>
      <c r="Z31" s="6"/>
      <c r="AA31" s="6"/>
      <c r="AH31" s="34"/>
      <c r="AI31" s="34" t="s">
        <v>85</v>
      </c>
      <c r="AJ31" s="34" t="s">
        <v>86</v>
      </c>
      <c r="AK31" s="34" t="s">
        <v>82</v>
      </c>
      <c r="AM31" s="34" t="s">
        <v>90</v>
      </c>
      <c r="AN31" s="34">
        <v>3.2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H32" s="34"/>
      <c r="AI32" s="34" t="s">
        <v>88</v>
      </c>
      <c r="AJ32" s="34" t="s">
        <v>89</v>
      </c>
      <c r="AK32" s="34" t="s">
        <v>42</v>
      </c>
      <c r="AM32" s="34" t="s">
        <v>93</v>
      </c>
      <c r="AN32" s="34">
        <v>3.08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H33" s="34"/>
      <c r="AI33" s="34" t="s">
        <v>91</v>
      </c>
      <c r="AJ33" s="34" t="s">
        <v>92</v>
      </c>
      <c r="AK33" s="34" t="s">
        <v>85</v>
      </c>
      <c r="AM33" s="34" t="s">
        <v>96</v>
      </c>
      <c r="AN33" s="34">
        <v>3.07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H34" s="34"/>
      <c r="AI34" s="34" t="s">
        <v>94</v>
      </c>
      <c r="AJ34" s="34" t="s">
        <v>95</v>
      </c>
      <c r="AK34" s="34" t="s">
        <v>88</v>
      </c>
      <c r="AM34" s="34" t="s">
        <v>99</v>
      </c>
      <c r="AN34" s="34">
        <v>3.7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H35" s="34"/>
      <c r="AI35" s="34" t="s">
        <v>97</v>
      </c>
      <c r="AJ35" s="34" t="s">
        <v>98</v>
      </c>
      <c r="AK35" s="34" t="s">
        <v>91</v>
      </c>
      <c r="AM35" s="34" t="s">
        <v>102</v>
      </c>
      <c r="AN35" s="34">
        <v>3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H36" s="34"/>
      <c r="AI36" s="34" t="s">
        <v>100</v>
      </c>
      <c r="AJ36" s="34" t="s">
        <v>101</v>
      </c>
      <c r="AK36" s="34" t="s">
        <v>94</v>
      </c>
      <c r="AM36" s="34" t="s">
        <v>105</v>
      </c>
      <c r="AN36" s="34">
        <v>3.09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H37" s="34"/>
      <c r="AI37" s="34" t="s">
        <v>103</v>
      </c>
      <c r="AJ37" s="34" t="s">
        <v>104</v>
      </c>
      <c r="AK37" s="34" t="s">
        <v>97</v>
      </c>
      <c r="AM37" s="34" t="s">
        <v>108</v>
      </c>
      <c r="AN37" s="34">
        <v>3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34"/>
      <c r="AI38" s="34" t="s">
        <v>106</v>
      </c>
      <c r="AJ38" s="34" t="s">
        <v>107</v>
      </c>
      <c r="AK38" s="34" t="s">
        <v>100</v>
      </c>
      <c r="AM38" s="34" t="s">
        <v>110</v>
      </c>
      <c r="AN38" s="34">
        <v>3.1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34"/>
      <c r="AI39" s="34" t="s">
        <v>109</v>
      </c>
      <c r="AJ39" s="34"/>
      <c r="AK39" s="34" t="s">
        <v>103</v>
      </c>
      <c r="AM39" s="34" t="s">
        <v>112</v>
      </c>
      <c r="AN39" s="34">
        <v>2.9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H40" s="34"/>
      <c r="AI40" s="34" t="s">
        <v>111</v>
      </c>
      <c r="AJ40" s="34"/>
      <c r="AK40" s="34" t="s">
        <v>106</v>
      </c>
      <c r="AM40" s="34" t="s">
        <v>113</v>
      </c>
      <c r="AN40" s="34">
        <v>2.88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H41" s="34"/>
      <c r="AI41" s="34"/>
      <c r="AJ41" s="34"/>
      <c r="AK41" s="34" t="s">
        <v>109</v>
      </c>
      <c r="AM41" s="34" t="s">
        <v>114</v>
      </c>
      <c r="AN41" s="34">
        <v>2.96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H42" s="34"/>
      <c r="AI42" s="34"/>
      <c r="AJ42" s="34"/>
      <c r="AK42" s="34" t="s">
        <v>111</v>
      </c>
      <c r="AM42" s="34" t="s">
        <v>75</v>
      </c>
      <c r="AN42" s="34">
        <v>2.95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H43" s="34"/>
      <c r="AI43" s="34"/>
      <c r="AJ43" s="34"/>
      <c r="AK43" s="34" t="s">
        <v>67</v>
      </c>
      <c r="AM43" s="34" t="s">
        <v>115</v>
      </c>
      <c r="AN43" s="34">
        <v>3.06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H44" s="34"/>
      <c r="AI44" s="34"/>
      <c r="AJ44" s="34"/>
      <c r="AK44" s="34" t="s">
        <v>71</v>
      </c>
      <c r="AM44" s="34" t="s">
        <v>116</v>
      </c>
      <c r="AN44" s="34">
        <v>3.12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H45" s="34"/>
      <c r="AI45" s="34"/>
      <c r="AJ45" s="34"/>
      <c r="AK45" s="34" t="s">
        <v>74</v>
      </c>
      <c r="AM45" s="34" t="s">
        <v>117</v>
      </c>
      <c r="AN45" s="34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H46" s="34"/>
      <c r="AI46" s="34"/>
      <c r="AJ46" s="34"/>
      <c r="AK46" s="34" t="s">
        <v>77</v>
      </c>
      <c r="AM46" s="34" t="s">
        <v>83</v>
      </c>
      <c r="AN46" s="34">
        <v>3.15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H47" s="34"/>
      <c r="AI47" s="34"/>
      <c r="AJ47" s="34"/>
      <c r="AK47" s="34" t="s">
        <v>79</v>
      </c>
      <c r="AM47" s="34" t="s">
        <v>118</v>
      </c>
      <c r="AN47" s="34">
        <v>2.89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H48" s="34"/>
      <c r="AI48" s="34"/>
      <c r="AJ48" s="34"/>
      <c r="AK48" s="34" t="s">
        <v>81</v>
      </c>
      <c r="AM48" s="34" t="s">
        <v>119</v>
      </c>
      <c r="AN48" s="34">
        <v>2.92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H49" s="34"/>
      <c r="AI49" s="34"/>
      <c r="AJ49" s="34"/>
      <c r="AK49" s="34" t="s">
        <v>54</v>
      </c>
      <c r="AM49" s="34" t="s">
        <v>120</v>
      </c>
      <c r="AN49" s="34">
        <v>2.95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H50" s="34"/>
      <c r="AI50" s="34"/>
      <c r="AJ50" s="34"/>
      <c r="AK50" s="34" t="s">
        <v>44</v>
      </c>
      <c r="AM50" s="34" t="s">
        <v>121</v>
      </c>
      <c r="AN50" s="34">
        <v>2.9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H51" s="34"/>
      <c r="AI51" s="34"/>
      <c r="AJ51" s="34"/>
      <c r="AK51" s="34" t="s">
        <v>86</v>
      </c>
      <c r="AM51" s="34"/>
      <c r="AN51" s="34"/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H52" s="34"/>
      <c r="AI52" s="34"/>
      <c r="AJ52" s="34"/>
      <c r="AK52" s="34" t="s">
        <v>89</v>
      </c>
      <c r="AM52" s="34"/>
      <c r="AN52" s="34"/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H53" s="34"/>
      <c r="AI53" s="34"/>
      <c r="AJ53" s="34"/>
      <c r="AK53" s="34" t="s">
        <v>92</v>
      </c>
      <c r="AM53" s="34"/>
      <c r="AN53" s="34"/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H54" s="34"/>
      <c r="AI54" s="34"/>
      <c r="AJ54" s="34"/>
      <c r="AK54" s="34" t="s">
        <v>95</v>
      </c>
      <c r="AM54" s="34"/>
      <c r="AN54" s="34"/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H55" s="34"/>
      <c r="AI55" s="34"/>
      <c r="AJ55" s="34"/>
      <c r="AK55" s="34" t="s">
        <v>98</v>
      </c>
      <c r="AM55" s="34"/>
      <c r="AN55" s="34"/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H56" s="34"/>
      <c r="AI56" s="34"/>
      <c r="AJ56" s="34"/>
      <c r="AK56" s="34" t="s">
        <v>101</v>
      </c>
      <c r="AM56" s="34"/>
      <c r="AN56" s="34"/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H57" s="34"/>
      <c r="AI57" s="34"/>
      <c r="AJ57" s="34"/>
      <c r="AK57" s="34" t="s">
        <v>104</v>
      </c>
      <c r="AM57" s="34"/>
      <c r="AN57" s="34"/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H58" s="34"/>
      <c r="AI58" s="34"/>
      <c r="AJ58" s="34"/>
      <c r="AK58" s="34" t="s">
        <v>107</v>
      </c>
      <c r="AM58" s="34"/>
      <c r="AN58" s="34"/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H59" s="34"/>
      <c r="AI59" s="34"/>
      <c r="AJ59" s="34"/>
      <c r="AK59" s="34"/>
      <c r="AM59" s="34"/>
      <c r="AN59" s="34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H60" s="34"/>
      <c r="AI60" s="34"/>
      <c r="AJ60" s="34"/>
      <c r="AK60" s="34"/>
      <c r="AM60" s="34"/>
      <c r="AN60" s="34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H61" s="34"/>
      <c r="AI61" s="34"/>
      <c r="AJ61" s="34"/>
      <c r="AK61" s="34"/>
      <c r="AM61" s="34"/>
      <c r="AN61" s="34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H62" s="34"/>
      <c r="AI62" s="34"/>
      <c r="AJ62" s="34"/>
      <c r="AK62" s="34"/>
      <c r="AM62" s="34"/>
      <c r="AN62" s="34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H63" s="34"/>
      <c r="AI63" s="34"/>
      <c r="AJ63" s="34"/>
      <c r="AK63" s="34"/>
      <c r="AM63" s="34"/>
      <c r="AN63" s="34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H64" s="34"/>
      <c r="AI64" s="34"/>
      <c r="AJ64" s="34"/>
      <c r="AK64" s="34"/>
      <c r="AM64" s="34"/>
      <c r="AN64" s="34"/>
    </row>
    <row r="65" spans="1:4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H65" s="34"/>
      <c r="AI65" s="34"/>
      <c r="AJ65" s="34"/>
      <c r="AK65" s="34"/>
      <c r="AM65" s="34"/>
      <c r="AN65" s="34"/>
    </row>
    <row r="66" spans="1:4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4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40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40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40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40" x14ac:dyDescent="0.25">
      <c r="F73" s="3" t="s">
        <v>122</v>
      </c>
      <c r="G73" s="3" t="s">
        <v>123</v>
      </c>
      <c r="I73" s="54" t="s">
        <v>124</v>
      </c>
      <c r="J73" s="54">
        <f>($C$16/100)*AJ5</f>
        <v>25.893030431621781</v>
      </c>
      <c r="L73">
        <v>0</v>
      </c>
      <c r="M73">
        <v>0</v>
      </c>
      <c r="O73" t="s">
        <v>19</v>
      </c>
      <c r="P73" t="s">
        <v>20</v>
      </c>
      <c r="Q73" t="s">
        <v>21</v>
      </c>
      <c r="R73" t="s">
        <v>22</v>
      </c>
    </row>
    <row r="74" spans="1:40" x14ac:dyDescent="0.25">
      <c r="F74" s="52"/>
      <c r="G74" s="52"/>
      <c r="I74" s="54" t="s">
        <v>125</v>
      </c>
      <c r="J74" s="54" t="e">
        <f>#REF!/100*J73</f>
        <v>#REF!</v>
      </c>
      <c r="L74" s="5">
        <f>IFERROR(L73+I5,L73)</f>
        <v>6.4732576079054454</v>
      </c>
      <c r="M74">
        <v>0</v>
      </c>
      <c r="O74">
        <v>0</v>
      </c>
      <c r="P74">
        <v>0</v>
      </c>
      <c r="Q74">
        <f>O5</f>
        <v>0</v>
      </c>
      <c r="R74">
        <f t="shared" ref="R74:R105" si="13">$C$5</f>
        <v>4</v>
      </c>
    </row>
    <row r="75" spans="1:40" x14ac:dyDescent="0.25">
      <c r="F75" s="52"/>
      <c r="G75" s="52"/>
      <c r="I75" s="54" t="s">
        <v>126</v>
      </c>
      <c r="J75" s="54" t="e">
        <f>J73-J74</f>
        <v>#REF!</v>
      </c>
      <c r="L75" s="5">
        <f>IFERROR(L74+#REF!,L74)</f>
        <v>6.4732576079054454</v>
      </c>
      <c r="M75">
        <v>0</v>
      </c>
      <c r="O75" s="5">
        <f t="shared" ref="O75:O100" si="14">O74+I5</f>
        <v>6.4732576079054454</v>
      </c>
      <c r="P75">
        <f>O75</f>
        <v>6.4732576079054454</v>
      </c>
      <c r="Q75">
        <f>P5</f>
        <v>0</v>
      </c>
      <c r="R75">
        <f t="shared" si="13"/>
        <v>4</v>
      </c>
    </row>
    <row r="76" spans="1:40" x14ac:dyDescent="0.25">
      <c r="E76">
        <v>1</v>
      </c>
      <c r="F76" s="53">
        <f t="shared" ref="F76:F101" si="15">IF(P6="-","-",P6/$C$4)</f>
        <v>0.1111111111111111</v>
      </c>
      <c r="G76" s="53">
        <f t="shared" ref="G76:G101" si="16">IF(F76="-","-",F76^$AI$18)</f>
        <v>1.2345679012345678E-2</v>
      </c>
      <c r="L76" s="5">
        <f t="shared" ref="L76:L100" si="17">IFERROR(L75+I6,L75)</f>
        <v>8.3584161477402432</v>
      </c>
      <c r="M76">
        <f t="shared" ref="M76:M100" si="18">P6</f>
        <v>100</v>
      </c>
      <c r="O76" s="5">
        <f t="shared" si="14"/>
        <v>8.3584161477402432</v>
      </c>
      <c r="P76">
        <f>P75</f>
        <v>6.4732576079054454</v>
      </c>
      <c r="Q76">
        <f>P6</f>
        <v>100</v>
      </c>
      <c r="R76">
        <f t="shared" si="13"/>
        <v>4</v>
      </c>
    </row>
    <row r="77" spans="1:40" x14ac:dyDescent="0.25">
      <c r="E77">
        <v>2</v>
      </c>
      <c r="F77" s="53">
        <f t="shared" si="15"/>
        <v>0.22222222222222221</v>
      </c>
      <c r="G77" s="53">
        <f t="shared" si="16"/>
        <v>4.9382716049382713E-2</v>
      </c>
      <c r="I77" s="54" t="s">
        <v>128</v>
      </c>
      <c r="J77" s="54">
        <f>C4/C6</f>
        <v>9</v>
      </c>
      <c r="L77" s="5">
        <f t="shared" si="17"/>
        <v>10.310188063540936</v>
      </c>
      <c r="M77">
        <f t="shared" si="18"/>
        <v>200</v>
      </c>
      <c r="O77" s="5">
        <f t="shared" si="14"/>
        <v>10.310188063540936</v>
      </c>
      <c r="P77" s="5">
        <f>O76</f>
        <v>8.3584161477402432</v>
      </c>
      <c r="Q77" t="e">
        <f>#REF!</f>
        <v>#REF!</v>
      </c>
      <c r="R77">
        <f t="shared" si="13"/>
        <v>4</v>
      </c>
    </row>
    <row r="78" spans="1:40" x14ac:dyDescent="0.25">
      <c r="E78">
        <v>3</v>
      </c>
      <c r="F78" s="53">
        <f t="shared" si="15"/>
        <v>0.33333333333333331</v>
      </c>
      <c r="G78" s="53">
        <f t="shared" si="16"/>
        <v>0.1111111111111111</v>
      </c>
      <c r="L78" s="5">
        <f t="shared" si="17"/>
        <v>12.328573355307523</v>
      </c>
      <c r="M78">
        <f t="shared" si="18"/>
        <v>300</v>
      </c>
      <c r="O78">
        <f t="shared" si="14"/>
        <v>12.328573355307523</v>
      </c>
      <c r="P78" s="5">
        <f>P77</f>
        <v>8.3584161477402432</v>
      </c>
      <c r="Q78">
        <f>P7</f>
        <v>200</v>
      </c>
      <c r="R78">
        <f t="shared" si="13"/>
        <v>4</v>
      </c>
    </row>
    <row r="79" spans="1:40" x14ac:dyDescent="0.25">
      <c r="E79">
        <v>4</v>
      </c>
      <c r="F79" s="53">
        <f t="shared" si="15"/>
        <v>0.44444444444444442</v>
      </c>
      <c r="G79" s="53">
        <f t="shared" si="16"/>
        <v>0.19753086419753085</v>
      </c>
      <c r="L79" s="5">
        <f t="shared" si="17"/>
        <v>14.413572023040004</v>
      </c>
      <c r="M79">
        <f t="shared" si="18"/>
        <v>400</v>
      </c>
      <c r="O79">
        <f t="shared" si="14"/>
        <v>14.413572023040004</v>
      </c>
      <c r="P79">
        <f>O77</f>
        <v>10.310188063540936</v>
      </c>
      <c r="Q79" t="e">
        <f>#REF!</f>
        <v>#REF!</v>
      </c>
      <c r="R79">
        <f t="shared" si="13"/>
        <v>4</v>
      </c>
    </row>
    <row r="80" spans="1:40" x14ac:dyDescent="0.25">
      <c r="E80">
        <v>5</v>
      </c>
      <c r="F80" s="53">
        <f t="shared" si="15"/>
        <v>0.55555555555555558</v>
      </c>
      <c r="G80" s="53">
        <f t="shared" si="16"/>
        <v>0.30864197530864201</v>
      </c>
      <c r="L80" s="5">
        <f t="shared" si="17"/>
        <v>16.565184066738379</v>
      </c>
      <c r="M80">
        <f t="shared" si="18"/>
        <v>500</v>
      </c>
      <c r="O80">
        <f t="shared" si="14"/>
        <v>16.565184066738379</v>
      </c>
      <c r="P80">
        <f>P79</f>
        <v>10.310188063540936</v>
      </c>
      <c r="Q80">
        <f>P8</f>
        <v>300</v>
      </c>
      <c r="R80">
        <f t="shared" si="13"/>
        <v>4</v>
      </c>
    </row>
    <row r="81" spans="5:18" x14ac:dyDescent="0.25">
      <c r="E81">
        <v>6</v>
      </c>
      <c r="F81" s="53">
        <f t="shared" si="15"/>
        <v>0.66666666666666663</v>
      </c>
      <c r="G81" s="53">
        <f t="shared" si="16"/>
        <v>0.44444444444444442</v>
      </c>
      <c r="L81" s="5">
        <f t="shared" si="17"/>
        <v>18.794264999523016</v>
      </c>
      <c r="M81">
        <f t="shared" si="18"/>
        <v>600</v>
      </c>
      <c r="O81">
        <f t="shared" si="14"/>
        <v>18.794264999523016</v>
      </c>
      <c r="P81">
        <f>O78</f>
        <v>12.328573355307523</v>
      </c>
      <c r="Q81" t="e">
        <f>#REF!</f>
        <v>#REF!</v>
      </c>
      <c r="R81">
        <f t="shared" si="13"/>
        <v>4</v>
      </c>
    </row>
    <row r="82" spans="5:18" x14ac:dyDescent="0.25">
      <c r="E82">
        <v>7</v>
      </c>
      <c r="F82" s="53">
        <f t="shared" si="15"/>
        <v>0.77777777777777779</v>
      </c>
      <c r="G82" s="53">
        <f t="shared" si="16"/>
        <v>0.60493827160493829</v>
      </c>
      <c r="L82" s="5">
        <f t="shared" si="17"/>
        <v>21.091933037931796</v>
      </c>
      <c r="M82">
        <f t="shared" si="18"/>
        <v>700</v>
      </c>
      <c r="O82">
        <f t="shared" si="14"/>
        <v>21.091933037931796</v>
      </c>
      <c r="P82">
        <f>P81</f>
        <v>12.328573355307523</v>
      </c>
      <c r="Q82">
        <f>P9</f>
        <v>400</v>
      </c>
      <c r="R82">
        <f t="shared" si="13"/>
        <v>4</v>
      </c>
    </row>
    <row r="83" spans="5:18" x14ac:dyDescent="0.25">
      <c r="E83">
        <v>8</v>
      </c>
      <c r="F83" s="53">
        <f t="shared" si="15"/>
        <v>0.88888888888888884</v>
      </c>
      <c r="G83" s="53">
        <f t="shared" si="16"/>
        <v>0.79012345679012341</v>
      </c>
      <c r="L83" s="5">
        <f t="shared" si="17"/>
        <v>23.458188181964715</v>
      </c>
      <c r="M83">
        <f t="shared" si="18"/>
        <v>800</v>
      </c>
      <c r="O83">
        <f t="shared" si="14"/>
        <v>23.458188181964715</v>
      </c>
      <c r="P83">
        <f>O79</f>
        <v>14.413572023040004</v>
      </c>
      <c r="Q83" t="e">
        <f>#REF!</f>
        <v>#REF!</v>
      </c>
      <c r="R83">
        <f t="shared" si="13"/>
        <v>4</v>
      </c>
    </row>
    <row r="84" spans="5:18" x14ac:dyDescent="0.25">
      <c r="E84">
        <v>9</v>
      </c>
      <c r="F84" s="53">
        <f t="shared" si="15"/>
        <v>1</v>
      </c>
      <c r="G84" s="53">
        <f t="shared" si="16"/>
        <v>1</v>
      </c>
      <c r="L84" s="5">
        <f t="shared" si="17"/>
        <v>25.893030431621781</v>
      </c>
      <c r="M84">
        <f t="shared" si="18"/>
        <v>900</v>
      </c>
      <c r="O84" s="5">
        <f t="shared" si="14"/>
        <v>25.893030431621781</v>
      </c>
      <c r="P84">
        <f>P83</f>
        <v>14.413572023040004</v>
      </c>
      <c r="Q84">
        <f>P10</f>
        <v>500</v>
      </c>
      <c r="R84">
        <f t="shared" si="13"/>
        <v>4</v>
      </c>
    </row>
    <row r="85" spans="5:18" x14ac:dyDescent="0.25">
      <c r="E85">
        <v>10</v>
      </c>
      <c r="F85" s="53" t="str">
        <f t="shared" si="15"/>
        <v>-</v>
      </c>
      <c r="G85" s="53" t="str">
        <f t="shared" si="16"/>
        <v>-</v>
      </c>
      <c r="L85" s="5">
        <f t="shared" si="17"/>
        <v>25.893030431621781</v>
      </c>
      <c r="M85" t="str">
        <f t="shared" si="18"/>
        <v>-</v>
      </c>
      <c r="O85" t="e">
        <f t="shared" si="14"/>
        <v>#VALUE!</v>
      </c>
      <c r="P85">
        <f>O80</f>
        <v>16.565184066738379</v>
      </c>
      <c r="Q85" t="e">
        <f>#REF!</f>
        <v>#REF!</v>
      </c>
      <c r="R85">
        <f t="shared" si="13"/>
        <v>4</v>
      </c>
    </row>
    <row r="86" spans="5:18" x14ac:dyDescent="0.25">
      <c r="E86">
        <v>11</v>
      </c>
      <c r="F86" s="53" t="str">
        <f t="shared" si="15"/>
        <v>-</v>
      </c>
      <c r="G86" s="53" t="str">
        <f t="shared" si="16"/>
        <v>-</v>
      </c>
      <c r="L86" s="5">
        <f t="shared" si="17"/>
        <v>25.893030431621781</v>
      </c>
      <c r="M86" t="str">
        <f t="shared" si="18"/>
        <v>-</v>
      </c>
      <c r="O86" t="e">
        <f t="shared" si="14"/>
        <v>#VALUE!</v>
      </c>
      <c r="P86">
        <f>P85</f>
        <v>16.565184066738379</v>
      </c>
      <c r="Q86">
        <f>P11</f>
        <v>600</v>
      </c>
      <c r="R86">
        <f t="shared" si="13"/>
        <v>4</v>
      </c>
    </row>
    <row r="87" spans="5:18" x14ac:dyDescent="0.25">
      <c r="E87">
        <v>12</v>
      </c>
      <c r="F87" s="53" t="str">
        <f t="shared" si="15"/>
        <v>-</v>
      </c>
      <c r="G87" s="53" t="str">
        <f t="shared" si="16"/>
        <v>-</v>
      </c>
      <c r="L87" s="5">
        <f t="shared" si="17"/>
        <v>25.893030431621781</v>
      </c>
      <c r="M87" t="str">
        <f t="shared" si="18"/>
        <v>-</v>
      </c>
      <c r="O87" t="e">
        <f t="shared" si="14"/>
        <v>#VALUE!</v>
      </c>
      <c r="P87">
        <f>O81</f>
        <v>18.794264999523016</v>
      </c>
      <c r="Q87" t="e">
        <f>#REF!</f>
        <v>#REF!</v>
      </c>
      <c r="R87">
        <f t="shared" si="13"/>
        <v>4</v>
      </c>
    </row>
    <row r="88" spans="5:18" x14ac:dyDescent="0.25">
      <c r="E88">
        <v>13</v>
      </c>
      <c r="F88" s="53" t="str">
        <f t="shared" si="15"/>
        <v>-</v>
      </c>
      <c r="G88" s="53" t="str">
        <f t="shared" si="16"/>
        <v>-</v>
      </c>
      <c r="L88" s="5">
        <f t="shared" si="17"/>
        <v>25.893030431621781</v>
      </c>
      <c r="M88" t="str">
        <f t="shared" si="18"/>
        <v>-</v>
      </c>
      <c r="O88" t="e">
        <f t="shared" si="14"/>
        <v>#VALUE!</v>
      </c>
      <c r="P88">
        <f>P87</f>
        <v>18.794264999523016</v>
      </c>
      <c r="Q88">
        <f>P12</f>
        <v>700</v>
      </c>
      <c r="R88">
        <f t="shared" si="13"/>
        <v>4</v>
      </c>
    </row>
    <row r="89" spans="5:18" x14ac:dyDescent="0.25">
      <c r="E89">
        <v>14</v>
      </c>
      <c r="F89" s="53" t="str">
        <f t="shared" si="15"/>
        <v>-</v>
      </c>
      <c r="G89" s="53" t="str">
        <f t="shared" si="16"/>
        <v>-</v>
      </c>
      <c r="L89" s="5">
        <f t="shared" si="17"/>
        <v>25.893030431621781</v>
      </c>
      <c r="M89" t="str">
        <f t="shared" si="18"/>
        <v>-</v>
      </c>
      <c r="O89" t="e">
        <f t="shared" si="14"/>
        <v>#VALUE!</v>
      </c>
      <c r="P89">
        <f>O82</f>
        <v>21.091933037931796</v>
      </c>
      <c r="Q89" t="e">
        <f>#REF!</f>
        <v>#REF!</v>
      </c>
      <c r="R89">
        <f t="shared" si="13"/>
        <v>4</v>
      </c>
    </row>
    <row r="90" spans="5:18" x14ac:dyDescent="0.25">
      <c r="E90">
        <v>15</v>
      </c>
      <c r="F90" s="53" t="str">
        <f t="shared" si="15"/>
        <v>-</v>
      </c>
      <c r="G90" s="53" t="str">
        <f t="shared" si="16"/>
        <v>-</v>
      </c>
      <c r="L90" s="5">
        <f t="shared" si="17"/>
        <v>25.893030431621781</v>
      </c>
      <c r="M90" t="str">
        <f t="shared" si="18"/>
        <v>-</v>
      </c>
      <c r="O90" s="5" t="e">
        <f t="shared" si="14"/>
        <v>#VALUE!</v>
      </c>
      <c r="P90">
        <f>P89</f>
        <v>21.091933037931796</v>
      </c>
      <c r="Q90">
        <f>P13</f>
        <v>800</v>
      </c>
      <c r="R90">
        <f t="shared" si="13"/>
        <v>4</v>
      </c>
    </row>
    <row r="91" spans="5:18" x14ac:dyDescent="0.25">
      <c r="E91">
        <v>16</v>
      </c>
      <c r="F91" s="53" t="str">
        <f t="shared" si="15"/>
        <v>-</v>
      </c>
      <c r="G91" s="53" t="str">
        <f t="shared" si="16"/>
        <v>-</v>
      </c>
      <c r="L91" s="5">
        <f t="shared" si="17"/>
        <v>25.893030431621781</v>
      </c>
      <c r="M91" t="str">
        <f t="shared" si="18"/>
        <v>-</v>
      </c>
      <c r="O91" s="5" t="e">
        <f t="shared" si="14"/>
        <v>#VALUE!</v>
      </c>
      <c r="P91">
        <f>O83</f>
        <v>23.458188181964715</v>
      </c>
      <c r="Q91" t="e">
        <f>#REF!</f>
        <v>#REF!</v>
      </c>
      <c r="R91">
        <f t="shared" si="13"/>
        <v>4</v>
      </c>
    </row>
    <row r="92" spans="5:18" x14ac:dyDescent="0.25">
      <c r="E92">
        <v>17</v>
      </c>
      <c r="F92" s="53" t="str">
        <f t="shared" si="15"/>
        <v>-</v>
      </c>
      <c r="G92" s="53" t="str">
        <f t="shared" si="16"/>
        <v>-</v>
      </c>
      <c r="L92" s="5">
        <f t="shared" si="17"/>
        <v>25.893030431621781</v>
      </c>
      <c r="M92" t="str">
        <f t="shared" si="18"/>
        <v>-</v>
      </c>
      <c r="O92" s="5" t="e">
        <f t="shared" si="14"/>
        <v>#VALUE!</v>
      </c>
      <c r="P92">
        <f>P91</f>
        <v>23.458188181964715</v>
      </c>
      <c r="Q92">
        <f>P14</f>
        <v>900</v>
      </c>
      <c r="R92">
        <f t="shared" si="13"/>
        <v>4</v>
      </c>
    </row>
    <row r="93" spans="5:18" x14ac:dyDescent="0.25">
      <c r="E93">
        <v>18</v>
      </c>
      <c r="F93" s="53" t="str">
        <f t="shared" si="15"/>
        <v>-</v>
      </c>
      <c r="G93" s="53" t="str">
        <f t="shared" si="16"/>
        <v>-</v>
      </c>
      <c r="L93" s="5">
        <f t="shared" si="17"/>
        <v>25.893030431621781</v>
      </c>
      <c r="M93" t="str">
        <f t="shared" si="18"/>
        <v>-</v>
      </c>
      <c r="O93" s="5" t="e">
        <f t="shared" si="14"/>
        <v>#VALUE!</v>
      </c>
      <c r="P93">
        <f>O84</f>
        <v>25.893030431621781</v>
      </c>
      <c r="Q93" t="e">
        <f>#REF!</f>
        <v>#REF!</v>
      </c>
      <c r="R93">
        <f t="shared" si="13"/>
        <v>4</v>
      </c>
    </row>
    <row r="94" spans="5:18" x14ac:dyDescent="0.25">
      <c r="E94">
        <v>19</v>
      </c>
      <c r="F94" s="53" t="str">
        <f t="shared" si="15"/>
        <v>-</v>
      </c>
      <c r="G94" s="53" t="str">
        <f t="shared" si="16"/>
        <v>-</v>
      </c>
      <c r="L94" s="5">
        <f t="shared" si="17"/>
        <v>25.893030431621781</v>
      </c>
      <c r="M94" t="str">
        <f t="shared" si="18"/>
        <v>-</v>
      </c>
      <c r="O94" s="5" t="e">
        <f t="shared" si="14"/>
        <v>#VALUE!</v>
      </c>
      <c r="P94">
        <f>P93</f>
        <v>25.893030431621781</v>
      </c>
      <c r="Q94" t="str">
        <f>P15</f>
        <v>-</v>
      </c>
      <c r="R94">
        <f t="shared" si="13"/>
        <v>4</v>
      </c>
    </row>
    <row r="95" spans="5:18" x14ac:dyDescent="0.25">
      <c r="E95">
        <v>20</v>
      </c>
      <c r="F95" s="53" t="str">
        <f t="shared" si="15"/>
        <v>-</v>
      </c>
      <c r="G95" s="53" t="str">
        <f t="shared" si="16"/>
        <v>-</v>
      </c>
      <c r="L95" s="5">
        <f t="shared" si="17"/>
        <v>25.893030431621781</v>
      </c>
      <c r="M95" t="str">
        <f t="shared" si="18"/>
        <v>-</v>
      </c>
      <c r="O95" s="5" t="e">
        <f t="shared" si="14"/>
        <v>#VALUE!</v>
      </c>
      <c r="P95" t="e">
        <f>O85</f>
        <v>#VALUE!</v>
      </c>
      <c r="Q95" t="e">
        <f>#REF!</f>
        <v>#REF!</v>
      </c>
      <c r="R95">
        <f t="shared" si="13"/>
        <v>4</v>
      </c>
    </row>
    <row r="96" spans="5:18" x14ac:dyDescent="0.25">
      <c r="E96">
        <v>21</v>
      </c>
      <c r="F96" s="53" t="str">
        <f t="shared" si="15"/>
        <v>-</v>
      </c>
      <c r="G96" s="53" t="str">
        <f t="shared" si="16"/>
        <v>-</v>
      </c>
      <c r="L96" s="5">
        <f t="shared" si="17"/>
        <v>25.893030431621781</v>
      </c>
      <c r="M96" t="str">
        <f t="shared" si="18"/>
        <v>-</v>
      </c>
      <c r="O96" s="5" t="e">
        <f t="shared" si="14"/>
        <v>#VALUE!</v>
      </c>
      <c r="P96" t="e">
        <f>P95</f>
        <v>#VALUE!</v>
      </c>
      <c r="Q96" t="str">
        <f>P16</f>
        <v>-</v>
      </c>
      <c r="R96">
        <f t="shared" si="13"/>
        <v>4</v>
      </c>
    </row>
    <row r="97" spans="5:18" x14ac:dyDescent="0.25">
      <c r="E97">
        <v>22</v>
      </c>
      <c r="F97" s="53" t="str">
        <f t="shared" si="15"/>
        <v>-</v>
      </c>
      <c r="G97" s="53" t="str">
        <f t="shared" si="16"/>
        <v>-</v>
      </c>
      <c r="L97" s="5">
        <f t="shared" si="17"/>
        <v>25.893030431621781</v>
      </c>
      <c r="M97" t="str">
        <f t="shared" si="18"/>
        <v>-</v>
      </c>
      <c r="O97" s="5" t="e">
        <f t="shared" si="14"/>
        <v>#VALUE!</v>
      </c>
      <c r="P97" t="e">
        <f>O86</f>
        <v>#VALUE!</v>
      </c>
      <c r="Q97" t="e">
        <f>#REF!</f>
        <v>#REF!</v>
      </c>
      <c r="R97">
        <f t="shared" si="13"/>
        <v>4</v>
      </c>
    </row>
    <row r="98" spans="5:18" x14ac:dyDescent="0.25">
      <c r="E98">
        <v>23</v>
      </c>
      <c r="F98" s="53" t="str">
        <f t="shared" si="15"/>
        <v>-</v>
      </c>
      <c r="G98" s="53" t="str">
        <f t="shared" si="16"/>
        <v>-</v>
      </c>
      <c r="L98" s="5">
        <f t="shared" si="17"/>
        <v>25.893030431621781</v>
      </c>
      <c r="M98" t="str">
        <f t="shared" si="18"/>
        <v>-</v>
      </c>
      <c r="O98" s="5" t="e">
        <f t="shared" si="14"/>
        <v>#VALUE!</v>
      </c>
      <c r="P98" t="e">
        <f>P97</f>
        <v>#VALUE!</v>
      </c>
      <c r="Q98" t="str">
        <f>P17</f>
        <v>-</v>
      </c>
      <c r="R98">
        <f t="shared" si="13"/>
        <v>4</v>
      </c>
    </row>
    <row r="99" spans="5:18" x14ac:dyDescent="0.25">
      <c r="E99">
        <v>24</v>
      </c>
      <c r="F99" s="53" t="str">
        <f t="shared" si="15"/>
        <v>-</v>
      </c>
      <c r="G99" s="53" t="str">
        <f t="shared" si="16"/>
        <v>-</v>
      </c>
      <c r="L99" s="5">
        <f t="shared" si="17"/>
        <v>25.893030431621781</v>
      </c>
      <c r="M99" t="str">
        <f t="shared" si="18"/>
        <v>-</v>
      </c>
      <c r="O99" s="5" t="e">
        <f t="shared" si="14"/>
        <v>#VALUE!</v>
      </c>
      <c r="P99" t="e">
        <f>O87</f>
        <v>#VALUE!</v>
      </c>
      <c r="Q99" t="e">
        <f>#REF!</f>
        <v>#REF!</v>
      </c>
      <c r="R99">
        <f t="shared" si="13"/>
        <v>4</v>
      </c>
    </row>
    <row r="100" spans="5:18" x14ac:dyDescent="0.25">
      <c r="E100">
        <v>25</v>
      </c>
      <c r="F100" s="53" t="str">
        <f t="shared" si="15"/>
        <v>-</v>
      </c>
      <c r="G100" s="53" t="str">
        <f t="shared" si="16"/>
        <v>-</v>
      </c>
      <c r="L100" s="5">
        <f t="shared" si="17"/>
        <v>25.893030431621781</v>
      </c>
      <c r="M100" t="str">
        <f t="shared" si="18"/>
        <v>-</v>
      </c>
      <c r="O100" s="5" t="e">
        <f t="shared" si="14"/>
        <v>#VALUE!</v>
      </c>
      <c r="P100" t="e">
        <f>P99</f>
        <v>#VALUE!</v>
      </c>
      <c r="Q100" t="str">
        <f>P18</f>
        <v>-</v>
      </c>
      <c r="R100">
        <f t="shared" si="13"/>
        <v>4</v>
      </c>
    </row>
    <row r="101" spans="5:18" x14ac:dyDescent="0.25">
      <c r="E101">
        <v>26</v>
      </c>
      <c r="F101" s="53" t="str">
        <f t="shared" si="15"/>
        <v>-</v>
      </c>
      <c r="G101" s="53" t="str">
        <f t="shared" si="16"/>
        <v>-</v>
      </c>
      <c r="O101" s="5" t="e">
        <f t="shared" ref="O101:O106" si="19">O100+F31</f>
        <v>#VALUE!</v>
      </c>
      <c r="P101" t="e">
        <f>O88</f>
        <v>#VALUE!</v>
      </c>
      <c r="Q101" t="e">
        <f>#REF!</f>
        <v>#REF!</v>
      </c>
      <c r="R101">
        <f t="shared" si="13"/>
        <v>4</v>
      </c>
    </row>
    <row r="102" spans="5:18" x14ac:dyDescent="0.25">
      <c r="O102" s="5" t="e">
        <f t="shared" si="19"/>
        <v>#VALUE!</v>
      </c>
      <c r="P102" t="e">
        <f>P101</f>
        <v>#VALUE!</v>
      </c>
      <c r="Q102" t="str">
        <f>P19</f>
        <v>-</v>
      </c>
      <c r="R102">
        <f t="shared" si="13"/>
        <v>4</v>
      </c>
    </row>
    <row r="103" spans="5:18" x14ac:dyDescent="0.25">
      <c r="F103" s="7" t="s">
        <v>133</v>
      </c>
      <c r="G103" s="7">
        <f>IF(C8=AM23,AN23,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"?"))))))))))))))))))))))))))))</f>
        <v>2.78</v>
      </c>
      <c r="O103" s="5" t="e">
        <f t="shared" si="19"/>
        <v>#VALUE!</v>
      </c>
      <c r="P103" t="e">
        <f>O89</f>
        <v>#VALUE!</v>
      </c>
      <c r="Q103" t="e">
        <f>#REF!</f>
        <v>#REF!</v>
      </c>
      <c r="R103">
        <f t="shared" si="13"/>
        <v>4</v>
      </c>
    </row>
    <row r="104" spans="5:18" x14ac:dyDescent="0.25">
      <c r="F104" s="7" t="s">
        <v>134</v>
      </c>
      <c r="G104" s="7">
        <f>IF(C9=AM23,AN23,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"?"))))))))))))))))))))))))))))</f>
        <v>2.7</v>
      </c>
      <c r="O104" s="5" t="e">
        <f t="shared" si="19"/>
        <v>#VALUE!</v>
      </c>
      <c r="P104" t="e">
        <f>P103</f>
        <v>#VALUE!</v>
      </c>
      <c r="Q104" t="str">
        <f>P20</f>
        <v>-</v>
      </c>
      <c r="R104">
        <f t="shared" si="13"/>
        <v>4</v>
      </c>
    </row>
    <row r="105" spans="5:18" x14ac:dyDescent="0.25">
      <c r="O105" s="5" t="e">
        <f t="shared" si="19"/>
        <v>#VALUE!</v>
      </c>
      <c r="P105" s="5" t="e">
        <f>O90</f>
        <v>#VALUE!</v>
      </c>
      <c r="Q105" t="e">
        <f>#REF!</f>
        <v>#REF!</v>
      </c>
      <c r="R105">
        <f t="shared" si="13"/>
        <v>4</v>
      </c>
    </row>
    <row r="106" spans="5:18" x14ac:dyDescent="0.25">
      <c r="O106" s="5" t="e">
        <f t="shared" si="19"/>
        <v>#VALUE!</v>
      </c>
      <c r="P106" s="5" t="e">
        <f>P105</f>
        <v>#VALUE!</v>
      </c>
      <c r="Q106" t="str">
        <f>P21</f>
        <v>-</v>
      </c>
      <c r="R106">
        <f t="shared" ref="R106:R124" si="20">$C$5</f>
        <v>4</v>
      </c>
    </row>
    <row r="107" spans="5:18" x14ac:dyDescent="0.25">
      <c r="P107" s="5" t="e">
        <f>O91</f>
        <v>#VALUE!</v>
      </c>
      <c r="Q107" t="e">
        <f>#REF!</f>
        <v>#REF!</v>
      </c>
      <c r="R107">
        <f t="shared" si="20"/>
        <v>4</v>
      </c>
    </row>
    <row r="108" spans="5:18" x14ac:dyDescent="0.25">
      <c r="P108" s="5" t="e">
        <f>P107</f>
        <v>#VALUE!</v>
      </c>
      <c r="Q108" t="str">
        <f>P22</f>
        <v>-</v>
      </c>
      <c r="R108">
        <f t="shared" si="20"/>
        <v>4</v>
      </c>
    </row>
    <row r="109" spans="5:18" x14ac:dyDescent="0.25">
      <c r="P109" s="5" t="e">
        <f>O92</f>
        <v>#VALUE!</v>
      </c>
      <c r="Q109" t="e">
        <f>#REF!</f>
        <v>#REF!</v>
      </c>
      <c r="R109">
        <f t="shared" si="20"/>
        <v>4</v>
      </c>
    </row>
    <row r="110" spans="5:18" x14ac:dyDescent="0.25">
      <c r="P110" s="5" t="e">
        <f>P109</f>
        <v>#VALUE!</v>
      </c>
      <c r="Q110" t="str">
        <f>P23</f>
        <v>-</v>
      </c>
      <c r="R110">
        <f t="shared" si="20"/>
        <v>4</v>
      </c>
    </row>
    <row r="111" spans="5:18" x14ac:dyDescent="0.25">
      <c r="P111" s="5" t="e">
        <f>O93</f>
        <v>#VALUE!</v>
      </c>
      <c r="Q111" t="e">
        <f>#REF!</f>
        <v>#REF!</v>
      </c>
      <c r="R111">
        <f t="shared" si="20"/>
        <v>4</v>
      </c>
    </row>
    <row r="112" spans="5:18" x14ac:dyDescent="0.25">
      <c r="P112" s="5" t="e">
        <f>P111</f>
        <v>#VALUE!</v>
      </c>
      <c r="Q112" t="str">
        <f>P24</f>
        <v>-</v>
      </c>
      <c r="R112">
        <f t="shared" si="20"/>
        <v>4</v>
      </c>
    </row>
    <row r="113" spans="16:18" x14ac:dyDescent="0.25">
      <c r="P113" s="5" t="e">
        <f>O94</f>
        <v>#VALUE!</v>
      </c>
      <c r="Q113" t="e">
        <f>#REF!</f>
        <v>#REF!</v>
      </c>
      <c r="R113">
        <f t="shared" si="20"/>
        <v>4</v>
      </c>
    </row>
    <row r="114" spans="16:18" x14ac:dyDescent="0.25">
      <c r="P114" s="5" t="e">
        <f>P113</f>
        <v>#VALUE!</v>
      </c>
      <c r="Q114" t="str">
        <f>P25</f>
        <v>-</v>
      </c>
      <c r="R114">
        <f t="shared" si="20"/>
        <v>4</v>
      </c>
    </row>
    <row r="115" spans="16:18" x14ac:dyDescent="0.25">
      <c r="P115" s="5" t="e">
        <f>O95</f>
        <v>#VALUE!</v>
      </c>
      <c r="Q115" t="e">
        <f>#REF!</f>
        <v>#REF!</v>
      </c>
      <c r="R115">
        <f t="shared" si="20"/>
        <v>4</v>
      </c>
    </row>
    <row r="116" spans="16:18" x14ac:dyDescent="0.25">
      <c r="P116" s="5" t="e">
        <f>P115</f>
        <v>#VALUE!</v>
      </c>
      <c r="Q116" t="str">
        <f>P26</f>
        <v>-</v>
      </c>
      <c r="R116">
        <f t="shared" si="20"/>
        <v>4</v>
      </c>
    </row>
    <row r="117" spans="16:18" x14ac:dyDescent="0.25">
      <c r="P117" s="5" t="e">
        <f>O96</f>
        <v>#VALUE!</v>
      </c>
      <c r="Q117" t="e">
        <f>#REF!</f>
        <v>#REF!</v>
      </c>
      <c r="R117">
        <f t="shared" si="20"/>
        <v>4</v>
      </c>
    </row>
    <row r="118" spans="16:18" x14ac:dyDescent="0.25">
      <c r="P118" s="5" t="e">
        <f>O96</f>
        <v>#VALUE!</v>
      </c>
      <c r="Q118" t="str">
        <f>P27</f>
        <v>-</v>
      </c>
      <c r="R118">
        <f t="shared" si="20"/>
        <v>4</v>
      </c>
    </row>
    <row r="119" spans="16:18" x14ac:dyDescent="0.25">
      <c r="P119" s="5" t="e">
        <f>O97</f>
        <v>#VALUE!</v>
      </c>
      <c r="Q119" t="e">
        <f>#REF!</f>
        <v>#REF!</v>
      </c>
      <c r="R119">
        <f t="shared" si="20"/>
        <v>4</v>
      </c>
    </row>
    <row r="120" spans="16:18" x14ac:dyDescent="0.25">
      <c r="P120" s="5" t="e">
        <f>P119</f>
        <v>#VALUE!</v>
      </c>
      <c r="Q120" t="str">
        <f>P28</f>
        <v>-</v>
      </c>
      <c r="R120">
        <f t="shared" si="20"/>
        <v>4</v>
      </c>
    </row>
    <row r="121" spans="16:18" x14ac:dyDescent="0.25">
      <c r="P121" s="5" t="e">
        <f>O98</f>
        <v>#VALUE!</v>
      </c>
      <c r="Q121" t="e">
        <f>#REF!</f>
        <v>#REF!</v>
      </c>
      <c r="R121">
        <f t="shared" si="20"/>
        <v>4</v>
      </c>
    </row>
    <row r="122" spans="16:18" x14ac:dyDescent="0.25">
      <c r="P122" s="5" t="e">
        <f>P121</f>
        <v>#VALUE!</v>
      </c>
      <c r="Q122" t="str">
        <f>P29</f>
        <v>-</v>
      </c>
      <c r="R122">
        <f t="shared" si="20"/>
        <v>4</v>
      </c>
    </row>
    <row r="123" spans="16:18" x14ac:dyDescent="0.25">
      <c r="P123" s="5" t="e">
        <f>O99</f>
        <v>#VALUE!</v>
      </c>
      <c r="Q123" t="e">
        <f>#REF!</f>
        <v>#REF!</v>
      </c>
      <c r="R123">
        <f t="shared" si="20"/>
        <v>4</v>
      </c>
    </row>
    <row r="124" spans="16:18" x14ac:dyDescent="0.25">
      <c r="P124" s="5" t="e">
        <f>P123</f>
        <v>#VALUE!</v>
      </c>
      <c r="Q124" t="str">
        <f>P30</f>
        <v>-</v>
      </c>
      <c r="R124">
        <f t="shared" si="20"/>
        <v>4</v>
      </c>
    </row>
  </sheetData>
  <mergeCells count="12">
    <mergeCell ref="AH9:AI9"/>
    <mergeCell ref="B1:C1"/>
    <mergeCell ref="E1:T1"/>
    <mergeCell ref="B2:C2"/>
    <mergeCell ref="E2:F2"/>
    <mergeCell ref="H2:T2"/>
    <mergeCell ref="E17:F17"/>
    <mergeCell ref="AH17:AI17"/>
    <mergeCell ref="E18:F18"/>
    <mergeCell ref="AH20:AN20"/>
    <mergeCell ref="AH21:AK21"/>
    <mergeCell ref="AM21:AN21"/>
  </mergeCells>
  <dataValidations count="5">
    <dataValidation type="list" showInputMessage="1" showErrorMessage="1" sqref="C8:C9">
      <formula1>$AM$23:$AM$50</formula1>
    </dataValidation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17:C18">
      <formula1>$AK$23:$AK$58</formula1>
    </dataValidation>
  </dataValidation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B1" zoomScale="73" workbookViewId="0">
      <selection activeCell="I27" sqref="I27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800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3.9322761084919038</v>
      </c>
      <c r="J4" s="43">
        <f t="shared" ref="J4:J30" si="0">IF(K4="-","-",$C$5)</f>
        <v>4</v>
      </c>
      <c r="K4" s="9">
        <f>IFERROR(J73, "-")</f>
        <v>15.729104433967615</v>
      </c>
      <c r="L4" s="9">
        <f>IFERROR(K4,0)</f>
        <v>15.729104433967615</v>
      </c>
      <c r="M4" s="43" t="str">
        <f>IF(L4="-","-",$C$17)</f>
        <v>LG42</v>
      </c>
      <c r="N4" s="43"/>
      <c r="O4" s="43"/>
      <c r="P4" s="43"/>
      <c r="Q4" s="9"/>
      <c r="R4" s="9">
        <f>IF(L4="-","-",L4)</f>
        <v>15.729104433967615</v>
      </c>
      <c r="S4" s="9"/>
      <c r="T4" s="21">
        <f>IF(K4="-","-",K4)</f>
        <v>15.729104433967615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4</v>
      </c>
      <c r="AI4" t="s">
        <v>27</v>
      </c>
      <c r="AJ4" s="5">
        <f>SUM(K5:K30)-$C$19</f>
        <v>46.564378472834839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IF(E5="","",SUMIF(M4:M29,C11,L4:L29))</f>
        <v/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0.59129520294414206</v>
      </c>
      <c r="J5" s="43">
        <f t="shared" si="0"/>
        <v>4</v>
      </c>
      <c r="K5" s="9">
        <f t="shared" ref="K5:K30" si="4">IF(S4=$C$3*1000,$C$19,IFERROR(L5+Q5/(IF(N5=$C$8,$G$103,$G$104)*1000),"-"))</f>
        <v>2.3651808117765682</v>
      </c>
      <c r="L5" s="9">
        <f t="shared" ref="L5:L30" si="5">IF(S4=$C$3*1000,$C$19,IFERROR(Q5/O5,"-"))</f>
        <v>2.2876338999150416</v>
      </c>
      <c r="M5" s="43" t="str">
        <f t="shared" ref="M5:M30" si="6">IF(H5="Продавка",$C$18, IF(L5="-","-",IF(P5&lt;=$C$14,$C$11,IF(P5&gt;$C$15,$C$13,$C$12))))</f>
        <v>LG42</v>
      </c>
      <c r="N5" s="43" t="str">
        <f t="shared" ref="N5:N30" si="7">IF(P5="-","-",IF(P5&lt;$C$10,$C$8,$C$9))</f>
        <v>BPR2040</v>
      </c>
      <c r="O5" s="43">
        <f>IFERROR(O4+($C$4-O4)/($J$78-D5),"-")</f>
        <v>100</v>
      </c>
      <c r="P5" s="43">
        <f t="shared" ref="P5:P30" si="8">O5</f>
        <v>100</v>
      </c>
      <c r="Q5" s="9">
        <f>IF(S5="-","-",S5)</f>
        <v>228.76338999150414</v>
      </c>
      <c r="R5" s="9">
        <f t="shared" ref="R5:R30" si="9">IFERROR(IF(L5="-","-",R4+L5),"-")</f>
        <v>18.016738333882657</v>
      </c>
      <c r="S5" s="9">
        <f t="shared" ref="S5:S30" si="10">IF(G76="-","-",G76*$C$3*1000)</f>
        <v>228.76338999150414</v>
      </c>
      <c r="T5" s="21">
        <f t="shared" ref="T5:T30" si="11">IFERROR(IF(K5="-","-",T4+K5),"-")</f>
        <v>18.094285245744182</v>
      </c>
      <c r="U5" s="6"/>
      <c r="V5" s="6"/>
      <c r="W5" s="6"/>
      <c r="X5" s="6"/>
      <c r="Y5" s="6"/>
      <c r="Z5" s="6"/>
      <c r="AA5" s="6"/>
      <c r="AC5" s="5">
        <f t="shared" ref="AC5:AC30" si="12">AC4+I4</f>
        <v>3.9322761084919038</v>
      </c>
      <c r="AD5">
        <f>AC5</f>
        <v>3.9322761084919038</v>
      </c>
      <c r="AE5">
        <f>P4</f>
        <v>0</v>
      </c>
      <c r="AF5">
        <f t="shared" si="1"/>
        <v>4</v>
      </c>
      <c r="AI5" t="s">
        <v>29</v>
      </c>
      <c r="AJ5">
        <f>AJ4/(1-J81)</f>
        <v>62.293482906802453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LG42</v>
      </c>
      <c r="F6" s="62">
        <f>SUMIF(M4:M29,C12,L4:L29)</f>
        <v>52.402696631384096</v>
      </c>
      <c r="G6" s="6"/>
      <c r="H6" s="20" t="str">
        <f t="shared" si="2"/>
        <v>Пропант</v>
      </c>
      <c r="I6" s="9">
        <f t="shared" si="3"/>
        <v>1.0498470899065424</v>
      </c>
      <c r="J6" s="43">
        <f t="shared" si="0"/>
        <v>4</v>
      </c>
      <c r="K6" s="9">
        <f t="shared" si="4"/>
        <v>4.1993883596261696</v>
      </c>
      <c r="L6" s="9">
        <f t="shared" si="5"/>
        <v>3.9327605272689521</v>
      </c>
      <c r="M6" s="43" t="str">
        <f t="shared" si="6"/>
        <v>LG42</v>
      </c>
      <c r="N6" s="43" t="str">
        <f t="shared" si="7"/>
        <v>BPR2040</v>
      </c>
      <c r="O6" s="43">
        <f t="shared" ref="O6:O30" si="13">IFERROR(O5+($C$4-O5)/($J$78-E76),"-")</f>
        <v>200</v>
      </c>
      <c r="P6" s="43">
        <f t="shared" si="8"/>
        <v>200</v>
      </c>
      <c r="Q6" s="9">
        <f t="shared" ref="Q6:Q30" si="14">IF(S6="-","-",S6-S5)</f>
        <v>786.55210545379043</v>
      </c>
      <c r="R6" s="9">
        <f t="shared" si="9"/>
        <v>21.949498861151611</v>
      </c>
      <c r="S6" s="9">
        <f t="shared" si="10"/>
        <v>1015.3154954452946</v>
      </c>
      <c r="T6" s="21">
        <f t="shared" si="11"/>
        <v>22.293673605370351</v>
      </c>
      <c r="U6" s="6"/>
      <c r="V6" s="6"/>
      <c r="W6" s="6"/>
      <c r="X6" s="6"/>
      <c r="Y6" s="6"/>
      <c r="Z6" s="6"/>
      <c r="AA6" s="6"/>
      <c r="AC6" s="5">
        <f t="shared" si="12"/>
        <v>4.5235713114360454</v>
      </c>
      <c r="AD6">
        <f>AD5</f>
        <v>3.9322761084919038</v>
      </c>
      <c r="AE6">
        <f>O5</f>
        <v>100</v>
      </c>
      <c r="AF6">
        <f t="shared" si="1"/>
        <v>4</v>
      </c>
    </row>
    <row r="7" spans="1:36" ht="15.75" customHeight="1" x14ac:dyDescent="0.25">
      <c r="A7" s="6"/>
      <c r="B7" s="24" t="s">
        <v>31</v>
      </c>
      <c r="C7" s="39">
        <v>2</v>
      </c>
      <c r="D7" s="6"/>
      <c r="E7" s="12" t="str">
        <f>C13</f>
        <v>DX42</v>
      </c>
      <c r="F7" s="62">
        <f>SUMIF(M4:M29,C13,L4:L29)</f>
        <v>18.111125258469205</v>
      </c>
      <c r="G7" s="6"/>
      <c r="H7" s="20" t="str">
        <f t="shared" si="2"/>
        <v>Пропант</v>
      </c>
      <c r="I7" s="9">
        <f t="shared" si="3"/>
        <v>1.2966919949307827</v>
      </c>
      <c r="J7" s="43">
        <f t="shared" si="0"/>
        <v>4</v>
      </c>
      <c r="K7" s="9">
        <f t="shared" si="4"/>
        <v>5.1867679797231308</v>
      </c>
      <c r="L7" s="9">
        <f t="shared" si="5"/>
        <v>4.7079893969794568</v>
      </c>
      <c r="M7" s="43" t="str">
        <f t="shared" si="6"/>
        <v>LG42</v>
      </c>
      <c r="N7" s="43" t="str">
        <f t="shared" si="7"/>
        <v>BPR2040</v>
      </c>
      <c r="O7" s="43">
        <f t="shared" si="13"/>
        <v>300</v>
      </c>
      <c r="P7" s="43">
        <f t="shared" si="8"/>
        <v>300</v>
      </c>
      <c r="Q7" s="9">
        <f t="shared" si="14"/>
        <v>1412.3968190938369</v>
      </c>
      <c r="R7" s="9">
        <f t="shared" si="9"/>
        <v>26.657488258131067</v>
      </c>
      <c r="S7" s="9">
        <f t="shared" si="10"/>
        <v>2427.7123145391315</v>
      </c>
      <c r="T7" s="21">
        <f t="shared" si="11"/>
        <v>27.48044158509348</v>
      </c>
      <c r="U7" s="6"/>
      <c r="V7" s="6"/>
      <c r="W7" s="6"/>
      <c r="X7" s="6"/>
      <c r="Y7" s="6"/>
      <c r="Z7" s="6"/>
      <c r="AA7" s="6"/>
      <c r="AC7" s="5">
        <f t="shared" si="12"/>
        <v>5.5734184013425878</v>
      </c>
      <c r="AD7" s="5">
        <f>AC6</f>
        <v>4.5235713114360454</v>
      </c>
      <c r="AE7">
        <f>P5</f>
        <v>100</v>
      </c>
      <c r="AF7">
        <f t="shared" si="1"/>
        <v>4</v>
      </c>
    </row>
    <row r="8" spans="1:36" ht="15.75" customHeight="1" x14ac:dyDescent="0.25">
      <c r="A8" s="6"/>
      <c r="B8" s="24" t="s">
        <v>32</v>
      </c>
      <c r="C8" s="39" t="s">
        <v>75</v>
      </c>
      <c r="D8" s="6"/>
      <c r="E8" s="13" t="s">
        <v>34</v>
      </c>
      <c r="F8" s="14">
        <f>SUM(L4:L29)</f>
        <v>70.513821889853304</v>
      </c>
      <c r="G8" s="6"/>
      <c r="H8" s="20" t="str">
        <f t="shared" si="2"/>
        <v>Пропант</v>
      </c>
      <c r="I8" s="9">
        <f t="shared" si="3"/>
        <v>1.4752349565731602</v>
      </c>
      <c r="J8" s="43">
        <f t="shared" si="0"/>
        <v>4</v>
      </c>
      <c r="K8" s="9">
        <f t="shared" si="4"/>
        <v>5.9009398262926407</v>
      </c>
      <c r="L8" s="9">
        <f t="shared" si="5"/>
        <v>5.196349996287549</v>
      </c>
      <c r="M8" s="43" t="str">
        <f t="shared" si="6"/>
        <v>LG42</v>
      </c>
      <c r="N8" s="43" t="str">
        <f t="shared" si="7"/>
        <v>BPR2040</v>
      </c>
      <c r="O8" s="43">
        <f t="shared" si="13"/>
        <v>400</v>
      </c>
      <c r="P8" s="43">
        <f t="shared" si="8"/>
        <v>400</v>
      </c>
      <c r="Q8" s="9">
        <f t="shared" si="14"/>
        <v>2078.5399985150198</v>
      </c>
      <c r="R8" s="9">
        <f t="shared" si="9"/>
        <v>31.853838254418616</v>
      </c>
      <c r="S8" s="9">
        <f t="shared" si="10"/>
        <v>4506.2523130541513</v>
      </c>
      <c r="T8" s="21">
        <f t="shared" si="11"/>
        <v>33.381381411386123</v>
      </c>
      <c r="U8" s="6"/>
      <c r="V8" s="6"/>
      <c r="W8" s="6"/>
      <c r="X8" s="6"/>
      <c r="Y8" s="6"/>
      <c r="Z8" s="6"/>
      <c r="AA8" s="6"/>
      <c r="AC8">
        <f t="shared" si="12"/>
        <v>6.8701103962733701</v>
      </c>
      <c r="AD8" s="5">
        <f>AD7</f>
        <v>4.5235713114360454</v>
      </c>
      <c r="AE8">
        <f>O6</f>
        <v>200</v>
      </c>
      <c r="AF8">
        <f t="shared" si="1"/>
        <v>4</v>
      </c>
      <c r="AI8">
        <f>C3/AJ4</f>
        <v>0.42951287348692491</v>
      </c>
    </row>
    <row r="9" spans="1:36" ht="15.75" customHeight="1" x14ac:dyDescent="0.25">
      <c r="A9" s="6"/>
      <c r="B9" s="24" t="s">
        <v>35</v>
      </c>
      <c r="C9" s="39" t="s">
        <v>75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1.6223357119093986</v>
      </c>
      <c r="J9" s="43">
        <f t="shared" si="0"/>
        <v>4</v>
      </c>
      <c r="K9" s="9">
        <f t="shared" si="4"/>
        <v>6.4893428476375945</v>
      </c>
      <c r="L9" s="9">
        <f t="shared" si="5"/>
        <v>5.5488583769654793</v>
      </c>
      <c r="M9" s="43" t="str">
        <f t="shared" si="6"/>
        <v>LG42</v>
      </c>
      <c r="N9" s="43" t="str">
        <f t="shared" si="7"/>
        <v>BPR2040</v>
      </c>
      <c r="O9" s="43">
        <f t="shared" si="13"/>
        <v>500</v>
      </c>
      <c r="P9" s="43">
        <f t="shared" si="8"/>
        <v>500</v>
      </c>
      <c r="Q9" s="9">
        <f t="shared" si="14"/>
        <v>2774.4291884827398</v>
      </c>
      <c r="R9" s="9">
        <f t="shared" si="9"/>
        <v>37.402696631384096</v>
      </c>
      <c r="S9" s="9">
        <f t="shared" si="10"/>
        <v>7280.6815015368911</v>
      </c>
      <c r="T9" s="21">
        <f t="shared" si="11"/>
        <v>39.870724259023717</v>
      </c>
      <c r="U9" s="6"/>
      <c r="V9" s="6"/>
      <c r="W9" s="6"/>
      <c r="X9" s="6"/>
      <c r="Y9" s="6"/>
      <c r="Z9" s="6"/>
      <c r="AA9" s="6"/>
      <c r="AC9">
        <f t="shared" si="12"/>
        <v>8.3453453528465307</v>
      </c>
      <c r="AD9">
        <f>AC7</f>
        <v>5.5734184013425878</v>
      </c>
      <c r="AE9">
        <f>P6</f>
        <v>200</v>
      </c>
      <c r="AF9">
        <f t="shared" si="1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1.752025474610206</v>
      </c>
      <c r="J10" s="43">
        <f t="shared" si="0"/>
        <v>4</v>
      </c>
      <c r="K10" s="9">
        <f t="shared" si="4"/>
        <v>7.0081018984408239</v>
      </c>
      <c r="L10" s="9">
        <f t="shared" si="5"/>
        <v>5.8236339719437833</v>
      </c>
      <c r="M10" s="43" t="str">
        <f t="shared" si="6"/>
        <v>DX42</v>
      </c>
      <c r="N10" s="43" t="str">
        <f t="shared" si="7"/>
        <v>BPR2040</v>
      </c>
      <c r="O10" s="43">
        <f t="shared" si="13"/>
        <v>600</v>
      </c>
      <c r="P10" s="43">
        <f t="shared" si="8"/>
        <v>600</v>
      </c>
      <c r="Q10" s="9">
        <f t="shared" si="14"/>
        <v>3494.1803831662701</v>
      </c>
      <c r="R10" s="9">
        <f t="shared" si="9"/>
        <v>43.226330603327881</v>
      </c>
      <c r="S10" s="9">
        <f t="shared" si="10"/>
        <v>10774.861884703161</v>
      </c>
      <c r="T10" s="21">
        <f t="shared" si="11"/>
        <v>46.878826157464545</v>
      </c>
      <c r="U10" s="6"/>
      <c r="V10" s="6"/>
      <c r="W10" s="6"/>
      <c r="X10" s="6"/>
      <c r="Y10" s="6"/>
      <c r="Z10" s="6"/>
      <c r="AA10" s="6"/>
      <c r="AC10">
        <f t="shared" si="12"/>
        <v>9.9676810647559293</v>
      </c>
      <c r="AD10">
        <f>AD9</f>
        <v>5.5734184013425878</v>
      </c>
      <c r="AE10">
        <f>O7</f>
        <v>300</v>
      </c>
      <c r="AF10">
        <f t="shared" si="1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BPR2040</v>
      </c>
      <c r="F11" s="62">
        <f>IF(E11="","",SUMIF(N4:N29,C8,Q4:Q29)/1000)</f>
        <v>20</v>
      </c>
      <c r="G11" s="6"/>
      <c r="H11" s="20" t="str">
        <f t="shared" si="2"/>
        <v>Пропант</v>
      </c>
      <c r="I11" s="9">
        <f t="shared" si="3"/>
        <v>1.8709495218820082</v>
      </c>
      <c r="J11" s="43">
        <f t="shared" si="0"/>
        <v>4</v>
      </c>
      <c r="K11" s="9">
        <f t="shared" si="4"/>
        <v>7.483798087528033</v>
      </c>
      <c r="L11" s="9">
        <f t="shared" si="5"/>
        <v>6.0485491392349857</v>
      </c>
      <c r="M11" s="43" t="str">
        <f t="shared" si="6"/>
        <v>DX42</v>
      </c>
      <c r="N11" s="43" t="str">
        <f t="shared" si="7"/>
        <v>BPR2040</v>
      </c>
      <c r="O11" s="43">
        <f t="shared" si="13"/>
        <v>700</v>
      </c>
      <c r="P11" s="43">
        <f t="shared" si="8"/>
        <v>700</v>
      </c>
      <c r="Q11" s="9">
        <f t="shared" si="14"/>
        <v>4233.98439746449</v>
      </c>
      <c r="R11" s="9">
        <f t="shared" si="9"/>
        <v>49.274879742562867</v>
      </c>
      <c r="S11" s="9">
        <f t="shared" si="10"/>
        <v>15008.846282167651</v>
      </c>
      <c r="T11" s="21">
        <f t="shared" si="11"/>
        <v>54.362624244992574</v>
      </c>
      <c r="U11" s="6"/>
      <c r="V11" s="6"/>
      <c r="W11" s="6"/>
      <c r="X11" s="6"/>
      <c r="Y11" s="6"/>
      <c r="Z11" s="6"/>
      <c r="AA11" s="6"/>
      <c r="AC11">
        <f t="shared" si="12"/>
        <v>11.719706539366136</v>
      </c>
      <c r="AD11">
        <f>AC8</f>
        <v>6.8701103962733701</v>
      </c>
      <c r="AE11">
        <f>P7</f>
        <v>300</v>
      </c>
      <c r="AF11">
        <f t="shared" si="1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103</v>
      </c>
      <c r="D12" s="6"/>
      <c r="E12" s="12" t="str">
        <f>C9</f>
        <v>BPR2040</v>
      </c>
      <c r="F12" s="62">
        <f>SUMIF(N4:N29,C9,Q4:Q29)/1000</f>
        <v>20</v>
      </c>
      <c r="G12" s="6"/>
      <c r="H12" s="20" t="str">
        <f t="shared" si="2"/>
        <v>Пропант</v>
      </c>
      <c r="I12" s="9">
        <f t="shared" si="3"/>
        <v>1.982714665452469</v>
      </c>
      <c r="J12" s="43">
        <f t="shared" si="0"/>
        <v>4</v>
      </c>
      <c r="K12" s="9">
        <f t="shared" si="4"/>
        <v>7.930858661809876</v>
      </c>
      <c r="L12" s="9">
        <f t="shared" si="5"/>
        <v>6.2389421472904356</v>
      </c>
      <c r="M12" s="43" t="str">
        <f t="shared" si="6"/>
        <v>DX42</v>
      </c>
      <c r="N12" s="43" t="str">
        <f t="shared" si="7"/>
        <v>BPR2040</v>
      </c>
      <c r="O12" s="43">
        <f t="shared" si="13"/>
        <v>800</v>
      </c>
      <c r="P12" s="43">
        <f t="shared" si="8"/>
        <v>800</v>
      </c>
      <c r="Q12" s="9">
        <f t="shared" si="14"/>
        <v>4991.1537178323488</v>
      </c>
      <c r="R12" s="9">
        <f t="shared" si="9"/>
        <v>55.513821889853304</v>
      </c>
      <c r="S12" s="9">
        <f t="shared" si="10"/>
        <v>20000</v>
      </c>
      <c r="T12" s="21">
        <f t="shared" si="11"/>
        <v>62.293482906802453</v>
      </c>
      <c r="U12" s="6"/>
      <c r="V12" s="6"/>
      <c r="W12" s="6"/>
      <c r="X12" s="6"/>
      <c r="Y12" s="6"/>
      <c r="Z12" s="6"/>
      <c r="AA12" s="6"/>
      <c r="AC12">
        <f t="shared" si="12"/>
        <v>13.590656061248144</v>
      </c>
      <c r="AD12">
        <f>AD11</f>
        <v>6.8701103962733701</v>
      </c>
      <c r="AE12">
        <f>O8</f>
        <v>400</v>
      </c>
      <c r="AF12">
        <f t="shared" si="1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104</v>
      </c>
      <c r="D13" s="6"/>
      <c r="E13" s="13" t="s">
        <v>34</v>
      </c>
      <c r="F13" s="14">
        <f>C3</f>
        <v>20</v>
      </c>
      <c r="G13" s="6"/>
      <c r="H13" s="20" t="str">
        <f t="shared" si="2"/>
        <v>Продавка</v>
      </c>
      <c r="I13" s="9">
        <f t="shared" si="3"/>
        <v>3.75</v>
      </c>
      <c r="J13" s="43">
        <f t="shared" si="0"/>
        <v>4</v>
      </c>
      <c r="K13" s="9">
        <f t="shared" si="4"/>
        <v>15</v>
      </c>
      <c r="L13" s="9">
        <f t="shared" si="5"/>
        <v>15</v>
      </c>
      <c r="M13" s="43" t="str">
        <f t="shared" si="6"/>
        <v>LG42</v>
      </c>
      <c r="N13" s="43" t="str">
        <f t="shared" si="7"/>
        <v>-</v>
      </c>
      <c r="O13" s="43" t="str">
        <f t="shared" si="13"/>
        <v>-</v>
      </c>
      <c r="P13" s="43" t="str">
        <f t="shared" si="8"/>
        <v>-</v>
      </c>
      <c r="Q13" s="9" t="str">
        <f t="shared" si="14"/>
        <v>-</v>
      </c>
      <c r="R13" s="9">
        <f t="shared" si="9"/>
        <v>70.513821889853304</v>
      </c>
      <c r="S13" s="9" t="str">
        <f t="shared" si="10"/>
        <v>-</v>
      </c>
      <c r="T13" s="21">
        <f t="shared" si="11"/>
        <v>77.293482906802453</v>
      </c>
      <c r="U13" s="6"/>
      <c r="V13" s="6"/>
      <c r="W13" s="6"/>
      <c r="X13" s="6"/>
      <c r="Y13" s="6"/>
      <c r="Z13" s="6"/>
      <c r="AA13" s="6"/>
      <c r="AC13">
        <f t="shared" si="12"/>
        <v>15.573370726700613</v>
      </c>
      <c r="AD13">
        <f>AC9</f>
        <v>8.3453453528465307</v>
      </c>
      <c r="AE13">
        <f>P8</f>
        <v>400</v>
      </c>
      <c r="AF13">
        <f t="shared" si="1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Остановка</v>
      </c>
      <c r="I14" s="9">
        <f t="shared" si="3"/>
        <v>120</v>
      </c>
      <c r="J14" s="43" t="str">
        <f t="shared" si="0"/>
        <v>-</v>
      </c>
      <c r="K14" s="9" t="str">
        <f t="shared" si="4"/>
        <v>-</v>
      </c>
      <c r="L14" s="9" t="str">
        <f t="shared" si="5"/>
        <v>-</v>
      </c>
      <c r="M14" s="43" t="str">
        <f t="shared" si="6"/>
        <v>-</v>
      </c>
      <c r="N14" s="43" t="str">
        <f t="shared" si="7"/>
        <v>-</v>
      </c>
      <c r="O14" s="43" t="str">
        <f t="shared" si="13"/>
        <v>-</v>
      </c>
      <c r="P14" s="43" t="str">
        <f t="shared" si="8"/>
        <v>-</v>
      </c>
      <c r="Q14" s="9" t="str">
        <f t="shared" si="14"/>
        <v>-</v>
      </c>
      <c r="R14" s="9" t="str">
        <f t="shared" si="9"/>
        <v>-</v>
      </c>
      <c r="S14" s="9" t="str">
        <f t="shared" si="10"/>
        <v>-</v>
      </c>
      <c r="T14" s="21" t="str">
        <f t="shared" si="11"/>
        <v>-</v>
      </c>
      <c r="U14" s="6"/>
      <c r="V14" s="6"/>
      <c r="W14" s="6"/>
      <c r="X14" s="6"/>
      <c r="Y14" s="6"/>
      <c r="Z14" s="6"/>
      <c r="AA14" s="6"/>
      <c r="AC14" s="5">
        <f t="shared" si="12"/>
        <v>19.323370726700613</v>
      </c>
      <c r="AD14">
        <f>AD13</f>
        <v>8.3453453528465307</v>
      </c>
      <c r="AE14">
        <f>O9</f>
        <v>500</v>
      </c>
      <c r="AF14">
        <f t="shared" si="1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500</v>
      </c>
      <c r="D15" s="6"/>
      <c r="E15" s="10"/>
      <c r="F15" s="11"/>
      <c r="G15" s="6"/>
      <c r="H15" s="20" t="str">
        <f t="shared" si="2"/>
        <v>-</v>
      </c>
      <c r="I15" s="9" t="str">
        <f t="shared" si="3"/>
        <v>-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13"/>
        <v>-</v>
      </c>
      <c r="P15" s="43" t="str">
        <f t="shared" si="8"/>
        <v>-</v>
      </c>
      <c r="Q15" s="9" t="str">
        <f t="shared" si="14"/>
        <v>-</v>
      </c>
      <c r="R15" s="9" t="str">
        <f t="shared" si="9"/>
        <v>-</v>
      </c>
      <c r="S15" s="9" t="str">
        <f t="shared" si="10"/>
        <v>-</v>
      </c>
      <c r="T15" s="21" t="str">
        <f t="shared" si="11"/>
        <v>-</v>
      </c>
      <c r="U15" s="6"/>
      <c r="V15" s="6"/>
      <c r="W15" s="6"/>
      <c r="X15" s="6"/>
      <c r="Y15" s="6"/>
      <c r="Z15" s="6"/>
      <c r="AA15" s="6"/>
      <c r="AC15">
        <f t="shared" si="12"/>
        <v>139.3233707267006</v>
      </c>
      <c r="AD15">
        <f>AC10</f>
        <v>9.9676810647559293</v>
      </c>
      <c r="AE15">
        <f>P9</f>
        <v>500</v>
      </c>
      <c r="AF15">
        <f t="shared" si="1"/>
        <v>4</v>
      </c>
      <c r="AH15">
        <v>2</v>
      </c>
      <c r="AI15">
        <v>2.15</v>
      </c>
    </row>
    <row r="16" spans="1:36" ht="15.75" customHeight="1" x14ac:dyDescent="0.25">
      <c r="A16" s="6"/>
      <c r="B16" s="35" t="s">
        <v>141</v>
      </c>
      <c r="C16" s="39">
        <v>55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13"/>
        <v>-</v>
      </c>
      <c r="P16" s="43" t="str">
        <f t="shared" si="8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 t="e">
        <f t="shared" si="12"/>
        <v>#VALUE!</v>
      </c>
      <c r="AD16">
        <f>AD15</f>
        <v>9.9676810647559293</v>
      </c>
      <c r="AE16">
        <f>O10</f>
        <v>600</v>
      </c>
      <c r="AF16">
        <f t="shared" si="1"/>
        <v>4</v>
      </c>
      <c r="AH16">
        <v>3</v>
      </c>
      <c r="AI16">
        <v>2.2999999999999998</v>
      </c>
    </row>
    <row r="17" spans="1:40" ht="16.149999999999999" customHeight="1" x14ac:dyDescent="0.25">
      <c r="A17" s="6"/>
      <c r="B17" s="24" t="s">
        <v>142</v>
      </c>
      <c r="C17" s="39" t="s">
        <v>103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13"/>
        <v>-</v>
      </c>
      <c r="P17" s="43" t="str">
        <f t="shared" si="8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 t="e">
        <f t="shared" si="12"/>
        <v>#VALUE!</v>
      </c>
      <c r="AD17">
        <f>AC11</f>
        <v>11.719706539366136</v>
      </c>
      <c r="AE17">
        <f>P10</f>
        <v>600</v>
      </c>
      <c r="AF17">
        <f t="shared" si="1"/>
        <v>4</v>
      </c>
    </row>
    <row r="18" spans="1:40" ht="15.75" customHeight="1" x14ac:dyDescent="0.25">
      <c r="A18" s="6"/>
      <c r="B18" s="35" t="s">
        <v>139</v>
      </c>
      <c r="C18" s="39" t="s">
        <v>103</v>
      </c>
      <c r="D18" s="6"/>
      <c r="E18" s="65">
        <f>IFERROR(C3/SUM(L4:L29), "-")</f>
        <v>0.28363233567514129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13"/>
        <v>-</v>
      </c>
      <c r="P18" s="43" t="str">
        <f t="shared" si="8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11.719706539366136</v>
      </c>
      <c r="AE18">
        <f>O11</f>
        <v>700</v>
      </c>
      <c r="AF18">
        <f t="shared" si="1"/>
        <v>4</v>
      </c>
      <c r="AH18" s="44" t="s">
        <v>52</v>
      </c>
      <c r="AI18" s="2">
        <f>IF(C7=-3,AI10,IF(C7=-2,AI11,IF(C7=-1,AI12,IF(C7=0,AI13,IF(C7=1,AI14,IF(C7=2,AI15,IF(C7=3,AI16)))))))</f>
        <v>2.15</v>
      </c>
    </row>
    <row r="19" spans="1:40" ht="18.75" customHeight="1" thickBot="1" x14ac:dyDescent="0.3">
      <c r="A19" s="6"/>
      <c r="B19" s="37" t="s">
        <v>140</v>
      </c>
      <c r="C19" s="47">
        <v>15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13"/>
        <v>-</v>
      </c>
      <c r="P19" s="43" t="str">
        <f t="shared" si="8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13.590656061248144</v>
      </c>
      <c r="AE19">
        <f>P11</f>
        <v>700</v>
      </c>
      <c r="AF19">
        <f t="shared" si="1"/>
        <v>4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13"/>
        <v>-</v>
      </c>
      <c r="P20" s="43" t="str">
        <f t="shared" si="8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13.590656061248144</v>
      </c>
      <c r="AE20">
        <f>O12</f>
        <v>800</v>
      </c>
      <c r="AF20">
        <f t="shared" si="1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13"/>
        <v>-</v>
      </c>
      <c r="P21" s="43" t="str">
        <f t="shared" si="8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15.573370726700613</v>
      </c>
      <c r="AE21">
        <f>P12</f>
        <v>800</v>
      </c>
      <c r="AF21">
        <f t="shared" si="1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13"/>
        <v>-</v>
      </c>
      <c r="P22" s="43" t="str">
        <f t="shared" si="8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15.573370726700613</v>
      </c>
      <c r="AE22" t="str">
        <f>O13</f>
        <v>-</v>
      </c>
      <c r="AF22">
        <f t="shared" si="1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13"/>
        <v>-</v>
      </c>
      <c r="P23" s="43" t="str">
        <f t="shared" si="8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19.323370726700613</v>
      </c>
      <c r="AE23" t="str">
        <f>P13</f>
        <v>-</v>
      </c>
      <c r="AF23">
        <f t="shared" si="1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13"/>
        <v>-</v>
      </c>
      <c r="P24" s="43" t="str">
        <f t="shared" si="8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19.323370726700613</v>
      </c>
      <c r="AE24" t="str">
        <f>O14</f>
        <v>-</v>
      </c>
      <c r="AF24">
        <f t="shared" si="1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13"/>
        <v>-</v>
      </c>
      <c r="P25" s="43" t="str">
        <f t="shared" si="8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139.3233707267006</v>
      </c>
      <c r="AE25" t="str">
        <f>P14</f>
        <v>-</v>
      </c>
      <c r="AF25">
        <f t="shared" si="1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13"/>
        <v>-</v>
      </c>
      <c r="P26" s="43" t="str">
        <f t="shared" si="8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139.3233707267006</v>
      </c>
      <c r="AE26" t="str">
        <f>O15</f>
        <v>-</v>
      </c>
      <c r="AF26">
        <f t="shared" si="1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13"/>
        <v>-</v>
      </c>
      <c r="P27" s="43" t="str">
        <f t="shared" si="8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 t="e">
        <f>AC16</f>
        <v>#VALUE!</v>
      </c>
      <c r="AE27" t="str">
        <f>P15</f>
        <v>-</v>
      </c>
      <c r="AF27">
        <f t="shared" si="1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13"/>
        <v>-</v>
      </c>
      <c r="P28" s="43" t="str">
        <f t="shared" si="8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 t="e">
        <f>AD27</f>
        <v>#VALUE!</v>
      </c>
      <c r="AE28" t="str">
        <f>O16</f>
        <v>-</v>
      </c>
      <c r="AF28">
        <f t="shared" si="1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13"/>
        <v>-</v>
      </c>
      <c r="P29" s="43" t="str">
        <f t="shared" si="8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 t="e">
        <f>AC17</f>
        <v>#VALUE!</v>
      </c>
      <c r="AE29" t="str">
        <f>P16</f>
        <v>-</v>
      </c>
      <c r="AF29">
        <f t="shared" si="1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3" t="str">
        <f t="shared" si="0"/>
        <v>-</v>
      </c>
      <c r="K30" s="9" t="str">
        <f t="shared" si="4"/>
        <v>-</v>
      </c>
      <c r="L30" s="9" t="str">
        <f t="shared" si="5"/>
        <v>-</v>
      </c>
      <c r="M30" s="43" t="str">
        <f t="shared" si="6"/>
        <v>-</v>
      </c>
      <c r="N30" s="43" t="str">
        <f t="shared" si="7"/>
        <v>-</v>
      </c>
      <c r="O30" s="43" t="str">
        <f t="shared" si="13"/>
        <v>-</v>
      </c>
      <c r="P30" s="43" t="str">
        <f t="shared" si="8"/>
        <v>-</v>
      </c>
      <c r="Q30" s="9" t="str">
        <f t="shared" si="14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 t="e">
        <f>AD29</f>
        <v>#VALUE!</v>
      </c>
      <c r="AE30" t="str">
        <f>O17</f>
        <v>-</v>
      </c>
      <c r="AF30">
        <f t="shared" si="1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P17</f>
        <v>-</v>
      </c>
      <c r="AF31">
        <f t="shared" si="1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O18</f>
        <v>-</v>
      </c>
      <c r="AF32">
        <f t="shared" si="1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P18</f>
        <v>-</v>
      </c>
      <c r="AF33">
        <f t="shared" si="1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O19</f>
        <v>-</v>
      </c>
      <c r="AF34">
        <f t="shared" si="1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P19</f>
        <v>-</v>
      </c>
      <c r="AF35">
        <f t="shared" si="1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O20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P20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O21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P21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O22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P22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O23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P23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O24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P24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O25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P25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O26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P26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O27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P27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O28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P28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O29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15.729104433967615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</row>
    <row r="76" spans="1:27" x14ac:dyDescent="0.25">
      <c r="E76">
        <v>1</v>
      </c>
      <c r="F76" s="53">
        <f t="shared" ref="F76:F101" si="17">IF(O5="-","-",O5/$C$4)</f>
        <v>0.125</v>
      </c>
      <c r="G76" s="53">
        <f t="shared" ref="G76:G101" si="18">IF(F76="-","-",F76^$AI$18)</f>
        <v>1.1438169499575207E-2</v>
      </c>
    </row>
    <row r="77" spans="1:27" x14ac:dyDescent="0.25">
      <c r="E77">
        <v>2</v>
      </c>
      <c r="F77" s="53">
        <f t="shared" si="17"/>
        <v>0.25</v>
      </c>
      <c r="G77" s="53">
        <f t="shared" si="18"/>
        <v>5.0765774772264724E-2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0.375</v>
      </c>
      <c r="G78" s="53">
        <f t="shared" si="18"/>
        <v>0.12138561572695659</v>
      </c>
      <c r="I78" s="54" t="s">
        <v>128</v>
      </c>
      <c r="J78" s="54">
        <f>C4/C6</f>
        <v>8</v>
      </c>
    </row>
    <row r="79" spans="1:27" x14ac:dyDescent="0.25">
      <c r="E79">
        <v>4</v>
      </c>
      <c r="F79" s="53">
        <f t="shared" si="17"/>
        <v>0.5</v>
      </c>
      <c r="G79" s="53">
        <f t="shared" si="18"/>
        <v>0.22531261565270758</v>
      </c>
      <c r="I79" s="54" t="s">
        <v>129</v>
      </c>
      <c r="J79" s="54">
        <f>(1-C16/100)^2+J77</f>
        <v>0.25249999999999995</v>
      </c>
    </row>
    <row r="80" spans="1:27" x14ac:dyDescent="0.25">
      <c r="E80">
        <v>5</v>
      </c>
      <c r="F80" s="53">
        <f t="shared" si="17"/>
        <v>0.625</v>
      </c>
      <c r="G80" s="53">
        <f t="shared" si="18"/>
        <v>0.3640340750768446</v>
      </c>
    </row>
    <row r="81" spans="5:10" x14ac:dyDescent="0.25">
      <c r="E81">
        <v>6</v>
      </c>
      <c r="F81" s="53">
        <f t="shared" si="17"/>
        <v>0.75</v>
      </c>
      <c r="G81" s="53">
        <f t="shared" si="18"/>
        <v>0.53874309423515809</v>
      </c>
      <c r="I81" s="34" t="s">
        <v>130</v>
      </c>
      <c r="J81" s="34">
        <f>((1-C16/100)^2+J82)</f>
        <v>0.25249999999999995</v>
      </c>
    </row>
    <row r="82" spans="5:10" x14ac:dyDescent="0.25">
      <c r="E82">
        <v>7</v>
      </c>
      <c r="F82" s="53">
        <f t="shared" si="17"/>
        <v>0.875</v>
      </c>
      <c r="G82" s="53">
        <f t="shared" si="18"/>
        <v>0.75044231410838258</v>
      </c>
      <c r="I82" s="34" t="s">
        <v>131</v>
      </c>
      <c r="J82" s="34">
        <f>IF(C16&gt;20,0.05,0.25*(C16/100))</f>
        <v>0.05</v>
      </c>
    </row>
    <row r="83" spans="5:10" x14ac:dyDescent="0.25">
      <c r="E83">
        <v>8</v>
      </c>
      <c r="F83" s="53">
        <f t="shared" si="17"/>
        <v>1</v>
      </c>
      <c r="G83" s="53">
        <f t="shared" si="18"/>
        <v>1</v>
      </c>
      <c r="I83" s="34" t="s">
        <v>132</v>
      </c>
      <c r="J83" s="34" t="e">
        <f>IF(#REF!&gt;20,0.05,0.25*(#REF!/100))</f>
        <v>#REF!</v>
      </c>
    </row>
    <row r="84" spans="5:10" x14ac:dyDescent="0.25">
      <c r="E84">
        <v>9</v>
      </c>
      <c r="F84" s="53" t="str">
        <f t="shared" si="17"/>
        <v>-</v>
      </c>
      <c r="G84" s="53" t="str">
        <f t="shared" si="18"/>
        <v>-</v>
      </c>
    </row>
    <row r="85" spans="5:10" x14ac:dyDescent="0.25">
      <c r="E85">
        <v>10</v>
      </c>
      <c r="F85" s="53" t="str">
        <f t="shared" si="17"/>
        <v>-</v>
      </c>
      <c r="G85" s="53" t="str">
        <f t="shared" si="18"/>
        <v>-</v>
      </c>
    </row>
    <row r="86" spans="5:10" x14ac:dyDescent="0.25">
      <c r="E86">
        <v>11</v>
      </c>
      <c r="F86" s="53" t="str">
        <f t="shared" si="17"/>
        <v>-</v>
      </c>
      <c r="G86" s="53" t="str">
        <f t="shared" si="18"/>
        <v>-</v>
      </c>
    </row>
    <row r="87" spans="5:10" x14ac:dyDescent="0.25">
      <c r="E87">
        <v>12</v>
      </c>
      <c r="F87" s="53" t="str">
        <f t="shared" si="17"/>
        <v>-</v>
      </c>
      <c r="G87" s="53" t="str">
        <f t="shared" si="18"/>
        <v>-</v>
      </c>
    </row>
    <row r="88" spans="5:10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10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10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10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10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10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10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10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10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1" spans="5:7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2.95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2.95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disablePrompts="1"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17:C18">
      <formula1>$AK$23:$AK$58</formula1>
    </dataValidation>
  </dataValidation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58" workbookViewId="0">
      <selection activeCell="I5" sqref="I5:I30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5.6917281363740075</v>
      </c>
      <c r="J4" s="43">
        <f t="shared" ref="J4:J30" si="0">IF(K4="-","-",$C$5)</f>
        <v>4</v>
      </c>
      <c r="K4" s="9">
        <f>IFERROR(J73, "-")</f>
        <v>22.76691254549603</v>
      </c>
      <c r="L4" s="9">
        <f>IFERROR(K4,0)</f>
        <v>22.76691254549603</v>
      </c>
      <c r="M4" s="43" t="str">
        <f>IF(L4="-","-",$C$17)</f>
        <v>LG28</v>
      </c>
      <c r="N4" s="43"/>
      <c r="O4" s="43"/>
      <c r="P4" s="43"/>
      <c r="Q4" s="9"/>
      <c r="R4" s="9">
        <f>IF(L4="-","-",L4)</f>
        <v>22.76691254549603</v>
      </c>
      <c r="S4" s="9"/>
      <c r="T4" s="21">
        <f>IF(K4="-","-",K4)</f>
        <v>22.76691254549603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4</v>
      </c>
      <c r="AI4" t="s">
        <v>27</v>
      </c>
      <c r="AJ4" s="5">
        <f>SUM(K5:K30)-$C$19</f>
        <v>68.300737636488094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IF(E5="","",SUMIF(M4:M29,C11,L4:L29))</f>
        <v/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1.5502757555153894</v>
      </c>
      <c r="J5" s="43">
        <f t="shared" si="0"/>
        <v>4</v>
      </c>
      <c r="K5" s="9">
        <f t="shared" ref="K5:K30" si="4">IF(S4=$C$3*1000,$C$19,IFERROR(L5+Q5/(IF(N5=$C$8,$G$103,$G$104)*1000),"-"))</f>
        <v>6.2011030220615577</v>
      </c>
      <c r="L5" s="9">
        <f t="shared" ref="L5:L30" si="5">IF(S4=$C$3*1000,$C$19,IFERROR(Q5/O5,"-"))</f>
        <v>5.9857869449066428</v>
      </c>
      <c r="M5" s="43" t="str">
        <f t="shared" ref="M5:M30" si="6">IF(H5="Продавка",$C$18, IF(L5="-","-",IF(P5&lt;=$C$14,$C$11,IF(P5&gt;$C$15,$C$13,$C$12))))</f>
        <v>LG28</v>
      </c>
      <c r="N5" s="43" t="str">
        <f t="shared" ref="N5:N30" si="7">IF(P5="-","-",IF(P5&lt;$C$10,$C$8,$C$9))</f>
        <v>20/40 Новатэк</v>
      </c>
      <c r="O5" s="43">
        <f>IFERROR(O4+($C$4-O4)/($J$78-D5),"-")</f>
        <v>100</v>
      </c>
      <c r="P5" s="43">
        <f t="shared" ref="P5:P30" si="8">O5</f>
        <v>100</v>
      </c>
      <c r="Q5" s="9">
        <f>IF(S5="-","-",S5)</f>
        <v>598.57869449066425</v>
      </c>
      <c r="R5" s="9">
        <f t="shared" ref="R5:R30" si="9">IFERROR(IF(L5="-","-",R4+L5),"-")</f>
        <v>28.752699490402673</v>
      </c>
      <c r="S5" s="9">
        <f t="shared" ref="S5:S30" si="10">IF(G76="-","-",G76*$C$3*1000)</f>
        <v>598.57869449066425</v>
      </c>
      <c r="T5" s="21">
        <f t="shared" ref="T5:T30" si="11">IFERROR(IF(K5="-","-",T4+K5),"-")</f>
        <v>28.968015567557586</v>
      </c>
      <c r="U5" s="6"/>
      <c r="V5" s="6"/>
      <c r="W5" s="6"/>
      <c r="X5" s="6"/>
      <c r="Y5" s="6"/>
      <c r="Z5" s="6"/>
      <c r="AA5" s="6"/>
      <c r="AC5" s="5">
        <f t="shared" ref="AC5:AC30" si="12">AC4+I4</f>
        <v>5.6917281363740075</v>
      </c>
      <c r="AD5">
        <f>AC5</f>
        <v>5.6917281363740075</v>
      </c>
      <c r="AE5">
        <f>P4</f>
        <v>0</v>
      </c>
      <c r="AF5">
        <f t="shared" si="1"/>
        <v>4</v>
      </c>
      <c r="AI5" t="s">
        <v>29</v>
      </c>
      <c r="AJ5">
        <f>AJ4/(1-$C$16/100)</f>
        <v>91.067650181984121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SUMIF(M4:M29,C12,L4:L29)</f>
        <v>74.448180399406723</v>
      </c>
      <c r="G6" s="6"/>
      <c r="H6" s="20" t="str">
        <f t="shared" si="2"/>
        <v>Пропант</v>
      </c>
      <c r="I6" s="9">
        <f t="shared" si="3"/>
        <v>1.8038235072801894</v>
      </c>
      <c r="J6" s="43">
        <f t="shared" si="0"/>
        <v>4</v>
      </c>
      <c r="K6" s="9">
        <f t="shared" si="4"/>
        <v>7.2152940291207575</v>
      </c>
      <c r="L6" s="9">
        <f t="shared" si="5"/>
        <v>6.7310461077032571</v>
      </c>
      <c r="M6" s="43" t="str">
        <f t="shared" si="6"/>
        <v>LG28</v>
      </c>
      <c r="N6" s="43" t="str">
        <f t="shared" si="7"/>
        <v>20/40 Новатэк</v>
      </c>
      <c r="O6" s="43">
        <f t="shared" ref="O6:O30" si="13">IFERROR(O5+($C$4-O5)/($J$78-E76),"-")</f>
        <v>200</v>
      </c>
      <c r="P6" s="43">
        <f t="shared" si="8"/>
        <v>200</v>
      </c>
      <c r="Q6" s="9">
        <f t="shared" ref="Q6:Q30" si="14">IF(S6="-","-",S6-S5)</f>
        <v>1346.2092215406515</v>
      </c>
      <c r="R6" s="9">
        <f t="shared" si="9"/>
        <v>35.483745598105926</v>
      </c>
      <c r="S6" s="9">
        <f t="shared" si="10"/>
        <v>1944.7879160313157</v>
      </c>
      <c r="T6" s="21">
        <f t="shared" si="11"/>
        <v>36.183309596678342</v>
      </c>
      <c r="U6" s="6"/>
      <c r="V6" s="6"/>
      <c r="W6" s="6"/>
      <c r="X6" s="6"/>
      <c r="Y6" s="6"/>
      <c r="Z6" s="6"/>
      <c r="AA6" s="6"/>
      <c r="AC6" s="5">
        <f t="shared" si="12"/>
        <v>7.2420038918893965</v>
      </c>
      <c r="AD6">
        <f>AD5</f>
        <v>5.6917281363740075</v>
      </c>
      <c r="AE6">
        <f>O5</f>
        <v>100</v>
      </c>
      <c r="AF6">
        <f t="shared" si="1"/>
        <v>4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SUMIF(M4:M29,C13,L4:L29)</f>
        <v>20.575703564413853</v>
      </c>
      <c r="G7" s="6"/>
      <c r="H7" s="20" t="str">
        <f t="shared" si="2"/>
        <v>Пропант</v>
      </c>
      <c r="I7" s="9">
        <f t="shared" si="3"/>
        <v>1.7817252194099888</v>
      </c>
      <c r="J7" s="43">
        <f t="shared" si="0"/>
        <v>4</v>
      </c>
      <c r="K7" s="9">
        <f t="shared" si="4"/>
        <v>7.1269008776399554</v>
      </c>
      <c r="L7" s="9">
        <f t="shared" si="5"/>
        <v>6.4327222207269728</v>
      </c>
      <c r="M7" s="43" t="str">
        <f t="shared" si="6"/>
        <v>LG28</v>
      </c>
      <c r="N7" s="43" t="str">
        <f t="shared" si="7"/>
        <v>20/40 Новатэк</v>
      </c>
      <c r="O7" s="43">
        <f t="shared" si="13"/>
        <v>300</v>
      </c>
      <c r="P7" s="43">
        <f t="shared" si="8"/>
        <v>300</v>
      </c>
      <c r="Q7" s="9">
        <f t="shared" si="14"/>
        <v>1929.8166662180918</v>
      </c>
      <c r="R7" s="9">
        <f t="shared" si="9"/>
        <v>41.916467818832899</v>
      </c>
      <c r="S7" s="9">
        <f t="shared" si="10"/>
        <v>3874.6045822494075</v>
      </c>
      <c r="T7" s="21">
        <f t="shared" si="11"/>
        <v>43.310210474318296</v>
      </c>
      <c r="U7" s="6"/>
      <c r="V7" s="6"/>
      <c r="W7" s="6"/>
      <c r="X7" s="6"/>
      <c r="Y7" s="6"/>
      <c r="Z7" s="6"/>
      <c r="AA7" s="6"/>
      <c r="AC7" s="5">
        <f t="shared" si="12"/>
        <v>9.0458273991695854</v>
      </c>
      <c r="AD7" s="5">
        <f>AC6</f>
        <v>7.2420038918893965</v>
      </c>
      <c r="AE7">
        <f>P5</f>
        <v>100</v>
      </c>
      <c r="AF7">
        <f t="shared" si="1"/>
        <v>4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SUM(L4:L30)</f>
        <v>95.023883963820566</v>
      </c>
      <c r="G8" s="6"/>
      <c r="H8" s="20" t="str">
        <f t="shared" si="2"/>
        <v>Пропант</v>
      </c>
      <c r="I8" s="9">
        <f t="shared" si="3"/>
        <v>1.7473056194704777</v>
      </c>
      <c r="J8" s="43">
        <f t="shared" si="0"/>
        <v>4</v>
      </c>
      <c r="K8" s="9">
        <f t="shared" si="4"/>
        <v>6.9892224778819108</v>
      </c>
      <c r="L8" s="9">
        <f t="shared" si="5"/>
        <v>6.1100749963873309</v>
      </c>
      <c r="M8" s="43" t="str">
        <f t="shared" si="6"/>
        <v>LG28</v>
      </c>
      <c r="N8" s="43" t="str">
        <f t="shared" si="7"/>
        <v>20/40 Новатэк</v>
      </c>
      <c r="O8" s="43">
        <f t="shared" si="13"/>
        <v>400</v>
      </c>
      <c r="P8" s="43">
        <f t="shared" si="8"/>
        <v>400</v>
      </c>
      <c r="Q8" s="9">
        <f t="shared" si="14"/>
        <v>2444.0299985549323</v>
      </c>
      <c r="R8" s="9">
        <f t="shared" si="9"/>
        <v>48.026542815220232</v>
      </c>
      <c r="S8" s="9">
        <f t="shared" si="10"/>
        <v>6318.6345808043397</v>
      </c>
      <c r="T8" s="21">
        <f t="shared" si="11"/>
        <v>50.299432952200206</v>
      </c>
      <c r="U8" s="6"/>
      <c r="V8" s="6"/>
      <c r="W8" s="6"/>
      <c r="X8" s="6"/>
      <c r="Y8" s="6"/>
      <c r="Z8" s="6"/>
      <c r="AA8" s="6"/>
      <c r="AC8">
        <f t="shared" si="12"/>
        <v>10.827552618579574</v>
      </c>
      <c r="AD8" s="5">
        <f>AD7</f>
        <v>7.2420038918893965</v>
      </c>
      <c r="AE8">
        <f>O6</f>
        <v>200</v>
      </c>
      <c r="AF8">
        <f t="shared" si="1"/>
        <v>4</v>
      </c>
      <c r="AI8">
        <f>C3/AJ4</f>
        <v>0.43923390929782863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1.7273769003155741</v>
      </c>
      <c r="J9" s="43">
        <f t="shared" si="0"/>
        <v>4</v>
      </c>
      <c r="K9" s="9">
        <f t="shared" si="4"/>
        <v>6.9095076012622965</v>
      </c>
      <c r="L9" s="9">
        <f t="shared" si="5"/>
        <v>5.829897038565063</v>
      </c>
      <c r="M9" s="43" t="str">
        <f t="shared" si="6"/>
        <v>LG28</v>
      </c>
      <c r="N9" s="43" t="str">
        <f t="shared" si="7"/>
        <v>16/20 Новатэк</v>
      </c>
      <c r="O9" s="43">
        <f t="shared" si="13"/>
        <v>500</v>
      </c>
      <c r="P9" s="43">
        <f t="shared" si="8"/>
        <v>500</v>
      </c>
      <c r="Q9" s="9">
        <f t="shared" si="14"/>
        <v>2914.9485192825314</v>
      </c>
      <c r="R9" s="9">
        <f t="shared" si="9"/>
        <v>53.856439853785297</v>
      </c>
      <c r="S9" s="9">
        <f t="shared" si="10"/>
        <v>9233.5831000868711</v>
      </c>
      <c r="T9" s="21">
        <f t="shared" si="11"/>
        <v>57.208940553462504</v>
      </c>
      <c r="U9" s="6"/>
      <c r="V9" s="6"/>
      <c r="W9" s="6"/>
      <c r="X9" s="6"/>
      <c r="Y9" s="6"/>
      <c r="Z9" s="6"/>
      <c r="AA9" s="6"/>
      <c r="AC9">
        <f t="shared" si="12"/>
        <v>12.574858238050052</v>
      </c>
      <c r="AD9">
        <f>AC7</f>
        <v>9.0458273991695854</v>
      </c>
      <c r="AE9">
        <f>P6</f>
        <v>200</v>
      </c>
      <c r="AF9">
        <f t="shared" si="1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1.7085873889398813</v>
      </c>
      <c r="J10" s="43">
        <f t="shared" si="0"/>
        <v>4</v>
      </c>
      <c r="K10" s="9">
        <f t="shared" si="4"/>
        <v>6.8343495557595251</v>
      </c>
      <c r="L10" s="9">
        <f t="shared" si="5"/>
        <v>5.5917405456214295</v>
      </c>
      <c r="M10" s="43" t="str">
        <f t="shared" si="6"/>
        <v>LG28</v>
      </c>
      <c r="N10" s="43" t="str">
        <f t="shared" si="7"/>
        <v>16/20 Новатэк</v>
      </c>
      <c r="O10" s="43">
        <f t="shared" si="13"/>
        <v>600</v>
      </c>
      <c r="P10" s="43">
        <f t="shared" si="8"/>
        <v>600</v>
      </c>
      <c r="Q10" s="9">
        <f t="shared" si="14"/>
        <v>3355.0443273728579</v>
      </c>
      <c r="R10" s="9">
        <f t="shared" si="9"/>
        <v>59.448180399406723</v>
      </c>
      <c r="S10" s="9">
        <f t="shared" si="10"/>
        <v>12588.627427459729</v>
      </c>
      <c r="T10" s="21">
        <f t="shared" si="11"/>
        <v>64.043290109222028</v>
      </c>
      <c r="U10" s="6"/>
      <c r="V10" s="6"/>
      <c r="W10" s="6"/>
      <c r="X10" s="6"/>
      <c r="Y10" s="6"/>
      <c r="Z10" s="6"/>
      <c r="AA10" s="6"/>
      <c r="AC10">
        <f t="shared" si="12"/>
        <v>14.302235138365626</v>
      </c>
      <c r="AD10">
        <f>AD9</f>
        <v>9.0458273991695854</v>
      </c>
      <c r="AE10">
        <f>O7</f>
        <v>300</v>
      </c>
      <c r="AF10">
        <f t="shared" si="1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IF(E11="","",SUMIF(N4:N29,C8,Q4:Q29)/1000)</f>
        <v>6.31863458080434</v>
      </c>
      <c r="G11" s="6"/>
      <c r="H11" s="20" t="str">
        <f t="shared" si="2"/>
        <v>Пропант</v>
      </c>
      <c r="I11" s="9">
        <f t="shared" si="3"/>
        <v>1.6961982686913992</v>
      </c>
      <c r="J11" s="43">
        <f t="shared" si="0"/>
        <v>4</v>
      </c>
      <c r="K11" s="9">
        <f t="shared" si="4"/>
        <v>6.7847930747655969</v>
      </c>
      <c r="L11" s="9">
        <f t="shared" si="5"/>
        <v>5.3879239123138563</v>
      </c>
      <c r="M11" s="43" t="str">
        <f t="shared" si="6"/>
        <v>DX28</v>
      </c>
      <c r="N11" s="43" t="str">
        <f t="shared" si="7"/>
        <v>16/20 Новатэк</v>
      </c>
      <c r="O11" s="43">
        <f t="shared" si="13"/>
        <v>700</v>
      </c>
      <c r="P11" s="43">
        <f t="shared" si="8"/>
        <v>700</v>
      </c>
      <c r="Q11" s="9">
        <f t="shared" si="14"/>
        <v>3771.5467386196997</v>
      </c>
      <c r="R11" s="9">
        <f t="shared" si="9"/>
        <v>64.836104311720575</v>
      </c>
      <c r="S11" s="9">
        <f t="shared" si="10"/>
        <v>16360.174166079429</v>
      </c>
      <c r="T11" s="21">
        <f t="shared" si="11"/>
        <v>70.82808318398763</v>
      </c>
      <c r="U11" s="6"/>
      <c r="V11" s="6"/>
      <c r="W11" s="6"/>
      <c r="X11" s="6"/>
      <c r="Y11" s="6"/>
      <c r="Z11" s="6"/>
      <c r="AA11" s="6"/>
      <c r="AC11">
        <f t="shared" si="12"/>
        <v>16.010822527305507</v>
      </c>
      <c r="AD11">
        <f>AC8</f>
        <v>10.827552618579574</v>
      </c>
      <c r="AE11">
        <f>P7</f>
        <v>300</v>
      </c>
      <c r="AF11">
        <f t="shared" si="1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SUMIF(N4:N29,C9,Q4:Q29)/1000</f>
        <v>23.681365419195661</v>
      </c>
      <c r="G12" s="6"/>
      <c r="H12" s="20" t="str">
        <f t="shared" si="2"/>
        <v>Пропант</v>
      </c>
      <c r="I12" s="9">
        <f t="shared" si="3"/>
        <v>1.6888837428391033</v>
      </c>
      <c r="J12" s="43">
        <f t="shared" si="0"/>
        <v>4</v>
      </c>
      <c r="K12" s="9">
        <f t="shared" si="4"/>
        <v>6.755534971356413</v>
      </c>
      <c r="L12" s="9">
        <f t="shared" si="5"/>
        <v>5.2114126921892332</v>
      </c>
      <c r="M12" s="43" t="str">
        <f t="shared" si="6"/>
        <v>DX28</v>
      </c>
      <c r="N12" s="43" t="str">
        <f t="shared" si="7"/>
        <v>16/20 Новатэк</v>
      </c>
      <c r="O12" s="43">
        <f t="shared" si="13"/>
        <v>800</v>
      </c>
      <c r="P12" s="43">
        <f t="shared" si="8"/>
        <v>800</v>
      </c>
      <c r="Q12" s="9">
        <f t="shared" si="14"/>
        <v>4169.1301537513864</v>
      </c>
      <c r="R12" s="9">
        <f t="shared" si="9"/>
        <v>70.047517003909803</v>
      </c>
      <c r="S12" s="9">
        <f t="shared" si="10"/>
        <v>20529.304319830815</v>
      </c>
      <c r="T12" s="21">
        <f t="shared" si="11"/>
        <v>77.583618155344041</v>
      </c>
      <c r="U12" s="6"/>
      <c r="V12" s="6"/>
      <c r="W12" s="6"/>
      <c r="X12" s="6"/>
      <c r="Y12" s="6"/>
      <c r="Z12" s="6"/>
      <c r="AA12" s="6"/>
      <c r="AC12">
        <f t="shared" si="12"/>
        <v>17.707020795996907</v>
      </c>
      <c r="AD12">
        <f>AD11</f>
        <v>10.827552618579574</v>
      </c>
      <c r="AE12">
        <f>O8</f>
        <v>400</v>
      </c>
      <c r="AF12">
        <f t="shared" si="1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3"/>
        <v>1.6855709324719268</v>
      </c>
      <c r="J13" s="43">
        <f t="shared" si="0"/>
        <v>4</v>
      </c>
      <c r="K13" s="9">
        <f t="shared" si="4"/>
        <v>6.7422837298877072</v>
      </c>
      <c r="L13" s="9">
        <f t="shared" si="5"/>
        <v>5.0567127974157806</v>
      </c>
      <c r="M13" s="43" t="str">
        <f t="shared" si="6"/>
        <v>DX28</v>
      </c>
      <c r="N13" s="43" t="str">
        <f t="shared" si="7"/>
        <v>16/20 Новатэк</v>
      </c>
      <c r="O13" s="43">
        <f t="shared" si="13"/>
        <v>900</v>
      </c>
      <c r="P13" s="43">
        <f t="shared" si="8"/>
        <v>900</v>
      </c>
      <c r="Q13" s="9">
        <f t="shared" si="14"/>
        <v>4551.0415176742026</v>
      </c>
      <c r="R13" s="9">
        <f t="shared" si="9"/>
        <v>75.104229801325587</v>
      </c>
      <c r="S13" s="9">
        <f t="shared" si="10"/>
        <v>25080.345837505018</v>
      </c>
      <c r="T13" s="21">
        <f t="shared" si="11"/>
        <v>84.325901885231744</v>
      </c>
      <c r="U13" s="6"/>
      <c r="V13" s="6"/>
      <c r="W13" s="6"/>
      <c r="X13" s="6"/>
      <c r="Y13" s="6"/>
      <c r="Z13" s="6"/>
      <c r="AA13" s="6"/>
      <c r="AC13">
        <f t="shared" si="12"/>
        <v>19.39590453883601</v>
      </c>
      <c r="AD13">
        <f>AC9</f>
        <v>12.574858238050052</v>
      </c>
      <c r="AE13">
        <f>P8</f>
        <v>400</v>
      </c>
      <c r="AF13">
        <f t="shared" si="1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Пропант</v>
      </c>
      <c r="I14" s="9">
        <f t="shared" si="3"/>
        <v>1.6854370741880957</v>
      </c>
      <c r="J14" s="43">
        <f t="shared" si="0"/>
        <v>4</v>
      </c>
      <c r="K14" s="9">
        <f t="shared" si="4"/>
        <v>6.741748296752383</v>
      </c>
      <c r="L14" s="9">
        <f t="shared" si="5"/>
        <v>4.9196541624949823</v>
      </c>
      <c r="M14" s="43" t="str">
        <f t="shared" si="6"/>
        <v>DX28</v>
      </c>
      <c r="N14" s="43" t="str">
        <f t="shared" si="7"/>
        <v>16/20 Новатэк</v>
      </c>
      <c r="O14" s="43">
        <f t="shared" si="13"/>
        <v>1000</v>
      </c>
      <c r="P14" s="43">
        <f t="shared" si="8"/>
        <v>1000</v>
      </c>
      <c r="Q14" s="9">
        <f t="shared" si="14"/>
        <v>4919.6541624949823</v>
      </c>
      <c r="R14" s="9">
        <f t="shared" si="9"/>
        <v>80.023883963820566</v>
      </c>
      <c r="S14" s="9">
        <f t="shared" si="10"/>
        <v>30000</v>
      </c>
      <c r="T14" s="21">
        <f t="shared" si="11"/>
        <v>91.067650181984121</v>
      </c>
      <c r="U14" s="6"/>
      <c r="V14" s="6"/>
      <c r="W14" s="6"/>
      <c r="X14" s="6"/>
      <c r="Y14" s="6"/>
      <c r="Z14" s="6"/>
      <c r="AA14" s="6"/>
      <c r="AC14" s="5">
        <f t="shared" si="12"/>
        <v>21.081475471307936</v>
      </c>
      <c r="AD14">
        <f>AD13</f>
        <v>12.574858238050052</v>
      </c>
      <c r="AE14">
        <f>O9</f>
        <v>500</v>
      </c>
      <c r="AF14">
        <f t="shared" si="1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2"/>
        <v>Продавка</v>
      </c>
      <c r="I15" s="9">
        <f t="shared" si="3"/>
        <v>3.75</v>
      </c>
      <c r="J15" s="43">
        <f t="shared" si="0"/>
        <v>4</v>
      </c>
      <c r="K15" s="9">
        <f t="shared" si="4"/>
        <v>15</v>
      </c>
      <c r="L15" s="9">
        <f t="shared" si="5"/>
        <v>15</v>
      </c>
      <c r="M15" s="43" t="str">
        <f t="shared" si="6"/>
        <v>LG28</v>
      </c>
      <c r="N15" s="43" t="str">
        <f t="shared" si="7"/>
        <v>-</v>
      </c>
      <c r="O15" s="43" t="str">
        <f t="shared" si="13"/>
        <v>-</v>
      </c>
      <c r="P15" s="43" t="str">
        <f t="shared" si="8"/>
        <v>-</v>
      </c>
      <c r="Q15" s="9" t="str">
        <f t="shared" si="14"/>
        <v>-</v>
      </c>
      <c r="R15" s="9">
        <f t="shared" si="9"/>
        <v>95.023883963820566</v>
      </c>
      <c r="S15" s="9" t="str">
        <f t="shared" si="10"/>
        <v>-</v>
      </c>
      <c r="T15" s="21">
        <f t="shared" si="11"/>
        <v>106.06765018198412</v>
      </c>
      <c r="U15" s="6"/>
      <c r="V15" s="6"/>
      <c r="W15" s="6"/>
      <c r="X15" s="6"/>
      <c r="Y15" s="6"/>
      <c r="Z15" s="6"/>
      <c r="AA15" s="6"/>
      <c r="AC15">
        <f t="shared" si="12"/>
        <v>22.76691254549603</v>
      </c>
      <c r="AD15">
        <f>AC10</f>
        <v>14.302235138365626</v>
      </c>
      <c r="AE15">
        <f>P9</f>
        <v>500</v>
      </c>
      <c r="AF15">
        <f t="shared" si="1"/>
        <v>4</v>
      </c>
      <c r="AH15">
        <v>2</v>
      </c>
      <c r="AI15">
        <v>2.15</v>
      </c>
    </row>
    <row r="16" spans="1:36" ht="15.75" customHeight="1" x14ac:dyDescent="0.25">
      <c r="A16" s="6"/>
      <c r="B16" s="35" t="s">
        <v>135</v>
      </c>
      <c r="C16" s="39">
        <v>25</v>
      </c>
      <c r="D16" s="6"/>
      <c r="E16" s="10"/>
      <c r="F16" s="11"/>
      <c r="G16" s="6"/>
      <c r="H16" s="20" t="str">
        <f t="shared" si="2"/>
        <v>Остановка</v>
      </c>
      <c r="I16" s="9">
        <f t="shared" si="3"/>
        <v>120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13"/>
        <v>-</v>
      </c>
      <c r="P16" s="43" t="str">
        <f t="shared" si="8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>
        <f t="shared" si="12"/>
        <v>26.51691254549603</v>
      </c>
      <c r="AD16">
        <f>AD15</f>
        <v>14.302235138365626</v>
      </c>
      <c r="AE16">
        <f>O10</f>
        <v>600</v>
      </c>
      <c r="AF16">
        <f t="shared" si="1"/>
        <v>4</v>
      </c>
      <c r="AH16">
        <v>3</v>
      </c>
      <c r="AI16">
        <v>2.2999999999999998</v>
      </c>
    </row>
    <row r="17" spans="1:40" ht="16.149999999999999" customHeight="1" x14ac:dyDescent="0.25">
      <c r="A17" s="6"/>
      <c r="B17" s="24" t="s">
        <v>142</v>
      </c>
      <c r="C17" s="39" t="s">
        <v>42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13"/>
        <v>-</v>
      </c>
      <c r="P17" s="43" t="str">
        <f t="shared" si="8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>
        <f t="shared" si="12"/>
        <v>146.51691254549604</v>
      </c>
      <c r="AD17">
        <f>AC11</f>
        <v>16.010822527305507</v>
      </c>
      <c r="AE17">
        <f>P10</f>
        <v>600</v>
      </c>
      <c r="AF17">
        <f t="shared" si="1"/>
        <v>4</v>
      </c>
    </row>
    <row r="18" spans="1:40" ht="15.75" customHeight="1" x14ac:dyDescent="0.25">
      <c r="A18" s="6"/>
      <c r="B18" s="35" t="s">
        <v>139</v>
      </c>
      <c r="C18" s="39" t="s">
        <v>42</v>
      </c>
      <c r="D18" s="6"/>
      <c r="E18" s="65">
        <f>IFERROR(C3/SUM(L4:L29), "-")</f>
        <v>0.3157101009617983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13"/>
        <v>-</v>
      </c>
      <c r="P18" s="43" t="str">
        <f t="shared" si="8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16.010822527305507</v>
      </c>
      <c r="AE18">
        <f>O11</f>
        <v>700</v>
      </c>
      <c r="AF18">
        <f t="shared" si="1"/>
        <v>4</v>
      </c>
      <c r="AH18" s="44" t="s">
        <v>52</v>
      </c>
      <c r="AI18" s="2">
        <f>IF(C7=-3,AI10,IF(C7=-2,AI11,IF(C7=-1,AI12,IF(C7=0,AI13,IF(C7=1,AI14,IF(C7=2,AI15,IF(C7=3,AI16)))))))</f>
        <v>1.7</v>
      </c>
    </row>
    <row r="19" spans="1:40" ht="18.75" customHeight="1" thickBot="1" x14ac:dyDescent="0.3">
      <c r="A19" s="6"/>
      <c r="B19" s="37" t="s">
        <v>140</v>
      </c>
      <c r="C19" s="47">
        <v>15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13"/>
        <v>-</v>
      </c>
      <c r="P19" s="43" t="str">
        <f t="shared" si="8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17.707020795996907</v>
      </c>
      <c r="AE19">
        <f>P11</f>
        <v>700</v>
      </c>
      <c r="AF19">
        <f t="shared" si="1"/>
        <v>4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13"/>
        <v>-</v>
      </c>
      <c r="P20" s="43" t="str">
        <f t="shared" si="8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17.707020795996907</v>
      </c>
      <c r="AE20">
        <f>O12</f>
        <v>800</v>
      </c>
      <c r="AF20">
        <f t="shared" si="1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13"/>
        <v>-</v>
      </c>
      <c r="P21" s="43" t="str">
        <f t="shared" si="8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19.39590453883601</v>
      </c>
      <c r="AE21">
        <f>P12</f>
        <v>800</v>
      </c>
      <c r="AF21">
        <f t="shared" si="1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13"/>
        <v>-</v>
      </c>
      <c r="P22" s="43" t="str">
        <f t="shared" si="8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19.39590453883601</v>
      </c>
      <c r="AE22">
        <f>O13</f>
        <v>900</v>
      </c>
      <c r="AF22">
        <f t="shared" si="1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13"/>
        <v>-</v>
      </c>
      <c r="P23" s="43" t="str">
        <f t="shared" si="8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21.081475471307936</v>
      </c>
      <c r="AE23">
        <f>P13</f>
        <v>900</v>
      </c>
      <c r="AF23">
        <f t="shared" si="1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13"/>
        <v>-</v>
      </c>
      <c r="P24" s="43" t="str">
        <f t="shared" si="8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21.081475471307936</v>
      </c>
      <c r="AE24">
        <f>O14</f>
        <v>1000</v>
      </c>
      <c r="AF24">
        <f t="shared" si="1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13"/>
        <v>-</v>
      </c>
      <c r="P25" s="43" t="str">
        <f t="shared" si="8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22.76691254549603</v>
      </c>
      <c r="AE25">
        <f>P14</f>
        <v>1000</v>
      </c>
      <c r="AF25">
        <f t="shared" si="1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13"/>
        <v>-</v>
      </c>
      <c r="P26" s="43" t="str">
        <f t="shared" si="8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22.76691254549603</v>
      </c>
      <c r="AE26" t="str">
        <f>O15</f>
        <v>-</v>
      </c>
      <c r="AF26">
        <f t="shared" si="1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13"/>
        <v>-</v>
      </c>
      <c r="P27" s="43" t="str">
        <f t="shared" si="8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>
        <f>AC16</f>
        <v>26.51691254549603</v>
      </c>
      <c r="AE27" t="str">
        <f>P15</f>
        <v>-</v>
      </c>
      <c r="AF27">
        <f t="shared" si="1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13"/>
        <v>-</v>
      </c>
      <c r="P28" s="43" t="str">
        <f t="shared" si="8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>
        <f>AD27</f>
        <v>26.51691254549603</v>
      </c>
      <c r="AE28" t="str">
        <f>O16</f>
        <v>-</v>
      </c>
      <c r="AF28">
        <f t="shared" si="1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13"/>
        <v>-</v>
      </c>
      <c r="P29" s="43" t="str">
        <f t="shared" si="8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>
        <f>AC17</f>
        <v>146.51691254549604</v>
      </c>
      <c r="AE29" t="str">
        <f>P16</f>
        <v>-</v>
      </c>
      <c r="AF29">
        <f t="shared" si="1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3" t="str">
        <f t="shared" si="0"/>
        <v>-</v>
      </c>
      <c r="K30" s="9" t="str">
        <f t="shared" si="4"/>
        <v>-</v>
      </c>
      <c r="L30" s="9" t="str">
        <f t="shared" si="5"/>
        <v>-</v>
      </c>
      <c r="M30" s="43" t="str">
        <f t="shared" si="6"/>
        <v>-</v>
      </c>
      <c r="N30" s="43" t="str">
        <f t="shared" si="7"/>
        <v>-</v>
      </c>
      <c r="O30" s="43" t="str">
        <f t="shared" si="13"/>
        <v>-</v>
      </c>
      <c r="P30" s="43" t="str">
        <f t="shared" si="8"/>
        <v>-</v>
      </c>
      <c r="Q30" s="9" t="str">
        <f t="shared" si="14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>
        <f>AD29</f>
        <v>146.51691254549604</v>
      </c>
      <c r="AE30" t="str">
        <f>O17</f>
        <v>-</v>
      </c>
      <c r="AF30">
        <f t="shared" si="1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P17</f>
        <v>-</v>
      </c>
      <c r="AF31">
        <f t="shared" si="1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O18</f>
        <v>-</v>
      </c>
      <c r="AF32">
        <f t="shared" si="1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P18</f>
        <v>-</v>
      </c>
      <c r="AF33">
        <f t="shared" si="1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O19</f>
        <v>-</v>
      </c>
      <c r="AF34">
        <f t="shared" si="1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P19</f>
        <v>-</v>
      </c>
      <c r="AF35">
        <f t="shared" si="1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O20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P20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O21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P21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O22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P22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O23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P23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O24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P24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O25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P25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O26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P26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O27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P27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O28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P28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O29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22.76691254549603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</row>
    <row r="76" spans="1:27" x14ac:dyDescent="0.25">
      <c r="E76">
        <v>1</v>
      </c>
      <c r="F76" s="53">
        <f t="shared" ref="F76:F101" si="17">IF(O5="-","-",O5/$C$4)</f>
        <v>0.1</v>
      </c>
      <c r="G76" s="53">
        <f t="shared" ref="G76:G101" si="18">IF(F76="-","-",F76^$AI$18)</f>
        <v>1.9952623149688809E-2</v>
      </c>
    </row>
    <row r="77" spans="1:27" x14ac:dyDescent="0.25">
      <c r="E77">
        <v>2</v>
      </c>
      <c r="F77" s="53">
        <f t="shared" si="17"/>
        <v>0.2</v>
      </c>
      <c r="G77" s="53">
        <f t="shared" si="18"/>
        <v>6.4826263867710524E-2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0.3</v>
      </c>
      <c r="G78" s="53">
        <f t="shared" si="18"/>
        <v>0.12915348607498026</v>
      </c>
      <c r="I78" s="54" t="s">
        <v>128</v>
      </c>
      <c r="J78" s="54">
        <f>C4/C6</f>
        <v>10</v>
      </c>
    </row>
    <row r="79" spans="1:27" x14ac:dyDescent="0.25">
      <c r="E79">
        <v>4</v>
      </c>
      <c r="F79" s="53">
        <f t="shared" si="17"/>
        <v>0.4</v>
      </c>
      <c r="G79" s="53">
        <f t="shared" si="18"/>
        <v>0.210621152693478</v>
      </c>
      <c r="I79" s="54" t="s">
        <v>129</v>
      </c>
      <c r="J79" s="54">
        <f>(1-C16/100)^2+J77</f>
        <v>0.61250000000000004</v>
      </c>
    </row>
    <row r="80" spans="1:27" x14ac:dyDescent="0.25">
      <c r="E80">
        <v>5</v>
      </c>
      <c r="F80" s="53">
        <f t="shared" si="17"/>
        <v>0.5</v>
      </c>
      <c r="G80" s="53">
        <f t="shared" si="18"/>
        <v>0.30778610333622908</v>
      </c>
    </row>
    <row r="81" spans="5:10" x14ac:dyDescent="0.25">
      <c r="E81">
        <v>6</v>
      </c>
      <c r="F81" s="53">
        <f t="shared" si="17"/>
        <v>0.6</v>
      </c>
      <c r="G81" s="53">
        <f t="shared" si="18"/>
        <v>0.41962091424865761</v>
      </c>
      <c r="I81" s="34" t="s">
        <v>130</v>
      </c>
      <c r="J81" s="34" t="e">
        <f>#REF!/100*((1-C16/100)^2+J82)+#REF!/100*((1-#REF!/100)^2+J83)</f>
        <v>#REF!</v>
      </c>
    </row>
    <row r="82" spans="5:10" x14ac:dyDescent="0.25">
      <c r="E82">
        <v>7</v>
      </c>
      <c r="F82" s="53">
        <f t="shared" si="17"/>
        <v>0.7</v>
      </c>
      <c r="G82" s="53">
        <f t="shared" si="18"/>
        <v>0.54533913886931429</v>
      </c>
      <c r="I82" s="34" t="s">
        <v>131</v>
      </c>
      <c r="J82" s="34">
        <f>IF(C16&gt;20,0.05,0.25*(C16/100))</f>
        <v>0.05</v>
      </c>
    </row>
    <row r="83" spans="5:10" x14ac:dyDescent="0.25">
      <c r="E83">
        <v>8</v>
      </c>
      <c r="F83" s="53">
        <f t="shared" si="17"/>
        <v>0.8</v>
      </c>
      <c r="G83" s="53">
        <f t="shared" si="18"/>
        <v>0.68431014399436041</v>
      </c>
      <c r="I83" s="34" t="s">
        <v>132</v>
      </c>
      <c r="J83" s="34" t="e">
        <f>IF(#REF!&gt;20,0.05,0.25*(#REF!/100))</f>
        <v>#REF!</v>
      </c>
    </row>
    <row r="84" spans="5:10" x14ac:dyDescent="0.25">
      <c r="E84">
        <v>9</v>
      </c>
      <c r="F84" s="53">
        <f t="shared" si="17"/>
        <v>0.9</v>
      </c>
      <c r="G84" s="53">
        <f t="shared" si="18"/>
        <v>0.83601152791683397</v>
      </c>
    </row>
    <row r="85" spans="5:10" x14ac:dyDescent="0.25">
      <c r="E85">
        <v>10</v>
      </c>
      <c r="F85" s="53">
        <f t="shared" si="17"/>
        <v>1</v>
      </c>
      <c r="G85" s="53">
        <f t="shared" si="18"/>
        <v>1</v>
      </c>
    </row>
    <row r="86" spans="5:10" x14ac:dyDescent="0.25">
      <c r="E86">
        <v>11</v>
      </c>
      <c r="F86" s="53" t="str">
        <f t="shared" si="17"/>
        <v>-</v>
      </c>
      <c r="G86" s="53" t="str">
        <f t="shared" si="18"/>
        <v>-</v>
      </c>
    </row>
    <row r="87" spans="5:10" x14ac:dyDescent="0.25">
      <c r="E87">
        <v>12</v>
      </c>
      <c r="F87" s="53" t="str">
        <f t="shared" si="17"/>
        <v>-</v>
      </c>
      <c r="G87" s="53" t="str">
        <f t="shared" si="18"/>
        <v>-</v>
      </c>
    </row>
    <row r="88" spans="5:10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10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10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10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10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10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10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10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10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1" spans="5:7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7:C18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3" workbookViewId="0">
      <selection activeCell="J16" sqref="J16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  <col min="35" max="35" width="8.7109375" style="64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40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10.610754985754983</v>
      </c>
      <c r="J4" s="43">
        <f t="shared" ref="J4:J30" si="0">IF(K4="-","-",$C$5)</f>
        <v>3</v>
      </c>
      <c r="K4" s="9">
        <f>IFERROR(J73, "-")</f>
        <v>31.83226495726495</v>
      </c>
      <c r="L4" s="9">
        <f>IFERROR(K4,0)</f>
        <v>31.83226495726495</v>
      </c>
      <c r="M4" s="43" t="str">
        <f>IF(L4="-","-",$C$17)</f>
        <v>LG24</v>
      </c>
      <c r="N4" s="43"/>
      <c r="O4" s="43"/>
      <c r="P4" s="43"/>
      <c r="Q4" s="9"/>
      <c r="R4" s="9">
        <f>IF(L4="-","-",L4)</f>
        <v>31.83226495726495</v>
      </c>
      <c r="S4" s="9"/>
      <c r="T4" s="21">
        <f>IF(K4="-","-",K4)</f>
        <v>31.83226495726495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3</v>
      </c>
      <c r="AI4" t="s">
        <v>27</v>
      </c>
      <c r="AJ4" s="5">
        <f>SUM(K5:K30)-$C$19</f>
        <v>94.236111111111114</v>
      </c>
    </row>
    <row r="5" spans="1:36" ht="18" customHeight="1" x14ac:dyDescent="0.25">
      <c r="A5" s="6"/>
      <c r="B5" s="24" t="s">
        <v>28</v>
      </c>
      <c r="C5" s="39">
        <v>3</v>
      </c>
      <c r="D5" s="6"/>
      <c r="E5" s="12" t="str">
        <f>IF(C14=0,"",C11)</f>
        <v/>
      </c>
      <c r="F5" s="62" t="str">
        <f>IF(E5="","",SUMIF(M4:M29,C11,L4:L29))</f>
        <v/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2.7083333333333339</v>
      </c>
      <c r="J5" s="43">
        <f t="shared" si="0"/>
        <v>3</v>
      </c>
      <c r="K5" s="9">
        <f t="shared" ref="K5:K30" si="4">IF(S4=$C$3*1000,$C$19,IFERROR(L5+Q5/(IF(N5=$C$8,$G$103,$G$104)*1000),"-"))</f>
        <v>8.1250000000000018</v>
      </c>
      <c r="L5" s="9">
        <f t="shared" ref="L5:L30" si="5">IF(S4=$C$3*1000,$C$19,IFERROR(Q5/(P5-($C$6/2)),"-"))</f>
        <v>8.0000000000000018</v>
      </c>
      <c r="M5" s="43" t="str">
        <f t="shared" ref="M5:M30" si="6">IF(S4=$C$3*1000,$C$18,IF(L5="-","-",IF(O5&lt;$C$14,$C$11,IF(P5&gt;$C$15,$C$13,$C$12))))</f>
        <v>LG20</v>
      </c>
      <c r="N5" s="43" t="str">
        <f t="shared" ref="N5:N30" si="7">IF(O5="-","-",IF(O5&lt;$C$10,$C$8,$C$9))</f>
        <v>FP_20/40</v>
      </c>
      <c r="O5" s="43">
        <f t="shared" ref="O5:O30" si="8">IFERROR(P5-$C$6,"-")</f>
        <v>0</v>
      </c>
      <c r="P5" s="43">
        <f>IFERROR(P4+($C$4-P4)/($J$78-D5),"-")</f>
        <v>100</v>
      </c>
      <c r="Q5" s="9">
        <f>IF(S5="-","-",S5)</f>
        <v>400.00000000000006</v>
      </c>
      <c r="R5" s="9">
        <f t="shared" ref="R5:R30" si="9">IFERROR(IF(L5="-","-",R4+L5),"-")</f>
        <v>39.832264957264954</v>
      </c>
      <c r="S5" s="9">
        <f t="shared" ref="S5:S30" si="10">IF(G76="-","-",G76*$C$3*1000)</f>
        <v>400.00000000000006</v>
      </c>
      <c r="T5" s="21">
        <f t="shared" ref="T5:T30" si="11">IFERROR(IF(K5="-","-",T4+K5),"-")</f>
        <v>39.957264957264954</v>
      </c>
      <c r="U5" s="6"/>
      <c r="V5" s="6"/>
      <c r="W5" s="6"/>
      <c r="X5" s="6"/>
      <c r="Y5" s="6"/>
      <c r="Z5" s="6"/>
      <c r="AA5" s="6"/>
      <c r="AC5" s="5">
        <f t="shared" ref="AC5:AC30" si="12">AC4+I4</f>
        <v>10.610754985754983</v>
      </c>
      <c r="AD5">
        <f>AC5</f>
        <v>10.610754985754983</v>
      </c>
      <c r="AE5">
        <f>P4</f>
        <v>0</v>
      </c>
      <c r="AF5">
        <f t="shared" si="1"/>
        <v>3</v>
      </c>
      <c r="AI5" t="s">
        <v>29</v>
      </c>
      <c r="AJ5">
        <f>AJ4/(1-J81)</f>
        <v>126.06837606837607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LG20</v>
      </c>
      <c r="F6" s="62">
        <f>SUMIF(M4:M29,C12,L4:L29)</f>
        <v>40</v>
      </c>
      <c r="G6" s="6"/>
      <c r="H6" s="20" t="str">
        <f t="shared" si="2"/>
        <v>Пропант</v>
      </c>
      <c r="I6" s="9">
        <f t="shared" si="3"/>
        <v>2.7916666666666674</v>
      </c>
      <c r="J6" s="43">
        <f t="shared" si="0"/>
        <v>3</v>
      </c>
      <c r="K6" s="9">
        <f t="shared" si="4"/>
        <v>8.3750000000000018</v>
      </c>
      <c r="L6" s="9">
        <f t="shared" si="5"/>
        <v>8.0000000000000018</v>
      </c>
      <c r="M6" s="43" t="str">
        <f t="shared" si="6"/>
        <v>LG20</v>
      </c>
      <c r="N6" s="43" t="str">
        <f t="shared" si="7"/>
        <v>FP_20/40</v>
      </c>
      <c r="O6" s="43">
        <f t="shared" si="8"/>
        <v>100</v>
      </c>
      <c r="P6" s="43">
        <f t="shared" ref="P6:P30" si="13">IFERROR(P5+($C$4-P5)/($J$78-E76),"-")</f>
        <v>200</v>
      </c>
      <c r="Q6" s="9">
        <f t="shared" ref="Q6:Q30" si="14">IF(S6="-","-",S6-S5)</f>
        <v>1200.0000000000002</v>
      </c>
      <c r="R6" s="9">
        <f t="shared" si="9"/>
        <v>47.832264957264954</v>
      </c>
      <c r="S6" s="9">
        <f t="shared" si="10"/>
        <v>1600.0000000000002</v>
      </c>
      <c r="T6" s="21">
        <f t="shared" si="11"/>
        <v>48.332264957264954</v>
      </c>
      <c r="U6" s="6"/>
      <c r="V6" s="6"/>
      <c r="W6" s="6"/>
      <c r="X6" s="6"/>
      <c r="Y6" s="6"/>
      <c r="Z6" s="6"/>
      <c r="AA6" s="6"/>
      <c r="AC6" s="5">
        <f t="shared" si="12"/>
        <v>13.319088319088317</v>
      </c>
      <c r="AD6">
        <f>AD5</f>
        <v>10.610754985754983</v>
      </c>
      <c r="AE6">
        <f>P5</f>
        <v>100</v>
      </c>
      <c r="AF6">
        <f t="shared" si="1"/>
        <v>3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DX20</v>
      </c>
      <c r="F7" s="62">
        <f>SUMIF(M4:M29,C13,L4:L29)</f>
        <v>39.999999999999993</v>
      </c>
      <c r="G7" s="6"/>
      <c r="H7" s="20" t="str">
        <f t="shared" si="2"/>
        <v>Пропант</v>
      </c>
      <c r="I7" s="9">
        <f t="shared" si="3"/>
        <v>2.8749999999999987</v>
      </c>
      <c r="J7" s="43">
        <f t="shared" si="0"/>
        <v>3</v>
      </c>
      <c r="K7" s="9">
        <f t="shared" si="4"/>
        <v>8.6249999999999964</v>
      </c>
      <c r="L7" s="9">
        <f t="shared" si="5"/>
        <v>7.9999999999999973</v>
      </c>
      <c r="M7" s="43" t="str">
        <f t="shared" si="6"/>
        <v>LG20</v>
      </c>
      <c r="N7" s="43" t="str">
        <f t="shared" si="7"/>
        <v>FP_20/40</v>
      </c>
      <c r="O7" s="43">
        <f t="shared" si="8"/>
        <v>200</v>
      </c>
      <c r="P7" s="43">
        <f t="shared" si="13"/>
        <v>300</v>
      </c>
      <c r="Q7" s="9">
        <f t="shared" si="14"/>
        <v>1999.9999999999993</v>
      </c>
      <c r="R7" s="9">
        <f t="shared" si="9"/>
        <v>55.832264957264954</v>
      </c>
      <c r="S7" s="9">
        <f t="shared" si="10"/>
        <v>3599.9999999999995</v>
      </c>
      <c r="T7" s="21">
        <f t="shared" si="11"/>
        <v>56.957264957264954</v>
      </c>
      <c r="U7" s="6"/>
      <c r="V7" s="6"/>
      <c r="W7" s="6"/>
      <c r="X7" s="6"/>
      <c r="Y7" s="6"/>
      <c r="Z7" s="6"/>
      <c r="AA7" s="6"/>
      <c r="AC7" s="5">
        <f t="shared" si="12"/>
        <v>16.110754985754983</v>
      </c>
      <c r="AD7" s="5">
        <f>AC6</f>
        <v>13.319088319088317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32</v>
      </c>
      <c r="C8" s="39" t="s">
        <v>90</v>
      </c>
      <c r="D8" s="6"/>
      <c r="E8" s="13" t="s">
        <v>34</v>
      </c>
      <c r="F8" s="14">
        <f>SUM(L4:L29)</f>
        <v>126.83226495726495</v>
      </c>
      <c r="G8" s="6"/>
      <c r="H8" s="20" t="str">
        <f t="shared" si="2"/>
        <v>Пропант</v>
      </c>
      <c r="I8" s="9">
        <f t="shared" si="3"/>
        <v>2.9583333333333344</v>
      </c>
      <c r="J8" s="43">
        <f t="shared" si="0"/>
        <v>3</v>
      </c>
      <c r="K8" s="9">
        <f t="shared" si="4"/>
        <v>8.8750000000000036</v>
      </c>
      <c r="L8" s="9">
        <f t="shared" si="5"/>
        <v>8.0000000000000036</v>
      </c>
      <c r="M8" s="43" t="str">
        <f t="shared" si="6"/>
        <v>LG20</v>
      </c>
      <c r="N8" s="43" t="str">
        <f t="shared" si="7"/>
        <v>FP_20/40</v>
      </c>
      <c r="O8" s="43">
        <f t="shared" si="8"/>
        <v>300</v>
      </c>
      <c r="P8" s="43">
        <f t="shared" si="13"/>
        <v>400</v>
      </c>
      <c r="Q8" s="9">
        <f t="shared" si="14"/>
        <v>2800.0000000000014</v>
      </c>
      <c r="R8" s="9">
        <f t="shared" si="9"/>
        <v>63.832264957264954</v>
      </c>
      <c r="S8" s="9">
        <f t="shared" si="10"/>
        <v>6400.0000000000009</v>
      </c>
      <c r="T8" s="21">
        <f t="shared" si="11"/>
        <v>65.832264957264954</v>
      </c>
      <c r="U8" s="6"/>
      <c r="V8" s="6"/>
      <c r="W8" s="6"/>
      <c r="X8" s="6"/>
      <c r="Y8" s="6"/>
      <c r="Z8" s="6"/>
      <c r="AA8" s="6"/>
      <c r="AC8">
        <f t="shared" si="12"/>
        <v>18.985754985754983</v>
      </c>
      <c r="AD8" s="5">
        <f>AD7</f>
        <v>13.319088319088317</v>
      </c>
      <c r="AE8">
        <f>P6</f>
        <v>200</v>
      </c>
      <c r="AF8">
        <f t="shared" si="1"/>
        <v>3</v>
      </c>
      <c r="AI8">
        <f>C3/AJ4</f>
        <v>0.42446573323507736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3.0416666666666661</v>
      </c>
      <c r="J9" s="43">
        <f t="shared" si="0"/>
        <v>3</v>
      </c>
      <c r="K9" s="9">
        <f t="shared" si="4"/>
        <v>9.1249999999999982</v>
      </c>
      <c r="L9" s="9">
        <f t="shared" si="5"/>
        <v>7.9999999999999982</v>
      </c>
      <c r="M9" s="43" t="str">
        <f t="shared" si="6"/>
        <v>LG20</v>
      </c>
      <c r="N9" s="43" t="str">
        <f t="shared" si="7"/>
        <v>FP_20/40</v>
      </c>
      <c r="O9" s="43">
        <f t="shared" si="8"/>
        <v>400</v>
      </c>
      <c r="P9" s="43">
        <f t="shared" si="13"/>
        <v>500</v>
      </c>
      <c r="Q9" s="9">
        <f t="shared" si="14"/>
        <v>3599.9999999999991</v>
      </c>
      <c r="R9" s="9">
        <f t="shared" si="9"/>
        <v>71.832264957264954</v>
      </c>
      <c r="S9" s="9">
        <f t="shared" si="10"/>
        <v>10000</v>
      </c>
      <c r="T9" s="21">
        <f t="shared" si="11"/>
        <v>74.957264957264954</v>
      </c>
      <c r="U9" s="6"/>
      <c r="V9" s="6"/>
      <c r="W9" s="6"/>
      <c r="X9" s="6"/>
      <c r="Y9" s="6"/>
      <c r="Z9" s="6"/>
      <c r="AA9" s="6"/>
      <c r="AC9">
        <f t="shared" si="12"/>
        <v>21.944088319088319</v>
      </c>
      <c r="AD9">
        <f>AC7</f>
        <v>16.110754985754983</v>
      </c>
      <c r="AE9" t="e">
        <f>#REF!</f>
        <v>#REF!</v>
      </c>
      <c r="AF9">
        <f t="shared" si="1"/>
        <v>3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3.2098765432098753</v>
      </c>
      <c r="J10" s="43">
        <f t="shared" si="0"/>
        <v>3</v>
      </c>
      <c r="K10" s="9">
        <f t="shared" si="4"/>
        <v>9.6296296296296262</v>
      </c>
      <c r="L10" s="9">
        <f t="shared" si="5"/>
        <v>7.9999999999999964</v>
      </c>
      <c r="M10" s="43" t="str">
        <f t="shared" si="6"/>
        <v>DX20</v>
      </c>
      <c r="N10" s="43" t="str">
        <f t="shared" si="7"/>
        <v>16/20 Новатэк</v>
      </c>
      <c r="O10" s="43">
        <f t="shared" si="8"/>
        <v>500</v>
      </c>
      <c r="P10" s="43">
        <f t="shared" si="13"/>
        <v>600</v>
      </c>
      <c r="Q10" s="9">
        <f t="shared" si="14"/>
        <v>4399.9999999999982</v>
      </c>
      <c r="R10" s="9">
        <f t="shared" si="9"/>
        <v>79.832264957264954</v>
      </c>
      <c r="S10" s="9">
        <f t="shared" si="10"/>
        <v>14399.999999999998</v>
      </c>
      <c r="T10" s="21">
        <f t="shared" si="11"/>
        <v>84.586894586894573</v>
      </c>
      <c r="U10" s="6"/>
      <c r="V10" s="6"/>
      <c r="W10" s="6"/>
      <c r="X10" s="6"/>
      <c r="Y10" s="6"/>
      <c r="Z10" s="6"/>
      <c r="AA10" s="6"/>
      <c r="AC10">
        <f t="shared" si="12"/>
        <v>24.985754985754987</v>
      </c>
      <c r="AD10">
        <f>AD9</f>
        <v>16.110754985754983</v>
      </c>
      <c r="AE10">
        <f>P7</f>
        <v>300</v>
      </c>
      <c r="AF10">
        <f t="shared" si="1"/>
        <v>3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FP_20/40</v>
      </c>
      <c r="F11" s="62">
        <f>IF(E11="","",SUMIF(N4:N29,C8,Q4:Q29)/1000)</f>
        <v>10</v>
      </c>
      <c r="G11" s="6"/>
      <c r="H11" s="20" t="str">
        <f t="shared" si="2"/>
        <v>Пропант</v>
      </c>
      <c r="I11" s="9">
        <f t="shared" si="3"/>
        <v>3.3086419753086407</v>
      </c>
      <c r="J11" s="43">
        <f t="shared" si="0"/>
        <v>3</v>
      </c>
      <c r="K11" s="9">
        <f t="shared" si="4"/>
        <v>9.925925925925922</v>
      </c>
      <c r="L11" s="9">
        <f t="shared" si="5"/>
        <v>7.9999999999999973</v>
      </c>
      <c r="M11" s="43" t="str">
        <f t="shared" si="6"/>
        <v>DX20</v>
      </c>
      <c r="N11" s="43" t="str">
        <f t="shared" si="7"/>
        <v>16/20 Новатэк</v>
      </c>
      <c r="O11" s="43">
        <f t="shared" si="8"/>
        <v>600</v>
      </c>
      <c r="P11" s="43">
        <f t="shared" si="13"/>
        <v>700</v>
      </c>
      <c r="Q11" s="9">
        <f t="shared" si="14"/>
        <v>5199.9999999999982</v>
      </c>
      <c r="R11" s="9">
        <f t="shared" si="9"/>
        <v>87.832264957264954</v>
      </c>
      <c r="S11" s="9">
        <f t="shared" si="10"/>
        <v>19599.999999999996</v>
      </c>
      <c r="T11" s="21">
        <f t="shared" si="11"/>
        <v>94.512820512820497</v>
      </c>
      <c r="U11" s="6"/>
      <c r="V11" s="6"/>
      <c r="W11" s="6"/>
      <c r="X11" s="6"/>
      <c r="Y11" s="6"/>
      <c r="Z11" s="6"/>
      <c r="AA11" s="6"/>
      <c r="AC11">
        <f t="shared" si="12"/>
        <v>28.195631528964864</v>
      </c>
      <c r="AD11">
        <f>AC8</f>
        <v>18.985754985754983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76</v>
      </c>
      <c r="D12" s="6"/>
      <c r="E12" s="12" t="str">
        <f>C9</f>
        <v>16/20 Новатэк</v>
      </c>
      <c r="F12" s="62">
        <f>SUMIF(N4:N29,C9,Q4:Q29)/1000</f>
        <v>30</v>
      </c>
      <c r="G12" s="6"/>
      <c r="H12" s="20" t="str">
        <f t="shared" si="2"/>
        <v>Пропант</v>
      </c>
      <c r="I12" s="9">
        <f t="shared" si="3"/>
        <v>3.4074074074074114</v>
      </c>
      <c r="J12" s="43">
        <f t="shared" si="0"/>
        <v>3</v>
      </c>
      <c r="K12" s="9">
        <f t="shared" si="4"/>
        <v>10.222222222222234</v>
      </c>
      <c r="L12" s="9">
        <f t="shared" si="5"/>
        <v>8.0000000000000089</v>
      </c>
      <c r="M12" s="43" t="str">
        <f t="shared" si="6"/>
        <v>DX20</v>
      </c>
      <c r="N12" s="43" t="str">
        <f t="shared" si="7"/>
        <v>16/20 Новатэк</v>
      </c>
      <c r="O12" s="43">
        <f t="shared" si="8"/>
        <v>700</v>
      </c>
      <c r="P12" s="43">
        <f t="shared" si="13"/>
        <v>800</v>
      </c>
      <c r="Q12" s="9">
        <f t="shared" si="14"/>
        <v>6000.0000000000073</v>
      </c>
      <c r="R12" s="9">
        <f t="shared" si="9"/>
        <v>95.832264957264968</v>
      </c>
      <c r="S12" s="9">
        <f t="shared" si="10"/>
        <v>25600.000000000004</v>
      </c>
      <c r="T12" s="21">
        <f t="shared" si="11"/>
        <v>104.73504273504273</v>
      </c>
      <c r="U12" s="6"/>
      <c r="V12" s="6"/>
      <c r="W12" s="6"/>
      <c r="X12" s="6"/>
      <c r="Y12" s="6"/>
      <c r="Z12" s="6"/>
      <c r="AA12" s="6"/>
      <c r="AC12">
        <f t="shared" si="12"/>
        <v>31.504273504273506</v>
      </c>
      <c r="AD12">
        <f>AD11</f>
        <v>18.985754985754983</v>
      </c>
      <c r="AE12">
        <f>P8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77</v>
      </c>
      <c r="D13" s="6"/>
      <c r="E13" s="13" t="s">
        <v>34</v>
      </c>
      <c r="F13" s="14">
        <f>C3</f>
        <v>40</v>
      </c>
      <c r="G13" s="6"/>
      <c r="H13" s="20" t="str">
        <f t="shared" si="2"/>
        <v>Пропант</v>
      </c>
      <c r="I13" s="9">
        <f t="shared" si="3"/>
        <v>3.5061728395061742</v>
      </c>
      <c r="J13" s="43">
        <f t="shared" si="0"/>
        <v>3</v>
      </c>
      <c r="K13" s="9">
        <f t="shared" si="4"/>
        <v>10.518518518518523</v>
      </c>
      <c r="L13" s="9">
        <f t="shared" si="5"/>
        <v>8.0000000000000036</v>
      </c>
      <c r="M13" s="43" t="str">
        <f t="shared" si="6"/>
        <v>DX20</v>
      </c>
      <c r="N13" s="43" t="str">
        <f t="shared" si="7"/>
        <v>16/20 Новатэк</v>
      </c>
      <c r="O13" s="43">
        <f t="shared" si="8"/>
        <v>800</v>
      </c>
      <c r="P13" s="43">
        <f t="shared" si="13"/>
        <v>900</v>
      </c>
      <c r="Q13" s="9">
        <f t="shared" si="14"/>
        <v>6800.0000000000036</v>
      </c>
      <c r="R13" s="9">
        <f t="shared" si="9"/>
        <v>103.83226495726497</v>
      </c>
      <c r="S13" s="9">
        <f t="shared" si="10"/>
        <v>32400.000000000007</v>
      </c>
      <c r="T13" s="21">
        <f t="shared" si="11"/>
        <v>115.25356125356124</v>
      </c>
      <c r="U13" s="6"/>
      <c r="V13" s="6"/>
      <c r="W13" s="6"/>
      <c r="X13" s="6"/>
      <c r="Y13" s="6"/>
      <c r="Z13" s="6"/>
      <c r="AA13" s="6"/>
      <c r="AC13">
        <f t="shared" si="12"/>
        <v>34.911680911680918</v>
      </c>
      <c r="AD13">
        <f>AC9</f>
        <v>21.944088319088319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Пропант</v>
      </c>
      <c r="I14" s="9">
        <f t="shared" si="3"/>
        <v>3.6049382716049347</v>
      </c>
      <c r="J14" s="43">
        <f t="shared" si="0"/>
        <v>3</v>
      </c>
      <c r="K14" s="9">
        <f t="shared" si="4"/>
        <v>10.814814814814804</v>
      </c>
      <c r="L14" s="9">
        <f t="shared" si="5"/>
        <v>7.999999999999992</v>
      </c>
      <c r="M14" s="43" t="str">
        <f t="shared" si="6"/>
        <v>DX20</v>
      </c>
      <c r="N14" s="43" t="str">
        <f t="shared" si="7"/>
        <v>16/20 Новатэк</v>
      </c>
      <c r="O14" s="43">
        <f t="shared" si="8"/>
        <v>900</v>
      </c>
      <c r="P14" s="43">
        <f t="shared" si="13"/>
        <v>1000</v>
      </c>
      <c r="Q14" s="9">
        <f t="shared" si="14"/>
        <v>7599.9999999999927</v>
      </c>
      <c r="R14" s="9">
        <f t="shared" si="9"/>
        <v>111.83226495726495</v>
      </c>
      <c r="S14" s="9">
        <f t="shared" si="10"/>
        <v>40000</v>
      </c>
      <c r="T14" s="21">
        <f t="shared" si="11"/>
        <v>126.06837606837605</v>
      </c>
      <c r="U14" s="6"/>
      <c r="V14" s="6"/>
      <c r="W14" s="6"/>
      <c r="X14" s="6"/>
      <c r="Y14" s="6"/>
      <c r="Z14" s="6"/>
      <c r="AA14" s="6"/>
      <c r="AC14" s="5">
        <f t="shared" si="12"/>
        <v>38.417853751187096</v>
      </c>
      <c r="AD14">
        <f>AD13</f>
        <v>21.944088319088319</v>
      </c>
      <c r="AE14">
        <f>P9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500</v>
      </c>
      <c r="D15" s="6"/>
      <c r="E15" s="10"/>
      <c r="F15" s="11"/>
      <c r="G15" s="6"/>
      <c r="H15" s="20" t="str">
        <f t="shared" si="2"/>
        <v>Продавка</v>
      </c>
      <c r="I15" s="9">
        <f t="shared" si="3"/>
        <v>5</v>
      </c>
      <c r="J15" s="43">
        <f t="shared" si="0"/>
        <v>3</v>
      </c>
      <c r="K15" s="9">
        <f t="shared" si="4"/>
        <v>15</v>
      </c>
      <c r="L15" s="9">
        <f t="shared" si="5"/>
        <v>15</v>
      </c>
      <c r="M15" s="43" t="str">
        <f t="shared" si="6"/>
        <v>LG32</v>
      </c>
      <c r="N15" s="43" t="str">
        <f t="shared" si="7"/>
        <v>-</v>
      </c>
      <c r="O15" s="43" t="str">
        <f t="shared" si="8"/>
        <v>-</v>
      </c>
      <c r="P15" s="43" t="str">
        <f t="shared" si="13"/>
        <v>-</v>
      </c>
      <c r="Q15" s="9" t="str">
        <f t="shared" si="14"/>
        <v>-</v>
      </c>
      <c r="R15" s="9">
        <f t="shared" si="9"/>
        <v>126.83226495726495</v>
      </c>
      <c r="S15" s="9" t="str">
        <f t="shared" si="10"/>
        <v>-</v>
      </c>
      <c r="T15" s="21">
        <f t="shared" si="11"/>
        <v>141.06837606837604</v>
      </c>
      <c r="U15" s="6"/>
      <c r="V15" s="6"/>
      <c r="W15" s="6"/>
      <c r="X15" s="6"/>
      <c r="Y15" s="6"/>
      <c r="Z15" s="6"/>
      <c r="AA15" s="6"/>
      <c r="AC15">
        <f t="shared" si="12"/>
        <v>42.022792022792032</v>
      </c>
      <c r="AD15">
        <f>AC10</f>
        <v>24.985754985754987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5.75" customHeight="1" x14ac:dyDescent="0.25">
      <c r="A16" s="6"/>
      <c r="B16" s="35" t="s">
        <v>141</v>
      </c>
      <c r="C16" s="39">
        <v>55</v>
      </c>
      <c r="D16" s="6"/>
      <c r="E16" s="10"/>
      <c r="F16" s="11"/>
      <c r="G16" s="6"/>
      <c r="H16" s="20" t="str">
        <f t="shared" si="2"/>
        <v>Остановка</v>
      </c>
      <c r="I16" s="9">
        <f t="shared" si="3"/>
        <v>120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13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>
        <f t="shared" si="12"/>
        <v>47.022792022792032</v>
      </c>
      <c r="AD16">
        <f>AD15</f>
        <v>24.985754985754987</v>
      </c>
      <c r="AE16">
        <f>P10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24" t="s">
        <v>142</v>
      </c>
      <c r="C17" s="39" t="s">
        <v>51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13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>
        <f t="shared" si="12"/>
        <v>167.02279202279203</v>
      </c>
      <c r="AD17">
        <f>AC11</f>
        <v>28.195631528964864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35" t="s">
        <v>139</v>
      </c>
      <c r="C18" s="39" t="s">
        <v>88</v>
      </c>
      <c r="D18" s="6"/>
      <c r="E18" s="65">
        <f>IFERROR(C3/SUM(L4:L29), "-")</f>
        <v>0.31537716379564507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13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28.195631528964864</v>
      </c>
      <c r="AE18">
        <f>P11</f>
        <v>700</v>
      </c>
      <c r="AF18">
        <f t="shared" si="1"/>
        <v>3</v>
      </c>
      <c r="AH18" s="44" t="s">
        <v>52</v>
      </c>
      <c r="AI18" s="2">
        <f>IF(C7=-3,AI10,IF(C7=-2,AI11,IF(C7=-1,AI12,IF(C7=0,AI13,IF(C7=1,AI14,IF(C7=2,AI15,IF(C7=3,AI16)))))))</f>
        <v>2</v>
      </c>
    </row>
    <row r="19" spans="1:40" ht="18.75" customHeight="1" thickBot="1" x14ac:dyDescent="0.3">
      <c r="A19" s="6"/>
      <c r="B19" s="37" t="s">
        <v>140</v>
      </c>
      <c r="C19" s="47">
        <v>15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13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31.504273504273506</v>
      </c>
      <c r="AE19" t="e">
        <f>#REF!</f>
        <v>#REF!</v>
      </c>
      <c r="AF19">
        <f t="shared" si="1"/>
        <v>3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13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31.504273504273506</v>
      </c>
      <c r="AE20">
        <f>P12</f>
        <v>800</v>
      </c>
      <c r="AF20">
        <f t="shared" si="1"/>
        <v>3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13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34.911680911680918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13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34.911680911680918</v>
      </c>
      <c r="AE22">
        <f>P13</f>
        <v>900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13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38.417853751187096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13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38.417853751187096</v>
      </c>
      <c r="AE24">
        <f>P14</f>
        <v>1000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13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42.022792022792032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13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42.022792022792032</v>
      </c>
      <c r="AE26" t="str">
        <f>P15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13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>
        <f>AC16</f>
        <v>47.022792022792032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13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>
        <f>AD27</f>
        <v>47.022792022792032</v>
      </c>
      <c r="AE28" t="str">
        <f>P16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13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>
        <f>AC17</f>
        <v>167.02279202279203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3" t="str">
        <f t="shared" si="0"/>
        <v>-</v>
      </c>
      <c r="K30" s="9" t="str">
        <f t="shared" si="4"/>
        <v>-</v>
      </c>
      <c r="L30" s="9" t="str">
        <f t="shared" si="5"/>
        <v>-</v>
      </c>
      <c r="M30" s="43" t="str">
        <f t="shared" si="6"/>
        <v>-</v>
      </c>
      <c r="N30" s="43" t="str">
        <f t="shared" si="7"/>
        <v>-</v>
      </c>
      <c r="O30" s="43" t="str">
        <f t="shared" si="8"/>
        <v>-</v>
      </c>
      <c r="P30" s="43" t="str">
        <f t="shared" si="13"/>
        <v>-</v>
      </c>
      <c r="Q30" s="9" t="str">
        <f t="shared" si="14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>
        <f>AD29</f>
        <v>167.02279202279203</v>
      </c>
      <c r="AE30" t="str">
        <f>P17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P18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P19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P20</f>
        <v>-</v>
      </c>
      <c r="AF36">
        <f t="shared" ref="AF36:AF54" si="16">$C$5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P21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P22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P23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P24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P25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P26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P27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P28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P29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31.83226495726495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>IF(L73=SUM($I$4:$I$29)-($C$19/$C$5),L73,IFERROR(L73+I4,L73))</f>
        <v>10.610754985754983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>IF(L74=SUM($I$4:$I$29)-($C$19/$C$5),L74,IFERROR(L74+#REF!,L74))</f>
        <v>10.610754985754983</v>
      </c>
      <c r="M75">
        <v>0</v>
      </c>
    </row>
    <row r="76" spans="1:27" x14ac:dyDescent="0.25">
      <c r="E76">
        <v>1</v>
      </c>
      <c r="F76" s="53">
        <f t="shared" ref="F76:F101" si="17">IF(P5="-","-",P5/$C$4)</f>
        <v>0.1</v>
      </c>
      <c r="G76" s="53">
        <f t="shared" ref="G76:G101" si="18">IF(F76="-","-",F76^$AI$18)</f>
        <v>1.0000000000000002E-2</v>
      </c>
      <c r="L76" s="5">
        <f t="shared" ref="L76:L100" si="19">IF(L75=SUM($I$4:$I$29)-($C$19/$C$5),L75,IFERROR(L75+I5,L75))</f>
        <v>13.319088319088317</v>
      </c>
      <c r="M76">
        <f t="shared" ref="M76:M100" si="20">P5</f>
        <v>100</v>
      </c>
    </row>
    <row r="77" spans="1:27" x14ac:dyDescent="0.25">
      <c r="E77">
        <v>2</v>
      </c>
      <c r="F77" s="53">
        <f t="shared" si="17"/>
        <v>0.2</v>
      </c>
      <c r="G77" s="53">
        <f t="shared" si="18"/>
        <v>4.0000000000000008E-2</v>
      </c>
      <c r="I77" s="4" t="s">
        <v>127</v>
      </c>
      <c r="J77" s="4">
        <f>IF(C16&gt;20,0.05,0.25*(C16/100))</f>
        <v>0.05</v>
      </c>
      <c r="L77" s="5">
        <f t="shared" si="19"/>
        <v>16.110754985754983</v>
      </c>
      <c r="M77">
        <f t="shared" si="20"/>
        <v>200</v>
      </c>
    </row>
    <row r="78" spans="1:27" x14ac:dyDescent="0.25">
      <c r="E78">
        <v>3</v>
      </c>
      <c r="F78" s="53">
        <f t="shared" si="17"/>
        <v>0.3</v>
      </c>
      <c r="G78" s="53">
        <f t="shared" si="18"/>
        <v>0.09</v>
      </c>
      <c r="I78" s="54" t="s">
        <v>128</v>
      </c>
      <c r="J78" s="54">
        <f>C4/C6</f>
        <v>10</v>
      </c>
      <c r="L78" s="5">
        <f t="shared" si="19"/>
        <v>18.985754985754983</v>
      </c>
      <c r="M78">
        <f t="shared" si="20"/>
        <v>300</v>
      </c>
    </row>
    <row r="79" spans="1:27" x14ac:dyDescent="0.25">
      <c r="E79">
        <v>4</v>
      </c>
      <c r="F79" s="53">
        <f t="shared" si="17"/>
        <v>0.4</v>
      </c>
      <c r="G79" s="53">
        <f t="shared" si="18"/>
        <v>0.16000000000000003</v>
      </c>
      <c r="I79" s="54" t="s">
        <v>129</v>
      </c>
      <c r="J79" s="54">
        <f>(1-C16/100)^2+J77</f>
        <v>0.25249999999999995</v>
      </c>
      <c r="L79" s="5">
        <f t="shared" si="19"/>
        <v>21.944088319088319</v>
      </c>
      <c r="M79">
        <f t="shared" si="20"/>
        <v>400</v>
      </c>
    </row>
    <row r="80" spans="1:27" x14ac:dyDescent="0.25">
      <c r="E80">
        <v>5</v>
      </c>
      <c r="F80" s="53">
        <f t="shared" si="17"/>
        <v>0.5</v>
      </c>
      <c r="G80" s="53">
        <f t="shared" si="18"/>
        <v>0.25</v>
      </c>
      <c r="L80" s="5">
        <f t="shared" si="19"/>
        <v>24.985754985754987</v>
      </c>
      <c r="M80">
        <f t="shared" si="20"/>
        <v>500</v>
      </c>
    </row>
    <row r="81" spans="5:13" x14ac:dyDescent="0.25">
      <c r="E81">
        <v>6</v>
      </c>
      <c r="F81" s="53">
        <f t="shared" si="17"/>
        <v>0.6</v>
      </c>
      <c r="G81" s="53">
        <f t="shared" si="18"/>
        <v>0.36</v>
      </c>
      <c r="I81" s="34" t="s">
        <v>130</v>
      </c>
      <c r="J81" s="34">
        <f>((1-C16/100)^2+J82)</f>
        <v>0.25249999999999995</v>
      </c>
      <c r="L81" s="5">
        <f t="shared" si="19"/>
        <v>28.195631528964864</v>
      </c>
      <c r="M81">
        <f t="shared" si="20"/>
        <v>600</v>
      </c>
    </row>
    <row r="82" spans="5:13" x14ac:dyDescent="0.25">
      <c r="E82">
        <v>7</v>
      </c>
      <c r="F82" s="53">
        <f t="shared" si="17"/>
        <v>0.7</v>
      </c>
      <c r="G82" s="53">
        <f t="shared" si="18"/>
        <v>0.48999999999999994</v>
      </c>
      <c r="I82" s="34" t="s">
        <v>131</v>
      </c>
      <c r="J82" s="34">
        <f>IF(C16&gt;20,0.05,0.25*(C16/100))</f>
        <v>0.05</v>
      </c>
      <c r="L82" s="5">
        <f t="shared" si="19"/>
        <v>31.504273504273506</v>
      </c>
      <c r="M82">
        <f t="shared" si="20"/>
        <v>700</v>
      </c>
    </row>
    <row r="83" spans="5:13" x14ac:dyDescent="0.25">
      <c r="E83">
        <v>8</v>
      </c>
      <c r="F83" s="53">
        <f t="shared" si="17"/>
        <v>0.8</v>
      </c>
      <c r="G83" s="53">
        <f t="shared" si="18"/>
        <v>0.64000000000000012</v>
      </c>
      <c r="I83" s="34" t="s">
        <v>132</v>
      </c>
      <c r="J83" s="34" t="e">
        <f>IF(#REF!&gt;20,0.05,0.25*(#REF!/100))</f>
        <v>#REF!</v>
      </c>
      <c r="L83" s="5">
        <f t="shared" si="19"/>
        <v>34.911680911680918</v>
      </c>
      <c r="M83">
        <f t="shared" si="20"/>
        <v>800</v>
      </c>
    </row>
    <row r="84" spans="5:13" x14ac:dyDescent="0.25">
      <c r="E84">
        <v>9</v>
      </c>
      <c r="F84" s="53">
        <f t="shared" si="17"/>
        <v>0.9</v>
      </c>
      <c r="G84" s="53">
        <f t="shared" si="18"/>
        <v>0.81</v>
      </c>
      <c r="L84" s="5">
        <f t="shared" si="19"/>
        <v>38.417853751187096</v>
      </c>
      <c r="M84">
        <f t="shared" si="20"/>
        <v>900</v>
      </c>
    </row>
    <row r="85" spans="5:13" x14ac:dyDescent="0.25">
      <c r="E85">
        <v>10</v>
      </c>
      <c r="F85" s="53">
        <f t="shared" si="17"/>
        <v>1</v>
      </c>
      <c r="G85" s="53">
        <f t="shared" si="18"/>
        <v>1</v>
      </c>
      <c r="L85" s="5">
        <f t="shared" si="19"/>
        <v>42.022792022792032</v>
      </c>
      <c r="M85">
        <f t="shared" si="20"/>
        <v>1000</v>
      </c>
    </row>
    <row r="86" spans="5:13" x14ac:dyDescent="0.25">
      <c r="E86">
        <v>11</v>
      </c>
      <c r="F86" s="53" t="str">
        <f t="shared" si="17"/>
        <v>-</v>
      </c>
      <c r="G86" s="53" t="str">
        <f t="shared" si="18"/>
        <v>-</v>
      </c>
      <c r="L86" s="5">
        <f t="shared" si="19"/>
        <v>47.022792022792032</v>
      </c>
      <c r="M86" t="str">
        <f t="shared" si="20"/>
        <v>-</v>
      </c>
    </row>
    <row r="87" spans="5:13" x14ac:dyDescent="0.25">
      <c r="E87">
        <v>12</v>
      </c>
      <c r="F87" s="53" t="str">
        <f t="shared" si="17"/>
        <v>-</v>
      </c>
      <c r="G87" s="53" t="str">
        <f t="shared" si="18"/>
        <v>-</v>
      </c>
      <c r="L87" s="5">
        <f t="shared" si="19"/>
        <v>167.02279202279203</v>
      </c>
      <c r="M87" t="str">
        <f t="shared" si="20"/>
        <v>-</v>
      </c>
    </row>
    <row r="88" spans="5:13" x14ac:dyDescent="0.25">
      <c r="E88">
        <v>13</v>
      </c>
      <c r="F88" s="53" t="str">
        <f t="shared" si="17"/>
        <v>-</v>
      </c>
      <c r="G88" s="53" t="str">
        <f t="shared" si="18"/>
        <v>-</v>
      </c>
      <c r="L88" s="5">
        <f t="shared" si="19"/>
        <v>167.02279202279203</v>
      </c>
      <c r="M88" t="str">
        <f t="shared" si="20"/>
        <v>-</v>
      </c>
    </row>
    <row r="89" spans="5:13" x14ac:dyDescent="0.25">
      <c r="E89">
        <v>14</v>
      </c>
      <c r="F89" s="53" t="str">
        <f t="shared" si="17"/>
        <v>-</v>
      </c>
      <c r="G89" s="53" t="str">
        <f t="shared" si="18"/>
        <v>-</v>
      </c>
      <c r="L89" s="5">
        <f t="shared" si="19"/>
        <v>167.02279202279203</v>
      </c>
      <c r="M89" t="str">
        <f t="shared" si="20"/>
        <v>-</v>
      </c>
    </row>
    <row r="90" spans="5:13" x14ac:dyDescent="0.25">
      <c r="E90">
        <v>15</v>
      </c>
      <c r="F90" s="53" t="str">
        <f t="shared" si="17"/>
        <v>-</v>
      </c>
      <c r="G90" s="53" t="str">
        <f t="shared" si="18"/>
        <v>-</v>
      </c>
      <c r="L90" s="5">
        <f t="shared" si="19"/>
        <v>167.02279202279203</v>
      </c>
      <c r="M90" t="str">
        <f t="shared" si="20"/>
        <v>-</v>
      </c>
    </row>
    <row r="91" spans="5:13" x14ac:dyDescent="0.25">
      <c r="E91">
        <v>16</v>
      </c>
      <c r="F91" s="53" t="str">
        <f t="shared" si="17"/>
        <v>-</v>
      </c>
      <c r="G91" s="53" t="str">
        <f t="shared" si="18"/>
        <v>-</v>
      </c>
      <c r="L91" s="5">
        <f t="shared" si="19"/>
        <v>167.02279202279203</v>
      </c>
      <c r="M91" t="str">
        <f t="shared" si="20"/>
        <v>-</v>
      </c>
    </row>
    <row r="92" spans="5:13" x14ac:dyDescent="0.25">
      <c r="E92">
        <v>17</v>
      </c>
      <c r="F92" s="53" t="str">
        <f t="shared" si="17"/>
        <v>-</v>
      </c>
      <c r="G92" s="53" t="str">
        <f t="shared" si="18"/>
        <v>-</v>
      </c>
      <c r="L92" s="5">
        <f t="shared" si="19"/>
        <v>167.02279202279203</v>
      </c>
      <c r="M92" t="str">
        <f t="shared" si="20"/>
        <v>-</v>
      </c>
    </row>
    <row r="93" spans="5:13" x14ac:dyDescent="0.25">
      <c r="E93">
        <v>18</v>
      </c>
      <c r="F93" s="53" t="str">
        <f t="shared" si="17"/>
        <v>-</v>
      </c>
      <c r="G93" s="53" t="str">
        <f t="shared" si="18"/>
        <v>-</v>
      </c>
      <c r="L93" s="5">
        <f t="shared" si="19"/>
        <v>167.02279202279203</v>
      </c>
      <c r="M93" t="str">
        <f t="shared" si="20"/>
        <v>-</v>
      </c>
    </row>
    <row r="94" spans="5:13" x14ac:dyDescent="0.25">
      <c r="E94">
        <v>19</v>
      </c>
      <c r="F94" s="53" t="str">
        <f t="shared" si="17"/>
        <v>-</v>
      </c>
      <c r="G94" s="53" t="str">
        <f t="shared" si="18"/>
        <v>-</v>
      </c>
      <c r="L94" s="5">
        <f t="shared" si="19"/>
        <v>167.02279202279203</v>
      </c>
      <c r="M94" t="str">
        <f t="shared" si="20"/>
        <v>-</v>
      </c>
    </row>
    <row r="95" spans="5:13" x14ac:dyDescent="0.25">
      <c r="E95">
        <v>20</v>
      </c>
      <c r="F95" s="53" t="str">
        <f t="shared" si="17"/>
        <v>-</v>
      </c>
      <c r="G95" s="53" t="str">
        <f t="shared" si="18"/>
        <v>-</v>
      </c>
      <c r="L95" s="5">
        <f t="shared" si="19"/>
        <v>167.02279202279203</v>
      </c>
      <c r="M95" t="str">
        <f t="shared" si="20"/>
        <v>-</v>
      </c>
    </row>
    <row r="96" spans="5:13" x14ac:dyDescent="0.25">
      <c r="E96">
        <v>21</v>
      </c>
      <c r="F96" s="53" t="str">
        <f t="shared" si="17"/>
        <v>-</v>
      </c>
      <c r="G96" s="53" t="str">
        <f t="shared" si="18"/>
        <v>-</v>
      </c>
      <c r="L96" s="5">
        <f t="shared" si="19"/>
        <v>167.02279202279203</v>
      </c>
      <c r="M96" t="str">
        <f t="shared" si="20"/>
        <v>-</v>
      </c>
    </row>
    <row r="97" spans="5:13" x14ac:dyDescent="0.25">
      <c r="E97">
        <v>22</v>
      </c>
      <c r="F97" s="53" t="str">
        <f t="shared" si="17"/>
        <v>-</v>
      </c>
      <c r="G97" s="53" t="str">
        <f t="shared" si="18"/>
        <v>-</v>
      </c>
      <c r="L97" s="5">
        <f t="shared" si="19"/>
        <v>167.02279202279203</v>
      </c>
      <c r="M97" t="str">
        <f t="shared" si="20"/>
        <v>-</v>
      </c>
    </row>
    <row r="98" spans="5:13" x14ac:dyDescent="0.25">
      <c r="E98">
        <v>23</v>
      </c>
      <c r="F98" s="53" t="str">
        <f t="shared" si="17"/>
        <v>-</v>
      </c>
      <c r="G98" s="53" t="str">
        <f t="shared" si="18"/>
        <v>-</v>
      </c>
      <c r="L98" s="5">
        <f t="shared" si="19"/>
        <v>167.02279202279203</v>
      </c>
      <c r="M98" t="str">
        <f t="shared" si="20"/>
        <v>-</v>
      </c>
    </row>
    <row r="99" spans="5:13" x14ac:dyDescent="0.25">
      <c r="E99">
        <v>24</v>
      </c>
      <c r="F99" s="53" t="str">
        <f t="shared" si="17"/>
        <v>-</v>
      </c>
      <c r="G99" s="53" t="str">
        <f t="shared" si="18"/>
        <v>-</v>
      </c>
      <c r="L99" s="5">
        <f t="shared" si="19"/>
        <v>167.02279202279203</v>
      </c>
      <c r="M99" t="str">
        <f t="shared" si="20"/>
        <v>-</v>
      </c>
    </row>
    <row r="100" spans="5:13" x14ac:dyDescent="0.25">
      <c r="E100">
        <v>25</v>
      </c>
      <c r="F100" s="53" t="str">
        <f t="shared" si="17"/>
        <v>-</v>
      </c>
      <c r="G100" s="53" t="str">
        <f t="shared" si="18"/>
        <v>-</v>
      </c>
      <c r="L100" s="5">
        <f t="shared" si="19"/>
        <v>167.02279202279203</v>
      </c>
      <c r="M100" t="str">
        <f t="shared" si="20"/>
        <v>-</v>
      </c>
    </row>
    <row r="101" spans="5:13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3.2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17:C18">
      <formula1>$AK$23:$AK$58</formula1>
    </dataValidation>
  </dataValidation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50" workbookViewId="0">
      <selection activeCell="I5" sqref="I5:I30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1" width="9.5703125" style="64" customWidth="1"/>
    <col min="12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7.8923527844391153</v>
      </c>
      <c r="J4" s="43">
        <f t="shared" ref="J4:J30" si="0">IF(K4="-","-",$C$5)</f>
        <v>3</v>
      </c>
      <c r="K4" s="9">
        <f>IFERROR(J73, "-")</f>
        <v>23.677058353317346</v>
      </c>
      <c r="L4" s="9">
        <f>IFERROR(K4,0)</f>
        <v>23.677058353317346</v>
      </c>
      <c r="M4" s="43" t="str">
        <f>IF(L4="-","-",$C$17)</f>
        <v>LG24</v>
      </c>
      <c r="N4" s="43"/>
      <c r="O4" s="43"/>
      <c r="P4" s="43"/>
      <c r="Q4" s="9"/>
      <c r="R4" s="9">
        <f>IF(L4="-","-",L4)</f>
        <v>23.677058353317346</v>
      </c>
      <c r="S4" s="9"/>
      <c r="T4" s="21">
        <f>IF(K4="-","-",K4)</f>
        <v>23.677058353317346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3</v>
      </c>
      <c r="AI4" t="s">
        <v>27</v>
      </c>
      <c r="AJ4" s="5">
        <f>SUM(K5:K30)-$C$19</f>
        <v>71.031175059952034</v>
      </c>
    </row>
    <row r="5" spans="1:36" ht="18" customHeight="1" x14ac:dyDescent="0.25">
      <c r="A5" s="6"/>
      <c r="B5" s="24" t="s">
        <v>28</v>
      </c>
      <c r="C5" s="39">
        <v>3</v>
      </c>
      <c r="D5" s="6"/>
      <c r="E5" s="12" t="str">
        <f>IF(C14=0,"",C11)</f>
        <v>FR01</v>
      </c>
      <c r="F5" s="62">
        <f>IF(E5="","",SUMIF(M4:M29,C11,L4:L29))</f>
        <v>12.000000000000004</v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2.035971223021583</v>
      </c>
      <c r="J5" s="43">
        <f t="shared" si="0"/>
        <v>3</v>
      </c>
      <c r="K5" s="9">
        <f t="shared" ref="K5:K30" si="4">IF(S4=$C$3*1000,$C$19,IFERROR(L5+Q5/(IF(N5=$C$8,$G$103,$G$104)*1000),"-"))</f>
        <v>6.1079136690647493</v>
      </c>
      <c r="L5" s="9">
        <f t="shared" ref="L5:L30" si="5">IF(S4=$C$3*1000,$C$19,IFERROR(Q5/(P5-($C$6/2)),"-"))</f>
        <v>6.0000000000000009</v>
      </c>
      <c r="M5" s="43" t="str">
        <f t="shared" ref="M5:M30" si="6">IF(S4=$C$3*1000,$C$18,IF(L5="-","-",IF(O5&lt;$C$14,$C$11,IF(P5&gt;$C$15,$C$13,$C$12))))</f>
        <v>FR01</v>
      </c>
      <c r="N5" s="43" t="str">
        <f t="shared" ref="N5:N30" si="7">IF(O5="-","-",IF(O5&lt;$C$10,$C$8,$C$9))</f>
        <v>20/40 Новатэк</v>
      </c>
      <c r="O5" s="43">
        <f t="shared" ref="O5:O30" si="8">IFERROR(P5-$C$6,"-")</f>
        <v>0</v>
      </c>
      <c r="P5" s="43">
        <f>IFERROR(P4+($C$4-P4)/($J$77-D5),"-")</f>
        <v>100</v>
      </c>
      <c r="Q5" s="9">
        <f>IF(S5="-","-",S5)</f>
        <v>300.00000000000006</v>
      </c>
      <c r="R5" s="9">
        <f t="shared" ref="R5:R30" si="9">IFERROR(IF(L5="-","-",R4+L5),"-")</f>
        <v>29.677058353317346</v>
      </c>
      <c r="S5" s="9">
        <f t="shared" ref="S5:S30" si="10">IF(G76="-","-",G76*$C$3*1000)</f>
        <v>300.00000000000006</v>
      </c>
      <c r="T5" s="21">
        <f t="shared" ref="T5:T30" si="11">IFERROR(IF(K5="-","-",T4+K5),"-")</f>
        <v>29.784972022382096</v>
      </c>
      <c r="U5" s="6"/>
      <c r="V5" s="6"/>
      <c r="W5" s="6"/>
      <c r="X5" s="6"/>
      <c r="Y5" s="6"/>
      <c r="Z5" s="6"/>
      <c r="AA5" s="6"/>
      <c r="AC5" s="5">
        <f t="shared" ref="AC5:AC30" si="12">AC4+I4</f>
        <v>7.8923527844391153</v>
      </c>
      <c r="AD5">
        <f>AC5</f>
        <v>7.8923527844391153</v>
      </c>
      <c r="AE5">
        <f>P4</f>
        <v>0</v>
      </c>
      <c r="AF5">
        <f t="shared" si="1"/>
        <v>3</v>
      </c>
      <c r="AI5" t="s">
        <v>29</v>
      </c>
      <c r="AJ5">
        <f>AJ4/(1-$C$16/100)</f>
        <v>94.708233413269383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SUMIF(M4:M29,C12,L4:L29)</f>
        <v>23.999999999999996</v>
      </c>
      <c r="G6" s="6"/>
      <c r="H6" s="20" t="str">
        <f t="shared" si="2"/>
        <v>Пропант</v>
      </c>
      <c r="I6" s="9">
        <f t="shared" si="3"/>
        <v>2.1079136690647489</v>
      </c>
      <c r="J6" s="43">
        <f t="shared" si="0"/>
        <v>3</v>
      </c>
      <c r="K6" s="9">
        <f t="shared" si="4"/>
        <v>6.3237410071942461</v>
      </c>
      <c r="L6" s="9">
        <f t="shared" si="5"/>
        <v>6.0000000000000018</v>
      </c>
      <c r="M6" s="43" t="str">
        <f t="shared" si="6"/>
        <v>FR01</v>
      </c>
      <c r="N6" s="43" t="str">
        <f t="shared" si="7"/>
        <v>20/40 Новатэк</v>
      </c>
      <c r="O6" s="43">
        <f t="shared" si="8"/>
        <v>100</v>
      </c>
      <c r="P6" s="43">
        <f t="shared" ref="P6:P30" si="13">IFERROR(P5+($C$4-P5)/($J$77-E76),"-")</f>
        <v>200</v>
      </c>
      <c r="Q6" s="9">
        <f t="shared" ref="Q6:Q30" si="14">IF(S6="-","-",S6-S5)</f>
        <v>900.00000000000023</v>
      </c>
      <c r="R6" s="9">
        <f t="shared" si="9"/>
        <v>35.677058353317349</v>
      </c>
      <c r="S6" s="9">
        <f t="shared" si="10"/>
        <v>1200.0000000000002</v>
      </c>
      <c r="T6" s="21">
        <f t="shared" si="11"/>
        <v>36.108713029576343</v>
      </c>
      <c r="U6" s="6"/>
      <c r="V6" s="6"/>
      <c r="W6" s="6"/>
      <c r="X6" s="6"/>
      <c r="Y6" s="6"/>
      <c r="Z6" s="6"/>
      <c r="AA6" s="6"/>
      <c r="AC6" s="5">
        <f t="shared" si="12"/>
        <v>9.9283240074606987</v>
      </c>
      <c r="AD6">
        <f>AD5</f>
        <v>7.8923527844391153</v>
      </c>
      <c r="AE6">
        <f>P5</f>
        <v>100</v>
      </c>
      <c r="AF6">
        <f t="shared" si="1"/>
        <v>3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SUMIF(M4:M29,C13,L4:L29)</f>
        <v>24.000000000000004</v>
      </c>
      <c r="G7" s="6"/>
      <c r="H7" s="20" t="str">
        <f t="shared" si="2"/>
        <v>Пропант</v>
      </c>
      <c r="I7" s="9">
        <f t="shared" si="3"/>
        <v>2.179856115107913</v>
      </c>
      <c r="J7" s="43">
        <f t="shared" si="0"/>
        <v>3</v>
      </c>
      <c r="K7" s="9">
        <f t="shared" si="4"/>
        <v>6.5395683453237385</v>
      </c>
      <c r="L7" s="9">
        <f t="shared" si="5"/>
        <v>5.9999999999999973</v>
      </c>
      <c r="M7" s="43" t="str">
        <f t="shared" si="6"/>
        <v>LG28</v>
      </c>
      <c r="N7" s="43" t="str">
        <f t="shared" si="7"/>
        <v>20/40 Новатэк</v>
      </c>
      <c r="O7" s="43">
        <f t="shared" si="8"/>
        <v>200</v>
      </c>
      <c r="P7" s="43">
        <f t="shared" si="13"/>
        <v>300</v>
      </c>
      <c r="Q7" s="9">
        <f t="shared" si="14"/>
        <v>1499.9999999999993</v>
      </c>
      <c r="R7" s="9">
        <f t="shared" si="9"/>
        <v>41.677058353317349</v>
      </c>
      <c r="S7" s="9">
        <f t="shared" si="10"/>
        <v>2699.9999999999995</v>
      </c>
      <c r="T7" s="21">
        <f t="shared" si="11"/>
        <v>42.64828137490008</v>
      </c>
      <c r="U7" s="6"/>
      <c r="V7" s="6"/>
      <c r="W7" s="6"/>
      <c r="X7" s="6"/>
      <c r="Y7" s="6"/>
      <c r="Z7" s="6"/>
      <c r="AA7" s="6"/>
      <c r="AC7" s="5">
        <f t="shared" si="12"/>
        <v>12.036237676525447</v>
      </c>
      <c r="AD7" s="5">
        <f>AC6</f>
        <v>9.9283240074606987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SUM(L4:L29)</f>
        <v>98.677058353317364</v>
      </c>
      <c r="G8" s="6"/>
      <c r="H8" s="20" t="str">
        <f t="shared" si="2"/>
        <v>Пропант</v>
      </c>
      <c r="I8" s="9">
        <f t="shared" si="3"/>
        <v>2.2517985611510807</v>
      </c>
      <c r="J8" s="43">
        <f t="shared" si="0"/>
        <v>3</v>
      </c>
      <c r="K8" s="9">
        <f t="shared" si="4"/>
        <v>6.7553956834532416</v>
      </c>
      <c r="L8" s="9">
        <f t="shared" si="5"/>
        <v>6.0000000000000036</v>
      </c>
      <c r="M8" s="43" t="str">
        <f t="shared" si="6"/>
        <v>LG28</v>
      </c>
      <c r="N8" s="43" t="str">
        <f t="shared" si="7"/>
        <v>20/40 Новатэк</v>
      </c>
      <c r="O8" s="43">
        <f t="shared" si="8"/>
        <v>300</v>
      </c>
      <c r="P8" s="43">
        <f t="shared" si="13"/>
        <v>400</v>
      </c>
      <c r="Q8" s="9">
        <f t="shared" si="14"/>
        <v>2100.0000000000014</v>
      </c>
      <c r="R8" s="9">
        <f t="shared" si="9"/>
        <v>47.677058353317349</v>
      </c>
      <c r="S8" s="9">
        <f t="shared" si="10"/>
        <v>4800.0000000000009</v>
      </c>
      <c r="T8" s="21">
        <f t="shared" si="11"/>
        <v>49.403677058353324</v>
      </c>
      <c r="U8" s="6"/>
      <c r="V8" s="6"/>
      <c r="W8" s="6"/>
      <c r="X8" s="6"/>
      <c r="Y8" s="6"/>
      <c r="Z8" s="6"/>
      <c r="AA8" s="6"/>
      <c r="AC8">
        <f t="shared" si="12"/>
        <v>14.216093791633361</v>
      </c>
      <c r="AD8" s="5">
        <f>AD7</f>
        <v>9.9283240074606987</v>
      </c>
      <c r="AE8">
        <f>P6</f>
        <v>200</v>
      </c>
      <c r="AF8">
        <f t="shared" si="1"/>
        <v>3</v>
      </c>
      <c r="AI8">
        <f>C3/AJ4</f>
        <v>0.42234976367319382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2.3237410071942439</v>
      </c>
      <c r="J9" s="43">
        <f t="shared" si="0"/>
        <v>3</v>
      </c>
      <c r="K9" s="9">
        <f t="shared" si="4"/>
        <v>6.9712230215827313</v>
      </c>
      <c r="L9" s="9">
        <f t="shared" si="5"/>
        <v>5.9999999999999982</v>
      </c>
      <c r="M9" s="43" t="str">
        <f t="shared" si="6"/>
        <v>LG28</v>
      </c>
      <c r="N9" s="43" t="str">
        <f t="shared" si="7"/>
        <v>20/40 Новатэк</v>
      </c>
      <c r="O9" s="43">
        <f t="shared" si="8"/>
        <v>400</v>
      </c>
      <c r="P9" s="43">
        <f t="shared" si="13"/>
        <v>500</v>
      </c>
      <c r="Q9" s="9">
        <f t="shared" si="14"/>
        <v>2699.9999999999991</v>
      </c>
      <c r="R9" s="9">
        <f t="shared" si="9"/>
        <v>53.677058353317349</v>
      </c>
      <c r="S9" s="9">
        <f t="shared" si="10"/>
        <v>7500</v>
      </c>
      <c r="T9" s="21">
        <f t="shared" si="11"/>
        <v>56.374900079936054</v>
      </c>
      <c r="U9" s="6"/>
      <c r="V9" s="6"/>
      <c r="W9" s="6"/>
      <c r="X9" s="6"/>
      <c r="Y9" s="6"/>
      <c r="Z9" s="6"/>
      <c r="AA9" s="6"/>
      <c r="AC9">
        <f t="shared" si="12"/>
        <v>16.467892352784443</v>
      </c>
      <c r="AD9">
        <f>AC7</f>
        <v>12.036237676525447</v>
      </c>
      <c r="AE9" t="e">
        <f>#REF!</f>
        <v>#REF!</v>
      </c>
      <c r="AF9">
        <f t="shared" si="1"/>
        <v>3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2.4074074074074061</v>
      </c>
      <c r="J10" s="43">
        <f t="shared" si="0"/>
        <v>3</v>
      </c>
      <c r="K10" s="9">
        <f t="shared" si="4"/>
        <v>7.2222222222222179</v>
      </c>
      <c r="L10" s="9">
        <f t="shared" si="5"/>
        <v>5.9999999999999964</v>
      </c>
      <c r="M10" s="43" t="str">
        <f t="shared" si="6"/>
        <v>LG28</v>
      </c>
      <c r="N10" s="43" t="str">
        <f t="shared" si="7"/>
        <v>16/20 Новатэк</v>
      </c>
      <c r="O10" s="43">
        <f t="shared" si="8"/>
        <v>500</v>
      </c>
      <c r="P10" s="43">
        <f t="shared" si="13"/>
        <v>600</v>
      </c>
      <c r="Q10" s="9">
        <f t="shared" si="14"/>
        <v>3299.9999999999982</v>
      </c>
      <c r="R10" s="9">
        <f t="shared" si="9"/>
        <v>59.677058353317349</v>
      </c>
      <c r="S10" s="9">
        <f t="shared" si="10"/>
        <v>10799.999999999998</v>
      </c>
      <c r="T10" s="21">
        <f t="shared" si="11"/>
        <v>63.597122302158269</v>
      </c>
      <c r="U10" s="6"/>
      <c r="V10" s="6"/>
      <c r="W10" s="6"/>
      <c r="X10" s="6"/>
      <c r="Y10" s="6"/>
      <c r="Z10" s="6"/>
      <c r="AA10" s="6"/>
      <c r="AC10">
        <f t="shared" si="12"/>
        <v>18.791633359978686</v>
      </c>
      <c r="AD10">
        <f>AD9</f>
        <v>12.036237676525447</v>
      </c>
      <c r="AE10">
        <f>P7</f>
        <v>300</v>
      </c>
      <c r="AF10">
        <f t="shared" si="1"/>
        <v>3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IF(E11="","",SUMIF(N4:N29,C8,Q4:Q29)/1000)</f>
        <v>7.5</v>
      </c>
      <c r="G11" s="6"/>
      <c r="H11" s="20" t="str">
        <f t="shared" si="2"/>
        <v>Пропант</v>
      </c>
      <c r="I11" s="9">
        <f t="shared" si="3"/>
        <v>2.4814814814814814</v>
      </c>
      <c r="J11" s="43">
        <f t="shared" si="0"/>
        <v>3</v>
      </c>
      <c r="K11" s="9">
        <f t="shared" si="4"/>
        <v>7.4444444444444446</v>
      </c>
      <c r="L11" s="9">
        <f t="shared" si="5"/>
        <v>6</v>
      </c>
      <c r="M11" s="43" t="str">
        <f t="shared" si="6"/>
        <v>DX28</v>
      </c>
      <c r="N11" s="43" t="str">
        <f t="shared" si="7"/>
        <v>16/20 Новатэк</v>
      </c>
      <c r="O11" s="43">
        <f t="shared" si="8"/>
        <v>600</v>
      </c>
      <c r="P11" s="43">
        <f t="shared" si="13"/>
        <v>700</v>
      </c>
      <c r="Q11" s="9">
        <f t="shared" si="14"/>
        <v>3900</v>
      </c>
      <c r="R11" s="9">
        <f t="shared" si="9"/>
        <v>65.677058353317349</v>
      </c>
      <c r="S11" s="9">
        <f t="shared" si="10"/>
        <v>14699.999999999998</v>
      </c>
      <c r="T11" s="21">
        <f t="shared" si="11"/>
        <v>71.041566746602712</v>
      </c>
      <c r="U11" s="6"/>
      <c r="V11" s="6"/>
      <c r="W11" s="6"/>
      <c r="X11" s="6"/>
      <c r="Y11" s="6"/>
      <c r="Z11" s="6"/>
      <c r="AA11" s="6"/>
      <c r="AC11">
        <f t="shared" si="12"/>
        <v>21.199040767386091</v>
      </c>
      <c r="AD11">
        <f>AC8</f>
        <v>14.216093791633361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SUMIF(N4:N29,C9,Q4:Q29)/1000</f>
        <v>22.5</v>
      </c>
      <c r="G12" s="6"/>
      <c r="H12" s="20" t="str">
        <f t="shared" si="2"/>
        <v>Пропант</v>
      </c>
      <c r="I12" s="9">
        <f t="shared" si="3"/>
        <v>2.5555555555555585</v>
      </c>
      <c r="J12" s="43">
        <f t="shared" si="0"/>
        <v>3</v>
      </c>
      <c r="K12" s="9">
        <f t="shared" si="4"/>
        <v>7.6666666666666758</v>
      </c>
      <c r="L12" s="9">
        <f t="shared" si="5"/>
        <v>6.0000000000000071</v>
      </c>
      <c r="M12" s="43" t="str">
        <f t="shared" si="6"/>
        <v>DX28</v>
      </c>
      <c r="N12" s="43" t="str">
        <f t="shared" si="7"/>
        <v>16/20 Новатэк</v>
      </c>
      <c r="O12" s="43">
        <f t="shared" si="8"/>
        <v>700</v>
      </c>
      <c r="P12" s="43">
        <f t="shared" si="13"/>
        <v>800</v>
      </c>
      <c r="Q12" s="9">
        <f t="shared" si="14"/>
        <v>4500.0000000000055</v>
      </c>
      <c r="R12" s="9">
        <f t="shared" si="9"/>
        <v>71.677058353317364</v>
      </c>
      <c r="S12" s="9">
        <f t="shared" si="10"/>
        <v>19200.000000000004</v>
      </c>
      <c r="T12" s="21">
        <f t="shared" si="11"/>
        <v>78.708233413269383</v>
      </c>
      <c r="U12" s="6"/>
      <c r="V12" s="6"/>
      <c r="W12" s="6"/>
      <c r="X12" s="6"/>
      <c r="Y12" s="6"/>
      <c r="Z12" s="6"/>
      <c r="AA12" s="6"/>
      <c r="AC12">
        <f t="shared" si="12"/>
        <v>23.680522248867572</v>
      </c>
      <c r="AD12">
        <f>AD11</f>
        <v>14.216093791633361</v>
      </c>
      <c r="AE12">
        <f>P8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3"/>
        <v>2.6296296296296275</v>
      </c>
      <c r="J13" s="43">
        <f t="shared" si="0"/>
        <v>3</v>
      </c>
      <c r="K13" s="9">
        <f t="shared" si="4"/>
        <v>7.8888888888888831</v>
      </c>
      <c r="L13" s="9">
        <f t="shared" si="5"/>
        <v>5.9999999999999956</v>
      </c>
      <c r="M13" s="43" t="str">
        <f t="shared" si="6"/>
        <v>DX28</v>
      </c>
      <c r="N13" s="43" t="str">
        <f t="shared" si="7"/>
        <v>16/20 Новатэк</v>
      </c>
      <c r="O13" s="43">
        <f t="shared" si="8"/>
        <v>800</v>
      </c>
      <c r="P13" s="43">
        <f t="shared" si="13"/>
        <v>900</v>
      </c>
      <c r="Q13" s="9">
        <f t="shared" si="14"/>
        <v>5099.9999999999964</v>
      </c>
      <c r="R13" s="9">
        <f t="shared" si="9"/>
        <v>77.677058353317364</v>
      </c>
      <c r="S13" s="9">
        <f t="shared" si="10"/>
        <v>24300</v>
      </c>
      <c r="T13" s="21">
        <f t="shared" si="11"/>
        <v>86.597122302158269</v>
      </c>
      <c r="U13" s="6"/>
      <c r="V13" s="6"/>
      <c r="W13" s="6"/>
      <c r="X13" s="6"/>
      <c r="Y13" s="6"/>
      <c r="Z13" s="6"/>
      <c r="AA13" s="6"/>
      <c r="AC13">
        <f t="shared" si="12"/>
        <v>26.236077804423129</v>
      </c>
      <c r="AD13">
        <f>AC9</f>
        <v>16.467892352784443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200</v>
      </c>
      <c r="D14" s="6"/>
      <c r="E14" s="10"/>
      <c r="F14" s="11"/>
      <c r="G14" s="6"/>
      <c r="H14" s="20" t="str">
        <f t="shared" si="2"/>
        <v>Пропант</v>
      </c>
      <c r="I14" s="9">
        <f t="shared" si="3"/>
        <v>2.7037037037037037</v>
      </c>
      <c r="J14" s="43">
        <f t="shared" si="0"/>
        <v>3</v>
      </c>
      <c r="K14" s="9">
        <f t="shared" si="4"/>
        <v>8.1111111111111107</v>
      </c>
      <c r="L14" s="9">
        <f t="shared" si="5"/>
        <v>6</v>
      </c>
      <c r="M14" s="43" t="str">
        <f t="shared" si="6"/>
        <v>DX28</v>
      </c>
      <c r="N14" s="43" t="str">
        <f t="shared" si="7"/>
        <v>16/20 Новатэк</v>
      </c>
      <c r="O14" s="43">
        <f t="shared" si="8"/>
        <v>900</v>
      </c>
      <c r="P14" s="43">
        <f t="shared" si="13"/>
        <v>1000</v>
      </c>
      <c r="Q14" s="9">
        <f t="shared" si="14"/>
        <v>5700</v>
      </c>
      <c r="R14" s="9">
        <f t="shared" si="9"/>
        <v>83.677058353317364</v>
      </c>
      <c r="S14" s="9">
        <f t="shared" si="10"/>
        <v>30000</v>
      </c>
      <c r="T14" s="21">
        <f t="shared" si="11"/>
        <v>94.708233413269383</v>
      </c>
      <c r="U14" s="6"/>
      <c r="V14" s="6"/>
      <c r="W14" s="6"/>
      <c r="X14" s="6"/>
      <c r="Y14" s="6"/>
      <c r="Z14" s="6"/>
      <c r="AA14" s="6"/>
      <c r="AC14" s="5">
        <f t="shared" si="12"/>
        <v>28.865707434052755</v>
      </c>
      <c r="AD14">
        <f>AD13</f>
        <v>16.467892352784443</v>
      </c>
      <c r="AE14">
        <f>P9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2"/>
        <v>Продавка</v>
      </c>
      <c r="I15" s="9">
        <f t="shared" si="3"/>
        <v>5</v>
      </c>
      <c r="J15" s="43">
        <f t="shared" si="0"/>
        <v>3</v>
      </c>
      <c r="K15" s="9">
        <f t="shared" si="4"/>
        <v>15</v>
      </c>
      <c r="L15" s="9">
        <f t="shared" si="5"/>
        <v>15</v>
      </c>
      <c r="M15" s="43" t="str">
        <f t="shared" si="6"/>
        <v>H2O1</v>
      </c>
      <c r="N15" s="43" t="str">
        <f t="shared" si="7"/>
        <v>-</v>
      </c>
      <c r="O15" s="43" t="str">
        <f t="shared" si="8"/>
        <v>-</v>
      </c>
      <c r="P15" s="43" t="str">
        <f t="shared" si="13"/>
        <v>-</v>
      </c>
      <c r="Q15" s="9" t="str">
        <f t="shared" si="14"/>
        <v>-</v>
      </c>
      <c r="R15" s="9">
        <f t="shared" si="9"/>
        <v>98.677058353317364</v>
      </c>
      <c r="S15" s="9" t="str">
        <f t="shared" si="10"/>
        <v>-</v>
      </c>
      <c r="T15" s="21">
        <f t="shared" si="11"/>
        <v>109.70823341326938</v>
      </c>
      <c r="U15" s="6"/>
      <c r="V15" s="6"/>
      <c r="W15" s="6"/>
      <c r="X15" s="6"/>
      <c r="Y15" s="6"/>
      <c r="Z15" s="6"/>
      <c r="AA15" s="6"/>
      <c r="AC15">
        <f t="shared" si="12"/>
        <v>31.569411137756457</v>
      </c>
      <c r="AD15">
        <f>AC10</f>
        <v>18.791633359978686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5.75" customHeight="1" x14ac:dyDescent="0.25">
      <c r="A16" s="6"/>
      <c r="B16" s="35" t="s">
        <v>135</v>
      </c>
      <c r="C16" s="39">
        <v>25</v>
      </c>
      <c r="D16" s="6"/>
      <c r="E16" s="10"/>
      <c r="F16" s="11"/>
      <c r="G16" s="6"/>
      <c r="H16" s="20" t="str">
        <f t="shared" si="2"/>
        <v>Остановка</v>
      </c>
      <c r="I16" s="9">
        <f t="shared" si="3"/>
        <v>120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13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>
        <f t="shared" si="12"/>
        <v>36.569411137756461</v>
      </c>
      <c r="AD16">
        <f>AD15</f>
        <v>18.791633359978686</v>
      </c>
      <c r="AE16">
        <f>P10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24" t="s">
        <v>142</v>
      </c>
      <c r="C17" s="39" t="s">
        <v>51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13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>
        <f t="shared" si="12"/>
        <v>156.56941113775645</v>
      </c>
      <c r="AD17">
        <f>AC11</f>
        <v>21.199040767386091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35" t="s">
        <v>139</v>
      </c>
      <c r="C18" s="39" t="s">
        <v>59</v>
      </c>
      <c r="D18" s="6"/>
      <c r="E18" s="65">
        <f>IFERROR(C3/SUM(L4:L29), "-")</f>
        <v>0.30402203410425688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13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21.199040767386091</v>
      </c>
      <c r="AE18">
        <f>P11</f>
        <v>700</v>
      </c>
      <c r="AF18">
        <f t="shared" si="1"/>
        <v>3</v>
      </c>
      <c r="AH18" s="44" t="s">
        <v>52</v>
      </c>
      <c r="AI18" s="2">
        <f>IF(C7=-3,AI10,IF(C7=-2,AI11,IF(C7=-1,AI12,IF(C7=0,AI13,IF(C7=1,AI14,IF(C7=2,AI15,IF(C7=3,AI16)))))))</f>
        <v>2</v>
      </c>
    </row>
    <row r="19" spans="1:40" ht="18.75" customHeight="1" thickBot="1" x14ac:dyDescent="0.3">
      <c r="A19" s="6"/>
      <c r="B19" s="37" t="s">
        <v>140</v>
      </c>
      <c r="C19" s="47">
        <v>15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13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23.680522248867572</v>
      </c>
      <c r="AE19" t="e">
        <f>#REF!</f>
        <v>#REF!</v>
      </c>
      <c r="AF19">
        <f t="shared" si="1"/>
        <v>3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13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23.680522248867572</v>
      </c>
      <c r="AE20">
        <f>P12</f>
        <v>800</v>
      </c>
      <c r="AF20">
        <f t="shared" si="1"/>
        <v>3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13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26.236077804423129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13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26.236077804423129</v>
      </c>
      <c r="AE22">
        <f>P13</f>
        <v>900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13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28.865707434052755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13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28.865707434052755</v>
      </c>
      <c r="AE24">
        <f>P14</f>
        <v>1000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13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31.569411137756457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13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31.569411137756457</v>
      </c>
      <c r="AE26" t="str">
        <f>P15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13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>
        <f>AC16</f>
        <v>36.569411137756461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13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>
        <f>AD27</f>
        <v>36.569411137756461</v>
      </c>
      <c r="AE28" t="str">
        <f>P16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13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>
        <f>AC17</f>
        <v>156.56941113775645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3" t="str">
        <f t="shared" si="0"/>
        <v>-</v>
      </c>
      <c r="K30" s="9" t="str">
        <f t="shared" si="4"/>
        <v>-</v>
      </c>
      <c r="L30" s="9" t="str">
        <f t="shared" si="5"/>
        <v>-</v>
      </c>
      <c r="M30" s="43" t="str">
        <f t="shared" si="6"/>
        <v>-</v>
      </c>
      <c r="N30" s="43" t="str">
        <f t="shared" si="7"/>
        <v>-</v>
      </c>
      <c r="O30" s="43" t="str">
        <f t="shared" si="8"/>
        <v>-</v>
      </c>
      <c r="P30" s="43" t="str">
        <f t="shared" si="13"/>
        <v>-</v>
      </c>
      <c r="Q30" s="9" t="str">
        <f t="shared" si="14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>
        <f>AD29</f>
        <v>156.56941113775645</v>
      </c>
      <c r="AE30" t="str">
        <f>P17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P18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P19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P20</f>
        <v>-</v>
      </c>
      <c r="AF36">
        <f t="shared" ref="AF36:AF54" si="16">$C$5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P21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P22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P23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P24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P25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P26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P27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P28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P29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23.677058353317346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>IF(L73=SUM($I$4:$I$29)-($C$19/$C$5),L73,IFERROR(L73+I4,L73))</f>
        <v>7.8923527844391153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>IF(L74=SUM($I$4:$I$29)-($C$19/$C$5),L74,IFERROR(L74+#REF!,L74))</f>
        <v>7.8923527844391153</v>
      </c>
      <c r="M75">
        <v>0</v>
      </c>
    </row>
    <row r="76" spans="1:27" x14ac:dyDescent="0.25">
      <c r="E76">
        <v>1</v>
      </c>
      <c r="F76" s="53">
        <f t="shared" ref="F76:F101" si="17">IF(P5="-","-",P5/$C$4)</f>
        <v>0.1</v>
      </c>
      <c r="G76" s="53">
        <f t="shared" ref="G76:G101" si="18">IF(F76="-","-",F76^$AI$18)</f>
        <v>1.0000000000000002E-2</v>
      </c>
      <c r="L76" s="5">
        <f t="shared" ref="L76:L100" si="19">IF(L75=SUM($I$4:$I$29)-($C$19/$C$5),L75,IFERROR(L75+I5,L75))</f>
        <v>9.9283240074606987</v>
      </c>
      <c r="M76">
        <f t="shared" ref="M76:M100" si="20">P5</f>
        <v>100</v>
      </c>
    </row>
    <row r="77" spans="1:27" x14ac:dyDescent="0.25">
      <c r="E77">
        <v>2</v>
      </c>
      <c r="F77" s="53">
        <f t="shared" si="17"/>
        <v>0.2</v>
      </c>
      <c r="G77" s="53">
        <f t="shared" si="18"/>
        <v>4.0000000000000008E-2</v>
      </c>
      <c r="I77" s="54" t="s">
        <v>128</v>
      </c>
      <c r="J77" s="54">
        <f>C4/C6</f>
        <v>10</v>
      </c>
      <c r="L77" s="5">
        <f t="shared" si="19"/>
        <v>12.036237676525447</v>
      </c>
      <c r="M77">
        <f t="shared" si="20"/>
        <v>200</v>
      </c>
    </row>
    <row r="78" spans="1:27" x14ac:dyDescent="0.25">
      <c r="E78">
        <v>3</v>
      </c>
      <c r="F78" s="53">
        <f t="shared" si="17"/>
        <v>0.3</v>
      </c>
      <c r="G78" s="53">
        <f t="shared" si="18"/>
        <v>0.09</v>
      </c>
      <c r="L78" s="5">
        <f t="shared" si="19"/>
        <v>14.216093791633361</v>
      </c>
      <c r="M78">
        <f t="shared" si="20"/>
        <v>300</v>
      </c>
    </row>
    <row r="79" spans="1:27" x14ac:dyDescent="0.25">
      <c r="E79">
        <v>4</v>
      </c>
      <c r="F79" s="53">
        <f t="shared" si="17"/>
        <v>0.4</v>
      </c>
      <c r="G79" s="53">
        <f t="shared" si="18"/>
        <v>0.16000000000000003</v>
      </c>
      <c r="L79" s="5">
        <f t="shared" si="19"/>
        <v>16.467892352784443</v>
      </c>
      <c r="M79">
        <f t="shared" si="20"/>
        <v>400</v>
      </c>
    </row>
    <row r="80" spans="1:27" x14ac:dyDescent="0.25">
      <c r="E80">
        <v>5</v>
      </c>
      <c r="F80" s="53">
        <f t="shared" si="17"/>
        <v>0.5</v>
      </c>
      <c r="G80" s="53">
        <f t="shared" si="18"/>
        <v>0.25</v>
      </c>
      <c r="L80" s="5">
        <f t="shared" si="19"/>
        <v>18.791633359978686</v>
      </c>
      <c r="M80">
        <f t="shared" si="20"/>
        <v>500</v>
      </c>
    </row>
    <row r="81" spans="5:13" x14ac:dyDescent="0.25">
      <c r="E81">
        <v>6</v>
      </c>
      <c r="F81" s="53">
        <f t="shared" si="17"/>
        <v>0.6</v>
      </c>
      <c r="G81" s="53">
        <f t="shared" si="18"/>
        <v>0.36</v>
      </c>
      <c r="L81" s="5">
        <f t="shared" si="19"/>
        <v>21.199040767386091</v>
      </c>
      <c r="M81">
        <f t="shared" si="20"/>
        <v>600</v>
      </c>
    </row>
    <row r="82" spans="5:13" x14ac:dyDescent="0.25">
      <c r="E82">
        <v>7</v>
      </c>
      <c r="F82" s="53">
        <f t="shared" si="17"/>
        <v>0.7</v>
      </c>
      <c r="G82" s="53">
        <f t="shared" si="18"/>
        <v>0.48999999999999994</v>
      </c>
      <c r="L82" s="5">
        <f t="shared" si="19"/>
        <v>23.680522248867572</v>
      </c>
      <c r="M82">
        <f t="shared" si="20"/>
        <v>700</v>
      </c>
    </row>
    <row r="83" spans="5:13" x14ac:dyDescent="0.25">
      <c r="E83">
        <v>8</v>
      </c>
      <c r="F83" s="53">
        <f t="shared" si="17"/>
        <v>0.8</v>
      </c>
      <c r="G83" s="53">
        <f t="shared" si="18"/>
        <v>0.64000000000000012</v>
      </c>
      <c r="L83" s="5">
        <f t="shared" si="19"/>
        <v>26.236077804423129</v>
      </c>
      <c r="M83">
        <f t="shared" si="20"/>
        <v>800</v>
      </c>
    </row>
    <row r="84" spans="5:13" x14ac:dyDescent="0.25">
      <c r="E84">
        <v>9</v>
      </c>
      <c r="F84" s="53">
        <f t="shared" si="17"/>
        <v>0.9</v>
      </c>
      <c r="G84" s="53">
        <f t="shared" si="18"/>
        <v>0.81</v>
      </c>
      <c r="L84" s="5">
        <f t="shared" si="19"/>
        <v>28.865707434052755</v>
      </c>
      <c r="M84">
        <f t="shared" si="20"/>
        <v>900</v>
      </c>
    </row>
    <row r="85" spans="5:13" x14ac:dyDescent="0.25">
      <c r="E85">
        <v>10</v>
      </c>
      <c r="F85" s="53">
        <f t="shared" si="17"/>
        <v>1</v>
      </c>
      <c r="G85" s="53">
        <f t="shared" si="18"/>
        <v>1</v>
      </c>
      <c r="L85" s="5">
        <f t="shared" si="19"/>
        <v>31.569411137756457</v>
      </c>
      <c r="M85">
        <f t="shared" si="20"/>
        <v>1000</v>
      </c>
    </row>
    <row r="86" spans="5:13" x14ac:dyDescent="0.25">
      <c r="E86">
        <v>11</v>
      </c>
      <c r="F86" s="53" t="str">
        <f t="shared" si="17"/>
        <v>-</v>
      </c>
      <c r="G86" s="53" t="str">
        <f t="shared" si="18"/>
        <v>-</v>
      </c>
      <c r="L86" s="5">
        <f t="shared" si="19"/>
        <v>36.569411137756461</v>
      </c>
      <c r="M86" t="str">
        <f t="shared" si="20"/>
        <v>-</v>
      </c>
    </row>
    <row r="87" spans="5:13" x14ac:dyDescent="0.25">
      <c r="E87">
        <v>12</v>
      </c>
      <c r="F87" s="53" t="str">
        <f t="shared" si="17"/>
        <v>-</v>
      </c>
      <c r="G87" s="53" t="str">
        <f t="shared" si="18"/>
        <v>-</v>
      </c>
      <c r="L87" s="5">
        <f t="shared" si="19"/>
        <v>156.56941113775645</v>
      </c>
      <c r="M87" t="str">
        <f t="shared" si="20"/>
        <v>-</v>
      </c>
    </row>
    <row r="88" spans="5:13" x14ac:dyDescent="0.25">
      <c r="E88">
        <v>13</v>
      </c>
      <c r="F88" s="53" t="str">
        <f t="shared" si="17"/>
        <v>-</v>
      </c>
      <c r="G88" s="53" t="str">
        <f t="shared" si="18"/>
        <v>-</v>
      </c>
      <c r="L88" s="5">
        <f t="shared" si="19"/>
        <v>156.56941113775645</v>
      </c>
      <c r="M88" t="str">
        <f t="shared" si="20"/>
        <v>-</v>
      </c>
    </row>
    <row r="89" spans="5:13" x14ac:dyDescent="0.25">
      <c r="E89">
        <v>14</v>
      </c>
      <c r="F89" s="53" t="str">
        <f t="shared" si="17"/>
        <v>-</v>
      </c>
      <c r="G89" s="53" t="str">
        <f t="shared" si="18"/>
        <v>-</v>
      </c>
      <c r="L89" s="5">
        <f t="shared" si="19"/>
        <v>156.56941113775645</v>
      </c>
      <c r="M89" t="str">
        <f t="shared" si="20"/>
        <v>-</v>
      </c>
    </row>
    <row r="90" spans="5:13" x14ac:dyDescent="0.25">
      <c r="E90">
        <v>15</v>
      </c>
      <c r="F90" s="53" t="str">
        <f t="shared" si="17"/>
        <v>-</v>
      </c>
      <c r="G90" s="53" t="str">
        <f t="shared" si="18"/>
        <v>-</v>
      </c>
      <c r="L90" s="5">
        <f t="shared" si="19"/>
        <v>156.56941113775645</v>
      </c>
      <c r="M90" t="str">
        <f t="shared" si="20"/>
        <v>-</v>
      </c>
    </row>
    <row r="91" spans="5:13" x14ac:dyDescent="0.25">
      <c r="E91">
        <v>16</v>
      </c>
      <c r="F91" s="53" t="str">
        <f t="shared" si="17"/>
        <v>-</v>
      </c>
      <c r="G91" s="53" t="str">
        <f t="shared" si="18"/>
        <v>-</v>
      </c>
      <c r="L91" s="5">
        <f t="shared" si="19"/>
        <v>156.56941113775645</v>
      </c>
      <c r="M91" t="str">
        <f t="shared" si="20"/>
        <v>-</v>
      </c>
    </row>
    <row r="92" spans="5:13" x14ac:dyDescent="0.25">
      <c r="E92">
        <v>17</v>
      </c>
      <c r="F92" s="53" t="str">
        <f t="shared" si="17"/>
        <v>-</v>
      </c>
      <c r="G92" s="53" t="str">
        <f t="shared" si="18"/>
        <v>-</v>
      </c>
      <c r="L92" s="5">
        <f t="shared" si="19"/>
        <v>156.56941113775645</v>
      </c>
      <c r="M92" t="str">
        <f t="shared" si="20"/>
        <v>-</v>
      </c>
    </row>
    <row r="93" spans="5:13" x14ac:dyDescent="0.25">
      <c r="E93">
        <v>18</v>
      </c>
      <c r="F93" s="53" t="str">
        <f t="shared" si="17"/>
        <v>-</v>
      </c>
      <c r="G93" s="53" t="str">
        <f t="shared" si="18"/>
        <v>-</v>
      </c>
      <c r="L93" s="5">
        <f t="shared" si="19"/>
        <v>156.56941113775645</v>
      </c>
      <c r="M93" t="str">
        <f t="shared" si="20"/>
        <v>-</v>
      </c>
    </row>
    <row r="94" spans="5:13" x14ac:dyDescent="0.25">
      <c r="E94">
        <v>19</v>
      </c>
      <c r="F94" s="53" t="str">
        <f t="shared" si="17"/>
        <v>-</v>
      </c>
      <c r="G94" s="53" t="str">
        <f t="shared" si="18"/>
        <v>-</v>
      </c>
      <c r="L94" s="5">
        <f t="shared" si="19"/>
        <v>156.56941113775645</v>
      </c>
      <c r="M94" t="str">
        <f t="shared" si="20"/>
        <v>-</v>
      </c>
    </row>
    <row r="95" spans="5:13" x14ac:dyDescent="0.25">
      <c r="E95">
        <v>20</v>
      </c>
      <c r="F95" s="53" t="str">
        <f t="shared" si="17"/>
        <v>-</v>
      </c>
      <c r="G95" s="53" t="str">
        <f t="shared" si="18"/>
        <v>-</v>
      </c>
      <c r="L95" s="5">
        <f t="shared" si="19"/>
        <v>156.56941113775645</v>
      </c>
      <c r="M95" t="str">
        <f t="shared" si="20"/>
        <v>-</v>
      </c>
    </row>
    <row r="96" spans="5:13" x14ac:dyDescent="0.25">
      <c r="E96">
        <v>21</v>
      </c>
      <c r="F96" s="53" t="str">
        <f t="shared" si="17"/>
        <v>-</v>
      </c>
      <c r="G96" s="53" t="str">
        <f t="shared" si="18"/>
        <v>-</v>
      </c>
      <c r="L96" s="5">
        <f t="shared" si="19"/>
        <v>156.56941113775645</v>
      </c>
      <c r="M96" t="str">
        <f t="shared" si="20"/>
        <v>-</v>
      </c>
    </row>
    <row r="97" spans="5:13" x14ac:dyDescent="0.25">
      <c r="E97">
        <v>22</v>
      </c>
      <c r="F97" s="53" t="str">
        <f t="shared" si="17"/>
        <v>-</v>
      </c>
      <c r="G97" s="53" t="str">
        <f t="shared" si="18"/>
        <v>-</v>
      </c>
      <c r="L97" s="5">
        <f t="shared" si="19"/>
        <v>156.56941113775645</v>
      </c>
      <c r="M97" t="str">
        <f t="shared" si="20"/>
        <v>-</v>
      </c>
    </row>
    <row r="98" spans="5:13" x14ac:dyDescent="0.25">
      <c r="E98">
        <v>23</v>
      </c>
      <c r="F98" s="53" t="str">
        <f t="shared" si="17"/>
        <v>-</v>
      </c>
      <c r="G98" s="53" t="str">
        <f t="shared" si="18"/>
        <v>-</v>
      </c>
      <c r="L98" s="5">
        <f t="shared" si="19"/>
        <v>156.56941113775645</v>
      </c>
      <c r="M98" t="str">
        <f t="shared" si="20"/>
        <v>-</v>
      </c>
    </row>
    <row r="99" spans="5:13" x14ac:dyDescent="0.25">
      <c r="E99">
        <v>24</v>
      </c>
      <c r="F99" s="53" t="str">
        <f t="shared" si="17"/>
        <v>-</v>
      </c>
      <c r="G99" s="53" t="str">
        <f t="shared" si="18"/>
        <v>-</v>
      </c>
      <c r="L99" s="5">
        <f t="shared" si="19"/>
        <v>156.56941113775645</v>
      </c>
      <c r="M99" t="str">
        <f t="shared" si="20"/>
        <v>-</v>
      </c>
    </row>
    <row r="100" spans="5:13" x14ac:dyDescent="0.25">
      <c r="E100">
        <v>25</v>
      </c>
      <c r="F100" s="53" t="str">
        <f t="shared" si="17"/>
        <v>-</v>
      </c>
      <c r="G100" s="53" t="str">
        <f t="shared" si="18"/>
        <v>-</v>
      </c>
      <c r="L100" s="5">
        <f t="shared" si="19"/>
        <v>156.56941113775645</v>
      </c>
      <c r="M100" t="str">
        <f t="shared" si="20"/>
        <v>-</v>
      </c>
    </row>
    <row r="101" spans="5:13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7:C18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70" zoomScaleNormal="70" workbookViewId="0">
      <selection activeCell="F24" sqref="F24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194" width="9.140625" style="64" customWidth="1"/>
    <col min="19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82" t="s">
        <v>2</v>
      </c>
      <c r="C2" s="83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500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C6</f>
        <v>4</v>
      </c>
      <c r="K4" s="29">
        <f>L4</f>
        <v>15</v>
      </c>
      <c r="L4" s="29">
        <f>C24</f>
        <v>15</v>
      </c>
      <c r="M4" s="41" t="str">
        <f>C23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$C$6</f>
        <v>4</v>
      </c>
      <c r="AI4" t="s">
        <v>27</v>
      </c>
      <c r="AJ4" s="5">
        <f>SUM(K7:K31)</f>
        <v>73.074074074074076</v>
      </c>
    </row>
    <row r="5" spans="1:36" ht="15.75" customHeight="1" x14ac:dyDescent="0.25">
      <c r="A5" s="6"/>
      <c r="B5" s="35" t="s">
        <v>143</v>
      </c>
      <c r="C5" s="42">
        <v>40</v>
      </c>
      <c r="D5" s="6"/>
      <c r="E5" s="12" t="str">
        <f>IF(C15=0,"",C12)</f>
        <v>FR01</v>
      </c>
      <c r="F5" s="62">
        <f>IF(E5="","",SUMIF(M5:M31,C12,L5:L31))</f>
        <v>9.6000000000000014</v>
      </c>
      <c r="G5" s="6"/>
      <c r="H5" s="20" t="str">
        <f>IF(I5="-","-","Буфер")</f>
        <v>Буфер</v>
      </c>
      <c r="I5" s="9">
        <f t="shared" ref="I5:I31" si="1">IFERROR(K5/J5,"-")</f>
        <v>0</v>
      </c>
      <c r="J5" s="43">
        <f t="shared" ref="J5:J31" si="2">IF(K5="-","-",$C$6)</f>
        <v>4</v>
      </c>
      <c r="K5" s="9">
        <f>IFERROR(J74, "-")</f>
        <v>0</v>
      </c>
      <c r="L5" s="9">
        <f>IFERROR(K5,0)</f>
        <v>0</v>
      </c>
      <c r="M5" s="43" t="str">
        <f>IF(L5="-","-",$C$19)</f>
        <v>LG24</v>
      </c>
      <c r="N5" s="43"/>
      <c r="O5" s="43"/>
      <c r="P5" s="43"/>
      <c r="Q5" s="9"/>
      <c r="R5" s="9">
        <f>IF(L5="-","-",L5)</f>
        <v>0</v>
      </c>
      <c r="S5" s="9"/>
      <c r="T5" s="21">
        <f>IF(K5="-","-",K5)</f>
        <v>0</v>
      </c>
      <c r="U5" s="6"/>
      <c r="V5" s="6"/>
      <c r="W5" s="6"/>
      <c r="X5" s="6"/>
      <c r="Y5" s="6"/>
      <c r="Z5" s="6"/>
      <c r="AA5" s="6"/>
      <c r="AC5">
        <f>AC4+I5+I6</f>
        <v>6.1709711383624404</v>
      </c>
      <c r="AD5">
        <f>AC5</f>
        <v>6.1709711383624404</v>
      </c>
      <c r="AE5">
        <f>P5</f>
        <v>0</v>
      </c>
      <c r="AF5">
        <f t="shared" si="0"/>
        <v>4</v>
      </c>
      <c r="AI5" t="s">
        <v>29</v>
      </c>
      <c r="AJ5">
        <f>AJ4/(1-J81)</f>
        <v>97.757958627523834</v>
      </c>
    </row>
    <row r="6" spans="1:36" ht="18" customHeight="1" x14ac:dyDescent="0.25">
      <c r="A6" s="6"/>
      <c r="B6" s="24" t="s">
        <v>28</v>
      </c>
      <c r="C6" s="39">
        <v>4</v>
      </c>
      <c r="D6" s="6"/>
      <c r="E6" s="12" t="str">
        <f>C13</f>
        <v>LG32</v>
      </c>
      <c r="F6" s="62">
        <f>SUMIF(M5:M31,C13,L5:L31)</f>
        <v>34.283884553449766</v>
      </c>
      <c r="G6" s="6"/>
      <c r="H6" s="20" t="str">
        <f>IF(I6="-","-","Буфер")</f>
        <v>Буфер</v>
      </c>
      <c r="I6" s="9">
        <f t="shared" si="1"/>
        <v>6.1709711383624404</v>
      </c>
      <c r="J6" s="43">
        <f t="shared" si="2"/>
        <v>4</v>
      </c>
      <c r="K6" s="9">
        <f>IFERROR(J75, "-")</f>
        <v>24.683884553449762</v>
      </c>
      <c r="L6" s="9">
        <f>IFERROR(K6,0)</f>
        <v>24.683884553449762</v>
      </c>
      <c r="M6" s="43" t="str">
        <f>IF(L6="-","-",$C$20)</f>
        <v>LG32</v>
      </c>
      <c r="N6" s="43"/>
      <c r="O6" s="43"/>
      <c r="P6" s="43"/>
      <c r="Q6" s="9"/>
      <c r="R6" s="9">
        <f>IF(L6="-","-",R5+L6)</f>
        <v>24.683884553449762</v>
      </c>
      <c r="S6" s="9"/>
      <c r="T6" s="21">
        <f>IF(K6="-","-",K6+T5)</f>
        <v>24.683884553449762</v>
      </c>
      <c r="U6" s="6"/>
      <c r="V6" s="6"/>
      <c r="W6" s="6"/>
      <c r="X6" s="6"/>
      <c r="Y6" s="6"/>
      <c r="Z6" s="6"/>
      <c r="AA6" s="6"/>
      <c r="AC6" s="5">
        <f t="shared" ref="AC6:AC30" si="3">AC5+I7</f>
        <v>8.6084711383624413</v>
      </c>
      <c r="AD6">
        <f>AD5</f>
        <v>6.1709711383624404</v>
      </c>
      <c r="AE6">
        <f>P7</f>
        <v>100</v>
      </c>
      <c r="AF6">
        <f t="shared" si="0"/>
        <v>4</v>
      </c>
    </row>
    <row r="7" spans="1:36" ht="18" customHeight="1" x14ac:dyDescent="0.25">
      <c r="A7" s="6"/>
      <c r="B7" s="24" t="s">
        <v>30</v>
      </c>
      <c r="C7" s="39">
        <v>100</v>
      </c>
      <c r="D7" s="6"/>
      <c r="E7" s="12" t="str">
        <f>C14</f>
        <v>DX28</v>
      </c>
      <c r="F7" s="62">
        <f>SUMIF(M5:M31,C14,L5:L31)</f>
        <v>46.577777777777776</v>
      </c>
      <c r="G7" s="6"/>
      <c r="H7" s="20" t="str">
        <f t="shared" ref="H7:H31" si="4">IF(I7="-","-","Пропант")</f>
        <v>Пропант</v>
      </c>
      <c r="I7" s="9">
        <f t="shared" si="1"/>
        <v>2.4375000000000004</v>
      </c>
      <c r="J7" s="43">
        <f t="shared" si="2"/>
        <v>4</v>
      </c>
      <c r="K7" s="9">
        <f t="shared" ref="K7:K31" si="5">IFERROR(L7+Q7/(IF(N7=$C$9,$G$103,$G$104)*1000),"-")</f>
        <v>9.7500000000000018</v>
      </c>
      <c r="L7" s="9">
        <f t="shared" ref="L7:L31" si="6">IFERROR(Q7/(P7-($C$7/2)),"-")</f>
        <v>9.6000000000000014</v>
      </c>
      <c r="M7" s="43" t="str">
        <f t="shared" ref="M7:M31" si="7">IF(L7="-","-",IF(O7&lt;$C$15,$C$12,IF(P7&gt;$C$16,$C$14,$C$13)))</f>
        <v>FR01</v>
      </c>
      <c r="N7" s="43" t="str">
        <f t="shared" ref="N7:N31" si="8">IF(O7="-","-",IF(O7&lt;$C$11,$C$9,$C$10))</f>
        <v>FP_20/40</v>
      </c>
      <c r="O7" s="43">
        <f t="shared" ref="O7:O31" si="9">IFERROR(IF(P7="-","-",IF(P6=$C$4,$C$4,P7-$C$7)),"-")</f>
        <v>0</v>
      </c>
      <c r="P7" s="43">
        <f t="shared" ref="P7:P31" si="10">IFERROR(IF(O6=$C$4,"-",IF(P6=$C$4,$C$4,P6+($C$4-P6)/($J$78-E75))),"-")</f>
        <v>100</v>
      </c>
      <c r="Q7" s="9">
        <f>IF(S7="-","-",S7)</f>
        <v>480.00000000000011</v>
      </c>
      <c r="R7" s="9">
        <f t="shared" ref="R7:R31" si="11">IFERROR(IF(L7="-","-",R6+L7),"-")</f>
        <v>34.283884553449766</v>
      </c>
      <c r="S7" s="9">
        <f t="shared" ref="S7:S31" si="12">IFERROR(IF(S6=$Q$35*1000,$C$3*1000,G76*$Q$35*1000),"-")</f>
        <v>480.00000000000011</v>
      </c>
      <c r="T7" s="21">
        <f t="shared" ref="T7:T31" si="13">IFERROR(IF(K7="-","-",T6+K7),"-")</f>
        <v>34.433884553449765</v>
      </c>
      <c r="U7" s="6"/>
      <c r="V7" s="6"/>
      <c r="W7" s="6"/>
      <c r="X7" s="6"/>
      <c r="Y7" s="6"/>
      <c r="Z7" s="6"/>
      <c r="AA7" s="6"/>
      <c r="AC7" s="5">
        <f t="shared" si="3"/>
        <v>11.120971138362442</v>
      </c>
      <c r="AD7" s="5">
        <f>AC6</f>
        <v>8.6084711383624413</v>
      </c>
      <c r="AE7" t="e">
        <f>#REF!</f>
        <v>#REF!</v>
      </c>
      <c r="AF7">
        <f t="shared" si="0"/>
        <v>4</v>
      </c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SUM(L5:L31)</f>
        <v>90.461662331227558</v>
      </c>
      <c r="G8" s="6"/>
      <c r="H8" s="20" t="str">
        <f t="shared" si="4"/>
        <v>Пропант</v>
      </c>
      <c r="I8" s="9">
        <f t="shared" si="1"/>
        <v>2.5125000000000006</v>
      </c>
      <c r="J8" s="43">
        <f t="shared" si="2"/>
        <v>4</v>
      </c>
      <c r="K8" s="9">
        <f t="shared" si="5"/>
        <v>10.050000000000002</v>
      </c>
      <c r="L8" s="9">
        <f t="shared" si="6"/>
        <v>9.6000000000000032</v>
      </c>
      <c r="M8" s="43" t="str">
        <f t="shared" si="7"/>
        <v>LG32</v>
      </c>
      <c r="N8" s="43" t="str">
        <f t="shared" si="8"/>
        <v>FP_20/40</v>
      </c>
      <c r="O8" s="43">
        <f t="shared" si="9"/>
        <v>100</v>
      </c>
      <c r="P8" s="43">
        <f t="shared" si="10"/>
        <v>200</v>
      </c>
      <c r="Q8" s="9">
        <f t="shared" ref="Q8:Q31" si="14">IF(S8="-","-",S8-S7)</f>
        <v>1440.0000000000005</v>
      </c>
      <c r="R8" s="9">
        <f t="shared" si="11"/>
        <v>43.883884553449768</v>
      </c>
      <c r="S8" s="9">
        <f t="shared" si="12"/>
        <v>1920.0000000000005</v>
      </c>
      <c r="T8" s="21">
        <f t="shared" si="13"/>
        <v>44.483884553449769</v>
      </c>
      <c r="U8" s="6"/>
      <c r="V8" s="6"/>
      <c r="W8" s="6"/>
      <c r="X8" s="6"/>
      <c r="Y8" s="6"/>
      <c r="Z8" s="6"/>
      <c r="AA8" s="6"/>
      <c r="AC8">
        <f t="shared" si="3"/>
        <v>13.743193360584664</v>
      </c>
      <c r="AD8" s="5">
        <f>AD7</f>
        <v>8.6084711383624413</v>
      </c>
      <c r="AE8">
        <f>P8</f>
        <v>200</v>
      </c>
      <c r="AF8">
        <f t="shared" si="0"/>
        <v>4</v>
      </c>
      <c r="AI8">
        <f>C3/AJ4</f>
        <v>0.27369488089204258</v>
      </c>
    </row>
    <row r="9" spans="1:36" ht="15.75" customHeight="1" x14ac:dyDescent="0.25">
      <c r="A9" s="6"/>
      <c r="B9" s="24" t="s">
        <v>32</v>
      </c>
      <c r="C9" s="39" t="s">
        <v>90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2.6222222222222218</v>
      </c>
      <c r="J9" s="43">
        <f t="shared" si="2"/>
        <v>4</v>
      </c>
      <c r="K9" s="9">
        <f t="shared" si="5"/>
        <v>10.488888888888887</v>
      </c>
      <c r="L9" s="9">
        <f t="shared" si="6"/>
        <v>9.5999999999999979</v>
      </c>
      <c r="M9" s="43" t="str">
        <f t="shared" si="7"/>
        <v>DX28</v>
      </c>
      <c r="N9" s="43" t="str">
        <f t="shared" si="8"/>
        <v>16/20 Новатэк</v>
      </c>
      <c r="O9" s="43">
        <f t="shared" si="9"/>
        <v>200</v>
      </c>
      <c r="P9" s="43">
        <f t="shared" si="10"/>
        <v>300</v>
      </c>
      <c r="Q9" s="9">
        <f t="shared" si="14"/>
        <v>2399.9999999999995</v>
      </c>
      <c r="R9" s="9">
        <f t="shared" si="11"/>
        <v>53.483884553449769</v>
      </c>
      <c r="S9" s="9">
        <f t="shared" si="12"/>
        <v>4320</v>
      </c>
      <c r="T9" s="21">
        <f t="shared" si="13"/>
        <v>54.972773442338656</v>
      </c>
      <c r="U9" s="6"/>
      <c r="V9" s="6"/>
      <c r="W9" s="6"/>
      <c r="X9" s="6"/>
      <c r="Y9" s="6"/>
      <c r="Z9" s="6"/>
      <c r="AA9" s="6"/>
      <c r="AC9">
        <f t="shared" si="3"/>
        <v>16.454304471695778</v>
      </c>
      <c r="AD9">
        <f>AC7</f>
        <v>11.120971138362442</v>
      </c>
      <c r="AE9" t="e">
        <f>#REF!</f>
        <v>#REF!</v>
      </c>
      <c r="AF9">
        <f t="shared" si="0"/>
        <v>4</v>
      </c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2.7111111111111126</v>
      </c>
      <c r="J10" s="43">
        <f t="shared" si="2"/>
        <v>4</v>
      </c>
      <c r="K10" s="9">
        <f t="shared" si="5"/>
        <v>10.84444444444445</v>
      </c>
      <c r="L10" s="9">
        <f t="shared" si="6"/>
        <v>9.600000000000005</v>
      </c>
      <c r="M10" s="43" t="str">
        <f t="shared" si="7"/>
        <v>DX28</v>
      </c>
      <c r="N10" s="43" t="str">
        <f t="shared" si="8"/>
        <v>16/20 Новатэк</v>
      </c>
      <c r="O10" s="43">
        <f t="shared" si="9"/>
        <v>300</v>
      </c>
      <c r="P10" s="43">
        <f t="shared" si="10"/>
        <v>400</v>
      </c>
      <c r="Q10" s="9">
        <f t="shared" si="14"/>
        <v>3360.0000000000018</v>
      </c>
      <c r="R10" s="9">
        <f t="shared" si="11"/>
        <v>63.083884553449778</v>
      </c>
      <c r="S10" s="9">
        <f t="shared" si="12"/>
        <v>7680.0000000000018</v>
      </c>
      <c r="T10" s="21">
        <f t="shared" si="13"/>
        <v>65.817217886783112</v>
      </c>
      <c r="U10" s="6"/>
      <c r="V10" s="6"/>
      <c r="W10" s="6"/>
      <c r="X10" s="6"/>
      <c r="Y10" s="6"/>
      <c r="Z10" s="6"/>
      <c r="AA10" s="6"/>
      <c r="AC10">
        <f t="shared" si="3"/>
        <v>19.254304471695775</v>
      </c>
      <c r="AD10">
        <f>AD9</f>
        <v>11.120971138362442</v>
      </c>
      <c r="AE10">
        <f>P9</f>
        <v>300</v>
      </c>
      <c r="AF10">
        <f t="shared" si="0"/>
        <v>4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200</v>
      </c>
      <c r="D11" s="6"/>
      <c r="E11" s="12" t="str">
        <f>IF(C11=0,"",C9)</f>
        <v>FP_20/40</v>
      </c>
      <c r="F11" s="62">
        <f>IF(E11="","",SUMIF(N5:N31,C9,Q5:Q31)/1000)</f>
        <v>1.9200000000000004</v>
      </c>
      <c r="G11" s="6"/>
      <c r="H11" s="20" t="str">
        <f t="shared" si="4"/>
        <v>Пропант</v>
      </c>
      <c r="I11" s="9">
        <f t="shared" si="1"/>
        <v>2.7999999999999989</v>
      </c>
      <c r="J11" s="43">
        <f t="shared" si="2"/>
        <v>4</v>
      </c>
      <c r="K11" s="9">
        <f t="shared" si="5"/>
        <v>11.199999999999996</v>
      </c>
      <c r="L11" s="9">
        <f t="shared" si="6"/>
        <v>9.5999999999999961</v>
      </c>
      <c r="M11" s="43" t="str">
        <f t="shared" si="7"/>
        <v>DX28</v>
      </c>
      <c r="N11" s="43" t="str">
        <f t="shared" si="8"/>
        <v>16/20 Новатэк</v>
      </c>
      <c r="O11" s="43">
        <f t="shared" si="9"/>
        <v>400</v>
      </c>
      <c r="P11" s="43">
        <f t="shared" si="10"/>
        <v>500</v>
      </c>
      <c r="Q11" s="9">
        <f t="shared" si="14"/>
        <v>4319.9999999999982</v>
      </c>
      <c r="R11" s="9">
        <f t="shared" si="11"/>
        <v>72.683884553449772</v>
      </c>
      <c r="S11" s="9">
        <f t="shared" si="12"/>
        <v>12000</v>
      </c>
      <c r="T11" s="21">
        <f t="shared" si="13"/>
        <v>77.017217886783101</v>
      </c>
      <c r="U11" s="6"/>
      <c r="V11" s="6"/>
      <c r="W11" s="6"/>
      <c r="X11" s="6"/>
      <c r="Y11" s="6"/>
      <c r="Z11" s="6"/>
      <c r="AA11" s="6"/>
      <c r="AC11">
        <f t="shared" si="3"/>
        <v>24.439489656880959</v>
      </c>
      <c r="AD11">
        <f>AC8</f>
        <v>13.743193360584664</v>
      </c>
      <c r="AE11" t="e">
        <f>#REF!</f>
        <v>#REF!</v>
      </c>
      <c r="AF11">
        <f t="shared" si="0"/>
        <v>4</v>
      </c>
      <c r="AH11">
        <v>-2</v>
      </c>
      <c r="AI11">
        <v>1.4</v>
      </c>
    </row>
    <row r="12" spans="1:36" ht="15.75" customHeight="1" x14ac:dyDescent="0.25">
      <c r="A12" s="6"/>
      <c r="B12" s="24" t="s">
        <v>39</v>
      </c>
      <c r="C12" s="39" t="s">
        <v>40</v>
      </c>
      <c r="D12" s="6"/>
      <c r="E12" s="12" t="str">
        <f>C10</f>
        <v>16/20 Новатэк</v>
      </c>
      <c r="F12" s="62">
        <f>SUMIF(N5:N31,C10,Q5:Q31)/1000</f>
        <v>18.079999999999998</v>
      </c>
      <c r="G12" s="6"/>
      <c r="H12" s="20" t="str">
        <f t="shared" si="4"/>
        <v>Пропант</v>
      </c>
      <c r="I12" s="9">
        <f t="shared" si="1"/>
        <v>5.1851851851851851</v>
      </c>
      <c r="J12" s="43">
        <f t="shared" si="2"/>
        <v>4</v>
      </c>
      <c r="K12" s="9">
        <f t="shared" si="5"/>
        <v>20.74074074074074</v>
      </c>
      <c r="L12" s="9">
        <f t="shared" si="6"/>
        <v>17.777777777777779</v>
      </c>
      <c r="M12" s="43" t="str">
        <f t="shared" si="7"/>
        <v>DX28</v>
      </c>
      <c r="N12" s="43" t="str">
        <f t="shared" si="8"/>
        <v>16/20 Новатэк</v>
      </c>
      <c r="O12" s="43">
        <f t="shared" si="9"/>
        <v>500</v>
      </c>
      <c r="P12" s="43">
        <f t="shared" si="10"/>
        <v>500</v>
      </c>
      <c r="Q12" s="9">
        <f t="shared" si="14"/>
        <v>8000</v>
      </c>
      <c r="R12" s="9">
        <f t="shared" si="11"/>
        <v>90.461662331227558</v>
      </c>
      <c r="S12" s="9">
        <f t="shared" si="12"/>
        <v>20000</v>
      </c>
      <c r="T12" s="21">
        <f t="shared" si="13"/>
        <v>97.757958627523834</v>
      </c>
      <c r="U12" s="6"/>
      <c r="V12" s="6"/>
      <c r="W12" s="6"/>
      <c r="X12" s="6"/>
      <c r="Y12" s="6"/>
      <c r="Z12" s="6"/>
      <c r="AA12" s="6"/>
      <c r="AC12" t="e">
        <f t="shared" si="3"/>
        <v>#VALUE!</v>
      </c>
      <c r="AD12">
        <f>AD11</f>
        <v>13.743193360584664</v>
      </c>
      <c r="AE12">
        <f>P10</f>
        <v>400</v>
      </c>
      <c r="AF12">
        <f t="shared" si="0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88</v>
      </c>
      <c r="D13" s="6"/>
      <c r="E13" s="13" t="s">
        <v>34</v>
      </c>
      <c r="F13" s="14">
        <f>C3</f>
        <v>20</v>
      </c>
      <c r="G13" s="6"/>
      <c r="H13" s="20" t="str">
        <f t="shared" si="4"/>
        <v>-</v>
      </c>
      <c r="I13" s="9" t="str">
        <f t="shared" si="1"/>
        <v>-</v>
      </c>
      <c r="J13" s="43" t="str">
        <f t="shared" si="2"/>
        <v>-</v>
      </c>
      <c r="K13" s="9" t="str">
        <f t="shared" si="5"/>
        <v>-</v>
      </c>
      <c r="L13" s="9" t="str">
        <f t="shared" si="6"/>
        <v>-</v>
      </c>
      <c r="M13" s="43" t="str">
        <f t="shared" si="7"/>
        <v>-</v>
      </c>
      <c r="N13" s="43" t="str">
        <f t="shared" si="8"/>
        <v>-</v>
      </c>
      <c r="O13" s="43" t="str">
        <f t="shared" si="9"/>
        <v>-</v>
      </c>
      <c r="P13" s="43" t="str">
        <f t="shared" si="10"/>
        <v>-</v>
      </c>
      <c r="Q13" s="9" t="str">
        <f t="shared" si="14"/>
        <v>-</v>
      </c>
      <c r="R13" s="9" t="str">
        <f t="shared" si="11"/>
        <v>-</v>
      </c>
      <c r="S13" s="9" t="str">
        <f t="shared" si="12"/>
        <v>-</v>
      </c>
      <c r="T13" s="21" t="str">
        <f t="shared" si="13"/>
        <v>-</v>
      </c>
      <c r="U13" s="6"/>
      <c r="V13" s="6"/>
      <c r="W13" s="6"/>
      <c r="X13" s="6"/>
      <c r="Y13" s="6"/>
      <c r="Z13" s="6"/>
      <c r="AA13" s="6"/>
      <c r="AC13" t="e">
        <f t="shared" si="3"/>
        <v>#VALUE!</v>
      </c>
      <c r="AD13">
        <f>AC9</f>
        <v>16.454304471695778</v>
      </c>
      <c r="AE13" t="e">
        <f>#REF!</f>
        <v>#REF!</v>
      </c>
      <c r="AF13">
        <f t="shared" si="0"/>
        <v>4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4"/>
        <v>-</v>
      </c>
      <c r="I14" s="9" t="str">
        <f t="shared" si="1"/>
        <v>-</v>
      </c>
      <c r="J14" s="43" t="str">
        <f t="shared" si="2"/>
        <v>-</v>
      </c>
      <c r="K14" s="9" t="str">
        <f t="shared" si="5"/>
        <v>-</v>
      </c>
      <c r="L14" s="9" t="str">
        <f t="shared" si="6"/>
        <v>-</v>
      </c>
      <c r="M14" s="43" t="str">
        <f t="shared" si="7"/>
        <v>-</v>
      </c>
      <c r="N14" s="43" t="str">
        <f t="shared" si="8"/>
        <v>-</v>
      </c>
      <c r="O14" s="43" t="str">
        <f t="shared" si="9"/>
        <v>-</v>
      </c>
      <c r="P14" s="43" t="str">
        <f t="shared" si="10"/>
        <v>-</v>
      </c>
      <c r="Q14" s="9" t="str">
        <f t="shared" si="14"/>
        <v>-</v>
      </c>
      <c r="R14" s="9" t="str">
        <f t="shared" si="11"/>
        <v>-</v>
      </c>
      <c r="S14" s="9" t="str">
        <f t="shared" si="12"/>
        <v>-</v>
      </c>
      <c r="T14" s="21" t="str">
        <f t="shared" si="13"/>
        <v>-</v>
      </c>
      <c r="U14" s="6"/>
      <c r="V14" s="6"/>
      <c r="W14" s="6"/>
      <c r="X14" s="6"/>
      <c r="Y14" s="6"/>
      <c r="Z14" s="6"/>
      <c r="AA14" s="6"/>
      <c r="AC14" s="5" t="e">
        <f t="shared" si="3"/>
        <v>#VALUE!</v>
      </c>
      <c r="AD14">
        <f>AD13</f>
        <v>16.454304471695778</v>
      </c>
      <c r="AE14">
        <f>P11</f>
        <v>500</v>
      </c>
      <c r="AF14">
        <f t="shared" si="0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100</v>
      </c>
      <c r="D15" s="6"/>
      <c r="E15" s="10"/>
      <c r="F15" s="11"/>
      <c r="G15" s="6"/>
      <c r="H15" s="20" t="str">
        <f t="shared" si="4"/>
        <v>-</v>
      </c>
      <c r="I15" s="9" t="str">
        <f t="shared" si="1"/>
        <v>-</v>
      </c>
      <c r="J15" s="43" t="str">
        <f t="shared" si="2"/>
        <v>-</v>
      </c>
      <c r="K15" s="9" t="str">
        <f t="shared" si="5"/>
        <v>-</v>
      </c>
      <c r="L15" s="9" t="str">
        <f t="shared" si="6"/>
        <v>-</v>
      </c>
      <c r="M15" s="43" t="str">
        <f t="shared" si="7"/>
        <v>-</v>
      </c>
      <c r="N15" s="43" t="str">
        <f t="shared" si="8"/>
        <v>-</v>
      </c>
      <c r="O15" s="43" t="str">
        <f t="shared" si="9"/>
        <v>-</v>
      </c>
      <c r="P15" s="43" t="str">
        <f t="shared" si="10"/>
        <v>-</v>
      </c>
      <c r="Q15" s="9" t="str">
        <f t="shared" si="14"/>
        <v>-</v>
      </c>
      <c r="R15" s="9" t="str">
        <f t="shared" si="11"/>
        <v>-</v>
      </c>
      <c r="S15" s="9" t="str">
        <f t="shared" si="12"/>
        <v>-</v>
      </c>
      <c r="T15" s="21" t="str">
        <f t="shared" si="13"/>
        <v>-</v>
      </c>
      <c r="U15" s="6"/>
      <c r="V15" s="6"/>
      <c r="W15" s="6"/>
      <c r="X15" s="6"/>
      <c r="Y15" s="6"/>
      <c r="Z15" s="6"/>
      <c r="AA15" s="6"/>
      <c r="AC15" t="e">
        <f t="shared" si="3"/>
        <v>#VALUE!</v>
      </c>
      <c r="AD15">
        <f>AC10</f>
        <v>19.254304471695775</v>
      </c>
      <c r="AE15" t="e">
        <f>#REF!</f>
        <v>#REF!</v>
      </c>
      <c r="AF15">
        <f t="shared" si="0"/>
        <v>4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200</v>
      </c>
      <c r="D16" s="6"/>
      <c r="E16" s="10"/>
      <c r="F16" s="11"/>
      <c r="G16" s="6"/>
      <c r="H16" s="20" t="str">
        <f t="shared" si="4"/>
        <v>-</v>
      </c>
      <c r="I16" s="9" t="str">
        <f t="shared" si="1"/>
        <v>-</v>
      </c>
      <c r="J16" s="43" t="str">
        <f t="shared" si="2"/>
        <v>-</v>
      </c>
      <c r="K16" s="9" t="str">
        <f t="shared" si="5"/>
        <v>-</v>
      </c>
      <c r="L16" s="9" t="str">
        <f t="shared" si="6"/>
        <v>-</v>
      </c>
      <c r="M16" s="43" t="str">
        <f t="shared" si="7"/>
        <v>-</v>
      </c>
      <c r="N16" s="43" t="str">
        <f t="shared" si="8"/>
        <v>-</v>
      </c>
      <c r="O16" s="43" t="str">
        <f t="shared" si="9"/>
        <v>-</v>
      </c>
      <c r="P16" s="43" t="str">
        <f t="shared" si="10"/>
        <v>-</v>
      </c>
      <c r="Q16" s="9" t="str">
        <f t="shared" si="14"/>
        <v>-</v>
      </c>
      <c r="R16" s="9" t="str">
        <f t="shared" si="11"/>
        <v>-</v>
      </c>
      <c r="S16" s="9" t="str">
        <f t="shared" si="12"/>
        <v>-</v>
      </c>
      <c r="T16" s="21" t="str">
        <f t="shared" si="13"/>
        <v>-</v>
      </c>
      <c r="U16" s="6"/>
      <c r="V16" s="6"/>
      <c r="W16" s="6"/>
      <c r="X16" s="6"/>
      <c r="Y16" s="6"/>
      <c r="Z16" s="6"/>
      <c r="AA16" s="6"/>
      <c r="AC16" t="e">
        <f t="shared" si="3"/>
        <v>#VALUE!</v>
      </c>
      <c r="AD16">
        <f>AD15</f>
        <v>19.254304471695775</v>
      </c>
      <c r="AE16">
        <f>P12</f>
        <v>500</v>
      </c>
      <c r="AF16">
        <f t="shared" si="0"/>
        <v>4</v>
      </c>
      <c r="AH16">
        <v>3</v>
      </c>
      <c r="AI16">
        <v>2.6</v>
      </c>
    </row>
    <row r="17" spans="1:40" ht="19.5" customHeight="1" x14ac:dyDescent="0.25">
      <c r="A17" s="6"/>
      <c r="B17" s="35" t="s">
        <v>47</v>
      </c>
      <c r="C17" s="39">
        <v>55</v>
      </c>
      <c r="D17" s="6"/>
      <c r="E17" s="77" t="s">
        <v>49</v>
      </c>
      <c r="F17" s="66"/>
      <c r="G17" s="6"/>
      <c r="H17" s="20" t="str">
        <f t="shared" si="4"/>
        <v>-</v>
      </c>
      <c r="I17" s="9" t="str">
        <f t="shared" si="1"/>
        <v>-</v>
      </c>
      <c r="J17" s="43" t="str">
        <f t="shared" si="2"/>
        <v>-</v>
      </c>
      <c r="K17" s="9" t="str">
        <f t="shared" si="5"/>
        <v>-</v>
      </c>
      <c r="L17" s="9" t="str">
        <f t="shared" si="6"/>
        <v>-</v>
      </c>
      <c r="M17" s="43" t="str">
        <f t="shared" si="7"/>
        <v>-</v>
      </c>
      <c r="N17" s="43" t="str">
        <f t="shared" si="8"/>
        <v>-</v>
      </c>
      <c r="O17" s="43" t="str">
        <f t="shared" si="9"/>
        <v>-</v>
      </c>
      <c r="P17" s="43" t="str">
        <f t="shared" si="10"/>
        <v>-</v>
      </c>
      <c r="Q17" s="9" t="str">
        <f t="shared" si="14"/>
        <v>-</v>
      </c>
      <c r="R17" s="9" t="str">
        <f t="shared" si="11"/>
        <v>-</v>
      </c>
      <c r="S17" s="9" t="str">
        <f t="shared" si="12"/>
        <v>-</v>
      </c>
      <c r="T17" s="21" t="str">
        <f t="shared" si="13"/>
        <v>-</v>
      </c>
      <c r="U17" s="6"/>
      <c r="V17" s="6"/>
      <c r="W17" s="6"/>
      <c r="X17" s="6"/>
      <c r="Y17" s="6"/>
      <c r="Z17" s="6"/>
      <c r="AA17" s="6"/>
      <c r="AC17" t="e">
        <f t="shared" si="3"/>
        <v>#VALUE!</v>
      </c>
      <c r="AD17">
        <f>AC11</f>
        <v>24.439489656880959</v>
      </c>
      <c r="AE17" t="e">
        <f>#REF!</f>
        <v>#REF!</v>
      </c>
      <c r="AF17">
        <f t="shared" si="0"/>
        <v>4</v>
      </c>
    </row>
    <row r="18" spans="1:40" ht="15.75" customHeight="1" x14ac:dyDescent="0.25">
      <c r="A18" s="6"/>
      <c r="B18" s="35" t="s">
        <v>48</v>
      </c>
      <c r="C18" s="39">
        <v>55</v>
      </c>
      <c r="D18" s="6"/>
      <c r="E18" s="65">
        <f>IFERROR(C3/SUM(L5:L31), "-")</f>
        <v>0.22108813263644789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9"/>
        <v>-</v>
      </c>
      <c r="P18" s="43" t="str">
        <f t="shared" si="10"/>
        <v>-</v>
      </c>
      <c r="Q18" s="9" t="str">
        <f t="shared" si="14"/>
        <v>-</v>
      </c>
      <c r="R18" s="9" t="str">
        <f t="shared" si="11"/>
        <v>-</v>
      </c>
      <c r="S18" s="9" t="str">
        <f t="shared" si="12"/>
        <v>-</v>
      </c>
      <c r="T18" s="21" t="str">
        <f t="shared" si="13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24.439489656880959</v>
      </c>
      <c r="AE18" t="str">
        <f>P13</f>
        <v>-</v>
      </c>
      <c r="AF18">
        <f t="shared" si="0"/>
        <v>4</v>
      </c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24" t="s">
        <v>50</v>
      </c>
      <c r="C19" s="39" t="s">
        <v>51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9"/>
        <v>-</v>
      </c>
      <c r="P19" s="43" t="str">
        <f t="shared" si="10"/>
        <v>-</v>
      </c>
      <c r="Q19" s="9" t="str">
        <f t="shared" si="14"/>
        <v>-</v>
      </c>
      <c r="R19" s="9" t="str">
        <f t="shared" si="11"/>
        <v>-</v>
      </c>
      <c r="S19" s="9" t="str">
        <f t="shared" si="12"/>
        <v>-</v>
      </c>
      <c r="T19" s="21" t="str">
        <f t="shared" si="13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 t="e">
        <f>AC12</f>
        <v>#VALUE!</v>
      </c>
      <c r="AE19" t="e">
        <f>#REF!</f>
        <v>#REF!</v>
      </c>
      <c r="AF19">
        <f t="shared" si="0"/>
        <v>4</v>
      </c>
    </row>
    <row r="20" spans="1:40" ht="16.5" customHeight="1" thickBot="1" x14ac:dyDescent="0.3">
      <c r="A20" s="6"/>
      <c r="B20" s="24" t="s">
        <v>53</v>
      </c>
      <c r="C20" s="39" t="s">
        <v>88</v>
      </c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9"/>
        <v>-</v>
      </c>
      <c r="P20" s="43" t="str">
        <f t="shared" si="10"/>
        <v>-</v>
      </c>
      <c r="Q20" s="9" t="str">
        <f t="shared" si="14"/>
        <v>-</v>
      </c>
      <c r="R20" s="9" t="str">
        <f t="shared" si="11"/>
        <v>-</v>
      </c>
      <c r="S20" s="9" t="str">
        <f t="shared" si="12"/>
        <v>-</v>
      </c>
      <c r="T20" s="21" t="str">
        <f t="shared" si="13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 t="e">
        <f>AD19</f>
        <v>#VALUE!</v>
      </c>
      <c r="AE20" t="str">
        <f>P14</f>
        <v>-</v>
      </c>
      <c r="AF20">
        <f t="shared" si="0"/>
        <v>4</v>
      </c>
    </row>
    <row r="21" spans="1:40" ht="15.75" customHeight="1" x14ac:dyDescent="0.25">
      <c r="A21" s="6"/>
      <c r="B21" s="24" t="s">
        <v>55</v>
      </c>
      <c r="C21" s="39">
        <v>0</v>
      </c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9"/>
        <v>-</v>
      </c>
      <c r="P21" s="43" t="str">
        <f t="shared" si="10"/>
        <v>-</v>
      </c>
      <c r="Q21" s="9" t="str">
        <f t="shared" si="14"/>
        <v>-</v>
      </c>
      <c r="R21" s="9" t="str">
        <f t="shared" si="11"/>
        <v>-</v>
      </c>
      <c r="S21" s="9" t="str">
        <f t="shared" si="12"/>
        <v>-</v>
      </c>
      <c r="T21" s="21" t="str">
        <f t="shared" si="13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 t="e">
        <f>AC13</f>
        <v>#VALUE!</v>
      </c>
      <c r="AE21" t="e">
        <f>#REF!</f>
        <v>#REF!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45" t="s">
        <v>56</v>
      </c>
      <c r="C22" s="46">
        <f>100-C21</f>
        <v>100</v>
      </c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9"/>
        <v>-</v>
      </c>
      <c r="P22" s="43" t="str">
        <f t="shared" si="10"/>
        <v>-</v>
      </c>
      <c r="Q22" s="9" t="str">
        <f t="shared" si="14"/>
        <v>-</v>
      </c>
      <c r="R22" s="9" t="str">
        <f t="shared" si="11"/>
        <v>-</v>
      </c>
      <c r="S22" s="9" t="str">
        <f t="shared" si="12"/>
        <v>-</v>
      </c>
      <c r="T22" s="21" t="str">
        <f t="shared" si="13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 t="e">
        <f>AD21</f>
        <v>#VALUE!</v>
      </c>
      <c r="AE22" t="str">
        <f>P15</f>
        <v>-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24" t="s">
        <v>58</v>
      </c>
      <c r="C23" s="39" t="s">
        <v>59</v>
      </c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9"/>
        <v>-</v>
      </c>
      <c r="P23" s="43" t="str">
        <f t="shared" si="10"/>
        <v>-</v>
      </c>
      <c r="Q23" s="9" t="str">
        <f t="shared" si="14"/>
        <v>-</v>
      </c>
      <c r="R23" s="9" t="str">
        <f t="shared" si="11"/>
        <v>-</v>
      </c>
      <c r="S23" s="9" t="str">
        <f t="shared" si="12"/>
        <v>-</v>
      </c>
      <c r="T23" s="21" t="str">
        <f t="shared" si="13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 t="e">
        <f>AC14</f>
        <v>#VALUE!</v>
      </c>
      <c r="AE23" t="e">
        <f>#REF!</f>
        <v>#REF!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8.75" customHeight="1" thickBot="1" x14ac:dyDescent="0.3">
      <c r="A24" s="6"/>
      <c r="B24" s="27" t="s">
        <v>65</v>
      </c>
      <c r="C24" s="47">
        <v>15</v>
      </c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9"/>
        <v>-</v>
      </c>
      <c r="P24" s="43" t="str">
        <f t="shared" si="10"/>
        <v>-</v>
      </c>
      <c r="Q24" s="9" t="str">
        <f t="shared" si="14"/>
        <v>-</v>
      </c>
      <c r="R24" s="9" t="str">
        <f t="shared" si="11"/>
        <v>-</v>
      </c>
      <c r="S24" s="9" t="str">
        <f t="shared" si="12"/>
        <v>-</v>
      </c>
      <c r="T24" s="21" t="str">
        <f t="shared" si="13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 t="e">
        <f>AD23</f>
        <v>#VALUE!</v>
      </c>
      <c r="AE24" t="str">
        <f>P16</f>
        <v>-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9"/>
        <v>-</v>
      </c>
      <c r="P25" s="43" t="str">
        <f t="shared" si="10"/>
        <v>-</v>
      </c>
      <c r="Q25" s="9" t="str">
        <f t="shared" si="14"/>
        <v>-</v>
      </c>
      <c r="R25" s="9" t="str">
        <f t="shared" si="11"/>
        <v>-</v>
      </c>
      <c r="S25" s="9" t="str">
        <f t="shared" si="12"/>
        <v>-</v>
      </c>
      <c r="T25" s="21" t="str">
        <f t="shared" si="13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 t="e">
        <f>AC15</f>
        <v>#VALUE!</v>
      </c>
      <c r="AE25" t="e">
        <f>#REF!</f>
        <v>#REF!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9"/>
        <v>-</v>
      </c>
      <c r="P26" s="43" t="str">
        <f t="shared" si="10"/>
        <v>-</v>
      </c>
      <c r="Q26" s="9" t="str">
        <f t="shared" si="14"/>
        <v>-</v>
      </c>
      <c r="R26" s="9" t="str">
        <f t="shared" si="11"/>
        <v>-</v>
      </c>
      <c r="S26" s="9" t="str">
        <f t="shared" si="12"/>
        <v>-</v>
      </c>
      <c r="T26" s="21" t="str">
        <f t="shared" si="13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 t="e">
        <f>AD25</f>
        <v>#VALUE!</v>
      </c>
      <c r="AE26" t="str">
        <f>P17</f>
        <v>-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9"/>
        <v>-</v>
      </c>
      <c r="P27" s="43" t="str">
        <f t="shared" si="10"/>
        <v>-</v>
      </c>
      <c r="Q27" s="9" t="str">
        <f t="shared" si="14"/>
        <v>-</v>
      </c>
      <c r="R27" s="9" t="str">
        <f t="shared" si="11"/>
        <v>-</v>
      </c>
      <c r="S27" s="9" t="str">
        <f t="shared" si="12"/>
        <v>-</v>
      </c>
      <c r="T27" s="21" t="str">
        <f t="shared" si="13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 t="e">
        <f>AC16</f>
        <v>#VALUE!</v>
      </c>
      <c r="AE27" t="e">
        <f>#REF!</f>
        <v>#REF!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9"/>
        <v>-</v>
      </c>
      <c r="P28" s="43" t="str">
        <f t="shared" si="10"/>
        <v>-</v>
      </c>
      <c r="Q28" s="9" t="str">
        <f t="shared" si="14"/>
        <v>-</v>
      </c>
      <c r="R28" s="9" t="str">
        <f t="shared" si="11"/>
        <v>-</v>
      </c>
      <c r="S28" s="9" t="str">
        <f t="shared" si="12"/>
        <v>-</v>
      </c>
      <c r="T28" s="21" t="str">
        <f t="shared" si="13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 t="e">
        <f>AD27</f>
        <v>#VALUE!</v>
      </c>
      <c r="AE28" t="str">
        <f>P18</f>
        <v>-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9"/>
        <v>-</v>
      </c>
      <c r="P29" s="43" t="str">
        <f t="shared" si="10"/>
        <v>-</v>
      </c>
      <c r="Q29" s="9" t="str">
        <f t="shared" si="14"/>
        <v>-</v>
      </c>
      <c r="R29" s="9" t="str">
        <f t="shared" si="11"/>
        <v>-</v>
      </c>
      <c r="S29" s="9" t="str">
        <f t="shared" si="12"/>
        <v>-</v>
      </c>
      <c r="T29" s="21" t="str">
        <f t="shared" si="13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 t="e">
        <f>AC17</f>
        <v>#VALUE!</v>
      </c>
      <c r="AE29" t="e">
        <f>#REF!</f>
        <v>#REF!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9"/>
        <v>-</v>
      </c>
      <c r="P30" s="43" t="str">
        <f t="shared" si="10"/>
        <v>-</v>
      </c>
      <c r="Q30" s="9" t="str">
        <f t="shared" si="14"/>
        <v>-</v>
      </c>
      <c r="R30" s="9" t="str">
        <f t="shared" si="11"/>
        <v>-</v>
      </c>
      <c r="S30" s="9" t="str">
        <f t="shared" si="12"/>
        <v>-</v>
      </c>
      <c r="T30" s="21" t="str">
        <f t="shared" si="13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 t="e">
        <f>AD29</f>
        <v>#VALUE!</v>
      </c>
      <c r="AE30" t="str">
        <f>P19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4"/>
        <v>-</v>
      </c>
      <c r="I31" s="23" t="str">
        <f t="shared" si="1"/>
        <v>-</v>
      </c>
      <c r="J31" s="48" t="str">
        <f t="shared" si="2"/>
        <v>-</v>
      </c>
      <c r="K31" s="23" t="str">
        <f t="shared" si="5"/>
        <v>-</v>
      </c>
      <c r="L31" s="23" t="str">
        <f t="shared" si="6"/>
        <v>-</v>
      </c>
      <c r="M31" s="48" t="str">
        <f t="shared" si="7"/>
        <v>-</v>
      </c>
      <c r="N31" s="48" t="str">
        <f t="shared" si="8"/>
        <v>-</v>
      </c>
      <c r="O31" s="48" t="str">
        <f t="shared" si="9"/>
        <v>-</v>
      </c>
      <c r="P31" s="48" t="str">
        <f t="shared" si="10"/>
        <v>-</v>
      </c>
      <c r="Q31" s="23" t="str">
        <f t="shared" si="14"/>
        <v>-</v>
      </c>
      <c r="R31" s="23" t="str">
        <f t="shared" si="11"/>
        <v>-</v>
      </c>
      <c r="S31" s="23" t="str">
        <f t="shared" si="12"/>
        <v>-</v>
      </c>
      <c r="T31" s="36" t="str">
        <f t="shared" si="13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P20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P21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12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8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P22</f>
        <v>-</v>
      </c>
      <c r="AF36">
        <f t="shared" ref="AF36:AF54" si="16">$C$6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P23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P24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P25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P26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P27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P28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P29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P30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P31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24.683884553449762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C21/100*J73</f>
        <v>0</v>
      </c>
      <c r="L74" s="5">
        <f t="shared" ref="L74:L100" si="17">IFERROR(L73+I5,L73)</f>
        <v>0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24.683884553449762</v>
      </c>
      <c r="L75" s="5">
        <f t="shared" si="17"/>
        <v>6.1709711383624404</v>
      </c>
      <c r="M75">
        <v>0</v>
      </c>
    </row>
    <row r="76" spans="1:27" x14ac:dyDescent="0.25">
      <c r="E76">
        <v>1</v>
      </c>
      <c r="F76" s="53">
        <f t="shared" ref="F76:F100" si="18">IF(P7="-","-",P7/$C$4)</f>
        <v>0.2</v>
      </c>
      <c r="G76" s="53">
        <f t="shared" ref="G76:G100" si="19">IF(F76="-","-",F76^$AI$18)</f>
        <v>4.0000000000000008E-2</v>
      </c>
      <c r="L76" s="5">
        <f t="shared" si="17"/>
        <v>8.6084711383624413</v>
      </c>
      <c r="M76">
        <f t="shared" ref="M76:M100" si="20">P7</f>
        <v>100</v>
      </c>
    </row>
    <row r="77" spans="1:27" x14ac:dyDescent="0.25">
      <c r="E77">
        <v>2</v>
      </c>
      <c r="F77" s="53">
        <f t="shared" si="18"/>
        <v>0.4</v>
      </c>
      <c r="G77" s="53">
        <f t="shared" si="19"/>
        <v>0.16000000000000003</v>
      </c>
      <c r="I77" s="4" t="s">
        <v>127</v>
      </c>
      <c r="J77" s="4">
        <f>IF(C17&gt;20,0.05,0.25*(C17/100))</f>
        <v>0.05</v>
      </c>
      <c r="L77" s="5">
        <f t="shared" si="17"/>
        <v>11.120971138362442</v>
      </c>
      <c r="M77">
        <f t="shared" si="20"/>
        <v>200</v>
      </c>
    </row>
    <row r="78" spans="1:27" x14ac:dyDescent="0.25">
      <c r="E78">
        <v>3</v>
      </c>
      <c r="F78" s="53">
        <f t="shared" si="18"/>
        <v>0.6</v>
      </c>
      <c r="G78" s="53">
        <f t="shared" si="19"/>
        <v>0.36</v>
      </c>
      <c r="I78" s="54" t="s">
        <v>128</v>
      </c>
      <c r="J78" s="54">
        <f>C4/C7</f>
        <v>5</v>
      </c>
      <c r="L78" s="5">
        <f t="shared" si="17"/>
        <v>13.743193360584664</v>
      </c>
      <c r="M78">
        <f t="shared" si="20"/>
        <v>300</v>
      </c>
    </row>
    <row r="79" spans="1:27" x14ac:dyDescent="0.25">
      <c r="E79">
        <v>4</v>
      </c>
      <c r="F79" s="53">
        <f t="shared" si="18"/>
        <v>0.8</v>
      </c>
      <c r="G79" s="53">
        <f t="shared" si="19"/>
        <v>0.64000000000000012</v>
      </c>
      <c r="I79" s="54" t="s">
        <v>129</v>
      </c>
      <c r="J79" s="54">
        <f>(1-C17/100)^2+J77</f>
        <v>0.25249999999999995</v>
      </c>
      <c r="L79" s="5">
        <f t="shared" si="17"/>
        <v>16.454304471695778</v>
      </c>
      <c r="M79">
        <f t="shared" si="20"/>
        <v>400</v>
      </c>
    </row>
    <row r="80" spans="1:27" x14ac:dyDescent="0.25">
      <c r="E80">
        <v>5</v>
      </c>
      <c r="F80" s="53">
        <f t="shared" si="18"/>
        <v>1</v>
      </c>
      <c r="G80" s="53">
        <f t="shared" si="19"/>
        <v>1</v>
      </c>
      <c r="L80" s="5">
        <f t="shared" si="17"/>
        <v>19.254304471695775</v>
      </c>
      <c r="M80">
        <f t="shared" si="20"/>
        <v>500</v>
      </c>
    </row>
    <row r="81" spans="5:13" x14ac:dyDescent="0.25">
      <c r="E81">
        <v>6</v>
      </c>
      <c r="F81" s="53">
        <f t="shared" si="18"/>
        <v>1</v>
      </c>
      <c r="G81" s="53">
        <f t="shared" si="19"/>
        <v>1</v>
      </c>
      <c r="I81" s="34" t="s">
        <v>130</v>
      </c>
      <c r="J81" s="34">
        <f>C21/100*((1-C17/100)^2+J82)+C22/100*((1-C18/100)^2+J83)</f>
        <v>0.25249999999999995</v>
      </c>
      <c r="L81" s="5">
        <f t="shared" si="17"/>
        <v>24.439489656880959</v>
      </c>
      <c r="M81">
        <f t="shared" si="20"/>
        <v>500</v>
      </c>
    </row>
    <row r="82" spans="5:13" x14ac:dyDescent="0.25">
      <c r="E82">
        <v>7</v>
      </c>
      <c r="F82" s="53" t="str">
        <f t="shared" si="18"/>
        <v>-</v>
      </c>
      <c r="G82" s="53" t="str">
        <f t="shared" si="19"/>
        <v>-</v>
      </c>
      <c r="I82" s="34" t="s">
        <v>131</v>
      </c>
      <c r="J82" s="34">
        <f>IF(C17&gt;20,0.05,0.25*(C17/100))</f>
        <v>0.05</v>
      </c>
      <c r="L82" s="5">
        <f t="shared" si="17"/>
        <v>24.439489656880959</v>
      </c>
      <c r="M82" t="str">
        <f t="shared" si="20"/>
        <v>-</v>
      </c>
    </row>
    <row r="83" spans="5:13" x14ac:dyDescent="0.25">
      <c r="E83">
        <v>8</v>
      </c>
      <c r="F83" s="53" t="str">
        <f t="shared" si="18"/>
        <v>-</v>
      </c>
      <c r="G83" s="53" t="str">
        <f t="shared" si="19"/>
        <v>-</v>
      </c>
      <c r="I83" s="34" t="s">
        <v>132</v>
      </c>
      <c r="J83" s="34">
        <f>IF(C18&gt;20,0.05,0.25*(C18/100))</f>
        <v>0.05</v>
      </c>
      <c r="L83" s="5">
        <f t="shared" si="17"/>
        <v>24.439489656880959</v>
      </c>
      <c r="M83" t="str">
        <f t="shared" si="20"/>
        <v>-</v>
      </c>
    </row>
    <row r="84" spans="5:13" x14ac:dyDescent="0.25">
      <c r="E84">
        <v>9</v>
      </c>
      <c r="F84" s="53" t="str">
        <f t="shared" si="18"/>
        <v>-</v>
      </c>
      <c r="G84" s="53" t="str">
        <f t="shared" si="19"/>
        <v>-</v>
      </c>
      <c r="L84" s="5">
        <f t="shared" si="17"/>
        <v>24.439489656880959</v>
      </c>
      <c r="M84" t="str">
        <f t="shared" si="20"/>
        <v>-</v>
      </c>
    </row>
    <row r="85" spans="5:13" x14ac:dyDescent="0.25">
      <c r="E85">
        <v>10</v>
      </c>
      <c r="F85" s="53" t="str">
        <f t="shared" si="18"/>
        <v>-</v>
      </c>
      <c r="G85" s="53" t="str">
        <f t="shared" si="19"/>
        <v>-</v>
      </c>
      <c r="L85" s="5">
        <f t="shared" si="17"/>
        <v>24.439489656880959</v>
      </c>
      <c r="M85" t="str">
        <f t="shared" si="20"/>
        <v>-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24.439489656880959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24.439489656880959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24.439489656880959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24.439489656880959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24.439489656880959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24.439489656880959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24.439489656880959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24.439489656880959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24.439489656880959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24.439489656880959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24.439489656880959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24.439489656880959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24.439489656880959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24.439489656880959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24.439489656880959</v>
      </c>
      <c r="M100" t="str">
        <f t="shared" si="20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3.2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4">
      <formula1>$AJ$23:$AJ$38</formula1>
    </dataValidation>
    <dataValidation type="list" showInputMessage="1" showErrorMessage="1" sqref="C13">
      <formula1>$AI$23:$AI$40</formula1>
    </dataValidation>
    <dataValidation type="list" showInputMessage="1" showErrorMessage="1" sqref="C12">
      <formula1>$AH$23</formula1>
    </dataValidation>
    <dataValidation type="list" showInputMessage="1" showErrorMessage="1" sqref="C9:C10">
      <formula1>$AM$24:$AM$51</formula1>
    </dataValidation>
    <dataValidation type="list" showInputMessage="1" showErrorMessage="1" sqref="C23 C19:C20">
      <formula1>$AK$23:$AK$58</formula1>
    </dataValidation>
  </dataValidation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workbookViewId="0">
      <selection activeCell="B17" sqref="B17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33" width="9.140625" style="64" customWidth="1"/>
    <col min="34" max="34" width="10" style="64" bestFit="1" customWidth="1"/>
    <col min="35" max="35" width="16.28515625" style="64" customWidth="1"/>
    <col min="36" max="38" width="9.140625" style="64" customWidth="1"/>
    <col min="39" max="39" width="13.85546875" style="64" bestFit="1" customWidth="1"/>
    <col min="40" max="40" width="10.140625" style="64" bestFit="1" customWidth="1"/>
    <col min="41" max="209" width="9.140625" style="64" customWidth="1"/>
    <col min="210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</row>
    <row r="4" spans="1:36" ht="18" customHeight="1" x14ac:dyDescent="0.25">
      <c r="A4" s="6"/>
      <c r="B4" s="24" t="s">
        <v>23</v>
      </c>
      <c r="C4" s="39">
        <v>900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5</v>
      </c>
      <c r="J4" s="41">
        <f>C6</f>
        <v>3</v>
      </c>
      <c r="K4" s="29">
        <f>L4</f>
        <v>15</v>
      </c>
      <c r="L4" s="29">
        <f>C23</f>
        <v>15</v>
      </c>
      <c r="M4" s="41" t="str">
        <f>C22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I4" t="s">
        <v>27</v>
      </c>
      <c r="AJ4" s="5">
        <f>SUM(K7:K31)</f>
        <v>71.424318787526261</v>
      </c>
    </row>
    <row r="5" spans="1:36" ht="15.75" customHeight="1" x14ac:dyDescent="0.25">
      <c r="A5" s="6"/>
      <c r="B5" s="35" t="s">
        <v>143</v>
      </c>
      <c r="C5" s="39">
        <v>20</v>
      </c>
      <c r="D5" s="6"/>
      <c r="E5" s="12" t="str">
        <f>IF(C15=0,"",C12)</f>
        <v/>
      </c>
      <c r="F5" s="62" t="str">
        <f>IF(E5="","",SUMIF(M5:M31,C12,L5:L31))</f>
        <v/>
      </c>
      <c r="G5" s="6"/>
      <c r="H5" s="20" t="str">
        <f>IF(I5="-","-","Буфер")</f>
        <v>Буфер</v>
      </c>
      <c r="I5" s="9">
        <f t="shared" ref="I5:I31" si="0">IFERROR(K5/J5,"-")</f>
        <v>3.0610422337511256</v>
      </c>
      <c r="J5" s="43">
        <f t="shared" ref="J5:J31" si="1">IF(K5="-","-",$C$6)</f>
        <v>3</v>
      </c>
      <c r="K5" s="9">
        <f>IFERROR(J74, "-")</f>
        <v>9.1831267012533768</v>
      </c>
      <c r="L5" s="9">
        <f>IFERROR(K5,0)</f>
        <v>9.1831267012533768</v>
      </c>
      <c r="M5" s="43" t="str">
        <f>IF(L5="-","-",$C$18)</f>
        <v>LG24</v>
      </c>
      <c r="N5" s="43"/>
      <c r="O5" s="43"/>
      <c r="P5" s="43"/>
      <c r="Q5" s="9"/>
      <c r="R5" s="9">
        <f>IF(L5="-","-",L5)</f>
        <v>9.1831267012533768</v>
      </c>
      <c r="S5" s="9"/>
      <c r="T5" s="21">
        <f>IF(K5="-","-",K5)</f>
        <v>9.1831267012533768</v>
      </c>
      <c r="U5" s="6"/>
      <c r="V5" s="6"/>
      <c r="W5" s="6"/>
      <c r="X5" s="6"/>
      <c r="Y5" s="6"/>
      <c r="Z5" s="6"/>
      <c r="AA5" s="6"/>
      <c r="AI5" t="s">
        <v>29</v>
      </c>
      <c r="AJ5">
        <f>AJ4/(1-$C$17/100)</f>
        <v>102.03474112503753</v>
      </c>
    </row>
    <row r="6" spans="1:36" ht="18" customHeight="1" x14ac:dyDescent="0.25">
      <c r="A6" s="6"/>
      <c r="B6" s="24" t="s">
        <v>28</v>
      </c>
      <c r="C6" s="39">
        <v>3</v>
      </c>
      <c r="D6" s="6"/>
      <c r="E6" s="12" t="str">
        <f>C13</f>
        <v>LG28</v>
      </c>
      <c r="F6" s="62">
        <f>SUMIF(M5:M31,C13,L5:L31)</f>
        <v>29.629629629629633</v>
      </c>
      <c r="G6" s="6"/>
      <c r="H6" s="20" t="str">
        <f>IF(I6="-","-","Буфер")</f>
        <v>Буфер</v>
      </c>
      <c r="I6" s="9">
        <f t="shared" si="0"/>
        <v>7.1424318787526273</v>
      </c>
      <c r="J6" s="43">
        <f t="shared" si="1"/>
        <v>3</v>
      </c>
      <c r="K6" s="9">
        <f>IFERROR(J75, "-")</f>
        <v>21.427295636257881</v>
      </c>
      <c r="L6" s="9">
        <f>IFERROR(K6,0)</f>
        <v>21.427295636257881</v>
      </c>
      <c r="M6" s="43" t="str">
        <f>IF(L6="-","-",$C$19)</f>
        <v>DX26</v>
      </c>
      <c r="N6" s="43"/>
      <c r="O6" s="43"/>
      <c r="P6" s="43"/>
      <c r="Q6" s="9"/>
      <c r="R6" s="9">
        <f>IF(L6="-","-",R5+L6)</f>
        <v>30.61042233751126</v>
      </c>
      <c r="S6" s="9"/>
      <c r="T6" s="21">
        <f>IF(K6="-","-",K6+T5)</f>
        <v>30.61042233751126</v>
      </c>
      <c r="U6" s="6"/>
      <c r="V6" s="6"/>
      <c r="W6" s="6"/>
      <c r="X6" s="6"/>
      <c r="Y6" s="6"/>
      <c r="Z6" s="6"/>
      <c r="AA6" s="6"/>
    </row>
    <row r="7" spans="1:36" ht="18" customHeight="1" x14ac:dyDescent="0.25">
      <c r="A7" s="6"/>
      <c r="B7" s="24" t="s">
        <v>30</v>
      </c>
      <c r="C7" s="39">
        <v>100</v>
      </c>
      <c r="D7" s="6"/>
      <c r="E7" s="12" t="str">
        <f>C14</f>
        <v>DX28</v>
      </c>
      <c r="F7" s="62">
        <f>SUMIF(M5:M31,C14,L5:L31)</f>
        <v>30.762527233115467</v>
      </c>
      <c r="G7" s="6"/>
      <c r="H7" s="20" t="str">
        <f t="shared" ref="H7:H31" si="2">IF(I7="-","-","Пропант")</f>
        <v>Пропант</v>
      </c>
      <c r="I7" s="9">
        <f t="shared" si="0"/>
        <v>2.0108357758237854</v>
      </c>
      <c r="J7" s="43">
        <f t="shared" si="1"/>
        <v>3</v>
      </c>
      <c r="K7" s="9">
        <f t="shared" ref="K7:K31" si="3">IFERROR(L7+Q7/(IF(N7=$C$9,$G$103,$G$104)*1000),"-")</f>
        <v>6.0325073274713565</v>
      </c>
      <c r="L7" s="9">
        <f t="shared" ref="L7:L31" si="4">IFERROR(Q7/(P7-($C$7/2)),"-")</f>
        <v>5.9259259259259265</v>
      </c>
      <c r="M7" s="43" t="str">
        <f t="shared" ref="M7:M31" si="5">IF(L7="-","-",IF(O7&lt;$C$15,$C$12,IF(P7&gt;$C$16,$C$14,$C$13)))</f>
        <v>LG28</v>
      </c>
      <c r="N7" s="43" t="str">
        <f t="shared" ref="N7:N31" si="6">IF(O7="-","-",IF(O7&lt;$C$11,$C$9,$C$10))</f>
        <v>20/40 Новатэк</v>
      </c>
      <c r="O7" s="43">
        <f t="shared" ref="O7:O31" si="7">IFERROR(IF(P7="-","-",IF(P6=$C$4,$C$4,P7-$C$7)),"-")</f>
        <v>0</v>
      </c>
      <c r="P7" s="43">
        <f t="shared" ref="P7:P31" si="8">IFERROR(IF(O6=$C$4,"-",IF(P6=$C$4,$C$4,P6+($C$4-P6)/($J$77-E75))),"-")</f>
        <v>100</v>
      </c>
      <c r="Q7" s="9">
        <f>IF(S7="-","-",S7)</f>
        <v>296.2962962962963</v>
      </c>
      <c r="R7" s="9">
        <f t="shared" ref="R7:R31" si="9">IFERROR(IF(L7="-","-",R6+L7),"-")</f>
        <v>36.536348263437183</v>
      </c>
      <c r="S7" s="9">
        <f t="shared" ref="S7:S31" si="10">IFERROR(IF(S6=$Q$35*1000,$C$3*1000,G76*$Q$35*1000),"-")</f>
        <v>296.2962962962963</v>
      </c>
      <c r="T7" s="21">
        <f t="shared" ref="T7:T31" si="11">IFERROR(IF(K7="-","-",T6+K7),"-")</f>
        <v>36.642929664982617</v>
      </c>
      <c r="U7" s="6"/>
      <c r="V7" s="6"/>
      <c r="W7" s="6"/>
      <c r="X7" s="6"/>
      <c r="Y7" s="6"/>
      <c r="Z7" s="6"/>
      <c r="AA7" s="6"/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SUM(L5:L31)</f>
        <v>91.002579200256349</v>
      </c>
      <c r="G8" s="6"/>
      <c r="H8" s="20" t="str">
        <f t="shared" si="2"/>
        <v>Пропант</v>
      </c>
      <c r="I8" s="9">
        <f t="shared" si="0"/>
        <v>2.081890043520739</v>
      </c>
      <c r="J8" s="43">
        <f t="shared" si="1"/>
        <v>3</v>
      </c>
      <c r="K8" s="9">
        <f t="shared" si="3"/>
        <v>6.2456701305622175</v>
      </c>
      <c r="L8" s="9">
        <f t="shared" si="4"/>
        <v>5.9259259259259265</v>
      </c>
      <c r="M8" s="43" t="str">
        <f t="shared" si="5"/>
        <v>LG28</v>
      </c>
      <c r="N8" s="43" t="str">
        <f t="shared" si="6"/>
        <v>20/40 Новатэк</v>
      </c>
      <c r="O8" s="43">
        <f t="shared" si="7"/>
        <v>100</v>
      </c>
      <c r="P8" s="43">
        <f t="shared" si="8"/>
        <v>200</v>
      </c>
      <c r="Q8" s="9">
        <f t="shared" ref="Q8:Q31" si="12">IF(S8="-","-",S8-S7)</f>
        <v>888.88888888888891</v>
      </c>
      <c r="R8" s="9">
        <f t="shared" si="9"/>
        <v>42.462274189363107</v>
      </c>
      <c r="S8" s="9">
        <f t="shared" si="10"/>
        <v>1185.1851851851852</v>
      </c>
      <c r="T8" s="21">
        <f t="shared" si="11"/>
        <v>42.888599795544835</v>
      </c>
      <c r="U8" s="6"/>
      <c r="V8" s="6"/>
      <c r="W8" s="6"/>
      <c r="X8" s="6"/>
      <c r="Y8" s="6"/>
      <c r="Z8" s="6"/>
      <c r="AA8" s="6"/>
    </row>
    <row r="9" spans="1:36" ht="15.75" customHeight="1" x14ac:dyDescent="0.25">
      <c r="A9" s="6"/>
      <c r="B9" s="24" t="s">
        <v>32</v>
      </c>
      <c r="C9" s="39" t="s">
        <v>33</v>
      </c>
      <c r="D9" s="6"/>
      <c r="E9" s="15"/>
      <c r="F9" s="16"/>
      <c r="G9" s="6"/>
      <c r="H9" s="20" t="str">
        <f t="shared" si="2"/>
        <v>Пропант</v>
      </c>
      <c r="I9" s="9">
        <f t="shared" si="0"/>
        <v>2.1529443112176923</v>
      </c>
      <c r="J9" s="43">
        <f t="shared" si="1"/>
        <v>3</v>
      </c>
      <c r="K9" s="9">
        <f t="shared" si="3"/>
        <v>6.4588329336530768</v>
      </c>
      <c r="L9" s="9">
        <f t="shared" si="4"/>
        <v>5.9259259259259256</v>
      </c>
      <c r="M9" s="43" t="str">
        <f t="shared" si="5"/>
        <v>LG28</v>
      </c>
      <c r="N9" s="43" t="str">
        <f t="shared" si="6"/>
        <v>20/40 Новатэк</v>
      </c>
      <c r="O9" s="43">
        <f t="shared" si="7"/>
        <v>200</v>
      </c>
      <c r="P9" s="43">
        <f t="shared" si="8"/>
        <v>300</v>
      </c>
      <c r="Q9" s="9">
        <f t="shared" si="12"/>
        <v>1481.4814814814813</v>
      </c>
      <c r="R9" s="9">
        <f t="shared" si="9"/>
        <v>48.388200115289031</v>
      </c>
      <c r="S9" s="9">
        <f t="shared" si="10"/>
        <v>2666.6666666666665</v>
      </c>
      <c r="T9" s="21">
        <f t="shared" si="11"/>
        <v>49.347432729197912</v>
      </c>
      <c r="U9" s="6"/>
      <c r="V9" s="6"/>
      <c r="W9" s="6"/>
      <c r="X9" s="6"/>
      <c r="Y9" s="6"/>
      <c r="Z9" s="6"/>
      <c r="AA9" s="6"/>
      <c r="AH9" s="78" t="s">
        <v>136</v>
      </c>
      <c r="AI9" s="80"/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0"/>
        <v>2.2239985789146464</v>
      </c>
      <c r="J10" s="43">
        <f t="shared" si="1"/>
        <v>3</v>
      </c>
      <c r="K10" s="9">
        <f t="shared" si="3"/>
        <v>6.6719957367439386</v>
      </c>
      <c r="L10" s="9">
        <f t="shared" si="4"/>
        <v>5.9259259259259265</v>
      </c>
      <c r="M10" s="43" t="str">
        <f t="shared" si="5"/>
        <v>LG28</v>
      </c>
      <c r="N10" s="43" t="str">
        <f t="shared" si="6"/>
        <v>20/40 Новатэк</v>
      </c>
      <c r="O10" s="43">
        <f t="shared" si="7"/>
        <v>300</v>
      </c>
      <c r="P10" s="43">
        <f t="shared" si="8"/>
        <v>400</v>
      </c>
      <c r="Q10" s="9">
        <f t="shared" si="12"/>
        <v>2074.0740740740744</v>
      </c>
      <c r="R10" s="9">
        <f t="shared" si="9"/>
        <v>54.314126041214955</v>
      </c>
      <c r="S10" s="9">
        <f t="shared" si="10"/>
        <v>4740.7407407407409</v>
      </c>
      <c r="T10" s="21">
        <f t="shared" si="11"/>
        <v>56.01942846594185</v>
      </c>
      <c r="U10" s="6"/>
      <c r="V10" s="6"/>
      <c r="W10" s="6"/>
      <c r="X10" s="6"/>
      <c r="Y10" s="6"/>
      <c r="Z10" s="6"/>
      <c r="AA10" s="6"/>
      <c r="AH10" s="34">
        <v>-3</v>
      </c>
      <c r="AI10" s="34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20/40 Новатэк</v>
      </c>
      <c r="F11" s="62">
        <f>IF(E11="","",SUMIF(N5:N31,C9,Q5:Q31)/1000)</f>
        <v>7.4074074074074083</v>
      </c>
      <c r="G11" s="6"/>
      <c r="H11" s="20" t="str">
        <f t="shared" si="2"/>
        <v>Пропант</v>
      </c>
      <c r="I11" s="9">
        <f t="shared" si="0"/>
        <v>2.2950528466116005</v>
      </c>
      <c r="J11" s="43">
        <f t="shared" si="1"/>
        <v>3</v>
      </c>
      <c r="K11" s="9">
        <f t="shared" si="3"/>
        <v>6.8851585398348014</v>
      </c>
      <c r="L11" s="9">
        <f t="shared" si="4"/>
        <v>5.9259259259259283</v>
      </c>
      <c r="M11" s="43" t="str">
        <f t="shared" si="5"/>
        <v>LG28</v>
      </c>
      <c r="N11" s="43" t="str">
        <f t="shared" si="6"/>
        <v>20/40 Новатэк</v>
      </c>
      <c r="O11" s="43">
        <f t="shared" si="7"/>
        <v>400</v>
      </c>
      <c r="P11" s="43">
        <f t="shared" si="8"/>
        <v>500</v>
      </c>
      <c r="Q11" s="9">
        <f t="shared" si="12"/>
        <v>2666.6666666666679</v>
      </c>
      <c r="R11" s="9">
        <f t="shared" si="9"/>
        <v>60.240051967140886</v>
      </c>
      <c r="S11" s="9">
        <f t="shared" si="10"/>
        <v>7407.4074074074088</v>
      </c>
      <c r="T11" s="21">
        <f t="shared" si="11"/>
        <v>62.904587005776648</v>
      </c>
      <c r="U11" s="6"/>
      <c r="V11" s="6"/>
      <c r="W11" s="6"/>
      <c r="X11" s="6"/>
      <c r="Y11" s="6"/>
      <c r="Z11" s="6"/>
      <c r="AA11" s="6"/>
      <c r="AH11" s="34">
        <v>-2</v>
      </c>
      <c r="AI11" s="34">
        <v>1.4</v>
      </c>
    </row>
    <row r="12" spans="1:36" ht="15.75" customHeight="1" x14ac:dyDescent="0.25">
      <c r="A12" s="6"/>
      <c r="B12" s="24" t="s">
        <v>39</v>
      </c>
      <c r="C12" s="39" t="s">
        <v>40</v>
      </c>
      <c r="D12" s="6"/>
      <c r="E12" s="12" t="str">
        <f>C10</f>
        <v>16/20 Новатэк</v>
      </c>
      <c r="F12" s="62">
        <f>SUMIF(N5:N31,C10,Q5:Q31)/1000</f>
        <v>22.592592592592592</v>
      </c>
      <c r="G12" s="6"/>
      <c r="H12" s="20" t="str">
        <f t="shared" si="2"/>
        <v>Пропант</v>
      </c>
      <c r="I12" s="9">
        <f t="shared" si="0"/>
        <v>2.3776863283036107</v>
      </c>
      <c r="J12" s="43">
        <f t="shared" si="1"/>
        <v>3</v>
      </c>
      <c r="K12" s="9">
        <f t="shared" si="3"/>
        <v>7.1330589849108321</v>
      </c>
      <c r="L12" s="9">
        <f t="shared" si="4"/>
        <v>5.925925925925922</v>
      </c>
      <c r="M12" s="43" t="str">
        <f t="shared" si="5"/>
        <v>DX28</v>
      </c>
      <c r="N12" s="43" t="str">
        <f t="shared" si="6"/>
        <v>16/20 Новатэк</v>
      </c>
      <c r="O12" s="43">
        <f t="shared" si="7"/>
        <v>500</v>
      </c>
      <c r="P12" s="43">
        <f t="shared" si="8"/>
        <v>600</v>
      </c>
      <c r="Q12" s="9">
        <f t="shared" si="12"/>
        <v>3259.2592592592573</v>
      </c>
      <c r="R12" s="9">
        <f t="shared" si="9"/>
        <v>66.16597789306681</v>
      </c>
      <c r="S12" s="9">
        <f t="shared" si="10"/>
        <v>10666.666666666666</v>
      </c>
      <c r="T12" s="21">
        <f t="shared" si="11"/>
        <v>70.03764599068748</v>
      </c>
      <c r="U12" s="6"/>
      <c r="V12" s="6"/>
      <c r="W12" s="6"/>
      <c r="X12" s="6"/>
      <c r="Y12" s="6"/>
      <c r="Z12" s="6"/>
      <c r="AA12" s="6"/>
      <c r="AH12" s="34">
        <v>-1</v>
      </c>
      <c r="AI12" s="34">
        <v>1.6</v>
      </c>
    </row>
    <row r="13" spans="1:36" ht="15.75" customHeight="1" x14ac:dyDescent="0.25">
      <c r="A13" s="6"/>
      <c r="B13" s="24" t="s">
        <v>41</v>
      </c>
      <c r="C13" s="39" t="s">
        <v>42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0"/>
        <v>2.4508459076360314</v>
      </c>
      <c r="J13" s="43">
        <f t="shared" si="1"/>
        <v>3</v>
      </c>
      <c r="K13" s="9">
        <f t="shared" si="3"/>
        <v>7.3525377229080942</v>
      </c>
      <c r="L13" s="9">
        <f t="shared" si="4"/>
        <v>5.9259259259259265</v>
      </c>
      <c r="M13" s="43" t="str">
        <f t="shared" si="5"/>
        <v>DX28</v>
      </c>
      <c r="N13" s="43" t="str">
        <f t="shared" si="6"/>
        <v>16/20 Новатэк</v>
      </c>
      <c r="O13" s="43">
        <f t="shared" si="7"/>
        <v>600</v>
      </c>
      <c r="P13" s="43">
        <f t="shared" si="8"/>
        <v>700</v>
      </c>
      <c r="Q13" s="9">
        <f t="shared" si="12"/>
        <v>3851.8518518518522</v>
      </c>
      <c r="R13" s="9">
        <f t="shared" si="9"/>
        <v>72.091903818992733</v>
      </c>
      <c r="S13" s="9">
        <f t="shared" si="10"/>
        <v>14518.518518518518</v>
      </c>
      <c r="T13" s="21">
        <f t="shared" si="11"/>
        <v>77.390183713595576</v>
      </c>
      <c r="U13" s="6"/>
      <c r="V13" s="6"/>
      <c r="W13" s="6"/>
      <c r="X13" s="6"/>
      <c r="Y13" s="6"/>
      <c r="Z13" s="6"/>
      <c r="AA13" s="6"/>
      <c r="AH13" s="34">
        <v>0</v>
      </c>
      <c r="AI13" s="34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2"/>
        <v>Пропант</v>
      </c>
      <c r="I14" s="9">
        <f t="shared" si="0"/>
        <v>2.5240054869684507</v>
      </c>
      <c r="J14" s="43">
        <f t="shared" si="1"/>
        <v>3</v>
      </c>
      <c r="K14" s="9">
        <f t="shared" si="3"/>
        <v>7.5720164609053517</v>
      </c>
      <c r="L14" s="9">
        <f t="shared" si="4"/>
        <v>5.9259259259259274</v>
      </c>
      <c r="M14" s="43" t="str">
        <f t="shared" si="5"/>
        <v>DX28</v>
      </c>
      <c r="N14" s="43" t="str">
        <f t="shared" si="6"/>
        <v>16/20 Новатэк</v>
      </c>
      <c r="O14" s="43">
        <f t="shared" si="7"/>
        <v>700</v>
      </c>
      <c r="P14" s="43">
        <f t="shared" si="8"/>
        <v>800</v>
      </c>
      <c r="Q14" s="9">
        <f t="shared" si="12"/>
        <v>4444.4444444444453</v>
      </c>
      <c r="R14" s="9">
        <f t="shared" si="9"/>
        <v>78.017829744918657</v>
      </c>
      <c r="S14" s="9">
        <f t="shared" si="10"/>
        <v>18962.962962962964</v>
      </c>
      <c r="T14" s="21">
        <f t="shared" si="11"/>
        <v>84.962200174500921</v>
      </c>
      <c r="U14" s="6"/>
      <c r="V14" s="6"/>
      <c r="W14" s="6"/>
      <c r="X14" s="6"/>
      <c r="Y14" s="6"/>
      <c r="Z14" s="6"/>
      <c r="AA14" s="6"/>
      <c r="AH14" s="34">
        <v>1</v>
      </c>
      <c r="AI14" s="34">
        <v>2.2000000000000002</v>
      </c>
    </row>
    <row r="15" spans="1:36" ht="18" customHeight="1" x14ac:dyDescent="0.25">
      <c r="A15" s="6"/>
      <c r="B15" s="24" t="s">
        <v>45</v>
      </c>
      <c r="C15" s="39">
        <v>0</v>
      </c>
      <c r="D15" s="6"/>
      <c r="E15" s="10"/>
      <c r="F15" s="11"/>
      <c r="G15" s="6"/>
      <c r="H15" s="20" t="str">
        <f t="shared" si="2"/>
        <v>Пропант</v>
      </c>
      <c r="I15" s="9">
        <f t="shared" si="0"/>
        <v>2.5971650663008687</v>
      </c>
      <c r="J15" s="43">
        <f t="shared" si="1"/>
        <v>3</v>
      </c>
      <c r="K15" s="9">
        <f t="shared" si="3"/>
        <v>7.7914951989026058</v>
      </c>
      <c r="L15" s="9">
        <f t="shared" si="4"/>
        <v>5.9259259259259256</v>
      </c>
      <c r="M15" s="43" t="str">
        <f t="shared" si="5"/>
        <v>DX28</v>
      </c>
      <c r="N15" s="43" t="str">
        <f t="shared" si="6"/>
        <v>16/20 Новатэк</v>
      </c>
      <c r="O15" s="43">
        <f t="shared" si="7"/>
        <v>800</v>
      </c>
      <c r="P15" s="43">
        <f t="shared" si="8"/>
        <v>900</v>
      </c>
      <c r="Q15" s="9">
        <f t="shared" si="12"/>
        <v>5037.0370370370365</v>
      </c>
      <c r="R15" s="9">
        <f t="shared" si="9"/>
        <v>83.943755670844581</v>
      </c>
      <c r="S15" s="9">
        <f t="shared" si="10"/>
        <v>24000</v>
      </c>
      <c r="T15" s="21">
        <f t="shared" si="11"/>
        <v>92.753695373403531</v>
      </c>
      <c r="U15" s="6"/>
      <c r="V15" s="6"/>
      <c r="W15" s="6"/>
      <c r="X15" s="6"/>
      <c r="Y15" s="6"/>
      <c r="Z15" s="6"/>
      <c r="AA15" s="6"/>
      <c r="AH15" s="34">
        <v>2</v>
      </c>
      <c r="AI15" s="34">
        <v>2.4</v>
      </c>
    </row>
    <row r="16" spans="1:36" ht="18" customHeight="1" x14ac:dyDescent="0.25">
      <c r="A16" s="6"/>
      <c r="B16" s="24" t="s">
        <v>46</v>
      </c>
      <c r="C16" s="39">
        <v>500</v>
      </c>
      <c r="D16" s="6"/>
      <c r="E16" s="10"/>
      <c r="F16" s="11"/>
      <c r="G16" s="6"/>
      <c r="H16" s="20" t="str">
        <f t="shared" si="2"/>
        <v>Пропант</v>
      </c>
      <c r="I16" s="9">
        <f t="shared" si="0"/>
        <v>3.0936819172113288</v>
      </c>
      <c r="J16" s="43">
        <f t="shared" si="1"/>
        <v>3</v>
      </c>
      <c r="K16" s="9">
        <f t="shared" si="3"/>
        <v>9.2810457516339859</v>
      </c>
      <c r="L16" s="9">
        <f t="shared" si="4"/>
        <v>7.0588235294117645</v>
      </c>
      <c r="M16" s="43" t="str">
        <f t="shared" si="5"/>
        <v>DX28</v>
      </c>
      <c r="N16" s="43" t="str">
        <f t="shared" si="6"/>
        <v>16/20 Новатэк</v>
      </c>
      <c r="O16" s="43">
        <f t="shared" si="7"/>
        <v>900</v>
      </c>
      <c r="P16" s="43">
        <f t="shared" si="8"/>
        <v>900</v>
      </c>
      <c r="Q16" s="9">
        <f t="shared" si="12"/>
        <v>6000</v>
      </c>
      <c r="R16" s="9">
        <f t="shared" si="9"/>
        <v>91.002579200256349</v>
      </c>
      <c r="S16" s="9">
        <f t="shared" si="10"/>
        <v>30000</v>
      </c>
      <c r="T16" s="21">
        <f t="shared" si="11"/>
        <v>102.03474112503751</v>
      </c>
      <c r="U16" s="6"/>
      <c r="V16" s="6"/>
      <c r="W16" s="6"/>
      <c r="X16" s="6"/>
      <c r="Y16" s="6"/>
      <c r="Z16" s="6"/>
      <c r="AA16" s="6"/>
      <c r="AH16" s="34">
        <v>3</v>
      </c>
      <c r="AI16" s="34">
        <v>2.6</v>
      </c>
    </row>
    <row r="17" spans="1:40" ht="19.5" customHeight="1" x14ac:dyDescent="0.25">
      <c r="A17" s="6"/>
      <c r="B17" s="35" t="s">
        <v>135</v>
      </c>
      <c r="C17" s="39">
        <v>30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0"/>
        <v>-</v>
      </c>
      <c r="J17" s="43" t="str">
        <f t="shared" si="1"/>
        <v>-</v>
      </c>
      <c r="K17" s="9" t="str">
        <f t="shared" si="3"/>
        <v>-</v>
      </c>
      <c r="L17" s="9" t="str">
        <f t="shared" si="4"/>
        <v>-</v>
      </c>
      <c r="M17" s="43" t="str">
        <f t="shared" si="5"/>
        <v>-</v>
      </c>
      <c r="N17" s="43" t="str">
        <f t="shared" si="6"/>
        <v>-</v>
      </c>
      <c r="O17" s="43" t="str">
        <f t="shared" si="7"/>
        <v>-</v>
      </c>
      <c r="P17" s="43" t="str">
        <f t="shared" si="8"/>
        <v>-</v>
      </c>
      <c r="Q17" s="9" t="str">
        <f t="shared" si="12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H17" s="81" t="s">
        <v>137</v>
      </c>
      <c r="AI17" s="79"/>
    </row>
    <row r="18" spans="1:40" ht="15.75" customHeight="1" x14ac:dyDescent="0.25">
      <c r="A18" s="6"/>
      <c r="B18" s="24" t="s">
        <v>50</v>
      </c>
      <c r="C18" s="39" t="s">
        <v>51</v>
      </c>
      <c r="D18" s="6"/>
      <c r="E18" s="65">
        <f>IFERROR(C3/SUM(L5:L31), "-")</f>
        <v>0.32966098613516542</v>
      </c>
      <c r="F18" s="66"/>
      <c r="G18" s="6"/>
      <c r="H18" s="20" t="str">
        <f t="shared" si="2"/>
        <v>-</v>
      </c>
      <c r="I18" s="9" t="str">
        <f t="shared" si="0"/>
        <v>-</v>
      </c>
      <c r="J18" s="43" t="str">
        <f t="shared" si="1"/>
        <v>-</v>
      </c>
      <c r="K18" s="9" t="str">
        <f t="shared" si="3"/>
        <v>-</v>
      </c>
      <c r="L18" s="9" t="str">
        <f t="shared" si="4"/>
        <v>-</v>
      </c>
      <c r="M18" s="43" t="str">
        <f t="shared" si="5"/>
        <v>-</v>
      </c>
      <c r="N18" s="43" t="str">
        <f t="shared" si="6"/>
        <v>-</v>
      </c>
      <c r="O18" s="43" t="str">
        <f t="shared" si="7"/>
        <v>-</v>
      </c>
      <c r="P18" s="43" t="str">
        <f t="shared" si="8"/>
        <v>-</v>
      </c>
      <c r="Q18" s="9" t="str">
        <f t="shared" si="12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24" t="s">
        <v>53</v>
      </c>
      <c r="C19" s="39" t="s">
        <v>54</v>
      </c>
      <c r="D19" s="6"/>
      <c r="E19" s="10"/>
      <c r="F19" s="11"/>
      <c r="G19" s="6"/>
      <c r="H19" s="20" t="str">
        <f t="shared" si="2"/>
        <v>-</v>
      </c>
      <c r="I19" s="9" t="str">
        <f t="shared" si="0"/>
        <v>-</v>
      </c>
      <c r="J19" s="43" t="str">
        <f t="shared" si="1"/>
        <v>-</v>
      </c>
      <c r="K19" s="9" t="str">
        <f t="shared" si="3"/>
        <v>-</v>
      </c>
      <c r="L19" s="9" t="str">
        <f t="shared" si="4"/>
        <v>-</v>
      </c>
      <c r="M19" s="43" t="str">
        <f t="shared" si="5"/>
        <v>-</v>
      </c>
      <c r="N19" s="43" t="str">
        <f t="shared" si="6"/>
        <v>-</v>
      </c>
      <c r="O19" s="43" t="str">
        <f t="shared" si="7"/>
        <v>-</v>
      </c>
      <c r="P19" s="43" t="str">
        <f t="shared" si="8"/>
        <v>-</v>
      </c>
      <c r="Q19" s="9" t="str">
        <f t="shared" si="12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</row>
    <row r="20" spans="1:40" ht="16.5" customHeight="1" thickBot="1" x14ac:dyDescent="0.3">
      <c r="A20" s="6"/>
      <c r="B20" s="24" t="s">
        <v>55</v>
      </c>
      <c r="C20" s="39">
        <v>30</v>
      </c>
      <c r="D20" s="6"/>
      <c r="E20" s="17"/>
      <c r="F20" s="18"/>
      <c r="G20" s="6"/>
      <c r="H20" s="20" t="str">
        <f t="shared" si="2"/>
        <v>-</v>
      </c>
      <c r="I20" s="9" t="str">
        <f t="shared" si="0"/>
        <v>-</v>
      </c>
      <c r="J20" s="43" t="str">
        <f t="shared" si="1"/>
        <v>-</v>
      </c>
      <c r="K20" s="9" t="str">
        <f t="shared" si="3"/>
        <v>-</v>
      </c>
      <c r="L20" s="9" t="str">
        <f t="shared" si="4"/>
        <v>-</v>
      </c>
      <c r="M20" s="43" t="str">
        <f t="shared" si="5"/>
        <v>-</v>
      </c>
      <c r="N20" s="43" t="str">
        <f t="shared" si="6"/>
        <v>-</v>
      </c>
      <c r="O20" s="43" t="str">
        <f t="shared" si="7"/>
        <v>-</v>
      </c>
      <c r="P20" s="43" t="str">
        <f t="shared" si="8"/>
        <v>-</v>
      </c>
      <c r="Q20" s="9" t="str">
        <f t="shared" si="12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H20" s="67" t="s">
        <v>138</v>
      </c>
      <c r="AI20" s="68"/>
      <c r="AJ20" s="68"/>
      <c r="AK20" s="68"/>
      <c r="AL20" s="68"/>
      <c r="AM20" s="68"/>
      <c r="AN20" s="68"/>
    </row>
    <row r="21" spans="1:40" ht="15.75" customHeight="1" x14ac:dyDescent="0.25">
      <c r="A21" s="6"/>
      <c r="B21" s="45" t="s">
        <v>56</v>
      </c>
      <c r="C21" s="46">
        <f>100-C20</f>
        <v>70</v>
      </c>
      <c r="D21" s="6"/>
      <c r="E21" s="6"/>
      <c r="F21" s="6"/>
      <c r="G21" s="6"/>
      <c r="H21" s="20" t="str">
        <f t="shared" si="2"/>
        <v>-</v>
      </c>
      <c r="I21" s="9" t="str">
        <f t="shared" si="0"/>
        <v>-</v>
      </c>
      <c r="J21" s="43" t="str">
        <f t="shared" si="1"/>
        <v>-</v>
      </c>
      <c r="K21" s="9" t="str">
        <f t="shared" si="3"/>
        <v>-</v>
      </c>
      <c r="L21" s="9" t="str">
        <f t="shared" si="4"/>
        <v>-</v>
      </c>
      <c r="M21" s="43" t="str">
        <f t="shared" si="5"/>
        <v>-</v>
      </c>
      <c r="N21" s="43" t="str">
        <f t="shared" si="6"/>
        <v>-</v>
      </c>
      <c r="O21" s="43" t="str">
        <f t="shared" si="7"/>
        <v>-</v>
      </c>
      <c r="P21" s="43" t="str">
        <f t="shared" si="8"/>
        <v>-</v>
      </c>
      <c r="Q21" s="9" t="str">
        <f t="shared" si="12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H21" s="78" t="s">
        <v>57</v>
      </c>
      <c r="AI21" s="79"/>
      <c r="AJ21" s="79"/>
      <c r="AK21" s="80"/>
      <c r="AM21" s="78" t="s">
        <v>64</v>
      </c>
      <c r="AN21" s="80"/>
    </row>
    <row r="22" spans="1:40" ht="15.75" customHeight="1" x14ac:dyDescent="0.25">
      <c r="A22" s="6"/>
      <c r="B22" s="24" t="s">
        <v>58</v>
      </c>
      <c r="C22" s="39" t="s">
        <v>59</v>
      </c>
      <c r="D22" s="6"/>
      <c r="E22" s="6"/>
      <c r="F22" s="6"/>
      <c r="G22" s="6"/>
      <c r="H22" s="20" t="str">
        <f t="shared" si="2"/>
        <v>-</v>
      </c>
      <c r="I22" s="9" t="str">
        <f t="shared" si="0"/>
        <v>-</v>
      </c>
      <c r="J22" s="43" t="str">
        <f t="shared" si="1"/>
        <v>-</v>
      </c>
      <c r="K22" s="9" t="str">
        <f t="shared" si="3"/>
        <v>-</v>
      </c>
      <c r="L22" s="9" t="str">
        <f t="shared" si="4"/>
        <v>-</v>
      </c>
      <c r="M22" s="43" t="str">
        <f t="shared" si="5"/>
        <v>-</v>
      </c>
      <c r="N22" s="43" t="str">
        <f t="shared" si="6"/>
        <v>-</v>
      </c>
      <c r="O22" s="43" t="str">
        <f t="shared" si="7"/>
        <v>-</v>
      </c>
      <c r="P22" s="43" t="str">
        <f t="shared" si="8"/>
        <v>-</v>
      </c>
      <c r="Q22" s="9" t="str">
        <f t="shared" si="12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H22" s="38" t="s">
        <v>60</v>
      </c>
      <c r="AI22" s="38" t="s">
        <v>61</v>
      </c>
      <c r="AJ22" s="38" t="s">
        <v>62</v>
      </c>
      <c r="AK22" s="38" t="s">
        <v>63</v>
      </c>
      <c r="AM22" s="34" t="s">
        <v>68</v>
      </c>
      <c r="AN22" s="34" t="s">
        <v>69</v>
      </c>
    </row>
    <row r="23" spans="1:40" ht="18.75" customHeight="1" thickBot="1" x14ac:dyDescent="0.3">
      <c r="A23" s="6"/>
      <c r="B23" s="27" t="s">
        <v>65</v>
      </c>
      <c r="C23" s="47">
        <v>15</v>
      </c>
      <c r="D23" s="6"/>
      <c r="E23" s="6"/>
      <c r="F23" s="6"/>
      <c r="G23" s="6"/>
      <c r="H23" s="20" t="str">
        <f t="shared" si="2"/>
        <v>-</v>
      </c>
      <c r="I23" s="9" t="str">
        <f t="shared" si="0"/>
        <v>-</v>
      </c>
      <c r="J23" s="43" t="str">
        <f t="shared" si="1"/>
        <v>-</v>
      </c>
      <c r="K23" s="9" t="str">
        <f t="shared" si="3"/>
        <v>-</v>
      </c>
      <c r="L23" s="9" t="str">
        <f t="shared" si="4"/>
        <v>-</v>
      </c>
      <c r="M23" s="43" t="str">
        <f t="shared" si="5"/>
        <v>-</v>
      </c>
      <c r="N23" s="43" t="str">
        <f t="shared" si="6"/>
        <v>-</v>
      </c>
      <c r="O23" s="43" t="str">
        <f t="shared" si="7"/>
        <v>-</v>
      </c>
      <c r="P23" s="43" t="str">
        <f t="shared" si="8"/>
        <v>-</v>
      </c>
      <c r="Q23" s="9" t="str">
        <f t="shared" si="12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H23" s="34" t="s">
        <v>40</v>
      </c>
      <c r="AI23" s="34" t="s">
        <v>66</v>
      </c>
      <c r="AJ23" s="34" t="s">
        <v>67</v>
      </c>
      <c r="AK23" s="34" t="s">
        <v>59</v>
      </c>
      <c r="AM23" s="34" t="s">
        <v>72</v>
      </c>
      <c r="AN23" s="34">
        <v>3.11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0"/>
        <v>-</v>
      </c>
      <c r="J24" s="43" t="str">
        <f t="shared" si="1"/>
        <v>-</v>
      </c>
      <c r="K24" s="9" t="str">
        <f t="shared" si="3"/>
        <v>-</v>
      </c>
      <c r="L24" s="9" t="str">
        <f t="shared" si="4"/>
        <v>-</v>
      </c>
      <c r="M24" s="43" t="str">
        <f t="shared" si="5"/>
        <v>-</v>
      </c>
      <c r="N24" s="43" t="str">
        <f t="shared" si="6"/>
        <v>-</v>
      </c>
      <c r="O24" s="43" t="str">
        <f t="shared" si="7"/>
        <v>-</v>
      </c>
      <c r="P24" s="43" t="str">
        <f t="shared" si="8"/>
        <v>-</v>
      </c>
      <c r="Q24" s="9" t="str">
        <f t="shared" si="12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H24" s="34"/>
      <c r="AI24" s="34" t="s">
        <v>70</v>
      </c>
      <c r="AJ24" s="34" t="s">
        <v>71</v>
      </c>
      <c r="AK24" s="34" t="s">
        <v>40</v>
      </c>
      <c r="AM24" s="34" t="s">
        <v>75</v>
      </c>
      <c r="AN24" s="34">
        <v>2.95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0"/>
        <v>-</v>
      </c>
      <c r="J25" s="43" t="str">
        <f t="shared" si="1"/>
        <v>-</v>
      </c>
      <c r="K25" s="9" t="str">
        <f t="shared" si="3"/>
        <v>-</v>
      </c>
      <c r="L25" s="9" t="str">
        <f t="shared" si="4"/>
        <v>-</v>
      </c>
      <c r="M25" s="43" t="str">
        <f t="shared" si="5"/>
        <v>-</v>
      </c>
      <c r="N25" s="43" t="str">
        <f t="shared" si="6"/>
        <v>-</v>
      </c>
      <c r="O25" s="43" t="str">
        <f t="shared" si="7"/>
        <v>-</v>
      </c>
      <c r="P25" s="43" t="str">
        <f t="shared" si="8"/>
        <v>-</v>
      </c>
      <c r="Q25" s="9" t="str">
        <f t="shared" si="12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H25" s="34"/>
      <c r="AI25" s="34" t="s">
        <v>73</v>
      </c>
      <c r="AJ25" s="34" t="s">
        <v>74</v>
      </c>
      <c r="AK25" s="34" t="s">
        <v>66</v>
      </c>
      <c r="AM25" s="34" t="s">
        <v>36</v>
      </c>
      <c r="AN25" s="34">
        <v>2.7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0"/>
        <v>-</v>
      </c>
      <c r="J26" s="43" t="str">
        <f t="shared" si="1"/>
        <v>-</v>
      </c>
      <c r="K26" s="9" t="str">
        <f t="shared" si="3"/>
        <v>-</v>
      </c>
      <c r="L26" s="9" t="str">
        <f t="shared" si="4"/>
        <v>-</v>
      </c>
      <c r="M26" s="43" t="str">
        <f t="shared" si="5"/>
        <v>-</v>
      </c>
      <c r="N26" s="43" t="str">
        <f t="shared" si="6"/>
        <v>-</v>
      </c>
      <c r="O26" s="43" t="str">
        <f t="shared" si="7"/>
        <v>-</v>
      </c>
      <c r="P26" s="43" t="str">
        <f t="shared" si="8"/>
        <v>-</v>
      </c>
      <c r="Q26" s="9" t="str">
        <f t="shared" si="12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H26" s="34"/>
      <c r="AI26" s="34" t="s">
        <v>76</v>
      </c>
      <c r="AJ26" s="34" t="s">
        <v>77</v>
      </c>
      <c r="AK26" s="34" t="s">
        <v>70</v>
      </c>
      <c r="AM26" s="34" t="s">
        <v>80</v>
      </c>
      <c r="AN26" s="34">
        <v>3.2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0"/>
        <v>-</v>
      </c>
      <c r="J27" s="43" t="str">
        <f t="shared" si="1"/>
        <v>-</v>
      </c>
      <c r="K27" s="9" t="str">
        <f t="shared" si="3"/>
        <v>-</v>
      </c>
      <c r="L27" s="9" t="str">
        <f t="shared" si="4"/>
        <v>-</v>
      </c>
      <c r="M27" s="43" t="str">
        <f t="shared" si="5"/>
        <v>-</v>
      </c>
      <c r="N27" s="43" t="str">
        <f t="shared" si="6"/>
        <v>-</v>
      </c>
      <c r="O27" s="43" t="str">
        <f t="shared" si="7"/>
        <v>-</v>
      </c>
      <c r="P27" s="43" t="str">
        <f t="shared" si="8"/>
        <v>-</v>
      </c>
      <c r="Q27" s="9" t="str">
        <f t="shared" si="12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H27" s="34"/>
      <c r="AI27" s="34" t="s">
        <v>78</v>
      </c>
      <c r="AJ27" s="34" t="s">
        <v>79</v>
      </c>
      <c r="AK27" s="34" t="s">
        <v>73</v>
      </c>
      <c r="AM27" s="34" t="s">
        <v>33</v>
      </c>
      <c r="AN27" s="34">
        <v>2.78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0"/>
        <v>-</v>
      </c>
      <c r="J28" s="43" t="str">
        <f t="shared" si="1"/>
        <v>-</v>
      </c>
      <c r="K28" s="9" t="str">
        <f t="shared" si="3"/>
        <v>-</v>
      </c>
      <c r="L28" s="9" t="str">
        <f t="shared" si="4"/>
        <v>-</v>
      </c>
      <c r="M28" s="43" t="str">
        <f t="shared" si="5"/>
        <v>-</v>
      </c>
      <c r="N28" s="43" t="str">
        <f t="shared" si="6"/>
        <v>-</v>
      </c>
      <c r="O28" s="43" t="str">
        <f t="shared" si="7"/>
        <v>-</v>
      </c>
      <c r="P28" s="43" t="str">
        <f t="shared" si="8"/>
        <v>-</v>
      </c>
      <c r="Q28" s="9" t="str">
        <f t="shared" si="12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H28" s="34"/>
      <c r="AI28" s="34" t="s">
        <v>51</v>
      </c>
      <c r="AJ28" s="34" t="s">
        <v>81</v>
      </c>
      <c r="AK28" s="34" t="s">
        <v>76</v>
      </c>
      <c r="AM28" s="34" t="s">
        <v>83</v>
      </c>
      <c r="AN28" s="34">
        <v>3.15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0"/>
        <v>-</v>
      </c>
      <c r="J29" s="43" t="str">
        <f t="shared" si="1"/>
        <v>-</v>
      </c>
      <c r="K29" s="9" t="str">
        <f t="shared" si="3"/>
        <v>-</v>
      </c>
      <c r="L29" s="9" t="str">
        <f t="shared" si="4"/>
        <v>-</v>
      </c>
      <c r="M29" s="43" t="str">
        <f t="shared" si="5"/>
        <v>-</v>
      </c>
      <c r="N29" s="43" t="str">
        <f t="shared" si="6"/>
        <v>-</v>
      </c>
      <c r="O29" s="43" t="str">
        <f t="shared" si="7"/>
        <v>-</v>
      </c>
      <c r="P29" s="43" t="str">
        <f t="shared" si="8"/>
        <v>-</v>
      </c>
      <c r="Q29" s="9" t="str">
        <f t="shared" si="12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H29" s="34"/>
      <c r="AI29" s="34" t="s">
        <v>82</v>
      </c>
      <c r="AJ29" s="34" t="s">
        <v>54</v>
      </c>
      <c r="AK29" s="34" t="s">
        <v>78</v>
      </c>
      <c r="AM29" s="34" t="s">
        <v>84</v>
      </c>
      <c r="AN29" s="34">
        <v>3.11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0"/>
        <v>-</v>
      </c>
      <c r="J30" s="43" t="str">
        <f t="shared" si="1"/>
        <v>-</v>
      </c>
      <c r="K30" s="9" t="str">
        <f t="shared" si="3"/>
        <v>-</v>
      </c>
      <c r="L30" s="9" t="str">
        <f t="shared" si="4"/>
        <v>-</v>
      </c>
      <c r="M30" s="43" t="str">
        <f t="shared" si="5"/>
        <v>-</v>
      </c>
      <c r="N30" s="43" t="str">
        <f t="shared" si="6"/>
        <v>-</v>
      </c>
      <c r="O30" s="43" t="str">
        <f t="shared" si="7"/>
        <v>-</v>
      </c>
      <c r="P30" s="43" t="str">
        <f t="shared" si="8"/>
        <v>-</v>
      </c>
      <c r="Q30" s="9" t="str">
        <f t="shared" si="12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H30" s="34"/>
      <c r="AI30" s="34" t="s">
        <v>42</v>
      </c>
      <c r="AJ30" s="34" t="s">
        <v>44</v>
      </c>
      <c r="AK30" s="34" t="s">
        <v>51</v>
      </c>
      <c r="AM30" s="34" t="s">
        <v>87</v>
      </c>
      <c r="AN30" s="34">
        <v>2.78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2"/>
        <v>-</v>
      </c>
      <c r="I31" s="23" t="str">
        <f t="shared" si="0"/>
        <v>-</v>
      </c>
      <c r="J31" s="48" t="str">
        <f t="shared" si="1"/>
        <v>-</v>
      </c>
      <c r="K31" s="23" t="str">
        <f t="shared" si="3"/>
        <v>-</v>
      </c>
      <c r="L31" s="23" t="str">
        <f t="shared" si="4"/>
        <v>-</v>
      </c>
      <c r="M31" s="48" t="str">
        <f t="shared" si="5"/>
        <v>-</v>
      </c>
      <c r="N31" s="48" t="str">
        <f t="shared" si="6"/>
        <v>-</v>
      </c>
      <c r="O31" s="48" t="str">
        <f t="shared" si="7"/>
        <v>-</v>
      </c>
      <c r="P31" s="48" t="str">
        <f t="shared" si="8"/>
        <v>-</v>
      </c>
      <c r="Q31" s="23" t="str">
        <f t="shared" si="12"/>
        <v>-</v>
      </c>
      <c r="R31" s="23" t="str">
        <f t="shared" si="9"/>
        <v>-</v>
      </c>
      <c r="S31" s="23" t="str">
        <f t="shared" si="10"/>
        <v>-</v>
      </c>
      <c r="T31" s="36" t="str">
        <f t="shared" si="11"/>
        <v>-</v>
      </c>
      <c r="U31" s="6"/>
      <c r="V31" s="6"/>
      <c r="W31" s="6"/>
      <c r="X31" s="6"/>
      <c r="Y31" s="6"/>
      <c r="Z31" s="6"/>
      <c r="AA31" s="6"/>
      <c r="AH31" s="34"/>
      <c r="AI31" s="34" t="s">
        <v>85</v>
      </c>
      <c r="AJ31" s="34" t="s">
        <v>86</v>
      </c>
      <c r="AK31" s="34" t="s">
        <v>82</v>
      </c>
      <c r="AM31" s="34" t="s">
        <v>90</v>
      </c>
      <c r="AN31" s="34">
        <v>3.2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H32" s="34"/>
      <c r="AI32" s="34" t="s">
        <v>88</v>
      </c>
      <c r="AJ32" s="34" t="s">
        <v>89</v>
      </c>
      <c r="AK32" s="34" t="s">
        <v>42</v>
      </c>
      <c r="AM32" s="34" t="s">
        <v>93</v>
      </c>
      <c r="AN32" s="34">
        <v>3.08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H33" s="34"/>
      <c r="AI33" s="34" t="s">
        <v>91</v>
      </c>
      <c r="AJ33" s="34" t="s">
        <v>92</v>
      </c>
      <c r="AK33" s="34" t="s">
        <v>85</v>
      </c>
      <c r="AM33" s="34" t="s">
        <v>96</v>
      </c>
      <c r="AN33" s="34">
        <v>3.07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H34" s="34"/>
      <c r="AI34" s="34" t="s">
        <v>94</v>
      </c>
      <c r="AJ34" s="34" t="s">
        <v>95</v>
      </c>
      <c r="AK34" s="34" t="s">
        <v>88</v>
      </c>
      <c r="AM34" s="34" t="s">
        <v>99</v>
      </c>
      <c r="AN34" s="34">
        <v>3.7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H35" s="34"/>
      <c r="AI35" s="34" t="s">
        <v>97</v>
      </c>
      <c r="AJ35" s="34" t="s">
        <v>98</v>
      </c>
      <c r="AK35" s="34" t="s">
        <v>91</v>
      </c>
      <c r="AM35" s="34" t="s">
        <v>102</v>
      </c>
      <c r="AN35" s="34">
        <v>3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6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H36" s="34"/>
      <c r="AI36" s="34" t="s">
        <v>100</v>
      </c>
      <c r="AJ36" s="34" t="s">
        <v>101</v>
      </c>
      <c r="AK36" s="34" t="s">
        <v>94</v>
      </c>
      <c r="AM36" s="34" t="s">
        <v>105</v>
      </c>
      <c r="AN36" s="34">
        <v>3.09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H37" s="34"/>
      <c r="AI37" s="34" t="s">
        <v>103</v>
      </c>
      <c r="AJ37" s="34" t="s">
        <v>104</v>
      </c>
      <c r="AK37" s="34" t="s">
        <v>97</v>
      </c>
      <c r="AM37" s="34" t="s">
        <v>108</v>
      </c>
      <c r="AN37" s="34">
        <v>3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34"/>
      <c r="AI38" s="34" t="s">
        <v>106</v>
      </c>
      <c r="AJ38" s="34" t="s">
        <v>107</v>
      </c>
      <c r="AK38" s="34" t="s">
        <v>100</v>
      </c>
      <c r="AM38" s="34" t="s">
        <v>110</v>
      </c>
      <c r="AN38" s="34">
        <v>3.1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34"/>
      <c r="AI39" s="34" t="s">
        <v>109</v>
      </c>
      <c r="AJ39" s="34"/>
      <c r="AK39" s="34" t="s">
        <v>103</v>
      </c>
      <c r="AM39" s="34" t="s">
        <v>112</v>
      </c>
      <c r="AN39" s="34">
        <v>2.9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H40" s="34"/>
      <c r="AI40" s="34" t="s">
        <v>111</v>
      </c>
      <c r="AJ40" s="34"/>
      <c r="AK40" s="34" t="s">
        <v>106</v>
      </c>
      <c r="AM40" s="34" t="s">
        <v>113</v>
      </c>
      <c r="AN40" s="34">
        <v>2.88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H41" s="34"/>
      <c r="AI41" s="34"/>
      <c r="AJ41" s="34"/>
      <c r="AK41" s="34" t="s">
        <v>109</v>
      </c>
      <c r="AM41" s="34" t="s">
        <v>114</v>
      </c>
      <c r="AN41" s="34">
        <v>2.96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H42" s="34"/>
      <c r="AI42" s="34"/>
      <c r="AJ42" s="34"/>
      <c r="AK42" s="34" t="s">
        <v>111</v>
      </c>
      <c r="AM42" s="34" t="s">
        <v>75</v>
      </c>
      <c r="AN42" s="34">
        <v>2.95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H43" s="34"/>
      <c r="AI43" s="34"/>
      <c r="AJ43" s="34"/>
      <c r="AK43" s="34" t="s">
        <v>67</v>
      </c>
      <c r="AM43" s="34" t="s">
        <v>115</v>
      </c>
      <c r="AN43" s="34">
        <v>3.06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H44" s="34"/>
      <c r="AI44" s="34"/>
      <c r="AJ44" s="34"/>
      <c r="AK44" s="34" t="s">
        <v>71</v>
      </c>
      <c r="AM44" s="34" t="s">
        <v>116</v>
      </c>
      <c r="AN44" s="34">
        <v>3.12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H45" s="34"/>
      <c r="AI45" s="34"/>
      <c r="AJ45" s="34"/>
      <c r="AK45" s="34" t="s">
        <v>74</v>
      </c>
      <c r="AM45" s="34" t="s">
        <v>117</v>
      </c>
      <c r="AN45" s="34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H46" s="34"/>
      <c r="AI46" s="34"/>
      <c r="AJ46" s="34"/>
      <c r="AK46" s="34" t="s">
        <v>77</v>
      </c>
      <c r="AM46" s="34" t="s">
        <v>83</v>
      </c>
      <c r="AN46" s="34">
        <v>3.15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H47" s="34"/>
      <c r="AI47" s="34"/>
      <c r="AJ47" s="34"/>
      <c r="AK47" s="34" t="s">
        <v>79</v>
      </c>
      <c r="AM47" s="34" t="s">
        <v>118</v>
      </c>
      <c r="AN47" s="34">
        <v>2.89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H48" s="34"/>
      <c r="AI48" s="34"/>
      <c r="AJ48" s="34"/>
      <c r="AK48" s="34" t="s">
        <v>81</v>
      </c>
      <c r="AM48" s="34" t="s">
        <v>119</v>
      </c>
      <c r="AN48" s="34">
        <v>2.92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H49" s="34"/>
      <c r="AI49" s="34"/>
      <c r="AJ49" s="34"/>
      <c r="AK49" s="34" t="s">
        <v>54</v>
      </c>
      <c r="AM49" s="34" t="s">
        <v>120</v>
      </c>
      <c r="AN49" s="34">
        <v>2.95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H50" s="34"/>
      <c r="AI50" s="34"/>
      <c r="AJ50" s="34"/>
      <c r="AK50" s="34" t="s">
        <v>44</v>
      </c>
      <c r="AM50" s="34" t="s">
        <v>121</v>
      </c>
      <c r="AN50" s="34">
        <v>2.9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H51" s="34"/>
      <c r="AI51" s="34"/>
      <c r="AJ51" s="34"/>
      <c r="AK51" s="34" t="s">
        <v>86</v>
      </c>
      <c r="AM51" s="34"/>
      <c r="AN51" s="34"/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H52" s="34"/>
      <c r="AI52" s="34"/>
      <c r="AJ52" s="34"/>
      <c r="AK52" s="34" t="s">
        <v>89</v>
      </c>
      <c r="AM52" s="34"/>
      <c r="AN52" s="34"/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H53" s="34"/>
      <c r="AI53" s="34"/>
      <c r="AJ53" s="34"/>
      <c r="AK53" s="34" t="s">
        <v>92</v>
      </c>
      <c r="AM53" s="34"/>
      <c r="AN53" s="34"/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H54" s="34"/>
      <c r="AI54" s="34"/>
      <c r="AJ54" s="34"/>
      <c r="AK54" s="34" t="s">
        <v>95</v>
      </c>
      <c r="AM54" s="34"/>
      <c r="AN54" s="34"/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H55" s="34"/>
      <c r="AI55" s="34"/>
      <c r="AJ55" s="34"/>
      <c r="AK55" s="34" t="s">
        <v>98</v>
      </c>
      <c r="AM55" s="34"/>
      <c r="AN55" s="34"/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H56" s="34"/>
      <c r="AI56" s="34"/>
      <c r="AJ56" s="34"/>
      <c r="AK56" s="34" t="s">
        <v>101</v>
      </c>
      <c r="AM56" s="34"/>
      <c r="AN56" s="34"/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H57" s="34"/>
      <c r="AI57" s="34"/>
      <c r="AJ57" s="34"/>
      <c r="AK57" s="34" t="s">
        <v>104</v>
      </c>
      <c r="AM57" s="34"/>
      <c r="AN57" s="34"/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H58" s="34"/>
      <c r="AI58" s="34"/>
      <c r="AJ58" s="34"/>
      <c r="AK58" s="34" t="s">
        <v>107</v>
      </c>
      <c r="AM58" s="34"/>
      <c r="AN58" s="34"/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H59" s="34"/>
      <c r="AI59" s="34"/>
      <c r="AJ59" s="34"/>
      <c r="AK59" s="34"/>
      <c r="AM59" s="34"/>
      <c r="AN59" s="34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H60" s="34"/>
      <c r="AI60" s="34"/>
      <c r="AJ60" s="34"/>
      <c r="AK60" s="34"/>
      <c r="AM60" s="34"/>
      <c r="AN60" s="34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H61" s="34"/>
      <c r="AI61" s="34"/>
      <c r="AJ61" s="34"/>
      <c r="AK61" s="34"/>
      <c r="AM61" s="34"/>
      <c r="AN61" s="34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H62" s="34"/>
      <c r="AI62" s="34"/>
      <c r="AJ62" s="34"/>
      <c r="AK62" s="34"/>
      <c r="AM62" s="34"/>
      <c r="AN62" s="34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H63" s="34"/>
      <c r="AI63" s="34"/>
      <c r="AJ63" s="34"/>
      <c r="AK63" s="34"/>
      <c r="AM63" s="34"/>
      <c r="AN63" s="34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H64" s="34"/>
      <c r="AI64" s="34"/>
      <c r="AJ64" s="34"/>
      <c r="AK64" s="34"/>
      <c r="AM64" s="34"/>
      <c r="AN64" s="34"/>
    </row>
    <row r="65" spans="1:4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H65" s="34"/>
      <c r="AI65" s="34"/>
      <c r="AJ65" s="34"/>
      <c r="AK65" s="34"/>
      <c r="AM65" s="34"/>
      <c r="AN65" s="34"/>
    </row>
    <row r="66" spans="1:4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4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4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4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4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40" x14ac:dyDescent="0.25">
      <c r="F73" s="3" t="s">
        <v>122</v>
      </c>
      <c r="G73" s="3" t="s">
        <v>123</v>
      </c>
      <c r="I73" s="54" t="s">
        <v>124</v>
      </c>
      <c r="J73" s="54">
        <f>($C$17/100)*AJ5</f>
        <v>30.610422337511256</v>
      </c>
      <c r="L73">
        <v>0</v>
      </c>
      <c r="M73">
        <v>0</v>
      </c>
      <c r="O73" t="s">
        <v>19</v>
      </c>
      <c r="P73" t="s">
        <v>20</v>
      </c>
      <c r="Q73" t="s">
        <v>21</v>
      </c>
      <c r="R73" t="s">
        <v>22</v>
      </c>
    </row>
    <row r="74" spans="1:40" x14ac:dyDescent="0.25">
      <c r="F74" s="52"/>
      <c r="G74" s="52"/>
      <c r="I74" s="54" t="s">
        <v>125</v>
      </c>
      <c r="J74" s="54">
        <f>C20/100*J73</f>
        <v>9.1831267012533768</v>
      </c>
      <c r="L74" s="5">
        <f t="shared" ref="L74:L100" si="13">IFERROR(L73+I5,L73)</f>
        <v>3.0610422337511256</v>
      </c>
      <c r="M74">
        <v>0</v>
      </c>
      <c r="O74">
        <v>0</v>
      </c>
      <c r="P74">
        <v>0</v>
      </c>
      <c r="Q74">
        <f>O5</f>
        <v>0</v>
      </c>
      <c r="R74">
        <f t="shared" ref="R74:R105" si="14">$C$6</f>
        <v>3</v>
      </c>
    </row>
    <row r="75" spans="1:40" x14ac:dyDescent="0.25">
      <c r="F75" s="52"/>
      <c r="G75" s="52"/>
      <c r="I75" s="54" t="s">
        <v>126</v>
      </c>
      <c r="J75" s="54">
        <f>J73-J74</f>
        <v>21.427295636257881</v>
      </c>
      <c r="L75" s="5">
        <f t="shared" si="13"/>
        <v>10.203474112503752</v>
      </c>
      <c r="M75">
        <v>0</v>
      </c>
      <c r="O75">
        <f>O74+I5+I6</f>
        <v>10.203474112503752</v>
      </c>
      <c r="P75">
        <f>O75</f>
        <v>10.203474112503752</v>
      </c>
      <c r="Q75">
        <f>P5</f>
        <v>0</v>
      </c>
      <c r="R75">
        <f t="shared" si="14"/>
        <v>3</v>
      </c>
    </row>
    <row r="76" spans="1:40" x14ac:dyDescent="0.25">
      <c r="E76">
        <v>1</v>
      </c>
      <c r="F76" s="53">
        <f t="shared" ref="F76:F100" si="15">IF(P7="-","-",P7/$C$4)</f>
        <v>0.1111111111111111</v>
      </c>
      <c r="G76" s="53">
        <f t="shared" ref="G76:G100" si="16">IF(F76="-","-",F76^$AI$18)</f>
        <v>1.2345679012345678E-2</v>
      </c>
      <c r="L76" s="5">
        <f t="shared" si="13"/>
        <v>12.214309888327538</v>
      </c>
      <c r="M76">
        <f t="shared" ref="M76:M100" si="17">P7</f>
        <v>100</v>
      </c>
      <c r="O76" s="5">
        <f t="shared" ref="O76:O100" si="18">O75+I7</f>
        <v>12.214309888327538</v>
      </c>
      <c r="P76">
        <f>P75</f>
        <v>10.203474112503752</v>
      </c>
      <c r="Q76">
        <f>P7</f>
        <v>100</v>
      </c>
      <c r="R76">
        <f t="shared" si="14"/>
        <v>3</v>
      </c>
    </row>
    <row r="77" spans="1:40" x14ac:dyDescent="0.25">
      <c r="E77">
        <v>2</v>
      </c>
      <c r="F77" s="53">
        <f t="shared" si="15"/>
        <v>0.22222222222222221</v>
      </c>
      <c r="G77" s="53">
        <f t="shared" si="16"/>
        <v>4.9382716049382713E-2</v>
      </c>
      <c r="I77" s="54" t="s">
        <v>128</v>
      </c>
      <c r="J77" s="54">
        <f>C4/C7</f>
        <v>9</v>
      </c>
      <c r="L77" s="5">
        <f t="shared" si="13"/>
        <v>14.296199931848276</v>
      </c>
      <c r="M77">
        <f t="shared" si="17"/>
        <v>200</v>
      </c>
      <c r="O77" s="5">
        <f t="shared" si="18"/>
        <v>14.296199931848276</v>
      </c>
      <c r="P77" s="5">
        <f>O76</f>
        <v>12.214309888327538</v>
      </c>
      <c r="Q77" t="e">
        <f>#REF!</f>
        <v>#REF!</v>
      </c>
      <c r="R77">
        <f t="shared" si="14"/>
        <v>3</v>
      </c>
    </row>
    <row r="78" spans="1:40" x14ac:dyDescent="0.25">
      <c r="E78">
        <v>3</v>
      </c>
      <c r="F78" s="53">
        <f t="shared" si="15"/>
        <v>0.33333333333333331</v>
      </c>
      <c r="G78" s="53">
        <f t="shared" si="16"/>
        <v>0.1111111111111111</v>
      </c>
      <c r="L78" s="5">
        <f t="shared" si="13"/>
        <v>16.44914424306597</v>
      </c>
      <c r="M78">
        <f t="shared" si="17"/>
        <v>300</v>
      </c>
      <c r="O78">
        <f t="shared" si="18"/>
        <v>16.44914424306597</v>
      </c>
      <c r="P78" s="5">
        <f>P77</f>
        <v>12.214309888327538</v>
      </c>
      <c r="Q78">
        <f>P8</f>
        <v>200</v>
      </c>
      <c r="R78">
        <f t="shared" si="14"/>
        <v>3</v>
      </c>
    </row>
    <row r="79" spans="1:40" x14ac:dyDescent="0.25">
      <c r="E79">
        <v>4</v>
      </c>
      <c r="F79" s="53">
        <f t="shared" si="15"/>
        <v>0.44444444444444442</v>
      </c>
      <c r="G79" s="53">
        <f t="shared" si="16"/>
        <v>0.19753086419753085</v>
      </c>
      <c r="L79" s="5">
        <f t="shared" si="13"/>
        <v>18.673142821980615</v>
      </c>
      <c r="M79">
        <f t="shared" si="17"/>
        <v>400</v>
      </c>
      <c r="O79">
        <f t="shared" si="18"/>
        <v>18.673142821980615</v>
      </c>
      <c r="P79">
        <f>O77</f>
        <v>14.296199931848276</v>
      </c>
      <c r="Q79" t="e">
        <f>#REF!</f>
        <v>#REF!</v>
      </c>
      <c r="R79">
        <f t="shared" si="14"/>
        <v>3</v>
      </c>
    </row>
    <row r="80" spans="1:40" x14ac:dyDescent="0.25">
      <c r="E80">
        <v>5</v>
      </c>
      <c r="F80" s="53">
        <f t="shared" si="15"/>
        <v>0.55555555555555558</v>
      </c>
      <c r="G80" s="53">
        <f t="shared" si="16"/>
        <v>0.30864197530864201</v>
      </c>
      <c r="L80" s="5">
        <f t="shared" si="13"/>
        <v>20.968195668592216</v>
      </c>
      <c r="M80">
        <f t="shared" si="17"/>
        <v>500</v>
      </c>
      <c r="O80">
        <f t="shared" si="18"/>
        <v>20.968195668592216</v>
      </c>
      <c r="P80">
        <f>P79</f>
        <v>14.296199931848276</v>
      </c>
      <c r="Q80">
        <f>P9</f>
        <v>300</v>
      </c>
      <c r="R80">
        <f t="shared" si="14"/>
        <v>3</v>
      </c>
    </row>
    <row r="81" spans="5:18" x14ac:dyDescent="0.25">
      <c r="E81">
        <v>6</v>
      </c>
      <c r="F81" s="53">
        <f t="shared" si="15"/>
        <v>0.66666666666666663</v>
      </c>
      <c r="G81" s="53">
        <f t="shared" si="16"/>
        <v>0.44444444444444442</v>
      </c>
      <c r="L81" s="5">
        <f t="shared" si="13"/>
        <v>23.345881996895827</v>
      </c>
      <c r="M81">
        <f t="shared" si="17"/>
        <v>600</v>
      </c>
      <c r="O81">
        <f t="shared" si="18"/>
        <v>23.345881996895827</v>
      </c>
      <c r="P81">
        <f>O78</f>
        <v>16.44914424306597</v>
      </c>
      <c r="Q81" t="e">
        <f>#REF!</f>
        <v>#REF!</v>
      </c>
      <c r="R81">
        <f t="shared" si="14"/>
        <v>3</v>
      </c>
    </row>
    <row r="82" spans="5:18" x14ac:dyDescent="0.25">
      <c r="E82">
        <v>7</v>
      </c>
      <c r="F82" s="53">
        <f t="shared" si="15"/>
        <v>0.77777777777777779</v>
      </c>
      <c r="G82" s="53">
        <f t="shared" si="16"/>
        <v>0.60493827160493829</v>
      </c>
      <c r="L82" s="5">
        <f t="shared" si="13"/>
        <v>25.796727904531856</v>
      </c>
      <c r="M82">
        <f t="shared" si="17"/>
        <v>700</v>
      </c>
      <c r="O82">
        <f t="shared" si="18"/>
        <v>25.796727904531856</v>
      </c>
      <c r="P82">
        <f>P81</f>
        <v>16.44914424306597</v>
      </c>
      <c r="Q82">
        <f>P10</f>
        <v>400</v>
      </c>
      <c r="R82">
        <f t="shared" si="14"/>
        <v>3</v>
      </c>
    </row>
    <row r="83" spans="5:18" x14ac:dyDescent="0.25">
      <c r="E83">
        <v>8</v>
      </c>
      <c r="F83" s="53">
        <f t="shared" si="15"/>
        <v>0.88888888888888884</v>
      </c>
      <c r="G83" s="53">
        <f t="shared" si="16"/>
        <v>0.79012345679012341</v>
      </c>
      <c r="L83" s="5">
        <f t="shared" si="13"/>
        <v>28.320733391500308</v>
      </c>
      <c r="M83">
        <f t="shared" si="17"/>
        <v>800</v>
      </c>
      <c r="O83">
        <f t="shared" si="18"/>
        <v>28.320733391500308</v>
      </c>
      <c r="P83">
        <f>O79</f>
        <v>18.673142821980615</v>
      </c>
      <c r="Q83" t="e">
        <f>#REF!</f>
        <v>#REF!</v>
      </c>
      <c r="R83">
        <f t="shared" si="14"/>
        <v>3</v>
      </c>
    </row>
    <row r="84" spans="5:18" x14ac:dyDescent="0.25">
      <c r="E84">
        <v>9</v>
      </c>
      <c r="F84" s="53">
        <f t="shared" si="15"/>
        <v>1</v>
      </c>
      <c r="G84" s="53">
        <f t="shared" si="16"/>
        <v>1</v>
      </c>
      <c r="L84" s="5">
        <f t="shared" si="13"/>
        <v>30.917898457801176</v>
      </c>
      <c r="M84">
        <f t="shared" si="17"/>
        <v>900</v>
      </c>
      <c r="O84" s="5">
        <f t="shared" si="18"/>
        <v>30.917898457801176</v>
      </c>
      <c r="P84">
        <f>P83</f>
        <v>18.673142821980615</v>
      </c>
      <c r="Q84">
        <f>P11</f>
        <v>500</v>
      </c>
      <c r="R84">
        <f t="shared" si="14"/>
        <v>3</v>
      </c>
    </row>
    <row r="85" spans="5:18" x14ac:dyDescent="0.25">
      <c r="E85">
        <v>10</v>
      </c>
      <c r="F85" s="53">
        <f t="shared" si="15"/>
        <v>1</v>
      </c>
      <c r="G85" s="53">
        <f t="shared" si="16"/>
        <v>1</v>
      </c>
      <c r="L85" s="5">
        <f t="shared" si="13"/>
        <v>34.011580375012507</v>
      </c>
      <c r="M85">
        <f t="shared" si="17"/>
        <v>900</v>
      </c>
      <c r="O85">
        <f t="shared" si="18"/>
        <v>34.011580375012507</v>
      </c>
      <c r="P85">
        <f>O80</f>
        <v>20.968195668592216</v>
      </c>
      <c r="Q85" t="e">
        <f>#REF!</f>
        <v>#REF!</v>
      </c>
      <c r="R85">
        <f t="shared" si="14"/>
        <v>3</v>
      </c>
    </row>
    <row r="86" spans="5:18" x14ac:dyDescent="0.25">
      <c r="E86">
        <v>11</v>
      </c>
      <c r="F86" s="53" t="str">
        <f t="shared" si="15"/>
        <v>-</v>
      </c>
      <c r="G86" s="53" t="str">
        <f t="shared" si="16"/>
        <v>-</v>
      </c>
      <c r="L86" s="5">
        <f t="shared" si="13"/>
        <v>34.011580375012507</v>
      </c>
      <c r="M86" t="str">
        <f t="shared" si="17"/>
        <v>-</v>
      </c>
      <c r="O86" t="e">
        <f t="shared" si="18"/>
        <v>#VALUE!</v>
      </c>
      <c r="P86">
        <f>P85</f>
        <v>20.968195668592216</v>
      </c>
      <c r="Q86">
        <f>P12</f>
        <v>600</v>
      </c>
      <c r="R86">
        <f t="shared" si="14"/>
        <v>3</v>
      </c>
    </row>
    <row r="87" spans="5:18" x14ac:dyDescent="0.25">
      <c r="E87">
        <v>12</v>
      </c>
      <c r="F87" s="53" t="str">
        <f t="shared" si="15"/>
        <v>-</v>
      </c>
      <c r="G87" s="53" t="str">
        <f t="shared" si="16"/>
        <v>-</v>
      </c>
      <c r="L87" s="5">
        <f t="shared" si="13"/>
        <v>34.011580375012507</v>
      </c>
      <c r="M87" t="str">
        <f t="shared" si="17"/>
        <v>-</v>
      </c>
      <c r="O87" t="e">
        <f t="shared" si="18"/>
        <v>#VALUE!</v>
      </c>
      <c r="P87">
        <f>O81</f>
        <v>23.345881996895827</v>
      </c>
      <c r="Q87" t="e">
        <f>#REF!</f>
        <v>#REF!</v>
      </c>
      <c r="R87">
        <f t="shared" si="14"/>
        <v>3</v>
      </c>
    </row>
    <row r="88" spans="5:18" x14ac:dyDescent="0.25">
      <c r="E88">
        <v>13</v>
      </c>
      <c r="F88" s="53" t="str">
        <f t="shared" si="15"/>
        <v>-</v>
      </c>
      <c r="G88" s="53" t="str">
        <f t="shared" si="16"/>
        <v>-</v>
      </c>
      <c r="L88" s="5">
        <f t="shared" si="13"/>
        <v>34.011580375012507</v>
      </c>
      <c r="M88" t="str">
        <f t="shared" si="17"/>
        <v>-</v>
      </c>
      <c r="O88" t="e">
        <f t="shared" si="18"/>
        <v>#VALUE!</v>
      </c>
      <c r="P88">
        <f>P87</f>
        <v>23.345881996895827</v>
      </c>
      <c r="Q88">
        <f>P13</f>
        <v>700</v>
      </c>
      <c r="R88">
        <f t="shared" si="14"/>
        <v>3</v>
      </c>
    </row>
    <row r="89" spans="5:18" x14ac:dyDescent="0.25">
      <c r="E89">
        <v>14</v>
      </c>
      <c r="F89" s="53" t="str">
        <f t="shared" si="15"/>
        <v>-</v>
      </c>
      <c r="G89" s="53" t="str">
        <f t="shared" si="16"/>
        <v>-</v>
      </c>
      <c r="L89" s="5">
        <f t="shared" si="13"/>
        <v>34.011580375012507</v>
      </c>
      <c r="M89" t="str">
        <f t="shared" si="17"/>
        <v>-</v>
      </c>
      <c r="O89" t="e">
        <f t="shared" si="18"/>
        <v>#VALUE!</v>
      </c>
      <c r="P89">
        <f>O82</f>
        <v>25.796727904531856</v>
      </c>
      <c r="Q89" t="e">
        <f>#REF!</f>
        <v>#REF!</v>
      </c>
      <c r="R89">
        <f t="shared" si="14"/>
        <v>3</v>
      </c>
    </row>
    <row r="90" spans="5:18" x14ac:dyDescent="0.25">
      <c r="E90">
        <v>15</v>
      </c>
      <c r="F90" s="53" t="str">
        <f t="shared" si="15"/>
        <v>-</v>
      </c>
      <c r="G90" s="53" t="str">
        <f t="shared" si="16"/>
        <v>-</v>
      </c>
      <c r="L90" s="5">
        <f t="shared" si="13"/>
        <v>34.011580375012507</v>
      </c>
      <c r="M90" t="str">
        <f t="shared" si="17"/>
        <v>-</v>
      </c>
      <c r="O90" s="5" t="e">
        <f t="shared" si="18"/>
        <v>#VALUE!</v>
      </c>
      <c r="P90">
        <f>P89</f>
        <v>25.796727904531856</v>
      </c>
      <c r="Q90">
        <f>P14</f>
        <v>800</v>
      </c>
      <c r="R90">
        <f t="shared" si="14"/>
        <v>3</v>
      </c>
    </row>
    <row r="91" spans="5:18" x14ac:dyDescent="0.25">
      <c r="E91">
        <v>16</v>
      </c>
      <c r="F91" s="53" t="str">
        <f t="shared" si="15"/>
        <v>-</v>
      </c>
      <c r="G91" s="53" t="str">
        <f t="shared" si="16"/>
        <v>-</v>
      </c>
      <c r="L91" s="5">
        <f t="shared" si="13"/>
        <v>34.011580375012507</v>
      </c>
      <c r="M91" t="str">
        <f t="shared" si="17"/>
        <v>-</v>
      </c>
      <c r="O91" s="5" t="e">
        <f t="shared" si="18"/>
        <v>#VALUE!</v>
      </c>
      <c r="P91">
        <f>O83</f>
        <v>28.320733391500308</v>
      </c>
      <c r="Q91" t="e">
        <f>#REF!</f>
        <v>#REF!</v>
      </c>
      <c r="R91">
        <f t="shared" si="14"/>
        <v>3</v>
      </c>
    </row>
    <row r="92" spans="5:18" x14ac:dyDescent="0.25">
      <c r="E92">
        <v>17</v>
      </c>
      <c r="F92" s="53" t="str">
        <f t="shared" si="15"/>
        <v>-</v>
      </c>
      <c r="G92" s="53" t="str">
        <f t="shared" si="16"/>
        <v>-</v>
      </c>
      <c r="L92" s="5">
        <f t="shared" si="13"/>
        <v>34.011580375012507</v>
      </c>
      <c r="M92" t="str">
        <f t="shared" si="17"/>
        <v>-</v>
      </c>
      <c r="O92" s="5" t="e">
        <f t="shared" si="18"/>
        <v>#VALUE!</v>
      </c>
      <c r="P92">
        <f>P91</f>
        <v>28.320733391500308</v>
      </c>
      <c r="Q92">
        <f>P15</f>
        <v>900</v>
      </c>
      <c r="R92">
        <f t="shared" si="14"/>
        <v>3</v>
      </c>
    </row>
    <row r="93" spans="5:18" x14ac:dyDescent="0.25">
      <c r="E93">
        <v>18</v>
      </c>
      <c r="F93" s="53" t="str">
        <f t="shared" si="15"/>
        <v>-</v>
      </c>
      <c r="G93" s="53" t="str">
        <f t="shared" si="16"/>
        <v>-</v>
      </c>
      <c r="L93" s="5">
        <f t="shared" si="13"/>
        <v>34.011580375012507</v>
      </c>
      <c r="M93" t="str">
        <f t="shared" si="17"/>
        <v>-</v>
      </c>
      <c r="O93" s="5" t="e">
        <f t="shared" si="18"/>
        <v>#VALUE!</v>
      </c>
      <c r="P93">
        <f>O84</f>
        <v>30.917898457801176</v>
      </c>
      <c r="Q93" t="e">
        <f>#REF!</f>
        <v>#REF!</v>
      </c>
      <c r="R93">
        <f t="shared" si="14"/>
        <v>3</v>
      </c>
    </row>
    <row r="94" spans="5:18" x14ac:dyDescent="0.25">
      <c r="E94">
        <v>19</v>
      </c>
      <c r="F94" s="53" t="str">
        <f t="shared" si="15"/>
        <v>-</v>
      </c>
      <c r="G94" s="53" t="str">
        <f t="shared" si="16"/>
        <v>-</v>
      </c>
      <c r="L94" s="5">
        <f t="shared" si="13"/>
        <v>34.011580375012507</v>
      </c>
      <c r="M94" t="str">
        <f t="shared" si="17"/>
        <v>-</v>
      </c>
      <c r="O94" s="5" t="e">
        <f t="shared" si="18"/>
        <v>#VALUE!</v>
      </c>
      <c r="P94">
        <f>P93</f>
        <v>30.917898457801176</v>
      </c>
      <c r="Q94">
        <f>P16</f>
        <v>900</v>
      </c>
      <c r="R94">
        <f t="shared" si="14"/>
        <v>3</v>
      </c>
    </row>
    <row r="95" spans="5:18" x14ac:dyDescent="0.25">
      <c r="E95">
        <v>20</v>
      </c>
      <c r="F95" s="53" t="str">
        <f t="shared" si="15"/>
        <v>-</v>
      </c>
      <c r="G95" s="53" t="str">
        <f t="shared" si="16"/>
        <v>-</v>
      </c>
      <c r="L95" s="5">
        <f t="shared" si="13"/>
        <v>34.011580375012507</v>
      </c>
      <c r="M95" t="str">
        <f t="shared" si="17"/>
        <v>-</v>
      </c>
      <c r="O95" s="5" t="e">
        <f t="shared" si="18"/>
        <v>#VALUE!</v>
      </c>
      <c r="P95">
        <f>O85</f>
        <v>34.011580375012507</v>
      </c>
      <c r="Q95" t="e">
        <f>#REF!</f>
        <v>#REF!</v>
      </c>
      <c r="R95">
        <f t="shared" si="14"/>
        <v>3</v>
      </c>
    </row>
    <row r="96" spans="5:18" x14ac:dyDescent="0.25">
      <c r="E96">
        <v>21</v>
      </c>
      <c r="F96" s="53" t="str">
        <f t="shared" si="15"/>
        <v>-</v>
      </c>
      <c r="G96" s="53" t="str">
        <f t="shared" si="16"/>
        <v>-</v>
      </c>
      <c r="L96" s="5">
        <f t="shared" si="13"/>
        <v>34.011580375012507</v>
      </c>
      <c r="M96" t="str">
        <f t="shared" si="17"/>
        <v>-</v>
      </c>
      <c r="O96" s="5" t="e">
        <f t="shared" si="18"/>
        <v>#VALUE!</v>
      </c>
      <c r="P96">
        <f>P95</f>
        <v>34.011580375012507</v>
      </c>
      <c r="Q96" t="str">
        <f>P17</f>
        <v>-</v>
      </c>
      <c r="R96">
        <f t="shared" si="14"/>
        <v>3</v>
      </c>
    </row>
    <row r="97" spans="5:18" x14ac:dyDescent="0.25">
      <c r="E97">
        <v>22</v>
      </c>
      <c r="F97" s="53" t="str">
        <f t="shared" si="15"/>
        <v>-</v>
      </c>
      <c r="G97" s="53" t="str">
        <f t="shared" si="16"/>
        <v>-</v>
      </c>
      <c r="L97" s="5">
        <f t="shared" si="13"/>
        <v>34.011580375012507</v>
      </c>
      <c r="M97" t="str">
        <f t="shared" si="17"/>
        <v>-</v>
      </c>
      <c r="O97" s="5" t="e">
        <f t="shared" si="18"/>
        <v>#VALUE!</v>
      </c>
      <c r="P97" t="e">
        <f>O86</f>
        <v>#VALUE!</v>
      </c>
      <c r="Q97" t="e">
        <f>#REF!</f>
        <v>#REF!</v>
      </c>
      <c r="R97">
        <f t="shared" si="14"/>
        <v>3</v>
      </c>
    </row>
    <row r="98" spans="5:18" x14ac:dyDescent="0.25">
      <c r="E98">
        <v>23</v>
      </c>
      <c r="F98" s="53" t="str">
        <f t="shared" si="15"/>
        <v>-</v>
      </c>
      <c r="G98" s="53" t="str">
        <f t="shared" si="16"/>
        <v>-</v>
      </c>
      <c r="L98" s="5">
        <f t="shared" si="13"/>
        <v>34.011580375012507</v>
      </c>
      <c r="M98" t="str">
        <f t="shared" si="17"/>
        <v>-</v>
      </c>
      <c r="O98" s="5" t="e">
        <f t="shared" si="18"/>
        <v>#VALUE!</v>
      </c>
      <c r="P98" t="e">
        <f>P97</f>
        <v>#VALUE!</v>
      </c>
      <c r="Q98" t="str">
        <f>P18</f>
        <v>-</v>
      </c>
      <c r="R98">
        <f t="shared" si="14"/>
        <v>3</v>
      </c>
    </row>
    <row r="99" spans="5:18" x14ac:dyDescent="0.25">
      <c r="E99">
        <v>24</v>
      </c>
      <c r="F99" s="53" t="str">
        <f t="shared" si="15"/>
        <v>-</v>
      </c>
      <c r="G99" s="53" t="str">
        <f t="shared" si="16"/>
        <v>-</v>
      </c>
      <c r="L99" s="5">
        <f t="shared" si="13"/>
        <v>34.011580375012507</v>
      </c>
      <c r="M99" t="str">
        <f t="shared" si="17"/>
        <v>-</v>
      </c>
      <c r="O99" s="5" t="e">
        <f t="shared" si="18"/>
        <v>#VALUE!</v>
      </c>
      <c r="P99" t="e">
        <f>O87</f>
        <v>#VALUE!</v>
      </c>
      <c r="Q99" t="e">
        <f>#REF!</f>
        <v>#REF!</v>
      </c>
      <c r="R99">
        <f t="shared" si="14"/>
        <v>3</v>
      </c>
    </row>
    <row r="100" spans="5:18" x14ac:dyDescent="0.25">
      <c r="E100">
        <v>25</v>
      </c>
      <c r="F100" s="53" t="str">
        <f t="shared" si="15"/>
        <v>-</v>
      </c>
      <c r="G100" s="53" t="str">
        <f t="shared" si="16"/>
        <v>-</v>
      </c>
      <c r="L100" s="5">
        <f t="shared" si="13"/>
        <v>34.011580375012507</v>
      </c>
      <c r="M100" t="str">
        <f t="shared" si="17"/>
        <v>-</v>
      </c>
      <c r="O100" s="5" t="e">
        <f t="shared" si="18"/>
        <v>#VALUE!</v>
      </c>
      <c r="P100" t="e">
        <f>P99</f>
        <v>#VALUE!</v>
      </c>
      <c r="Q100" t="str">
        <f>P19</f>
        <v>-</v>
      </c>
      <c r="R100">
        <f t="shared" si="14"/>
        <v>3</v>
      </c>
    </row>
    <row r="101" spans="5:18" x14ac:dyDescent="0.25">
      <c r="O101" s="5" t="e">
        <f t="shared" ref="O101:O106" si="19">O100+F31</f>
        <v>#VALUE!</v>
      </c>
      <c r="P101" t="e">
        <f>O88</f>
        <v>#VALUE!</v>
      </c>
      <c r="Q101" t="e">
        <f>#REF!</f>
        <v>#REF!</v>
      </c>
      <c r="R101">
        <f t="shared" si="14"/>
        <v>3</v>
      </c>
    </row>
    <row r="102" spans="5:18" x14ac:dyDescent="0.25">
      <c r="O102" s="5" t="e">
        <f t="shared" si="19"/>
        <v>#VALUE!</v>
      </c>
      <c r="P102" t="e">
        <f>P101</f>
        <v>#VALUE!</v>
      </c>
      <c r="Q102" t="str">
        <f>P20</f>
        <v>-</v>
      </c>
      <c r="R102">
        <f t="shared" si="14"/>
        <v>3</v>
      </c>
    </row>
    <row r="103" spans="5:18" x14ac:dyDescent="0.25">
      <c r="F103" s="7" t="s">
        <v>133</v>
      </c>
      <c r="G103" s="7">
        <f>IF(C9=AM23,AN23,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"?"))))))))))))))))))))))))))))</f>
        <v>2.78</v>
      </c>
      <c r="O103" s="5" t="e">
        <f t="shared" si="19"/>
        <v>#VALUE!</v>
      </c>
      <c r="P103" t="e">
        <f>O89</f>
        <v>#VALUE!</v>
      </c>
      <c r="Q103" t="e">
        <f>#REF!</f>
        <v>#REF!</v>
      </c>
      <c r="R103">
        <f t="shared" si="14"/>
        <v>3</v>
      </c>
    </row>
    <row r="104" spans="5:18" x14ac:dyDescent="0.25">
      <c r="F104" s="7" t="s">
        <v>134</v>
      </c>
      <c r="G104" s="7">
        <f>IF(C10=AM23,AN23,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"?"))))))))))))))))))))))))))))</f>
        <v>2.7</v>
      </c>
      <c r="O104" s="5" t="e">
        <f t="shared" si="19"/>
        <v>#VALUE!</v>
      </c>
      <c r="P104" t="e">
        <f>P103</f>
        <v>#VALUE!</v>
      </c>
      <c r="Q104" t="str">
        <f>P21</f>
        <v>-</v>
      </c>
      <c r="R104">
        <f t="shared" si="14"/>
        <v>3</v>
      </c>
    </row>
    <row r="105" spans="5:18" x14ac:dyDescent="0.25">
      <c r="O105" s="5" t="e">
        <f t="shared" si="19"/>
        <v>#VALUE!</v>
      </c>
      <c r="P105" s="5" t="e">
        <f>O90</f>
        <v>#VALUE!</v>
      </c>
      <c r="Q105" t="e">
        <f>#REF!</f>
        <v>#REF!</v>
      </c>
      <c r="R105">
        <f t="shared" si="14"/>
        <v>3</v>
      </c>
    </row>
    <row r="106" spans="5:18" x14ac:dyDescent="0.25">
      <c r="O106" s="5" t="e">
        <f t="shared" si="19"/>
        <v>#VALUE!</v>
      </c>
      <c r="P106" s="5" t="e">
        <f>P105</f>
        <v>#VALUE!</v>
      </c>
      <c r="Q106" t="str">
        <f>P22</f>
        <v>-</v>
      </c>
      <c r="R106">
        <f t="shared" ref="R106:R124" si="20">$C$6</f>
        <v>3</v>
      </c>
    </row>
    <row r="107" spans="5:18" x14ac:dyDescent="0.25">
      <c r="P107" s="5" t="e">
        <f>O91</f>
        <v>#VALUE!</v>
      </c>
      <c r="Q107" t="e">
        <f>#REF!</f>
        <v>#REF!</v>
      </c>
      <c r="R107">
        <f t="shared" si="20"/>
        <v>3</v>
      </c>
    </row>
    <row r="108" spans="5:18" x14ac:dyDescent="0.25">
      <c r="P108" s="5" t="e">
        <f>P107</f>
        <v>#VALUE!</v>
      </c>
      <c r="Q108" t="str">
        <f>P23</f>
        <v>-</v>
      </c>
      <c r="R108">
        <f t="shared" si="20"/>
        <v>3</v>
      </c>
    </row>
    <row r="109" spans="5:18" x14ac:dyDescent="0.25">
      <c r="P109" s="5" t="e">
        <f>O92</f>
        <v>#VALUE!</v>
      </c>
      <c r="Q109" t="e">
        <f>#REF!</f>
        <v>#REF!</v>
      </c>
      <c r="R109">
        <f t="shared" si="20"/>
        <v>3</v>
      </c>
    </row>
    <row r="110" spans="5:18" x14ac:dyDescent="0.25">
      <c r="P110" s="5" t="e">
        <f>P109</f>
        <v>#VALUE!</v>
      </c>
      <c r="Q110" t="str">
        <f>P24</f>
        <v>-</v>
      </c>
      <c r="R110">
        <f t="shared" si="20"/>
        <v>3</v>
      </c>
    </row>
    <row r="111" spans="5:18" x14ac:dyDescent="0.25">
      <c r="P111" s="5" t="e">
        <f>O93</f>
        <v>#VALUE!</v>
      </c>
      <c r="Q111" t="e">
        <f>#REF!</f>
        <v>#REF!</v>
      </c>
      <c r="R111">
        <f t="shared" si="20"/>
        <v>3</v>
      </c>
    </row>
    <row r="112" spans="5:18" x14ac:dyDescent="0.25">
      <c r="P112" s="5" t="e">
        <f>P111</f>
        <v>#VALUE!</v>
      </c>
      <c r="Q112" t="str">
        <f>P25</f>
        <v>-</v>
      </c>
      <c r="R112">
        <f t="shared" si="20"/>
        <v>3</v>
      </c>
    </row>
    <row r="113" spans="16:18" x14ac:dyDescent="0.25">
      <c r="P113" s="5" t="e">
        <f>O94</f>
        <v>#VALUE!</v>
      </c>
      <c r="Q113" t="e">
        <f>#REF!</f>
        <v>#REF!</v>
      </c>
      <c r="R113">
        <f t="shared" si="20"/>
        <v>3</v>
      </c>
    </row>
    <row r="114" spans="16:18" x14ac:dyDescent="0.25">
      <c r="P114" s="5" t="e">
        <f>P113</f>
        <v>#VALUE!</v>
      </c>
      <c r="Q114" t="str">
        <f>P26</f>
        <v>-</v>
      </c>
      <c r="R114">
        <f t="shared" si="20"/>
        <v>3</v>
      </c>
    </row>
    <row r="115" spans="16:18" x14ac:dyDescent="0.25">
      <c r="P115" s="5" t="e">
        <f>O95</f>
        <v>#VALUE!</v>
      </c>
      <c r="Q115" t="e">
        <f>#REF!</f>
        <v>#REF!</v>
      </c>
      <c r="R115">
        <f t="shared" si="20"/>
        <v>3</v>
      </c>
    </row>
    <row r="116" spans="16:18" x14ac:dyDescent="0.25">
      <c r="P116" s="5" t="e">
        <f>P115</f>
        <v>#VALUE!</v>
      </c>
      <c r="Q116" t="str">
        <f>P27</f>
        <v>-</v>
      </c>
      <c r="R116">
        <f t="shared" si="20"/>
        <v>3</v>
      </c>
    </row>
    <row r="117" spans="16:18" x14ac:dyDescent="0.25">
      <c r="P117" s="5" t="e">
        <f>O96</f>
        <v>#VALUE!</v>
      </c>
      <c r="Q117" t="e">
        <f>#REF!</f>
        <v>#REF!</v>
      </c>
      <c r="R117">
        <f t="shared" si="20"/>
        <v>3</v>
      </c>
    </row>
    <row r="118" spans="16:18" x14ac:dyDescent="0.25">
      <c r="P118" s="5" t="e">
        <f>O96</f>
        <v>#VALUE!</v>
      </c>
      <c r="Q118" t="str">
        <f>P28</f>
        <v>-</v>
      </c>
      <c r="R118">
        <f t="shared" si="20"/>
        <v>3</v>
      </c>
    </row>
    <row r="119" spans="16:18" x14ac:dyDescent="0.25">
      <c r="P119" s="5" t="e">
        <f>O97</f>
        <v>#VALUE!</v>
      </c>
      <c r="Q119" t="e">
        <f>#REF!</f>
        <v>#REF!</v>
      </c>
      <c r="R119">
        <f t="shared" si="20"/>
        <v>3</v>
      </c>
    </row>
    <row r="120" spans="16:18" x14ac:dyDescent="0.25">
      <c r="P120" s="5" t="e">
        <f>P119</f>
        <v>#VALUE!</v>
      </c>
      <c r="Q120" t="str">
        <f>P29</f>
        <v>-</v>
      </c>
      <c r="R120">
        <f t="shared" si="20"/>
        <v>3</v>
      </c>
    </row>
    <row r="121" spans="16:18" x14ac:dyDescent="0.25">
      <c r="P121" s="5" t="e">
        <f>O98</f>
        <v>#VALUE!</v>
      </c>
      <c r="Q121" t="e">
        <f>#REF!</f>
        <v>#REF!</v>
      </c>
      <c r="R121">
        <f t="shared" si="20"/>
        <v>3</v>
      </c>
    </row>
    <row r="122" spans="16:18" x14ac:dyDescent="0.25">
      <c r="P122" s="5" t="e">
        <f>P121</f>
        <v>#VALUE!</v>
      </c>
      <c r="Q122" t="str">
        <f>P30</f>
        <v>-</v>
      </c>
      <c r="R122">
        <f t="shared" si="20"/>
        <v>3</v>
      </c>
    </row>
    <row r="123" spans="16:18" x14ac:dyDescent="0.25">
      <c r="P123" s="5" t="e">
        <f>O99</f>
        <v>#VALUE!</v>
      </c>
      <c r="Q123" t="e">
        <f>#REF!</f>
        <v>#REF!</v>
      </c>
      <c r="R123">
        <f t="shared" si="20"/>
        <v>3</v>
      </c>
    </row>
    <row r="124" spans="16:18" x14ac:dyDescent="0.25">
      <c r="P124" s="5" t="e">
        <f>P123</f>
        <v>#VALUE!</v>
      </c>
      <c r="Q124" t="str">
        <f>P31</f>
        <v>-</v>
      </c>
      <c r="R124">
        <f t="shared" si="20"/>
        <v>3</v>
      </c>
    </row>
  </sheetData>
  <mergeCells count="12">
    <mergeCell ref="E17:F17"/>
    <mergeCell ref="AH17:AI17"/>
    <mergeCell ref="E18:F18"/>
    <mergeCell ref="AH20:AN20"/>
    <mergeCell ref="AH21:AK21"/>
    <mergeCell ref="AM21:AN21"/>
    <mergeCell ref="AH9:AI9"/>
    <mergeCell ref="B1:C1"/>
    <mergeCell ref="E1:T1"/>
    <mergeCell ref="B2:C2"/>
    <mergeCell ref="E2:F2"/>
    <mergeCell ref="H2:T2"/>
  </mergeCells>
  <dataValidations count="5">
    <dataValidation type="list" showInputMessage="1" showErrorMessage="1" sqref="C22 C18:C19">
      <formula1>$AK$23:$AK$58</formula1>
    </dataValidation>
    <dataValidation type="list" showInputMessage="1" showErrorMessage="1" sqref="C12">
      <formula1>$AH$23</formula1>
    </dataValidation>
    <dataValidation type="list" showInputMessage="1" showErrorMessage="1" sqref="C13">
      <formula1>$AI$23:$AI$40</formula1>
    </dataValidation>
    <dataValidation type="list" showInputMessage="1" showErrorMessage="1" sqref="C14">
      <formula1>$AJ$23:$AJ$38</formula1>
    </dataValidation>
    <dataValidation type="list" showInputMessage="1" showErrorMessage="1" sqref="C9:C10">
      <formula1>$AM$23:$AM$50</formula1>
    </dataValidation>
  </dataValidation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workbookViewId="0">
      <selection activeCell="B20" sqref="B20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194" width="9.140625" style="64" customWidth="1"/>
    <col min="19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50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900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C6</f>
        <v>4</v>
      </c>
      <c r="K4" s="29">
        <f>L4</f>
        <v>15</v>
      </c>
      <c r="L4" s="29">
        <f>C20</f>
        <v>15</v>
      </c>
      <c r="M4" s="41" t="str">
        <f>C19</f>
        <v>LG32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$C$6</f>
        <v>4</v>
      </c>
      <c r="AI4" t="s">
        <v>27</v>
      </c>
      <c r="AJ4" s="5">
        <f>SUM(K6:K31)</f>
        <v>103.19816489299897</v>
      </c>
    </row>
    <row r="5" spans="1:36" ht="15.75" customHeight="1" x14ac:dyDescent="0.25">
      <c r="A5" s="6"/>
      <c r="B5" s="35" t="s">
        <v>143</v>
      </c>
      <c r="C5" s="42">
        <v>20</v>
      </c>
      <c r="D5" s="6"/>
      <c r="E5" s="12" t="str">
        <f>IF(C15=0,"",C12)</f>
        <v>FR01</v>
      </c>
      <c r="F5" s="62">
        <f>IF(E5="","",SUMIF(M5:M30,C12,L5:L30))</f>
        <v>37.502351356950058</v>
      </c>
      <c r="G5" s="6"/>
      <c r="H5" s="20" t="str">
        <f>IF(I5="-","-","Буфер")</f>
        <v>Буфер</v>
      </c>
      <c r="I5" s="9">
        <f t="shared" ref="I5:I31" si="1">IFERROR(K5/J5,"-")</f>
        <v>8.7148951958134564</v>
      </c>
      <c r="J5" s="43">
        <f t="shared" ref="J5:J31" si="2">IF(K5="-","-",$C$6)</f>
        <v>4</v>
      </c>
      <c r="K5" s="9">
        <f>IFERROR(J73, "-")</f>
        <v>34.859580783253826</v>
      </c>
      <c r="L5" s="9">
        <f>IFERROR(K5,0)</f>
        <v>34.859580783253826</v>
      </c>
      <c r="M5" s="43" t="str">
        <f>IF(L5="-","-",$C$18)</f>
        <v>FR01</v>
      </c>
      <c r="N5" s="43"/>
      <c r="O5" s="43"/>
      <c r="P5" s="43"/>
      <c r="Q5" s="9"/>
      <c r="R5" s="9">
        <f>IF(L5="-","-",L5)</f>
        <v>34.859580783253826</v>
      </c>
      <c r="S5" s="9"/>
      <c r="T5" s="21">
        <f>IF(K5="-","-",K5)</f>
        <v>34.859580783253826</v>
      </c>
      <c r="U5" s="6"/>
      <c r="V5" s="6"/>
      <c r="W5" s="6"/>
      <c r="X5" s="6"/>
      <c r="Y5" s="6"/>
      <c r="Z5" s="6"/>
      <c r="AA5" s="6"/>
      <c r="AC5" s="5">
        <f t="shared" ref="AC5:AC30" si="3">AC4+I5</f>
        <v>8.7148951958134564</v>
      </c>
      <c r="AD5">
        <f>AC5</f>
        <v>8.7148951958134564</v>
      </c>
      <c r="AE5">
        <f>P5</f>
        <v>0</v>
      </c>
      <c r="AF5">
        <f t="shared" si="0"/>
        <v>4</v>
      </c>
      <c r="AI5" t="s">
        <v>29</v>
      </c>
      <c r="AJ5">
        <f>AJ4/(1-J81)</f>
        <v>138.05774567625281</v>
      </c>
    </row>
    <row r="6" spans="1:36" ht="18" customHeight="1" x14ac:dyDescent="0.25">
      <c r="A6" s="6"/>
      <c r="B6" s="24" t="s">
        <v>28</v>
      </c>
      <c r="C6" s="39">
        <v>4</v>
      </c>
      <c r="D6" s="6"/>
      <c r="E6" s="12" t="str">
        <f>C13</f>
        <v>LG32</v>
      </c>
      <c r="F6" s="62">
        <f>SUMIF(M5:M30,C13,L5:L30)</f>
        <v>4.4599979954846773</v>
      </c>
      <c r="G6" s="6"/>
      <c r="H6" s="20" t="str">
        <f t="shared" ref="H6:H31" si="4">IF(I6="-","-","Пропант")</f>
        <v>Пропант</v>
      </c>
      <c r="I6" s="9">
        <f t="shared" si="1"/>
        <v>0.67101596597755875</v>
      </c>
      <c r="J6" s="43">
        <f t="shared" si="2"/>
        <v>4</v>
      </c>
      <c r="K6" s="9">
        <f t="shared" ref="K6:K31" si="5">IFERROR(L6+Q6/(IF(N6=$C$9,$G$103,$G$104)*1000),"-")</f>
        <v>2.684063863910235</v>
      </c>
      <c r="L6" s="9">
        <f t="shared" ref="L6:L31" si="6">IFERROR(Q6/(P6-($C$7/2)),"-")</f>
        <v>2.6427705736962315</v>
      </c>
      <c r="M6" s="43" t="str">
        <f t="shared" ref="M6:M31" si="7">IF(L6="-","-",IF(O6&lt;$C$15,$C$12,IF(P6&gt;$C$16,$C$14,$C$13)))</f>
        <v>FR01</v>
      </c>
      <c r="N6" s="43" t="str">
        <f t="shared" ref="N6:N31" si="8">IF(O6="-","-",IF(O6&lt;$C$11,$C$9,$C$10))</f>
        <v>FP_20/40</v>
      </c>
      <c r="O6" s="43">
        <f t="shared" ref="O6:O31" si="9">IFERROR(IF(P6="-","-",IF(P5=$C$4,$C$4,P6-$C$7)),"-")</f>
        <v>0</v>
      </c>
      <c r="P6" s="43">
        <f t="shared" ref="P6:P31" si="10">IFERROR(IF(O5=$C$4,"-",IF(P5=$C$4,$C$4,P5+($C$4-P5)/($J$78-E75))),"-")</f>
        <v>100</v>
      </c>
      <c r="Q6" s="9">
        <f>IF(S6="-","-",S6)</f>
        <v>132.13852868481158</v>
      </c>
      <c r="R6" s="9">
        <f t="shared" ref="R6:R31" si="11">IFERROR(IF(L6="-","-",R5+L6),"-")</f>
        <v>37.502351356950058</v>
      </c>
      <c r="S6" s="9">
        <f t="shared" ref="S6:S31" si="12">IFERROR(IF(S5=$Q$35*1000,$C$3*1000,G76*$Q$35*1000),"-")</f>
        <v>132.13852868481158</v>
      </c>
      <c r="T6" s="21">
        <f t="shared" ref="T6:T31" si="13">IFERROR(IF(K6="-","-",T5+K6),"-")</f>
        <v>37.543644647164058</v>
      </c>
      <c r="U6" s="6"/>
      <c r="V6" s="6"/>
      <c r="W6" s="6"/>
      <c r="X6" s="6"/>
      <c r="Y6" s="6"/>
      <c r="Z6" s="6"/>
      <c r="AA6" s="6"/>
      <c r="AC6" s="5">
        <f t="shared" si="3"/>
        <v>9.3859111617910145</v>
      </c>
      <c r="AD6">
        <f>AD5</f>
        <v>8.7148951958134564</v>
      </c>
      <c r="AE6">
        <f>P6</f>
        <v>100</v>
      </c>
      <c r="AF6">
        <f t="shared" si="0"/>
        <v>4</v>
      </c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DX28</v>
      </c>
      <c r="F7" s="62">
        <f>SUMIF(M5:M30,C14,L5:L30)</f>
        <v>77.623239971272213</v>
      </c>
      <c r="G7" s="6"/>
      <c r="H7" s="20" t="str">
        <f t="shared" si="4"/>
        <v>Пропант</v>
      </c>
      <c r="I7" s="9">
        <f t="shared" si="1"/>
        <v>1.1672651003807555</v>
      </c>
      <c r="J7" s="43">
        <f t="shared" si="2"/>
        <v>4</v>
      </c>
      <c r="K7" s="9">
        <f t="shared" si="5"/>
        <v>4.6690604015230219</v>
      </c>
      <c r="L7" s="9">
        <f t="shared" si="6"/>
        <v>4.4599979954846773</v>
      </c>
      <c r="M7" s="43" t="str">
        <f t="shared" si="7"/>
        <v>LG32</v>
      </c>
      <c r="N7" s="43" t="str">
        <f t="shared" si="8"/>
        <v>FP_20/40</v>
      </c>
      <c r="O7" s="43">
        <f t="shared" si="9"/>
        <v>100</v>
      </c>
      <c r="P7" s="43">
        <f t="shared" si="10"/>
        <v>200</v>
      </c>
      <c r="Q7" s="9">
        <f t="shared" ref="Q7:Q31" si="14">IF(S7="-","-",S7-S6)</f>
        <v>668.99969932270164</v>
      </c>
      <c r="R7" s="9">
        <f t="shared" si="11"/>
        <v>41.962349352434735</v>
      </c>
      <c r="S7" s="9">
        <f t="shared" si="12"/>
        <v>801.13822800751325</v>
      </c>
      <c r="T7" s="21">
        <f t="shared" si="13"/>
        <v>42.212705048687077</v>
      </c>
      <c r="U7" s="6"/>
      <c r="V7" s="6"/>
      <c r="W7" s="6"/>
      <c r="X7" s="6"/>
      <c r="Y7" s="6"/>
      <c r="Z7" s="6"/>
      <c r="AA7" s="6"/>
      <c r="AC7" s="5">
        <f t="shared" si="3"/>
        <v>10.553176262171769</v>
      </c>
      <c r="AD7" s="5">
        <f>AC6</f>
        <v>9.3859111617910145</v>
      </c>
      <c r="AE7" t="e">
        <f>#REF!</f>
        <v>#REF!</v>
      </c>
      <c r="AF7">
        <f t="shared" si="0"/>
        <v>4</v>
      </c>
    </row>
    <row r="8" spans="1:36" ht="15.75" customHeight="1" x14ac:dyDescent="0.25">
      <c r="A8" s="6"/>
      <c r="B8" s="24" t="s">
        <v>31</v>
      </c>
      <c r="C8" s="39">
        <v>3</v>
      </c>
      <c r="D8" s="6"/>
      <c r="E8" s="13" t="s">
        <v>34</v>
      </c>
      <c r="F8" s="14">
        <f>SUM(L5:L30)</f>
        <v>119.58558932370694</v>
      </c>
      <c r="G8" s="6"/>
      <c r="H8" s="20" t="str">
        <f t="shared" si="4"/>
        <v>Пропант</v>
      </c>
      <c r="I8" s="9">
        <f t="shared" si="1"/>
        <v>1.6365859788918242</v>
      </c>
      <c r="J8" s="43">
        <f t="shared" si="2"/>
        <v>4</v>
      </c>
      <c r="K8" s="9">
        <f t="shared" si="5"/>
        <v>6.5463439155672969</v>
      </c>
      <c r="L8" s="9">
        <f t="shared" si="6"/>
        <v>5.9915690074683736</v>
      </c>
      <c r="M8" s="43" t="str">
        <f t="shared" si="7"/>
        <v>DX28</v>
      </c>
      <c r="N8" s="43" t="str">
        <f t="shared" si="8"/>
        <v>16/20 Новатэк</v>
      </c>
      <c r="O8" s="43">
        <f t="shared" si="9"/>
        <v>200</v>
      </c>
      <c r="P8" s="43">
        <f t="shared" si="10"/>
        <v>300</v>
      </c>
      <c r="Q8" s="9">
        <f t="shared" si="14"/>
        <v>1497.8922518670934</v>
      </c>
      <c r="R8" s="9">
        <f t="shared" si="11"/>
        <v>47.953918359903106</v>
      </c>
      <c r="S8" s="9">
        <f t="shared" si="12"/>
        <v>2299.0304798746065</v>
      </c>
      <c r="T8" s="21">
        <f t="shared" si="13"/>
        <v>48.759048964254376</v>
      </c>
      <c r="U8" s="6"/>
      <c r="V8" s="6"/>
      <c r="W8" s="6"/>
      <c r="X8" s="6"/>
      <c r="Y8" s="6"/>
      <c r="Z8" s="6"/>
      <c r="AA8" s="6"/>
      <c r="AC8">
        <f t="shared" si="3"/>
        <v>12.189762241063594</v>
      </c>
      <c r="AD8" s="5">
        <f>AD7</f>
        <v>9.3859111617910145</v>
      </c>
      <c r="AE8">
        <f>P7</f>
        <v>200</v>
      </c>
      <c r="AF8">
        <f t="shared" si="0"/>
        <v>4</v>
      </c>
      <c r="AI8">
        <f>C3/AJ4</f>
        <v>0.4845047395158868</v>
      </c>
    </row>
    <row r="9" spans="1:36" ht="15.75" customHeight="1" x14ac:dyDescent="0.25">
      <c r="A9" s="6"/>
      <c r="B9" s="24" t="s">
        <v>32</v>
      </c>
      <c r="C9" s="39" t="s">
        <v>90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2.0641265990219271</v>
      </c>
      <c r="J9" s="43">
        <f t="shared" si="2"/>
        <v>4</v>
      </c>
      <c r="K9" s="9">
        <f t="shared" si="5"/>
        <v>8.2565063960877083</v>
      </c>
      <c r="L9" s="9">
        <f t="shared" si="6"/>
        <v>7.3090384489956755</v>
      </c>
      <c r="M9" s="43" t="str">
        <f t="shared" si="7"/>
        <v>DX28</v>
      </c>
      <c r="N9" s="43" t="str">
        <f t="shared" si="8"/>
        <v>16/20 Новатэк</v>
      </c>
      <c r="O9" s="43">
        <f t="shared" si="9"/>
        <v>300</v>
      </c>
      <c r="P9" s="43">
        <f t="shared" si="10"/>
        <v>400</v>
      </c>
      <c r="Q9" s="9">
        <f t="shared" si="14"/>
        <v>2558.1634571484865</v>
      </c>
      <c r="R9" s="9">
        <f t="shared" si="11"/>
        <v>55.262956808898778</v>
      </c>
      <c r="S9" s="9">
        <f t="shared" si="12"/>
        <v>4857.193937023093</v>
      </c>
      <c r="T9" s="21">
        <f t="shared" si="13"/>
        <v>57.015555360342084</v>
      </c>
      <c r="U9" s="6"/>
      <c r="V9" s="6"/>
      <c r="W9" s="6"/>
      <c r="X9" s="6"/>
      <c r="Y9" s="6"/>
      <c r="Z9" s="6"/>
      <c r="AA9" s="6"/>
      <c r="AC9">
        <f t="shared" si="3"/>
        <v>14.253888840085521</v>
      </c>
      <c r="AD9">
        <f>AC7</f>
        <v>10.553176262171769</v>
      </c>
      <c r="AE9" t="e">
        <f>#REF!</f>
        <v>#REF!</v>
      </c>
      <c r="AF9">
        <f t="shared" si="0"/>
        <v>4</v>
      </c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2.4755655902758607</v>
      </c>
      <c r="J10" s="43">
        <f t="shared" si="2"/>
        <v>4</v>
      </c>
      <c r="K10" s="9">
        <f t="shared" si="5"/>
        <v>9.9022623611034426</v>
      </c>
      <c r="L10" s="9">
        <f t="shared" si="6"/>
        <v>8.4876534523743796</v>
      </c>
      <c r="M10" s="43" t="str">
        <f t="shared" si="7"/>
        <v>DX28</v>
      </c>
      <c r="N10" s="43" t="str">
        <f t="shared" si="8"/>
        <v>16/20 Новатэк</v>
      </c>
      <c r="O10" s="43">
        <f t="shared" si="9"/>
        <v>400</v>
      </c>
      <c r="P10" s="43">
        <f t="shared" si="10"/>
        <v>500</v>
      </c>
      <c r="Q10" s="9">
        <f t="shared" si="14"/>
        <v>3819.4440535684707</v>
      </c>
      <c r="R10" s="9">
        <f t="shared" si="11"/>
        <v>63.75061026127316</v>
      </c>
      <c r="S10" s="9">
        <f t="shared" si="12"/>
        <v>8676.6379905915637</v>
      </c>
      <c r="T10" s="21">
        <f t="shared" si="13"/>
        <v>66.91781772144553</v>
      </c>
      <c r="U10" s="6"/>
      <c r="V10" s="6"/>
      <c r="W10" s="6"/>
      <c r="X10" s="6"/>
      <c r="Y10" s="6"/>
      <c r="Z10" s="6"/>
      <c r="AA10" s="6"/>
      <c r="AC10">
        <f t="shared" si="3"/>
        <v>16.729454430361383</v>
      </c>
      <c r="AD10">
        <f>AD9</f>
        <v>10.553176262171769</v>
      </c>
      <c r="AE10">
        <f>P8</f>
        <v>300</v>
      </c>
      <c r="AF10">
        <f t="shared" si="0"/>
        <v>4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200</v>
      </c>
      <c r="D11" s="6"/>
      <c r="E11" s="12" t="str">
        <f>IF(C11=0,"",C9)</f>
        <v>FP_20/40</v>
      </c>
      <c r="F11" s="62">
        <f>IF(E11="","",SUMIF(N5:N30,C9,Q5:Q30)/1000)</f>
        <v>0.80113822800751322</v>
      </c>
      <c r="G11" s="6"/>
      <c r="H11" s="20" t="str">
        <f t="shared" si="4"/>
        <v>Пропант</v>
      </c>
      <c r="I11" s="9">
        <f t="shared" si="1"/>
        <v>2.8790821782719198</v>
      </c>
      <c r="J11" s="43">
        <f t="shared" si="2"/>
        <v>4</v>
      </c>
      <c r="K11" s="9">
        <f t="shared" si="5"/>
        <v>11.516328713087679</v>
      </c>
      <c r="L11" s="9">
        <f t="shared" si="6"/>
        <v>9.5674115462574569</v>
      </c>
      <c r="M11" s="43" t="str">
        <f t="shared" si="7"/>
        <v>DX28</v>
      </c>
      <c r="N11" s="43" t="str">
        <f t="shared" si="8"/>
        <v>16/20 Новатэк</v>
      </c>
      <c r="O11" s="43">
        <f t="shared" si="9"/>
        <v>500</v>
      </c>
      <c r="P11" s="43">
        <f t="shared" si="10"/>
        <v>600</v>
      </c>
      <c r="Q11" s="9">
        <f t="shared" si="14"/>
        <v>5262.0763504416009</v>
      </c>
      <c r="R11" s="9">
        <f t="shared" si="11"/>
        <v>73.318021807530613</v>
      </c>
      <c r="S11" s="9">
        <f t="shared" si="12"/>
        <v>13938.714341033165</v>
      </c>
      <c r="T11" s="21">
        <f t="shared" si="13"/>
        <v>78.434146434533204</v>
      </c>
      <c r="U11" s="6"/>
      <c r="V11" s="6"/>
      <c r="W11" s="6"/>
      <c r="X11" s="6"/>
      <c r="Y11" s="6"/>
      <c r="Z11" s="6"/>
      <c r="AA11" s="6"/>
      <c r="AC11">
        <f t="shared" si="3"/>
        <v>19.608536608633301</v>
      </c>
      <c r="AD11">
        <f>AC8</f>
        <v>12.189762241063594</v>
      </c>
      <c r="AE11" t="e">
        <f>#REF!</f>
        <v>#REF!</v>
      </c>
      <c r="AF11">
        <f t="shared" si="0"/>
        <v>4</v>
      </c>
      <c r="AH11">
        <v>-2</v>
      </c>
      <c r="AI11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16/20 Новатэк</v>
      </c>
      <c r="F12" s="62">
        <f>SUMIF(N5:N30,C10,Q5:Q30)/1000</f>
        <v>49.19886177199249</v>
      </c>
      <c r="G12" s="6"/>
      <c r="H12" s="20" t="str">
        <f t="shared" si="4"/>
        <v>Пропант</v>
      </c>
      <c r="I12" s="9">
        <f t="shared" si="1"/>
        <v>3.279313374632129</v>
      </c>
      <c r="J12" s="43">
        <f t="shared" si="2"/>
        <v>4</v>
      </c>
      <c r="K12" s="9">
        <f t="shared" si="5"/>
        <v>13.117253498528516</v>
      </c>
      <c r="L12" s="9">
        <f t="shared" si="6"/>
        <v>10.572114760008057</v>
      </c>
      <c r="M12" s="43" t="str">
        <f t="shared" si="7"/>
        <v>DX28</v>
      </c>
      <c r="N12" s="43" t="str">
        <f t="shared" si="8"/>
        <v>16/20 Новатэк</v>
      </c>
      <c r="O12" s="43">
        <f t="shared" si="9"/>
        <v>600</v>
      </c>
      <c r="P12" s="43">
        <f t="shared" si="10"/>
        <v>700</v>
      </c>
      <c r="Q12" s="9">
        <f t="shared" si="14"/>
        <v>6871.8745940052377</v>
      </c>
      <c r="R12" s="9">
        <f t="shared" si="11"/>
        <v>83.890136567538676</v>
      </c>
      <c r="S12" s="9">
        <f t="shared" si="12"/>
        <v>20810.588935038402</v>
      </c>
      <c r="T12" s="21">
        <f t="shared" si="13"/>
        <v>91.551399933061717</v>
      </c>
      <c r="U12" s="6"/>
      <c r="V12" s="6"/>
      <c r="W12" s="6"/>
      <c r="X12" s="6"/>
      <c r="Y12" s="6"/>
      <c r="Z12" s="6"/>
      <c r="AA12" s="6"/>
      <c r="AC12">
        <f t="shared" si="3"/>
        <v>22.887849983265429</v>
      </c>
      <c r="AD12">
        <f>AD11</f>
        <v>12.189762241063594</v>
      </c>
      <c r="AE12">
        <f>P9</f>
        <v>400</v>
      </c>
      <c r="AF12">
        <f t="shared" si="0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88</v>
      </c>
      <c r="D13" s="6"/>
      <c r="E13" s="13" t="s">
        <v>34</v>
      </c>
      <c r="F13" s="14">
        <f>C3</f>
        <v>50</v>
      </c>
      <c r="G13" s="6"/>
      <c r="H13" s="20" t="str">
        <f t="shared" si="4"/>
        <v>Пропант</v>
      </c>
      <c r="I13" s="9">
        <f t="shared" si="1"/>
        <v>3.6791176234684251</v>
      </c>
      <c r="J13" s="43">
        <f t="shared" si="2"/>
        <v>4</v>
      </c>
      <c r="K13" s="9">
        <f t="shared" si="5"/>
        <v>14.7164704938737</v>
      </c>
      <c r="L13" s="9">
        <f t="shared" si="6"/>
        <v>11.5172377778142</v>
      </c>
      <c r="M13" s="43" t="str">
        <f t="shared" si="7"/>
        <v>DX28</v>
      </c>
      <c r="N13" s="43" t="str">
        <f t="shared" si="8"/>
        <v>16/20 Новатэк</v>
      </c>
      <c r="O13" s="43">
        <f t="shared" si="9"/>
        <v>700</v>
      </c>
      <c r="P13" s="43">
        <f t="shared" si="10"/>
        <v>800</v>
      </c>
      <c r="Q13" s="9">
        <f t="shared" si="14"/>
        <v>8637.9283333606509</v>
      </c>
      <c r="R13" s="9">
        <f t="shared" si="11"/>
        <v>95.407374345352878</v>
      </c>
      <c r="S13" s="9">
        <f t="shared" si="12"/>
        <v>29448.517268399053</v>
      </c>
      <c r="T13" s="21">
        <f t="shared" si="13"/>
        <v>106.26787042693542</v>
      </c>
      <c r="U13" s="6"/>
      <c r="V13" s="6"/>
      <c r="W13" s="6"/>
      <c r="X13" s="6"/>
      <c r="Y13" s="6"/>
      <c r="Z13" s="6"/>
      <c r="AA13" s="6"/>
      <c r="AC13">
        <f t="shared" si="3"/>
        <v>26.566967606733854</v>
      </c>
      <c r="AD13">
        <f>AC9</f>
        <v>14.253888840085521</v>
      </c>
      <c r="AE13" t="e">
        <f>#REF!</f>
        <v>#REF!</v>
      </c>
      <c r="AF13">
        <f t="shared" si="0"/>
        <v>4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4.0803664158151811</v>
      </c>
      <c r="J14" s="43">
        <f t="shared" si="2"/>
        <v>4</v>
      </c>
      <c r="K14" s="9">
        <f t="shared" si="5"/>
        <v>16.321465663260724</v>
      </c>
      <c r="L14" s="9">
        <f t="shared" si="6"/>
        <v>12.413509096001114</v>
      </c>
      <c r="M14" s="43" t="str">
        <f t="shared" si="7"/>
        <v>DX28</v>
      </c>
      <c r="N14" s="43" t="str">
        <f t="shared" si="8"/>
        <v>16/20 Новатэк</v>
      </c>
      <c r="O14" s="43">
        <f t="shared" si="9"/>
        <v>800</v>
      </c>
      <c r="P14" s="43">
        <f t="shared" si="10"/>
        <v>900</v>
      </c>
      <c r="Q14" s="9">
        <f t="shared" si="14"/>
        <v>10551.482731600947</v>
      </c>
      <c r="R14" s="9">
        <f t="shared" si="11"/>
        <v>107.820883441354</v>
      </c>
      <c r="S14" s="9">
        <f t="shared" si="12"/>
        <v>40000</v>
      </c>
      <c r="T14" s="21">
        <f t="shared" si="13"/>
        <v>122.58933609019614</v>
      </c>
      <c r="U14" s="6"/>
      <c r="V14" s="6"/>
      <c r="W14" s="6"/>
      <c r="X14" s="6"/>
      <c r="Y14" s="6"/>
      <c r="Z14" s="6"/>
      <c r="AA14" s="6"/>
      <c r="AC14" s="5">
        <f t="shared" si="3"/>
        <v>30.647334022549035</v>
      </c>
      <c r="AD14">
        <f>AD13</f>
        <v>14.253888840085521</v>
      </c>
      <c r="AE14">
        <f>P10</f>
        <v>500</v>
      </c>
      <c r="AF14">
        <f t="shared" si="0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100</v>
      </c>
      <c r="D15" s="6"/>
      <c r="E15" s="10"/>
      <c r="F15" s="11"/>
      <c r="G15" s="6"/>
      <c r="H15" s="20" t="str">
        <f t="shared" si="4"/>
        <v>Пропант</v>
      </c>
      <c r="I15" s="9">
        <f t="shared" si="1"/>
        <v>3.8671023965141615</v>
      </c>
      <c r="J15" s="43">
        <f t="shared" si="2"/>
        <v>4</v>
      </c>
      <c r="K15" s="9">
        <f t="shared" si="5"/>
        <v>15.468409586056646</v>
      </c>
      <c r="L15" s="9">
        <f t="shared" si="6"/>
        <v>11.764705882352942</v>
      </c>
      <c r="M15" s="43" t="str">
        <f t="shared" si="7"/>
        <v>DX28</v>
      </c>
      <c r="N15" s="43" t="str">
        <f t="shared" si="8"/>
        <v>16/20 Новатэк</v>
      </c>
      <c r="O15" s="43">
        <f t="shared" si="9"/>
        <v>900</v>
      </c>
      <c r="P15" s="43">
        <f t="shared" si="10"/>
        <v>900</v>
      </c>
      <c r="Q15" s="9">
        <f t="shared" si="14"/>
        <v>10000</v>
      </c>
      <c r="R15" s="9">
        <f t="shared" si="11"/>
        <v>119.58558932370694</v>
      </c>
      <c r="S15" s="9">
        <f t="shared" si="12"/>
        <v>50000</v>
      </c>
      <c r="T15" s="21">
        <f t="shared" si="13"/>
        <v>138.05774567625278</v>
      </c>
      <c r="U15" s="6"/>
      <c r="V15" s="6"/>
      <c r="W15" s="6"/>
      <c r="X15" s="6"/>
      <c r="Y15" s="6"/>
      <c r="Z15" s="6"/>
      <c r="AA15" s="6"/>
      <c r="AC15">
        <f t="shared" si="3"/>
        <v>34.514436419063195</v>
      </c>
      <c r="AD15">
        <f>AC10</f>
        <v>16.729454430361383</v>
      </c>
      <c r="AE15" t="e">
        <f>#REF!</f>
        <v>#REF!</v>
      </c>
      <c r="AF15">
        <f t="shared" si="0"/>
        <v>4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200</v>
      </c>
      <c r="D16" s="6"/>
      <c r="E16" s="10"/>
      <c r="F16" s="11"/>
      <c r="G16" s="6"/>
      <c r="H16" s="20" t="str">
        <f t="shared" si="4"/>
        <v>-</v>
      </c>
      <c r="I16" s="9" t="str">
        <f t="shared" si="1"/>
        <v>-</v>
      </c>
      <c r="J16" s="43" t="str">
        <f t="shared" si="2"/>
        <v>-</v>
      </c>
      <c r="K16" s="9" t="str">
        <f t="shared" si="5"/>
        <v>-</v>
      </c>
      <c r="L16" s="9" t="str">
        <f t="shared" si="6"/>
        <v>-</v>
      </c>
      <c r="M16" s="43" t="str">
        <f t="shared" si="7"/>
        <v>-</v>
      </c>
      <c r="N16" s="43" t="str">
        <f t="shared" si="8"/>
        <v>-</v>
      </c>
      <c r="O16" s="43" t="str">
        <f t="shared" si="9"/>
        <v>-</v>
      </c>
      <c r="P16" s="43" t="str">
        <f t="shared" si="10"/>
        <v>-</v>
      </c>
      <c r="Q16" s="9" t="str">
        <f t="shared" si="14"/>
        <v>-</v>
      </c>
      <c r="R16" s="9" t="str">
        <f t="shared" si="11"/>
        <v>-</v>
      </c>
      <c r="S16" s="9" t="str">
        <f t="shared" si="12"/>
        <v>-</v>
      </c>
      <c r="T16" s="21" t="str">
        <f t="shared" si="13"/>
        <v>-</v>
      </c>
      <c r="U16" s="6"/>
      <c r="V16" s="6"/>
      <c r="W16" s="6"/>
      <c r="X16" s="6"/>
      <c r="Y16" s="6"/>
      <c r="Z16" s="6"/>
      <c r="AA16" s="6"/>
      <c r="AC16" t="e">
        <f t="shared" si="3"/>
        <v>#VALUE!</v>
      </c>
      <c r="AD16">
        <f>AD15</f>
        <v>16.729454430361383</v>
      </c>
      <c r="AE16">
        <f>P11</f>
        <v>600</v>
      </c>
      <c r="AF16">
        <f t="shared" si="0"/>
        <v>4</v>
      </c>
      <c r="AH16">
        <v>3</v>
      </c>
      <c r="AI16">
        <v>2.6</v>
      </c>
    </row>
    <row r="17" spans="1:40" ht="19.5" customHeight="1" x14ac:dyDescent="0.25">
      <c r="A17" s="6"/>
      <c r="B17" s="35" t="s">
        <v>146</v>
      </c>
      <c r="C17" s="39">
        <v>55</v>
      </c>
      <c r="D17" s="6"/>
      <c r="E17" s="77" t="s">
        <v>49</v>
      </c>
      <c r="F17" s="66"/>
      <c r="G17" s="6"/>
      <c r="H17" s="20" t="str">
        <f t="shared" si="4"/>
        <v>-</v>
      </c>
      <c r="I17" s="9" t="str">
        <f t="shared" si="1"/>
        <v>-</v>
      </c>
      <c r="J17" s="43" t="str">
        <f t="shared" si="2"/>
        <v>-</v>
      </c>
      <c r="K17" s="9" t="str">
        <f t="shared" si="5"/>
        <v>-</v>
      </c>
      <c r="L17" s="9" t="str">
        <f t="shared" si="6"/>
        <v>-</v>
      </c>
      <c r="M17" s="43" t="str">
        <f t="shared" si="7"/>
        <v>-</v>
      </c>
      <c r="N17" s="43" t="str">
        <f t="shared" si="8"/>
        <v>-</v>
      </c>
      <c r="O17" s="43" t="str">
        <f t="shared" si="9"/>
        <v>-</v>
      </c>
      <c r="P17" s="43" t="str">
        <f t="shared" si="10"/>
        <v>-</v>
      </c>
      <c r="Q17" s="9" t="str">
        <f t="shared" si="14"/>
        <v>-</v>
      </c>
      <c r="R17" s="9" t="str">
        <f t="shared" si="11"/>
        <v>-</v>
      </c>
      <c r="S17" s="9" t="str">
        <f t="shared" si="12"/>
        <v>-</v>
      </c>
      <c r="T17" s="21" t="str">
        <f t="shared" si="13"/>
        <v>-</v>
      </c>
      <c r="U17" s="6"/>
      <c r="V17" s="6"/>
      <c r="W17" s="6"/>
      <c r="X17" s="6"/>
      <c r="Y17" s="6"/>
      <c r="Z17" s="6"/>
      <c r="AA17" s="6"/>
      <c r="AC17" t="e">
        <f t="shared" si="3"/>
        <v>#VALUE!</v>
      </c>
      <c r="AD17">
        <f>AC11</f>
        <v>19.608536608633301</v>
      </c>
      <c r="AE17" t="e">
        <f>#REF!</f>
        <v>#REF!</v>
      </c>
      <c r="AF17">
        <f t="shared" si="0"/>
        <v>4</v>
      </c>
    </row>
    <row r="18" spans="1:40" ht="15.75" customHeight="1" x14ac:dyDescent="0.25">
      <c r="A18" s="6"/>
      <c r="B18" s="24" t="s">
        <v>142</v>
      </c>
      <c r="C18" s="39" t="s">
        <v>40</v>
      </c>
      <c r="D18" s="6"/>
      <c r="E18" s="65">
        <f>IFERROR(C3/SUM(L5:L30), "-")</f>
        <v>0.41811057906529775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9"/>
        <v>-</v>
      </c>
      <c r="P18" s="43" t="str">
        <f t="shared" si="10"/>
        <v>-</v>
      </c>
      <c r="Q18" s="9" t="str">
        <f t="shared" si="14"/>
        <v>-</v>
      </c>
      <c r="R18" s="9" t="str">
        <f t="shared" si="11"/>
        <v>-</v>
      </c>
      <c r="S18" s="9" t="str">
        <f t="shared" si="12"/>
        <v>-</v>
      </c>
      <c r="T18" s="21" t="str">
        <f t="shared" si="13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19.608536608633301</v>
      </c>
      <c r="AE18">
        <f>P12</f>
        <v>700</v>
      </c>
      <c r="AF18">
        <f t="shared" si="0"/>
        <v>4</v>
      </c>
      <c r="AH18" s="44" t="s">
        <v>52</v>
      </c>
      <c r="AI18" s="2">
        <f>IF(C8=-3,AI10,IF(C8=-2,AI11,IF(C8=-1,AI12,IF(C8=0,AI13,IF(C8=1,AI14,IF(C8=2,AI15,IF(C8=3,AI16)))))))</f>
        <v>2.6</v>
      </c>
    </row>
    <row r="19" spans="1:40" ht="15.75" customHeight="1" x14ac:dyDescent="0.25">
      <c r="A19" s="6"/>
      <c r="B19" s="24" t="s">
        <v>58</v>
      </c>
      <c r="C19" s="39" t="s">
        <v>88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9"/>
        <v>-</v>
      </c>
      <c r="P19" s="43" t="str">
        <f t="shared" si="10"/>
        <v>-</v>
      </c>
      <c r="Q19" s="9" t="str">
        <f t="shared" si="14"/>
        <v>-</v>
      </c>
      <c r="R19" s="9" t="str">
        <f t="shared" si="11"/>
        <v>-</v>
      </c>
      <c r="S19" s="9" t="str">
        <f t="shared" si="12"/>
        <v>-</v>
      </c>
      <c r="T19" s="21" t="str">
        <f t="shared" si="13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22.887849983265429</v>
      </c>
      <c r="AE19" t="e">
        <f>#REF!</f>
        <v>#REF!</v>
      </c>
      <c r="AF19">
        <f t="shared" si="0"/>
        <v>4</v>
      </c>
    </row>
    <row r="20" spans="1:40" ht="18.75" customHeight="1" thickBot="1" x14ac:dyDescent="0.3">
      <c r="A20" s="6"/>
      <c r="B20" s="27" t="s">
        <v>65</v>
      </c>
      <c r="C20" s="47">
        <v>15</v>
      </c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9"/>
        <v>-</v>
      </c>
      <c r="P20" s="43" t="str">
        <f t="shared" si="10"/>
        <v>-</v>
      </c>
      <c r="Q20" s="9" t="str">
        <f t="shared" si="14"/>
        <v>-</v>
      </c>
      <c r="R20" s="9" t="str">
        <f t="shared" si="11"/>
        <v>-</v>
      </c>
      <c r="S20" s="9" t="str">
        <f t="shared" si="12"/>
        <v>-</v>
      </c>
      <c r="T20" s="21" t="str">
        <f t="shared" si="13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22.887849983265429</v>
      </c>
      <c r="AE20">
        <f>P13</f>
        <v>800</v>
      </c>
      <c r="AF20">
        <f t="shared" si="0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9"/>
        <v>-</v>
      </c>
      <c r="P21" s="43" t="str">
        <f t="shared" si="10"/>
        <v>-</v>
      </c>
      <c r="Q21" s="9" t="str">
        <f t="shared" si="14"/>
        <v>-</v>
      </c>
      <c r="R21" s="9" t="str">
        <f t="shared" si="11"/>
        <v>-</v>
      </c>
      <c r="S21" s="9" t="str">
        <f t="shared" si="12"/>
        <v>-</v>
      </c>
      <c r="T21" s="21" t="str">
        <f t="shared" si="13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26.566967606733854</v>
      </c>
      <c r="AE21" t="e">
        <f>#REF!</f>
        <v>#REF!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9"/>
        <v>-</v>
      </c>
      <c r="P22" s="43" t="str">
        <f t="shared" si="10"/>
        <v>-</v>
      </c>
      <c r="Q22" s="9" t="str">
        <f t="shared" si="14"/>
        <v>-</v>
      </c>
      <c r="R22" s="9" t="str">
        <f t="shared" si="11"/>
        <v>-</v>
      </c>
      <c r="S22" s="9" t="str">
        <f t="shared" si="12"/>
        <v>-</v>
      </c>
      <c r="T22" s="21" t="str">
        <f t="shared" si="13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26.566967606733854</v>
      </c>
      <c r="AE22">
        <f>P14</f>
        <v>900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9"/>
        <v>-</v>
      </c>
      <c r="P23" s="43" t="str">
        <f t="shared" si="10"/>
        <v>-</v>
      </c>
      <c r="Q23" s="9" t="str">
        <f t="shared" si="14"/>
        <v>-</v>
      </c>
      <c r="R23" s="9" t="str">
        <f t="shared" si="11"/>
        <v>-</v>
      </c>
      <c r="S23" s="9" t="str">
        <f t="shared" si="12"/>
        <v>-</v>
      </c>
      <c r="T23" s="21" t="str">
        <f t="shared" si="13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30.647334022549035</v>
      </c>
      <c r="AE23" t="e">
        <f>#REF!</f>
        <v>#REF!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9"/>
        <v>-</v>
      </c>
      <c r="P24" s="43" t="str">
        <f t="shared" si="10"/>
        <v>-</v>
      </c>
      <c r="Q24" s="9" t="str">
        <f t="shared" si="14"/>
        <v>-</v>
      </c>
      <c r="R24" s="9" t="str">
        <f t="shared" si="11"/>
        <v>-</v>
      </c>
      <c r="S24" s="9" t="str">
        <f t="shared" si="12"/>
        <v>-</v>
      </c>
      <c r="T24" s="21" t="str">
        <f t="shared" si="13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30.647334022549035</v>
      </c>
      <c r="AE24">
        <f>P15</f>
        <v>900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9"/>
        <v>-</v>
      </c>
      <c r="P25" s="43" t="str">
        <f t="shared" si="10"/>
        <v>-</v>
      </c>
      <c r="Q25" s="9" t="str">
        <f t="shared" si="14"/>
        <v>-</v>
      </c>
      <c r="R25" s="9" t="str">
        <f t="shared" si="11"/>
        <v>-</v>
      </c>
      <c r="S25" s="9" t="str">
        <f t="shared" si="12"/>
        <v>-</v>
      </c>
      <c r="T25" s="21" t="str">
        <f t="shared" si="13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>
        <f>AC15</f>
        <v>34.514436419063195</v>
      </c>
      <c r="AE25" t="e">
        <f>#REF!</f>
        <v>#REF!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9"/>
        <v>-</v>
      </c>
      <c r="P26" s="43" t="str">
        <f t="shared" si="10"/>
        <v>-</v>
      </c>
      <c r="Q26" s="9" t="str">
        <f t="shared" si="14"/>
        <v>-</v>
      </c>
      <c r="R26" s="9" t="str">
        <f t="shared" si="11"/>
        <v>-</v>
      </c>
      <c r="S26" s="9" t="str">
        <f t="shared" si="12"/>
        <v>-</v>
      </c>
      <c r="T26" s="21" t="str">
        <f t="shared" si="13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>
        <f>AD25</f>
        <v>34.514436419063195</v>
      </c>
      <c r="AE26" t="str">
        <f>P16</f>
        <v>-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9"/>
        <v>-</v>
      </c>
      <c r="P27" s="43" t="str">
        <f t="shared" si="10"/>
        <v>-</v>
      </c>
      <c r="Q27" s="9" t="str">
        <f t="shared" si="14"/>
        <v>-</v>
      </c>
      <c r="R27" s="9" t="str">
        <f t="shared" si="11"/>
        <v>-</v>
      </c>
      <c r="S27" s="9" t="str">
        <f t="shared" si="12"/>
        <v>-</v>
      </c>
      <c r="T27" s="21" t="str">
        <f t="shared" si="13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 t="e">
        <f>AC16</f>
        <v>#VALUE!</v>
      </c>
      <c r="AE27" t="e">
        <f>#REF!</f>
        <v>#REF!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9"/>
        <v>-</v>
      </c>
      <c r="P28" s="43" t="str">
        <f t="shared" si="10"/>
        <v>-</v>
      </c>
      <c r="Q28" s="9" t="str">
        <f t="shared" si="14"/>
        <v>-</v>
      </c>
      <c r="R28" s="9" t="str">
        <f t="shared" si="11"/>
        <v>-</v>
      </c>
      <c r="S28" s="9" t="str">
        <f t="shared" si="12"/>
        <v>-</v>
      </c>
      <c r="T28" s="21" t="str">
        <f t="shared" si="13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 t="e">
        <f>AD27</f>
        <v>#VALUE!</v>
      </c>
      <c r="AE28" t="str">
        <f>P17</f>
        <v>-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9"/>
        <v>-</v>
      </c>
      <c r="P29" s="43" t="str">
        <f t="shared" si="10"/>
        <v>-</v>
      </c>
      <c r="Q29" s="9" t="str">
        <f t="shared" si="14"/>
        <v>-</v>
      </c>
      <c r="R29" s="9" t="str">
        <f t="shared" si="11"/>
        <v>-</v>
      </c>
      <c r="S29" s="9" t="str">
        <f t="shared" si="12"/>
        <v>-</v>
      </c>
      <c r="T29" s="21" t="str">
        <f t="shared" si="13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 t="e">
        <f>AC17</f>
        <v>#VALUE!</v>
      </c>
      <c r="AE29" t="e">
        <f>#REF!</f>
        <v>#REF!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9"/>
        <v>-</v>
      </c>
      <c r="P30" s="43" t="str">
        <f t="shared" si="10"/>
        <v>-</v>
      </c>
      <c r="Q30" s="9" t="str">
        <f t="shared" si="14"/>
        <v>-</v>
      </c>
      <c r="R30" s="9" t="str">
        <f t="shared" si="11"/>
        <v>-</v>
      </c>
      <c r="S30" s="9" t="str">
        <f t="shared" si="12"/>
        <v>-</v>
      </c>
      <c r="T30" s="21" t="str">
        <f t="shared" si="13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 t="e">
        <f>AD29</f>
        <v>#VALUE!</v>
      </c>
      <c r="AE30" t="str">
        <f>P18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4"/>
        <v>-</v>
      </c>
      <c r="I31" s="23" t="str">
        <f t="shared" si="1"/>
        <v>-</v>
      </c>
      <c r="J31" s="48" t="str">
        <f t="shared" si="2"/>
        <v>-</v>
      </c>
      <c r="K31" s="23" t="str">
        <f t="shared" si="5"/>
        <v>-</v>
      </c>
      <c r="L31" s="23" t="str">
        <f t="shared" si="6"/>
        <v>-</v>
      </c>
      <c r="M31" s="48" t="str">
        <f t="shared" si="7"/>
        <v>-</v>
      </c>
      <c r="N31" s="48" t="str">
        <f t="shared" si="8"/>
        <v>-</v>
      </c>
      <c r="O31" s="48" t="str">
        <f t="shared" si="9"/>
        <v>-</v>
      </c>
      <c r="P31" s="48" t="str">
        <f t="shared" si="10"/>
        <v>-</v>
      </c>
      <c r="Q31" s="23" t="str">
        <f t="shared" si="14"/>
        <v>-</v>
      </c>
      <c r="R31" s="23" t="str">
        <f t="shared" si="11"/>
        <v>-</v>
      </c>
      <c r="S31" s="23" t="str">
        <f t="shared" si="12"/>
        <v>-</v>
      </c>
      <c r="T31" s="36" t="str">
        <f t="shared" si="13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40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10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$C$6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34.859580783253826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 t="shared" ref="L74:L100" si="17">IFERROR(L73+I5,L73)</f>
        <v>8.7148951958134564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 t="shared" si="17"/>
        <v>9.3859111617910145</v>
      </c>
      <c r="M75">
        <f t="shared" ref="M75:M100" si="18">P6</f>
        <v>100</v>
      </c>
    </row>
    <row r="76" spans="1:27" x14ac:dyDescent="0.25">
      <c r="E76">
        <v>1</v>
      </c>
      <c r="F76" s="53">
        <f t="shared" ref="F76:F101" si="19">IF(P6="-","-",P6/$C$4)</f>
        <v>0.1111111111111111</v>
      </c>
      <c r="G76" s="53">
        <f t="shared" ref="G76:G101" si="20">IF(F76="-","-",F76^$AI$18)</f>
        <v>3.3034632171202896E-3</v>
      </c>
      <c r="L76" s="5">
        <f t="shared" si="17"/>
        <v>10.553176262171769</v>
      </c>
      <c r="M76">
        <f t="shared" si="18"/>
        <v>200</v>
      </c>
    </row>
    <row r="77" spans="1:27" x14ac:dyDescent="0.25">
      <c r="E77">
        <v>2</v>
      </c>
      <c r="F77" s="53">
        <f t="shared" si="19"/>
        <v>0.22222222222222221</v>
      </c>
      <c r="G77" s="53">
        <f t="shared" si="20"/>
        <v>2.0028455700187832E-2</v>
      </c>
      <c r="I77" s="4" t="s">
        <v>127</v>
      </c>
      <c r="J77" s="4">
        <f>IF(C17&gt;20,0.05,0.25*(C17/100))</f>
        <v>0.05</v>
      </c>
      <c r="L77" s="5">
        <f t="shared" si="17"/>
        <v>12.189762241063594</v>
      </c>
      <c r="M77">
        <f t="shared" si="18"/>
        <v>300</v>
      </c>
    </row>
    <row r="78" spans="1:27" x14ac:dyDescent="0.25">
      <c r="E78">
        <v>3</v>
      </c>
      <c r="F78" s="53">
        <f t="shared" si="19"/>
        <v>0.33333333333333331</v>
      </c>
      <c r="G78" s="53">
        <f t="shared" si="20"/>
        <v>5.747576199686516E-2</v>
      </c>
      <c r="I78" s="54" t="s">
        <v>128</v>
      </c>
      <c r="J78" s="54">
        <f>C4/C7</f>
        <v>9</v>
      </c>
      <c r="L78" s="5">
        <f t="shared" si="17"/>
        <v>14.253888840085521</v>
      </c>
      <c r="M78">
        <f t="shared" si="18"/>
        <v>400</v>
      </c>
    </row>
    <row r="79" spans="1:27" x14ac:dyDescent="0.25">
      <c r="E79">
        <v>4</v>
      </c>
      <c r="F79" s="53">
        <f t="shared" si="19"/>
        <v>0.44444444444444442</v>
      </c>
      <c r="G79" s="53">
        <f t="shared" si="20"/>
        <v>0.12142984842557733</v>
      </c>
      <c r="I79" s="54" t="s">
        <v>129</v>
      </c>
      <c r="J79" s="54">
        <f>(1-C17/100)^2+J77</f>
        <v>0.25249999999999995</v>
      </c>
      <c r="L79" s="5">
        <f t="shared" si="17"/>
        <v>16.729454430361383</v>
      </c>
      <c r="M79">
        <f t="shared" si="18"/>
        <v>500</v>
      </c>
    </row>
    <row r="80" spans="1:27" x14ac:dyDescent="0.25">
      <c r="E80">
        <v>5</v>
      </c>
      <c r="F80" s="53">
        <f t="shared" si="19"/>
        <v>0.55555555555555558</v>
      </c>
      <c r="G80" s="53">
        <f t="shared" si="20"/>
        <v>0.21691594976478909</v>
      </c>
      <c r="L80" s="5">
        <f t="shared" si="17"/>
        <v>19.608536608633301</v>
      </c>
      <c r="M80">
        <f t="shared" si="18"/>
        <v>600</v>
      </c>
    </row>
    <row r="81" spans="5:13" x14ac:dyDescent="0.25">
      <c r="E81">
        <v>6</v>
      </c>
      <c r="F81" s="53">
        <f t="shared" si="19"/>
        <v>0.66666666666666663</v>
      </c>
      <c r="G81" s="53">
        <f t="shared" si="20"/>
        <v>0.34846785852582912</v>
      </c>
      <c r="I81" s="34" t="s">
        <v>130</v>
      </c>
      <c r="J81" s="34">
        <f>((1-C17/100)^2+J82)</f>
        <v>0.25249999999999995</v>
      </c>
      <c r="L81" s="5">
        <f t="shared" si="17"/>
        <v>22.887849983265429</v>
      </c>
      <c r="M81">
        <f t="shared" si="18"/>
        <v>700</v>
      </c>
    </row>
    <row r="82" spans="5:13" x14ac:dyDescent="0.25">
      <c r="E82">
        <v>7</v>
      </c>
      <c r="F82" s="53">
        <f t="shared" si="19"/>
        <v>0.77777777777777779</v>
      </c>
      <c r="G82" s="53">
        <f t="shared" si="20"/>
        <v>0.52026472337596008</v>
      </c>
      <c r="I82" s="34" t="s">
        <v>131</v>
      </c>
      <c r="J82" s="34">
        <f>IF(C17&gt;20,0.05,0.25*(C17/100))</f>
        <v>0.05</v>
      </c>
      <c r="L82" s="5">
        <f t="shared" si="17"/>
        <v>26.566967606733854</v>
      </c>
      <c r="M82">
        <f t="shared" si="18"/>
        <v>800</v>
      </c>
    </row>
    <row r="83" spans="5:13" x14ac:dyDescent="0.25">
      <c r="E83">
        <v>8</v>
      </c>
      <c r="F83" s="53">
        <f t="shared" si="19"/>
        <v>0.88888888888888884</v>
      </c>
      <c r="G83" s="53">
        <f t="shared" si="20"/>
        <v>0.73621293170997637</v>
      </c>
      <c r="I83" s="34" t="s">
        <v>132</v>
      </c>
      <c r="J83" s="34" t="e">
        <f>IF(#REF!&gt;20,0.05,0.25*(#REF!/100))</f>
        <v>#REF!</v>
      </c>
      <c r="L83" s="5">
        <f t="shared" si="17"/>
        <v>30.647334022549035</v>
      </c>
      <c r="M83">
        <f t="shared" si="18"/>
        <v>900</v>
      </c>
    </row>
    <row r="84" spans="5:13" x14ac:dyDescent="0.25">
      <c r="E84">
        <v>9</v>
      </c>
      <c r="F84" s="53">
        <f t="shared" si="19"/>
        <v>1</v>
      </c>
      <c r="G84" s="53">
        <f t="shared" si="20"/>
        <v>1</v>
      </c>
      <c r="L84" s="5">
        <f t="shared" si="17"/>
        <v>34.514436419063195</v>
      </c>
      <c r="M84">
        <f t="shared" si="18"/>
        <v>900</v>
      </c>
    </row>
    <row r="85" spans="5:13" x14ac:dyDescent="0.25">
      <c r="E85">
        <v>10</v>
      </c>
      <c r="F85" s="53">
        <f t="shared" si="19"/>
        <v>1</v>
      </c>
      <c r="G85" s="53">
        <f t="shared" si="20"/>
        <v>1</v>
      </c>
      <c r="L85" s="5">
        <f t="shared" si="17"/>
        <v>34.514436419063195</v>
      </c>
      <c r="M85" t="str">
        <f t="shared" si="18"/>
        <v>-</v>
      </c>
    </row>
    <row r="86" spans="5:13" x14ac:dyDescent="0.25">
      <c r="E86">
        <v>11</v>
      </c>
      <c r="F86" s="53" t="str">
        <f t="shared" si="19"/>
        <v>-</v>
      </c>
      <c r="G86" s="53" t="str">
        <f t="shared" si="20"/>
        <v>-</v>
      </c>
      <c r="L86" s="5">
        <f t="shared" si="17"/>
        <v>34.514436419063195</v>
      </c>
      <c r="M86" t="str">
        <f t="shared" si="18"/>
        <v>-</v>
      </c>
    </row>
    <row r="87" spans="5:13" x14ac:dyDescent="0.25">
      <c r="E87">
        <v>12</v>
      </c>
      <c r="F87" s="53" t="str">
        <f t="shared" si="19"/>
        <v>-</v>
      </c>
      <c r="G87" s="53" t="str">
        <f t="shared" si="20"/>
        <v>-</v>
      </c>
      <c r="L87" s="5">
        <f t="shared" si="17"/>
        <v>34.514436419063195</v>
      </c>
      <c r="M87" t="str">
        <f t="shared" si="18"/>
        <v>-</v>
      </c>
    </row>
    <row r="88" spans="5:13" x14ac:dyDescent="0.25">
      <c r="E88">
        <v>13</v>
      </c>
      <c r="F88" s="53" t="str">
        <f t="shared" si="19"/>
        <v>-</v>
      </c>
      <c r="G88" s="53" t="str">
        <f t="shared" si="20"/>
        <v>-</v>
      </c>
      <c r="L88" s="5">
        <f t="shared" si="17"/>
        <v>34.514436419063195</v>
      </c>
      <c r="M88" t="str">
        <f t="shared" si="18"/>
        <v>-</v>
      </c>
    </row>
    <row r="89" spans="5:13" x14ac:dyDescent="0.25">
      <c r="E89">
        <v>14</v>
      </c>
      <c r="F89" s="53" t="str">
        <f t="shared" si="19"/>
        <v>-</v>
      </c>
      <c r="G89" s="53" t="str">
        <f t="shared" si="20"/>
        <v>-</v>
      </c>
      <c r="L89" s="5">
        <f t="shared" si="17"/>
        <v>34.514436419063195</v>
      </c>
      <c r="M89" t="str">
        <f t="shared" si="18"/>
        <v>-</v>
      </c>
    </row>
    <row r="90" spans="5:13" x14ac:dyDescent="0.25">
      <c r="E90">
        <v>15</v>
      </c>
      <c r="F90" s="53" t="str">
        <f t="shared" si="19"/>
        <v>-</v>
      </c>
      <c r="G90" s="53" t="str">
        <f t="shared" si="20"/>
        <v>-</v>
      </c>
      <c r="L90" s="5">
        <f t="shared" si="17"/>
        <v>34.514436419063195</v>
      </c>
      <c r="M90" t="str">
        <f t="shared" si="18"/>
        <v>-</v>
      </c>
    </row>
    <row r="91" spans="5:13" x14ac:dyDescent="0.25">
      <c r="E91">
        <v>16</v>
      </c>
      <c r="F91" s="53" t="str">
        <f t="shared" si="19"/>
        <v>-</v>
      </c>
      <c r="G91" s="53" t="str">
        <f t="shared" si="20"/>
        <v>-</v>
      </c>
      <c r="L91" s="5">
        <f t="shared" si="17"/>
        <v>34.514436419063195</v>
      </c>
      <c r="M91" t="str">
        <f t="shared" si="18"/>
        <v>-</v>
      </c>
    </row>
    <row r="92" spans="5:13" x14ac:dyDescent="0.25">
      <c r="E92">
        <v>17</v>
      </c>
      <c r="F92" s="53" t="str">
        <f t="shared" si="19"/>
        <v>-</v>
      </c>
      <c r="G92" s="53" t="str">
        <f t="shared" si="20"/>
        <v>-</v>
      </c>
      <c r="L92" s="5">
        <f t="shared" si="17"/>
        <v>34.514436419063195</v>
      </c>
      <c r="M92" t="str">
        <f t="shared" si="18"/>
        <v>-</v>
      </c>
    </row>
    <row r="93" spans="5:13" x14ac:dyDescent="0.25">
      <c r="E93">
        <v>18</v>
      </c>
      <c r="F93" s="53" t="str">
        <f t="shared" si="19"/>
        <v>-</v>
      </c>
      <c r="G93" s="53" t="str">
        <f t="shared" si="20"/>
        <v>-</v>
      </c>
      <c r="L93" s="5">
        <f t="shared" si="17"/>
        <v>34.514436419063195</v>
      </c>
      <c r="M93" t="str">
        <f t="shared" si="18"/>
        <v>-</v>
      </c>
    </row>
    <row r="94" spans="5:13" x14ac:dyDescent="0.25">
      <c r="E94">
        <v>19</v>
      </c>
      <c r="F94" s="53" t="str">
        <f t="shared" si="19"/>
        <v>-</v>
      </c>
      <c r="G94" s="53" t="str">
        <f t="shared" si="20"/>
        <v>-</v>
      </c>
      <c r="L94" s="5">
        <f t="shared" si="17"/>
        <v>34.514436419063195</v>
      </c>
      <c r="M94" t="str">
        <f t="shared" si="18"/>
        <v>-</v>
      </c>
    </row>
    <row r="95" spans="5:13" x14ac:dyDescent="0.25">
      <c r="E95">
        <v>20</v>
      </c>
      <c r="F95" s="53" t="str">
        <f t="shared" si="19"/>
        <v>-</v>
      </c>
      <c r="G95" s="53" t="str">
        <f t="shared" si="20"/>
        <v>-</v>
      </c>
      <c r="L95" s="5">
        <f t="shared" si="17"/>
        <v>34.514436419063195</v>
      </c>
      <c r="M95" t="str">
        <f t="shared" si="18"/>
        <v>-</v>
      </c>
    </row>
    <row r="96" spans="5:13" x14ac:dyDescent="0.25">
      <c r="E96">
        <v>21</v>
      </c>
      <c r="F96" s="53" t="str">
        <f t="shared" si="19"/>
        <v>-</v>
      </c>
      <c r="G96" s="53" t="str">
        <f t="shared" si="20"/>
        <v>-</v>
      </c>
      <c r="L96" s="5">
        <f t="shared" si="17"/>
        <v>34.514436419063195</v>
      </c>
      <c r="M96" t="str">
        <f t="shared" si="18"/>
        <v>-</v>
      </c>
    </row>
    <row r="97" spans="5:13" x14ac:dyDescent="0.25">
      <c r="E97">
        <v>22</v>
      </c>
      <c r="F97" s="53" t="str">
        <f t="shared" si="19"/>
        <v>-</v>
      </c>
      <c r="G97" s="53" t="str">
        <f t="shared" si="20"/>
        <v>-</v>
      </c>
      <c r="L97" s="5">
        <f t="shared" si="17"/>
        <v>34.514436419063195</v>
      </c>
      <c r="M97" t="str">
        <f t="shared" si="18"/>
        <v>-</v>
      </c>
    </row>
    <row r="98" spans="5:13" x14ac:dyDescent="0.25">
      <c r="E98">
        <v>23</v>
      </c>
      <c r="F98" s="53" t="str">
        <f t="shared" si="19"/>
        <v>-</v>
      </c>
      <c r="G98" s="53" t="str">
        <f t="shared" si="20"/>
        <v>-</v>
      </c>
      <c r="L98" s="5">
        <f t="shared" si="17"/>
        <v>34.514436419063195</v>
      </c>
      <c r="M98" t="str">
        <f t="shared" si="18"/>
        <v>-</v>
      </c>
    </row>
    <row r="99" spans="5:13" x14ac:dyDescent="0.25">
      <c r="E99">
        <v>24</v>
      </c>
      <c r="F99" s="53" t="str">
        <f t="shared" si="19"/>
        <v>-</v>
      </c>
      <c r="G99" s="53" t="str">
        <f t="shared" si="20"/>
        <v>-</v>
      </c>
      <c r="L99" s="5">
        <f t="shared" si="17"/>
        <v>34.514436419063195</v>
      </c>
      <c r="M99" t="str">
        <f t="shared" si="18"/>
        <v>-</v>
      </c>
    </row>
    <row r="100" spans="5:13" x14ac:dyDescent="0.25">
      <c r="E100">
        <v>25</v>
      </c>
      <c r="F100" s="53" t="str">
        <f t="shared" si="19"/>
        <v>-</v>
      </c>
      <c r="G100" s="53" t="str">
        <f t="shared" si="20"/>
        <v>-</v>
      </c>
      <c r="L100" s="5">
        <f t="shared" si="17"/>
        <v>34.514436419063195</v>
      </c>
      <c r="M100" t="str">
        <f t="shared" si="18"/>
        <v>-</v>
      </c>
    </row>
    <row r="101" spans="5:13" x14ac:dyDescent="0.25">
      <c r="E101">
        <v>26</v>
      </c>
      <c r="F101" s="53" t="str">
        <f t="shared" si="19"/>
        <v>-</v>
      </c>
      <c r="G101" s="53" t="str">
        <f t="shared" si="20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3.2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8:C19">
      <formula1>$AK$23:$AK$58</formula1>
    </dataValidation>
    <dataValidation type="list" showInputMessage="1" showErrorMessage="1" sqref="C9:C10">
      <formula1>$AM$24:$AM$51</formula1>
    </dataValidation>
    <dataValidation type="list" showInputMessage="1" showErrorMessage="1" sqref="C12">
      <formula1>$AH$23</formula1>
    </dataValidation>
    <dataValidation type="list" showInputMessage="1" showErrorMessage="1" sqref="C13">
      <formula1>$AI$23:$AI$40</formula1>
    </dataValidation>
    <dataValidation type="list" showInputMessage="1" showErrorMessage="1" sqref="C14">
      <formula1>$AJ$23:$AJ$38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B16" sqref="B16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60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1200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C22</f>
        <v>15</v>
      </c>
      <c r="M4" s="41" t="str">
        <f>C21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$C$5</f>
        <v>4</v>
      </c>
      <c r="AI4" t="s">
        <v>27</v>
      </c>
      <c r="AJ4" s="5">
        <f>SUM(K7:K31)</f>
        <v>105.24410191485237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IF(E5="","",SUMIF(M5:M31,C11,L5:L31))</f>
        <v/>
      </c>
      <c r="G5" s="6"/>
      <c r="H5" s="20" t="str">
        <f>IF(I5="-","-","Буфер")</f>
        <v>Буфер</v>
      </c>
      <c r="I5" s="9">
        <f t="shared" ref="I5:I31" si="1">IFERROR(K5/J5,"-")</f>
        <v>8.5004851546611508</v>
      </c>
      <c r="J5" s="43">
        <f t="shared" ref="J5:J31" si="2">IF(K5="-","-",$C$5)</f>
        <v>4</v>
      </c>
      <c r="K5" s="9">
        <f>IFERROR(J74, "-")</f>
        <v>34.001940618644603</v>
      </c>
      <c r="L5" s="9">
        <f>IFERROR(K5,0)</f>
        <v>34.001940618644603</v>
      </c>
      <c r="M5" s="43" t="str">
        <f>IF(L5="-","-",$C$17)</f>
        <v>LG24</v>
      </c>
      <c r="N5" s="43"/>
      <c r="O5" s="43"/>
      <c r="P5" s="43"/>
      <c r="Q5" s="9"/>
      <c r="R5" s="9">
        <f>IF(L5="-","-",L5)</f>
        <v>34.001940618644603</v>
      </c>
      <c r="S5" s="9"/>
      <c r="T5" s="21">
        <f>IF(K5="-","-",K5)</f>
        <v>34.001940618644603</v>
      </c>
      <c r="U5" s="6"/>
      <c r="V5" s="6"/>
      <c r="W5" s="6"/>
      <c r="X5" s="6"/>
      <c r="Y5" s="6"/>
      <c r="Z5" s="6"/>
      <c r="AA5" s="6"/>
      <c r="AC5">
        <f>AC4+I5+I6</f>
        <v>14.167475257768587</v>
      </c>
      <c r="AD5">
        <f>AC5</f>
        <v>14.167475257768587</v>
      </c>
      <c r="AE5">
        <f>P5</f>
        <v>0</v>
      </c>
      <c r="AF5">
        <f t="shared" si="0"/>
        <v>4</v>
      </c>
      <c r="AI5" t="s">
        <v>29</v>
      </c>
      <c r="AJ5">
        <f>AJ4/(1-C16/100)</f>
        <v>161.91400294592671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SUMIF(M5:M31,C12,L5:L31)</f>
        <v>34.499589977342836</v>
      </c>
      <c r="G6" s="6"/>
      <c r="H6" s="20" t="str">
        <f>IF(I6="-","-","Буфер")</f>
        <v>Буфер</v>
      </c>
      <c r="I6" s="9">
        <f t="shared" si="1"/>
        <v>5.6669901031074357</v>
      </c>
      <c r="J6" s="43">
        <f t="shared" si="2"/>
        <v>4</v>
      </c>
      <c r="K6" s="9">
        <f>IFERROR(J75, "-")</f>
        <v>22.667960412429743</v>
      </c>
      <c r="L6" s="9">
        <f>IFERROR(K6,0)</f>
        <v>22.667960412429743</v>
      </c>
      <c r="M6" s="43" t="str">
        <f>IF(L6="-","-",$C$18)</f>
        <v>DX26</v>
      </c>
      <c r="N6" s="43"/>
      <c r="O6" s="43"/>
      <c r="P6" s="43"/>
      <c r="Q6" s="9"/>
      <c r="R6" s="9">
        <f>IF(L6="-","-",R5+L6)</f>
        <v>56.669901031074346</v>
      </c>
      <c r="S6" s="9"/>
      <c r="T6" s="21">
        <f>IF(K6="-","-",K6+T5)</f>
        <v>56.669901031074346</v>
      </c>
      <c r="U6" s="6"/>
      <c r="V6" s="6"/>
      <c r="W6" s="6"/>
      <c r="X6" s="6"/>
      <c r="Y6" s="6"/>
      <c r="Z6" s="6"/>
      <c r="AA6" s="6"/>
      <c r="AC6" s="5">
        <f t="shared" ref="AC6:AC30" si="3">AC5+I7</f>
        <v>14.910835401160854</v>
      </c>
      <c r="AD6">
        <f>AD5</f>
        <v>14.167475257768587</v>
      </c>
      <c r="AE6">
        <f>O7</f>
        <v>100</v>
      </c>
      <c r="AF6">
        <f t="shared" si="0"/>
        <v>4</v>
      </c>
    </row>
    <row r="7" spans="1:36" ht="15.75" customHeight="1" x14ac:dyDescent="0.25">
      <c r="A7" s="6"/>
      <c r="B7" s="24" t="s">
        <v>31</v>
      </c>
      <c r="C7" s="39">
        <v>2</v>
      </c>
      <c r="D7" s="6"/>
      <c r="E7" s="12" t="str">
        <f>C13</f>
        <v>DX28</v>
      </c>
      <c r="F7" s="62">
        <f>SUMIF(M5:M31,C13,L5:L31)</f>
        <v>48.582548723527026</v>
      </c>
      <c r="G7" s="6"/>
      <c r="H7" s="20" t="str">
        <f t="shared" ref="H7:H31" si="4">IF(I7="-","-","Пропант")</f>
        <v>Пропант</v>
      </c>
      <c r="I7" s="9">
        <f t="shared" si="1"/>
        <v>0.74336014339226719</v>
      </c>
      <c r="J7" s="43">
        <f t="shared" si="2"/>
        <v>4</v>
      </c>
      <c r="K7" s="9">
        <f t="shared" ref="K7:K31" si="5">IFERROR(L7+Q7/(IF(N7=$C$8,$G$103,$G$104)*1000),"-")</f>
        <v>2.9734405735690688</v>
      </c>
      <c r="L7" s="9">
        <f t="shared" ref="L7:L31" si="6">IFERROR(Q7/O7,"-")</f>
        <v>2.8701961092090316</v>
      </c>
      <c r="M7" s="43" t="str">
        <f t="shared" ref="M7:M31" si="7">IF(L7="-","-",IF(P7&lt;=$C$14,$C$11,IF(P7&gt;$C$15,$C$13,$C$12)))</f>
        <v>LG28</v>
      </c>
      <c r="N7" s="43" t="str">
        <f t="shared" ref="N7:N31" si="8">IF(P7="-","-",IF(P7&lt;$C$10,$C$8,$C$9))</f>
        <v>20/40 Новатэк</v>
      </c>
      <c r="O7" s="43">
        <f>IFERROR(O6+($C$4-O6)/($J$78-D5),"-")</f>
        <v>100</v>
      </c>
      <c r="P7" s="43">
        <f t="shared" ref="P7:P31" si="9">O7</f>
        <v>100</v>
      </c>
      <c r="Q7" s="9">
        <f>IF(S7="-","-",S7)</f>
        <v>287.01961092090318</v>
      </c>
      <c r="R7" s="9">
        <f t="shared" ref="R7:R31" si="10">IFERROR(IF(L7="-","-",R6+L7),"-")</f>
        <v>59.540097140283379</v>
      </c>
      <c r="S7" s="9">
        <f t="shared" ref="S7:S31" si="11">IF(G76="-","-",G76*$C$3*1000)</f>
        <v>287.01961092090318</v>
      </c>
      <c r="T7" s="21">
        <f t="shared" ref="T7:T31" si="12">IFERROR(IF(K7="-","-",T6+K7),"-")</f>
        <v>59.643341604643417</v>
      </c>
      <c r="U7" s="6"/>
      <c r="V7" s="6"/>
      <c r="W7" s="6"/>
      <c r="X7" s="6"/>
      <c r="Y7" s="6"/>
      <c r="Z7" s="6"/>
      <c r="AA7" s="6"/>
      <c r="AC7" s="5">
        <f t="shared" si="3"/>
        <v>16.233147668046733</v>
      </c>
      <c r="AD7" s="5">
        <f>AC6</f>
        <v>14.910835401160854</v>
      </c>
      <c r="AE7">
        <f>P7</f>
        <v>100</v>
      </c>
      <c r="AF7">
        <f t="shared" si="0"/>
        <v>4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SUM(L5:L31)</f>
        <v>139.75203973194422</v>
      </c>
      <c r="G8" s="6"/>
      <c r="H8" s="20" t="str">
        <f t="shared" si="4"/>
        <v>Пропант</v>
      </c>
      <c r="I8" s="9">
        <f t="shared" si="1"/>
        <v>1.3223122668858798</v>
      </c>
      <c r="J8" s="43">
        <f t="shared" si="2"/>
        <v>4</v>
      </c>
      <c r="K8" s="9">
        <f t="shared" si="5"/>
        <v>5.2892490675435191</v>
      </c>
      <c r="L8" s="9">
        <f t="shared" si="6"/>
        <v>4.9342659086479808</v>
      </c>
      <c r="M8" s="43" t="str">
        <f t="shared" si="7"/>
        <v>LG28</v>
      </c>
      <c r="N8" s="43" t="str">
        <f t="shared" si="8"/>
        <v>20/40 Новатэк</v>
      </c>
      <c r="O8" s="43">
        <f t="shared" ref="O8:O31" si="13">IFERROR(O7+($C$4-O7)/($J$78-E76),"-")</f>
        <v>200</v>
      </c>
      <c r="P8" s="43">
        <f t="shared" si="9"/>
        <v>200</v>
      </c>
      <c r="Q8" s="9">
        <f t="shared" ref="Q8:Q31" si="14">IF(S8="-","-",S8-S7)</f>
        <v>986.85318172959614</v>
      </c>
      <c r="R8" s="9">
        <f t="shared" si="10"/>
        <v>64.474363048931366</v>
      </c>
      <c r="S8" s="9">
        <f t="shared" si="11"/>
        <v>1273.8727926504994</v>
      </c>
      <c r="T8" s="21">
        <f t="shared" si="12"/>
        <v>64.932590672186933</v>
      </c>
      <c r="U8" s="6"/>
      <c r="V8" s="6"/>
      <c r="W8" s="6"/>
      <c r="X8" s="6"/>
      <c r="Y8" s="6"/>
      <c r="Z8" s="6"/>
      <c r="AA8" s="6"/>
      <c r="AC8">
        <f t="shared" si="3"/>
        <v>17.869234891233479</v>
      </c>
      <c r="AD8" s="5">
        <f>AD7</f>
        <v>14.910835401160854</v>
      </c>
      <c r="AE8">
        <f>O8</f>
        <v>200</v>
      </c>
      <c r="AF8">
        <f t="shared" si="0"/>
        <v>4</v>
      </c>
      <c r="AI8">
        <f>C3/AJ4</f>
        <v>0.57010320681479076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1.6360872231867454</v>
      </c>
      <c r="J9" s="43">
        <f t="shared" si="2"/>
        <v>4</v>
      </c>
      <c r="K9" s="9">
        <f t="shared" si="5"/>
        <v>6.5443488927469815</v>
      </c>
      <c r="L9" s="9">
        <f t="shared" si="6"/>
        <v>5.9069123122846134</v>
      </c>
      <c r="M9" s="43" t="str">
        <f t="shared" si="7"/>
        <v>LG28</v>
      </c>
      <c r="N9" s="43" t="str">
        <f t="shared" si="8"/>
        <v>20/40 Новатэк</v>
      </c>
      <c r="O9" s="43">
        <f t="shared" si="13"/>
        <v>300</v>
      </c>
      <c r="P9" s="43">
        <f t="shared" si="9"/>
        <v>300</v>
      </c>
      <c r="Q9" s="9">
        <f t="shared" si="14"/>
        <v>1772.0736936853841</v>
      </c>
      <c r="R9" s="9">
        <f t="shared" si="10"/>
        <v>70.381275361215984</v>
      </c>
      <c r="S9" s="9">
        <f t="shared" si="11"/>
        <v>3045.9464863358835</v>
      </c>
      <c r="T9" s="21">
        <f t="shared" si="12"/>
        <v>71.476939564933915</v>
      </c>
      <c r="U9" s="6"/>
      <c r="V9" s="6"/>
      <c r="W9" s="6"/>
      <c r="X9" s="6"/>
      <c r="Y9" s="6"/>
      <c r="Z9" s="6"/>
      <c r="AA9" s="6"/>
      <c r="AC9">
        <f t="shared" si="3"/>
        <v>19.733663573423673</v>
      </c>
      <c r="AD9">
        <f>AC7</f>
        <v>16.233147668046733</v>
      </c>
      <c r="AE9">
        <f>P8</f>
        <v>200</v>
      </c>
      <c r="AF9">
        <f t="shared" si="0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1.8644286821901928</v>
      </c>
      <c r="J10" s="43">
        <f t="shared" si="2"/>
        <v>4</v>
      </c>
      <c r="K10" s="9">
        <f t="shared" si="5"/>
        <v>7.457714728760771</v>
      </c>
      <c r="L10" s="9">
        <f t="shared" si="6"/>
        <v>6.5196374043883472</v>
      </c>
      <c r="M10" s="43" t="str">
        <f t="shared" si="7"/>
        <v>LG28</v>
      </c>
      <c r="N10" s="43" t="str">
        <f t="shared" si="8"/>
        <v>20/40 Новатэк</v>
      </c>
      <c r="O10" s="43">
        <f t="shared" si="13"/>
        <v>400</v>
      </c>
      <c r="P10" s="43">
        <f t="shared" si="9"/>
        <v>400</v>
      </c>
      <c r="Q10" s="9">
        <f t="shared" si="14"/>
        <v>2607.854961755339</v>
      </c>
      <c r="R10" s="9">
        <f t="shared" si="10"/>
        <v>76.900912765604332</v>
      </c>
      <c r="S10" s="9">
        <f t="shared" si="11"/>
        <v>5653.8014480912225</v>
      </c>
      <c r="T10" s="21">
        <f t="shared" si="12"/>
        <v>78.934654293694692</v>
      </c>
      <c r="U10" s="6"/>
      <c r="V10" s="6"/>
      <c r="W10" s="6"/>
      <c r="X10" s="6"/>
      <c r="Y10" s="6"/>
      <c r="Z10" s="6"/>
      <c r="AA10" s="6"/>
      <c r="AC10">
        <f t="shared" si="3"/>
        <v>21.79645306858362</v>
      </c>
      <c r="AD10">
        <f>AD9</f>
        <v>16.233147668046733</v>
      </c>
      <c r="AE10">
        <f>O9</f>
        <v>300</v>
      </c>
      <c r="AF10">
        <f t="shared" si="0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IF(E11="","",SUMIF(N5:N31,C8,Q5:Q31)/1000)</f>
        <v>5.6538014480912224</v>
      </c>
      <c r="G11" s="6"/>
      <c r="H11" s="20" t="str">
        <f t="shared" si="4"/>
        <v>Пропант</v>
      </c>
      <c r="I11" s="9">
        <f t="shared" si="1"/>
        <v>2.0627894951599473</v>
      </c>
      <c r="J11" s="43">
        <f t="shared" si="2"/>
        <v>4</v>
      </c>
      <c r="K11" s="9">
        <f t="shared" si="5"/>
        <v>8.251157980639789</v>
      </c>
      <c r="L11" s="9">
        <f t="shared" si="6"/>
        <v>6.961914546164822</v>
      </c>
      <c r="M11" s="43" t="str">
        <f t="shared" si="7"/>
        <v>LG28</v>
      </c>
      <c r="N11" s="43" t="str">
        <f t="shared" si="8"/>
        <v>16/20 Новатэк</v>
      </c>
      <c r="O11" s="43">
        <f t="shared" si="13"/>
        <v>500</v>
      </c>
      <c r="P11" s="43">
        <f t="shared" si="9"/>
        <v>500</v>
      </c>
      <c r="Q11" s="9">
        <f t="shared" si="14"/>
        <v>3480.9572730824111</v>
      </c>
      <c r="R11" s="9">
        <f t="shared" si="10"/>
        <v>83.862827311769152</v>
      </c>
      <c r="S11" s="9">
        <f t="shared" si="11"/>
        <v>9134.7587211736336</v>
      </c>
      <c r="T11" s="21">
        <f t="shared" si="12"/>
        <v>87.185812274334481</v>
      </c>
      <c r="U11" s="6"/>
      <c r="V11" s="6"/>
      <c r="W11" s="6"/>
      <c r="X11" s="6"/>
      <c r="Y11" s="6"/>
      <c r="Z11" s="6"/>
      <c r="AA11" s="6"/>
      <c r="AC11">
        <f t="shared" si="3"/>
        <v>24.029044753670519</v>
      </c>
      <c r="AD11">
        <f>AC8</f>
        <v>17.869234891233479</v>
      </c>
      <c r="AE11">
        <f>P9</f>
        <v>300</v>
      </c>
      <c r="AF11">
        <f t="shared" si="0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SUMIF(N5:N31,C9,Q5:Q31)/1000</f>
        <v>54.346198551908778</v>
      </c>
      <c r="G12" s="6"/>
      <c r="H12" s="20" t="str">
        <f t="shared" si="4"/>
        <v>Пропант</v>
      </c>
      <c r="I12" s="9">
        <f t="shared" si="1"/>
        <v>2.2325916850868999</v>
      </c>
      <c r="J12" s="43">
        <f t="shared" si="2"/>
        <v>4</v>
      </c>
      <c r="K12" s="9">
        <f t="shared" si="5"/>
        <v>8.9303667403475995</v>
      </c>
      <c r="L12" s="9">
        <f t="shared" si="6"/>
        <v>7.3066636966480356</v>
      </c>
      <c r="M12" s="43" t="str">
        <f t="shared" si="7"/>
        <v>LG28</v>
      </c>
      <c r="N12" s="43" t="str">
        <f t="shared" si="8"/>
        <v>16/20 Новатэк</v>
      </c>
      <c r="O12" s="43">
        <f t="shared" si="13"/>
        <v>600</v>
      </c>
      <c r="P12" s="43">
        <f t="shared" si="9"/>
        <v>600</v>
      </c>
      <c r="Q12" s="9">
        <f t="shared" si="14"/>
        <v>4383.9982179888211</v>
      </c>
      <c r="R12" s="9">
        <f t="shared" si="10"/>
        <v>91.169491008417182</v>
      </c>
      <c r="S12" s="9">
        <f t="shared" si="11"/>
        <v>13518.756939162455</v>
      </c>
      <c r="T12" s="21">
        <f t="shared" si="12"/>
        <v>96.116179014682075</v>
      </c>
      <c r="U12" s="6"/>
      <c r="V12" s="6"/>
      <c r="W12" s="6"/>
      <c r="X12" s="6"/>
      <c r="Y12" s="6"/>
      <c r="Z12" s="6"/>
      <c r="AA12" s="6"/>
      <c r="AC12">
        <f t="shared" si="3"/>
        <v>26.418128769040216</v>
      </c>
      <c r="AD12">
        <f>AD11</f>
        <v>17.869234891233479</v>
      </c>
      <c r="AE12">
        <f>O10</f>
        <v>400</v>
      </c>
      <c r="AF12">
        <f t="shared" si="0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60</v>
      </c>
      <c r="G13" s="6"/>
      <c r="H13" s="20" t="str">
        <f t="shared" si="4"/>
        <v>Пропант</v>
      </c>
      <c r="I13" s="9">
        <f t="shared" si="1"/>
        <v>2.3890840153696953</v>
      </c>
      <c r="J13" s="43">
        <f t="shared" si="2"/>
        <v>4</v>
      </c>
      <c r="K13" s="9">
        <f t="shared" si="5"/>
        <v>9.5563360614787811</v>
      </c>
      <c r="L13" s="9">
        <f t="shared" si="6"/>
        <v>7.588855107644914</v>
      </c>
      <c r="M13" s="43" t="str">
        <f t="shared" si="7"/>
        <v>DX28</v>
      </c>
      <c r="N13" s="43" t="str">
        <f t="shared" si="8"/>
        <v>16/20 Новатэк</v>
      </c>
      <c r="O13" s="43">
        <f t="shared" si="13"/>
        <v>700</v>
      </c>
      <c r="P13" s="43">
        <f t="shared" si="9"/>
        <v>700</v>
      </c>
      <c r="Q13" s="9">
        <f t="shared" si="14"/>
        <v>5312.19857535144</v>
      </c>
      <c r="R13" s="9">
        <f t="shared" si="10"/>
        <v>98.7583461160621</v>
      </c>
      <c r="S13" s="9">
        <f t="shared" si="11"/>
        <v>18830.955514513895</v>
      </c>
      <c r="T13" s="21">
        <f t="shared" si="12"/>
        <v>105.67251507616086</v>
      </c>
      <c r="U13" s="6"/>
      <c r="V13" s="6"/>
      <c r="W13" s="6"/>
      <c r="X13" s="6"/>
      <c r="Y13" s="6"/>
      <c r="Z13" s="6"/>
      <c r="AA13" s="6"/>
      <c r="AC13">
        <f t="shared" si="3"/>
        <v>28.954894108194303</v>
      </c>
      <c r="AD13">
        <f>AC9</f>
        <v>19.733663573423673</v>
      </c>
      <c r="AE13">
        <f>P10</f>
        <v>400</v>
      </c>
      <c r="AF13">
        <f t="shared" si="0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2.536765339154087</v>
      </c>
      <c r="J14" s="43">
        <f t="shared" si="2"/>
        <v>4</v>
      </c>
      <c r="K14" s="9">
        <f t="shared" si="5"/>
        <v>10.147061356616348</v>
      </c>
      <c r="L14" s="9">
        <f t="shared" si="6"/>
        <v>7.8277330465326118</v>
      </c>
      <c r="M14" s="43" t="str">
        <f t="shared" si="7"/>
        <v>DX28</v>
      </c>
      <c r="N14" s="43" t="str">
        <f t="shared" si="8"/>
        <v>16/20 Новатэк</v>
      </c>
      <c r="O14" s="43">
        <f t="shared" si="13"/>
        <v>800</v>
      </c>
      <c r="P14" s="43">
        <f t="shared" si="9"/>
        <v>800</v>
      </c>
      <c r="Q14" s="9">
        <f t="shared" si="14"/>
        <v>6262.1864372260898</v>
      </c>
      <c r="R14" s="9">
        <f t="shared" si="10"/>
        <v>106.58607916259471</v>
      </c>
      <c r="S14" s="9">
        <f t="shared" si="11"/>
        <v>25093.141951739985</v>
      </c>
      <c r="T14" s="21">
        <f t="shared" si="12"/>
        <v>115.81957643277721</v>
      </c>
      <c r="U14" s="6"/>
      <c r="V14" s="6"/>
      <c r="W14" s="6"/>
      <c r="X14" s="6"/>
      <c r="Y14" s="6"/>
      <c r="Z14" s="6"/>
      <c r="AA14" s="6"/>
      <c r="AC14" s="5">
        <f t="shared" si="3"/>
        <v>31.633206590553378</v>
      </c>
      <c r="AD14">
        <f>AD13</f>
        <v>19.733663573423673</v>
      </c>
      <c r="AE14">
        <f>O11</f>
        <v>500</v>
      </c>
      <c r="AF14">
        <f t="shared" si="0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4"/>
        <v>Пропант</v>
      </c>
      <c r="I15" s="9">
        <f t="shared" si="1"/>
        <v>2.6783124823590736</v>
      </c>
      <c r="J15" s="43">
        <f t="shared" si="2"/>
        <v>4</v>
      </c>
      <c r="K15" s="9">
        <f t="shared" si="5"/>
        <v>10.713249929436294</v>
      </c>
      <c r="L15" s="9">
        <f t="shared" si="6"/>
        <v>8.0349374470772208</v>
      </c>
      <c r="M15" s="43" t="str">
        <f t="shared" si="7"/>
        <v>DX28</v>
      </c>
      <c r="N15" s="43" t="str">
        <f t="shared" si="8"/>
        <v>16/20 Новатэк</v>
      </c>
      <c r="O15" s="43">
        <f t="shared" si="13"/>
        <v>900</v>
      </c>
      <c r="P15" s="43">
        <f t="shared" si="9"/>
        <v>900</v>
      </c>
      <c r="Q15" s="9">
        <f t="shared" si="14"/>
        <v>7231.4437023694991</v>
      </c>
      <c r="R15" s="9">
        <f t="shared" si="10"/>
        <v>114.62101660967194</v>
      </c>
      <c r="S15" s="9">
        <f t="shared" si="11"/>
        <v>32324.585654109484</v>
      </c>
      <c r="T15" s="21">
        <f t="shared" si="12"/>
        <v>126.53282636221351</v>
      </c>
      <c r="U15" s="6"/>
      <c r="V15" s="6"/>
      <c r="W15" s="6"/>
      <c r="X15" s="6"/>
      <c r="Y15" s="6"/>
      <c r="Z15" s="6"/>
      <c r="AA15" s="6"/>
      <c r="AC15">
        <f t="shared" si="3"/>
        <v>34.448636625113338</v>
      </c>
      <c r="AD15">
        <f>AC10</f>
        <v>21.79645306858362</v>
      </c>
      <c r="AE15">
        <f>P11</f>
        <v>500</v>
      </c>
      <c r="AF15">
        <f t="shared" si="0"/>
        <v>4</v>
      </c>
      <c r="AH15">
        <v>2</v>
      </c>
      <c r="AI15">
        <v>2.15</v>
      </c>
    </row>
    <row r="16" spans="1:36" ht="15.75" customHeight="1" x14ac:dyDescent="0.25">
      <c r="A16" s="6"/>
      <c r="B16" s="35" t="s">
        <v>135</v>
      </c>
      <c r="C16" s="39">
        <v>35</v>
      </c>
      <c r="D16" s="6"/>
      <c r="E16" s="10"/>
      <c r="F16" s="11"/>
      <c r="G16" s="6"/>
      <c r="H16" s="20" t="str">
        <f t="shared" si="4"/>
        <v>Пропант</v>
      </c>
      <c r="I16" s="9">
        <f t="shared" si="1"/>
        <v>2.8154300345599581</v>
      </c>
      <c r="J16" s="43">
        <f t="shared" si="2"/>
        <v>4</v>
      </c>
      <c r="K16" s="9">
        <f t="shared" si="5"/>
        <v>11.261720138239832</v>
      </c>
      <c r="L16" s="9">
        <f t="shared" si="6"/>
        <v>8.2180119927696076</v>
      </c>
      <c r="M16" s="43" t="str">
        <f t="shared" si="7"/>
        <v>DX28</v>
      </c>
      <c r="N16" s="43" t="str">
        <f t="shared" si="8"/>
        <v>16/20 Новатэк</v>
      </c>
      <c r="O16" s="43">
        <f t="shared" si="13"/>
        <v>1000</v>
      </c>
      <c r="P16" s="43">
        <f t="shared" si="9"/>
        <v>1000</v>
      </c>
      <c r="Q16" s="9">
        <f t="shared" si="14"/>
        <v>8218.0119927696069</v>
      </c>
      <c r="R16" s="9">
        <f t="shared" si="10"/>
        <v>122.83902860244154</v>
      </c>
      <c r="S16" s="9">
        <f t="shared" si="11"/>
        <v>40542.59764687909</v>
      </c>
      <c r="T16" s="21">
        <f t="shared" si="12"/>
        <v>137.79454650045335</v>
      </c>
      <c r="U16" s="6"/>
      <c r="V16" s="6"/>
      <c r="W16" s="6"/>
      <c r="X16" s="6"/>
      <c r="Y16" s="6"/>
      <c r="Z16" s="6"/>
      <c r="AA16" s="6"/>
      <c r="AC16">
        <f t="shared" si="3"/>
        <v>37.397897559069577</v>
      </c>
      <c r="AD16">
        <f>AD15</f>
        <v>21.79645306858362</v>
      </c>
      <c r="AE16">
        <f>O12</f>
        <v>600</v>
      </c>
      <c r="AF16">
        <f t="shared" si="0"/>
        <v>4</v>
      </c>
      <c r="AH16">
        <v>3</v>
      </c>
      <c r="AI16">
        <v>2.2999999999999998</v>
      </c>
    </row>
    <row r="17" spans="1:40" ht="19.5" customHeight="1" x14ac:dyDescent="0.25">
      <c r="A17" s="6"/>
      <c r="B17" s="24" t="s">
        <v>50</v>
      </c>
      <c r="C17" s="39" t="s">
        <v>51</v>
      </c>
      <c r="D17" s="6"/>
      <c r="E17" s="77" t="s">
        <v>49</v>
      </c>
      <c r="F17" s="66"/>
      <c r="G17" s="6"/>
      <c r="H17" s="20" t="str">
        <f t="shared" si="4"/>
        <v>Пропант</v>
      </c>
      <c r="I17" s="9">
        <f t="shared" si="1"/>
        <v>2.9492609339562366</v>
      </c>
      <c r="J17" s="43">
        <f t="shared" si="2"/>
        <v>4</v>
      </c>
      <c r="K17" s="9">
        <f t="shared" si="5"/>
        <v>11.797043735824946</v>
      </c>
      <c r="L17" s="9">
        <f t="shared" si="6"/>
        <v>8.3821100228229888</v>
      </c>
      <c r="M17" s="43" t="str">
        <f t="shared" si="7"/>
        <v>DX28</v>
      </c>
      <c r="N17" s="43" t="str">
        <f t="shared" si="8"/>
        <v>16/20 Новатэк</v>
      </c>
      <c r="O17" s="43">
        <f t="shared" si="13"/>
        <v>1100</v>
      </c>
      <c r="P17" s="43">
        <f t="shared" si="9"/>
        <v>1100</v>
      </c>
      <c r="Q17" s="9">
        <f t="shared" si="14"/>
        <v>9220.3210251052878</v>
      </c>
      <c r="R17" s="9">
        <f t="shared" si="10"/>
        <v>131.22113862526453</v>
      </c>
      <c r="S17" s="9">
        <f t="shared" si="11"/>
        <v>49762.918671984378</v>
      </c>
      <c r="T17" s="21">
        <f t="shared" si="12"/>
        <v>149.59159023627831</v>
      </c>
      <c r="U17" s="6"/>
      <c r="V17" s="6"/>
      <c r="W17" s="6"/>
      <c r="X17" s="6"/>
      <c r="Y17" s="6"/>
      <c r="Z17" s="6"/>
      <c r="AA17" s="6"/>
      <c r="AC17">
        <f t="shared" si="3"/>
        <v>40.478500736481685</v>
      </c>
      <c r="AD17">
        <f>AC11</f>
        <v>24.029044753670519</v>
      </c>
      <c r="AE17">
        <f>P12</f>
        <v>600</v>
      </c>
      <c r="AF17">
        <f t="shared" si="0"/>
        <v>4</v>
      </c>
    </row>
    <row r="18" spans="1:40" ht="15.75" customHeight="1" x14ac:dyDescent="0.25">
      <c r="A18" s="6"/>
      <c r="B18" s="24" t="s">
        <v>53</v>
      </c>
      <c r="C18" s="39" t="s">
        <v>54</v>
      </c>
      <c r="D18" s="6"/>
      <c r="E18" s="65">
        <f>IFERROR(C3/SUM(L5:L31), "-")</f>
        <v>0.4293318374106373</v>
      </c>
      <c r="F18" s="66"/>
      <c r="G18" s="6"/>
      <c r="H18" s="20" t="str">
        <f t="shared" si="4"/>
        <v>Пропант</v>
      </c>
      <c r="I18" s="9">
        <f t="shared" si="1"/>
        <v>3.0806031774121085</v>
      </c>
      <c r="J18" s="43">
        <f t="shared" si="2"/>
        <v>4</v>
      </c>
      <c r="K18" s="9">
        <f t="shared" si="5"/>
        <v>12.322412709648434</v>
      </c>
      <c r="L18" s="9">
        <f t="shared" si="6"/>
        <v>8.5309011066796856</v>
      </c>
      <c r="M18" s="43" t="str">
        <f t="shared" si="7"/>
        <v>DX28</v>
      </c>
      <c r="N18" s="43" t="str">
        <f t="shared" si="8"/>
        <v>16/20 Новатэк</v>
      </c>
      <c r="O18" s="43">
        <f t="shared" si="13"/>
        <v>1200</v>
      </c>
      <c r="P18" s="43">
        <f t="shared" si="9"/>
        <v>1200</v>
      </c>
      <c r="Q18" s="9">
        <f t="shared" si="14"/>
        <v>10237.081328015622</v>
      </c>
      <c r="R18" s="9">
        <f t="shared" si="10"/>
        <v>139.75203973194422</v>
      </c>
      <c r="S18" s="9">
        <f t="shared" si="11"/>
        <v>60000</v>
      </c>
      <c r="T18" s="21">
        <f t="shared" si="12"/>
        <v>161.91400294592674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24.029044753670519</v>
      </c>
      <c r="AE18">
        <f>O13</f>
        <v>700</v>
      </c>
      <c r="AF18">
        <f t="shared" si="0"/>
        <v>4</v>
      </c>
      <c r="AH18" s="44" t="s">
        <v>52</v>
      </c>
      <c r="AI18" s="2">
        <f>IF(C7=-3,AI10,IF(C7=-2,AI11,IF(C7=-1,AI12,IF(C7=0,AI13,IF(C7=1,AI14,IF(C7=2,AI15,IF(C7=3,AI16)))))))</f>
        <v>2.15</v>
      </c>
    </row>
    <row r="19" spans="1:40" ht="15.75" customHeight="1" x14ac:dyDescent="0.25">
      <c r="A19" s="6"/>
      <c r="B19" s="24" t="s">
        <v>55</v>
      </c>
      <c r="C19" s="39">
        <v>60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13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26.418128769040216</v>
      </c>
      <c r="AE19">
        <f>P13</f>
        <v>700</v>
      </c>
      <c r="AF19">
        <f t="shared" si="0"/>
        <v>4</v>
      </c>
    </row>
    <row r="20" spans="1:40" ht="16.5" customHeight="1" thickBot="1" x14ac:dyDescent="0.3">
      <c r="A20" s="6"/>
      <c r="B20" s="33" t="s">
        <v>56</v>
      </c>
      <c r="C20" s="56">
        <f>100-C19</f>
        <v>40</v>
      </c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13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26.418128769040216</v>
      </c>
      <c r="AE20">
        <f>O14</f>
        <v>800</v>
      </c>
      <c r="AF20">
        <f t="shared" si="0"/>
        <v>4</v>
      </c>
    </row>
    <row r="21" spans="1:40" ht="15.75" customHeight="1" x14ac:dyDescent="0.25">
      <c r="A21" s="6"/>
      <c r="B21" s="24" t="s">
        <v>58</v>
      </c>
      <c r="C21" s="39" t="s">
        <v>59</v>
      </c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13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28.954894108194303</v>
      </c>
      <c r="AE21">
        <f>P14</f>
        <v>800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8.75" customHeight="1" thickBot="1" x14ac:dyDescent="0.3">
      <c r="A22" s="6"/>
      <c r="B22" s="27" t="s">
        <v>65</v>
      </c>
      <c r="C22" s="47">
        <v>15</v>
      </c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13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28.954894108194303</v>
      </c>
      <c r="AE22">
        <f>O15</f>
        <v>900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13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31.633206590553378</v>
      </c>
      <c r="AE23">
        <f>P15</f>
        <v>900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13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31.633206590553378</v>
      </c>
      <c r="AE24">
        <f>O16</f>
        <v>1000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13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>
        <f>AC15</f>
        <v>34.448636625113338</v>
      </c>
      <c r="AE25">
        <f>P16</f>
        <v>1000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13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>
        <f>AD25</f>
        <v>34.448636625113338</v>
      </c>
      <c r="AE26">
        <f>O17</f>
        <v>1100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13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>
        <f>AC16</f>
        <v>37.397897559069577</v>
      </c>
      <c r="AE27">
        <f>P17</f>
        <v>1100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13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>
        <f>AD27</f>
        <v>37.397897559069577</v>
      </c>
      <c r="AE28">
        <f>O18</f>
        <v>1200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13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>
        <f>AC17</f>
        <v>40.478500736481685</v>
      </c>
      <c r="AE29">
        <f>P18</f>
        <v>1200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13"/>
        <v>-</v>
      </c>
      <c r="P30" s="43" t="str">
        <f t="shared" si="9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>
        <f>AD29</f>
        <v>40.478500736481685</v>
      </c>
      <c r="AE30" t="str">
        <f>O19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4"/>
        <v>-</v>
      </c>
      <c r="I31" s="23" t="str">
        <f t="shared" si="1"/>
        <v>-</v>
      </c>
      <c r="J31" s="48" t="str">
        <f t="shared" si="2"/>
        <v>-</v>
      </c>
      <c r="K31" s="23" t="str">
        <f t="shared" si="5"/>
        <v>-</v>
      </c>
      <c r="L31" s="23" t="str">
        <f t="shared" si="6"/>
        <v>-</v>
      </c>
      <c r="M31" s="48" t="str">
        <f t="shared" si="7"/>
        <v>-</v>
      </c>
      <c r="N31" s="48" t="str">
        <f t="shared" si="8"/>
        <v>-</v>
      </c>
      <c r="O31" s="48" t="str">
        <f t="shared" si="13"/>
        <v>-</v>
      </c>
      <c r="P31" s="48" t="str">
        <f t="shared" si="9"/>
        <v>-</v>
      </c>
      <c r="Q31" s="23" t="str">
        <f t="shared" si="14"/>
        <v>-</v>
      </c>
      <c r="R31" s="23" t="str">
        <f t="shared" si="10"/>
        <v>-</v>
      </c>
      <c r="S31" s="23" t="str">
        <f t="shared" si="11"/>
        <v>-</v>
      </c>
      <c r="T31" s="36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P19</f>
        <v>-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O20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P20</f>
        <v>-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O21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P21</f>
        <v>-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O22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P22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O23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P23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O24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P24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O25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P25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O26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P26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O27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P27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O28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P28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O29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P29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O30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P30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O31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56.669901031074346</v>
      </c>
    </row>
    <row r="74" spans="1:27" x14ac:dyDescent="0.25">
      <c r="F74" s="52"/>
      <c r="G74" s="52"/>
      <c r="I74" s="54" t="s">
        <v>125</v>
      </c>
      <c r="J74" s="54">
        <f>C19/100*J73</f>
        <v>34.001940618644603</v>
      </c>
    </row>
    <row r="75" spans="1:27" x14ac:dyDescent="0.25">
      <c r="F75" s="52"/>
      <c r="G75" s="52"/>
      <c r="I75" s="54" t="s">
        <v>126</v>
      </c>
      <c r="J75" s="54">
        <f>J73-J74</f>
        <v>22.667960412429743</v>
      </c>
    </row>
    <row r="76" spans="1:27" x14ac:dyDescent="0.25">
      <c r="E76">
        <v>1</v>
      </c>
      <c r="F76" s="53">
        <f t="shared" ref="F76:F100" si="17">IF(O7="-","-",O7/$C$4)</f>
        <v>8.3333333333333329E-2</v>
      </c>
      <c r="G76" s="53">
        <f t="shared" ref="G76:G100" si="18">IF(F76="-","-",F76^$AI$18)</f>
        <v>4.7836601820150527E-3</v>
      </c>
    </row>
    <row r="77" spans="1:27" x14ac:dyDescent="0.25">
      <c r="E77">
        <v>2</v>
      </c>
      <c r="F77" s="53">
        <f t="shared" si="17"/>
        <v>0.16666666666666666</v>
      </c>
      <c r="G77" s="53">
        <f t="shared" si="18"/>
        <v>2.1231213210841655E-2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0.25</v>
      </c>
      <c r="G78" s="53">
        <f t="shared" si="18"/>
        <v>5.0765774772264724E-2</v>
      </c>
      <c r="I78" s="54" t="s">
        <v>128</v>
      </c>
      <c r="J78" s="54">
        <f>C4/C6</f>
        <v>12</v>
      </c>
    </row>
    <row r="79" spans="1:27" x14ac:dyDescent="0.25">
      <c r="E79">
        <v>4</v>
      </c>
      <c r="F79" s="53">
        <f t="shared" si="17"/>
        <v>0.33333333333333331</v>
      </c>
      <c r="G79" s="53">
        <f t="shared" si="18"/>
        <v>9.4230024134853707E-2</v>
      </c>
      <c r="I79" s="54" t="s">
        <v>129</v>
      </c>
      <c r="J79" s="54">
        <f>(1-C16/100)^2+J77</f>
        <v>0.47250000000000003</v>
      </c>
    </row>
    <row r="80" spans="1:27" x14ac:dyDescent="0.25">
      <c r="E80">
        <v>5</v>
      </c>
      <c r="F80" s="53">
        <f t="shared" si="17"/>
        <v>0.41666666666666669</v>
      </c>
      <c r="G80" s="53">
        <f t="shared" si="18"/>
        <v>0.15224597868622725</v>
      </c>
    </row>
    <row r="81" spans="5:7" x14ac:dyDescent="0.25">
      <c r="E81">
        <v>6</v>
      </c>
      <c r="F81" s="53">
        <f t="shared" si="17"/>
        <v>0.5</v>
      </c>
      <c r="G81" s="53">
        <f t="shared" si="18"/>
        <v>0.22531261565270758</v>
      </c>
    </row>
    <row r="82" spans="5:7" x14ac:dyDescent="0.25">
      <c r="E82">
        <v>7</v>
      </c>
      <c r="F82" s="53">
        <f t="shared" si="17"/>
        <v>0.58333333333333337</v>
      </c>
      <c r="G82" s="53">
        <f t="shared" si="18"/>
        <v>0.3138492585752316</v>
      </c>
    </row>
    <row r="83" spans="5:7" x14ac:dyDescent="0.25">
      <c r="E83">
        <v>8</v>
      </c>
      <c r="F83" s="53">
        <f t="shared" si="17"/>
        <v>0.66666666666666663</v>
      </c>
      <c r="G83" s="53">
        <f t="shared" si="18"/>
        <v>0.41821903252899972</v>
      </c>
    </row>
    <row r="84" spans="5:7" x14ac:dyDescent="0.25">
      <c r="E84">
        <v>9</v>
      </c>
      <c r="F84" s="53">
        <f t="shared" si="17"/>
        <v>0.75</v>
      </c>
      <c r="G84" s="53">
        <f t="shared" si="18"/>
        <v>0.53874309423515809</v>
      </c>
    </row>
    <row r="85" spans="5:7" x14ac:dyDescent="0.25">
      <c r="E85">
        <v>10</v>
      </c>
      <c r="F85" s="53">
        <f t="shared" si="17"/>
        <v>0.83333333333333337</v>
      </c>
      <c r="G85" s="53">
        <f t="shared" si="18"/>
        <v>0.67570996078131818</v>
      </c>
    </row>
    <row r="86" spans="5:7" x14ac:dyDescent="0.25">
      <c r="E86">
        <v>11</v>
      </c>
      <c r="F86" s="53">
        <f t="shared" si="17"/>
        <v>0.91666666666666663</v>
      </c>
      <c r="G86" s="53">
        <f t="shared" si="18"/>
        <v>0.82938197786640633</v>
      </c>
    </row>
    <row r="87" spans="5:7" x14ac:dyDescent="0.25">
      <c r="E87">
        <v>12</v>
      </c>
      <c r="F87" s="53">
        <f t="shared" si="17"/>
        <v>1</v>
      </c>
      <c r="G87" s="53">
        <f t="shared" si="18"/>
        <v>1</v>
      </c>
    </row>
    <row r="88" spans="5:7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7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7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7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7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7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7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7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7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21 C17:C18">
      <formula1>$AK$23:$AK$58</formula1>
    </dataValidation>
  </dataValidation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workbookViewId="0">
      <selection activeCell="F23" sqref="F23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33" width="9.140625" style="64" customWidth="1"/>
    <col min="34" max="34" width="10" style="64" bestFit="1" customWidth="1"/>
    <col min="35" max="35" width="16.28515625" style="64" customWidth="1"/>
    <col min="36" max="38" width="9.140625" style="64" customWidth="1"/>
    <col min="39" max="39" width="13.85546875" style="64" bestFit="1" customWidth="1"/>
    <col min="40" max="40" width="10.140625" style="64" bestFit="1" customWidth="1"/>
    <col min="41" max="209" width="9.140625" style="64" customWidth="1"/>
    <col min="210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50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</row>
    <row r="4" spans="1:36" ht="18" customHeight="1" x14ac:dyDescent="0.25">
      <c r="A4" s="6"/>
      <c r="B4" s="24" t="s">
        <v>23</v>
      </c>
      <c r="C4" s="39">
        <v>500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C6</f>
        <v>4</v>
      </c>
      <c r="K4" s="29">
        <f>L4</f>
        <v>15</v>
      </c>
      <c r="L4" s="29">
        <f>C20</f>
        <v>15</v>
      </c>
      <c r="M4" s="41" t="str">
        <f>C19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I4" t="s">
        <v>27</v>
      </c>
      <c r="AJ4" s="5">
        <f>SUM(K6:K31)</f>
        <v>200.31441513455903</v>
      </c>
    </row>
    <row r="5" spans="1:36" ht="15.75" customHeight="1" x14ac:dyDescent="0.25">
      <c r="A5" s="6"/>
      <c r="B5" s="35" t="s">
        <v>143</v>
      </c>
      <c r="C5" s="42">
        <v>20</v>
      </c>
      <c r="D5" s="6"/>
      <c r="E5" s="12" t="str">
        <f>IF(C15=0,"",C12)</f>
        <v/>
      </c>
      <c r="F5" s="62" t="str">
        <f>IF(E5="","",SUMIF(M5:M30,C12,L5:L30))</f>
        <v/>
      </c>
      <c r="G5" s="6"/>
      <c r="H5" s="20" t="str">
        <f>IF(I5="-","-","Буфер")</f>
        <v>Буфер</v>
      </c>
      <c r="I5" s="9">
        <f t="shared" ref="I5:I31" si="0">IFERROR(K5/J5,"-")</f>
        <v>16.69286792787992</v>
      </c>
      <c r="J5" s="43">
        <f t="shared" ref="J5:J31" si="1">IF(K5="-","-",$C$6)</f>
        <v>4</v>
      </c>
      <c r="K5" s="9">
        <f>IFERROR(J73, "-")</f>
        <v>66.771471711519681</v>
      </c>
      <c r="L5" s="9">
        <f>IFERROR(K5,0)</f>
        <v>66.771471711519681</v>
      </c>
      <c r="M5" s="43" t="str">
        <f>IF(L5="-","-",$C$18)</f>
        <v>LG24</v>
      </c>
      <c r="N5" s="43"/>
      <c r="O5" s="43"/>
      <c r="P5" s="43"/>
      <c r="Q5" s="9"/>
      <c r="R5" s="9">
        <f>IF(L5="-","-",L5)</f>
        <v>66.771471711519681</v>
      </c>
      <c r="S5" s="9"/>
      <c r="T5" s="21">
        <f>IF(K5="-","-",K5)</f>
        <v>66.771471711519681</v>
      </c>
      <c r="U5" s="6"/>
      <c r="V5" s="6"/>
      <c r="W5" s="6"/>
      <c r="X5" s="6"/>
      <c r="Y5" s="6"/>
      <c r="Z5" s="6"/>
      <c r="AA5" s="6"/>
      <c r="AI5" t="s">
        <v>29</v>
      </c>
      <c r="AJ5">
        <f>AJ4/(1-$C$17/100)</f>
        <v>267.08588684607872</v>
      </c>
    </row>
    <row r="6" spans="1:36" ht="18" customHeight="1" x14ac:dyDescent="0.25">
      <c r="A6" s="6"/>
      <c r="B6" s="24" t="s">
        <v>28</v>
      </c>
      <c r="C6" s="39">
        <v>4</v>
      </c>
      <c r="D6" s="6"/>
      <c r="E6" s="12" t="str">
        <f>C13</f>
        <v>LG28</v>
      </c>
      <c r="F6" s="62">
        <f>SUMIF(M5:M30,C13,L5:L30)</f>
        <v>182.22222222222223</v>
      </c>
      <c r="G6" s="6"/>
      <c r="H6" s="20" t="str">
        <f t="shared" ref="H6:H31" si="2">IF(I6="-","-","Пропант")</f>
        <v>Пропант</v>
      </c>
      <c r="I6" s="9">
        <f t="shared" si="0"/>
        <v>8.1438848920863336</v>
      </c>
      <c r="J6" s="43">
        <f t="shared" si="1"/>
        <v>4</v>
      </c>
      <c r="K6" s="9">
        <f t="shared" ref="K6:K31" si="3">IFERROR(L6+Q6/(IF(N6=$C$9,$G$103,$G$104)*1000),"-")</f>
        <v>32.575539568345334</v>
      </c>
      <c r="L6" s="9">
        <f t="shared" ref="L6:L31" si="4">IFERROR(Q6/(P6-($C$7/2)),"-")</f>
        <v>32.000000000000007</v>
      </c>
      <c r="M6" s="43" t="str">
        <f t="shared" ref="M6:M31" si="5">IF(L6="-","-",IF(O6&lt;$C$15,$C$12,IF(P6&gt;$C$16,$C$14,$C$13)))</f>
        <v>LG28</v>
      </c>
      <c r="N6" s="43" t="str">
        <f t="shared" ref="N6:N31" si="6">IF(O6="-","-",IF(O6&lt;$C$11,$C$9,$C$10))</f>
        <v>20/40 Новатэк</v>
      </c>
      <c r="O6" s="43">
        <f t="shared" ref="O6:O31" si="7">IFERROR(IF(P6="-","-",IF(P5=$C$4,$C$4,P6-$C$7)),"-")</f>
        <v>0</v>
      </c>
      <c r="P6" s="43">
        <f t="shared" ref="P6:P31" si="8">IFERROR(IF(O5=$C$4,"-",IF(P5=$C$4,$C$4,P5+($C$4-P5)/($J$77-E75))),"-")</f>
        <v>100</v>
      </c>
      <c r="Q6" s="9">
        <f>IF(S6="-","-",S6)</f>
        <v>1600.0000000000002</v>
      </c>
      <c r="R6" s="9">
        <f t="shared" ref="R6:R31" si="9">IFERROR(IF(L6="-","-",R5+L6),"-")</f>
        <v>98.771471711519695</v>
      </c>
      <c r="S6" s="9">
        <f t="shared" ref="S6:S31" si="10">IFERROR(IF(S5=$Q$35*1000,$C$3*1000,G76*$Q$35*1000),"-")</f>
        <v>1600.0000000000002</v>
      </c>
      <c r="T6" s="21">
        <f t="shared" ref="T6:T31" si="11">IFERROR(IF(K6="-","-",T5+K6),"-")</f>
        <v>99.347011279865015</v>
      </c>
      <c r="U6" s="6"/>
      <c r="V6" s="6"/>
      <c r="W6" s="6"/>
      <c r="X6" s="6"/>
      <c r="Y6" s="6"/>
      <c r="Z6" s="6"/>
      <c r="AA6" s="6"/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DX28</v>
      </c>
      <c r="F7" s="62">
        <f>SUMIF(M5:M30,C14,L5:L30)</f>
        <v>0</v>
      </c>
      <c r="G7" s="6"/>
      <c r="H7" s="20" t="str">
        <f t="shared" si="2"/>
        <v>Пропант</v>
      </c>
      <c r="I7" s="9">
        <f t="shared" si="0"/>
        <v>8.4316546762589955</v>
      </c>
      <c r="J7" s="43">
        <f t="shared" si="1"/>
        <v>4</v>
      </c>
      <c r="K7" s="9">
        <f t="shared" si="3"/>
        <v>33.726618705035982</v>
      </c>
      <c r="L7" s="9">
        <f t="shared" si="4"/>
        <v>32.000000000000007</v>
      </c>
      <c r="M7" s="43" t="str">
        <f t="shared" si="5"/>
        <v>LG28</v>
      </c>
      <c r="N7" s="43" t="str">
        <f t="shared" si="6"/>
        <v>20/40 Новатэк</v>
      </c>
      <c r="O7" s="43">
        <f t="shared" si="7"/>
        <v>100</v>
      </c>
      <c r="P7" s="43">
        <f t="shared" si="8"/>
        <v>200</v>
      </c>
      <c r="Q7" s="9">
        <f t="shared" ref="Q7:Q31" si="12">IF(S7="-","-",S7-S6)</f>
        <v>4800.0000000000009</v>
      </c>
      <c r="R7" s="9">
        <f t="shared" si="9"/>
        <v>130.77147171151969</v>
      </c>
      <c r="S7" s="9">
        <f t="shared" si="10"/>
        <v>6400.0000000000009</v>
      </c>
      <c r="T7" s="21">
        <f t="shared" si="11"/>
        <v>133.073629984901</v>
      </c>
      <c r="U7" s="6"/>
      <c r="V7" s="6"/>
      <c r="W7" s="6"/>
      <c r="X7" s="6"/>
      <c r="Y7" s="6"/>
      <c r="Z7" s="6"/>
      <c r="AA7" s="6"/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SUM(L5:L30)</f>
        <v>248.99369393374195</v>
      </c>
      <c r="G8" s="6"/>
      <c r="H8" s="20" t="str">
        <f t="shared" si="2"/>
        <v>Пропант</v>
      </c>
      <c r="I8" s="9">
        <f t="shared" si="0"/>
        <v>8.719424460431652</v>
      </c>
      <c r="J8" s="43">
        <f t="shared" si="1"/>
        <v>4</v>
      </c>
      <c r="K8" s="9">
        <f t="shared" si="3"/>
        <v>34.877697841726608</v>
      </c>
      <c r="L8" s="9">
        <f t="shared" si="4"/>
        <v>31.999999999999989</v>
      </c>
      <c r="M8" s="43" t="str">
        <f t="shared" si="5"/>
        <v>LG28</v>
      </c>
      <c r="N8" s="43" t="str">
        <f t="shared" si="6"/>
        <v>20/40 Новатэк</v>
      </c>
      <c r="O8" s="43">
        <f t="shared" si="7"/>
        <v>200</v>
      </c>
      <c r="P8" s="43">
        <f t="shared" si="8"/>
        <v>300</v>
      </c>
      <c r="Q8" s="9">
        <f t="shared" si="12"/>
        <v>7999.9999999999973</v>
      </c>
      <c r="R8" s="9">
        <f t="shared" si="9"/>
        <v>162.77147171151969</v>
      </c>
      <c r="S8" s="9">
        <f t="shared" si="10"/>
        <v>14399.999999999998</v>
      </c>
      <c r="T8" s="21">
        <f t="shared" si="11"/>
        <v>167.95132782662762</v>
      </c>
      <c r="U8" s="6"/>
      <c r="V8" s="6"/>
      <c r="W8" s="6"/>
      <c r="X8" s="6"/>
      <c r="Y8" s="6"/>
      <c r="Z8" s="6"/>
      <c r="AA8" s="6"/>
    </row>
    <row r="9" spans="1:36" ht="15.75" customHeight="1" x14ac:dyDescent="0.25">
      <c r="A9" s="6"/>
      <c r="B9" s="24" t="s">
        <v>32</v>
      </c>
      <c r="C9" s="39" t="s">
        <v>33</v>
      </c>
      <c r="D9" s="6"/>
      <c r="E9" s="15"/>
      <c r="F9" s="16"/>
      <c r="G9" s="6"/>
      <c r="H9" s="20" t="str">
        <f t="shared" si="2"/>
        <v>Пропант</v>
      </c>
      <c r="I9" s="9">
        <f t="shared" si="0"/>
        <v>9.0071942446043209</v>
      </c>
      <c r="J9" s="43">
        <f t="shared" si="1"/>
        <v>4</v>
      </c>
      <c r="K9" s="9">
        <f t="shared" si="3"/>
        <v>36.028776978417284</v>
      </c>
      <c r="L9" s="9">
        <f t="shared" si="4"/>
        <v>32.000000000000014</v>
      </c>
      <c r="M9" s="43" t="str">
        <f t="shared" si="5"/>
        <v>LG28</v>
      </c>
      <c r="N9" s="43" t="str">
        <f t="shared" si="6"/>
        <v>20/40 Новатэк</v>
      </c>
      <c r="O9" s="43">
        <f t="shared" si="7"/>
        <v>300</v>
      </c>
      <c r="P9" s="43">
        <f t="shared" si="8"/>
        <v>400</v>
      </c>
      <c r="Q9" s="9">
        <f t="shared" si="12"/>
        <v>11200.000000000005</v>
      </c>
      <c r="R9" s="9">
        <f t="shared" si="9"/>
        <v>194.77147171151972</v>
      </c>
      <c r="S9" s="9">
        <f t="shared" si="10"/>
        <v>25600.000000000004</v>
      </c>
      <c r="T9" s="21">
        <f t="shared" si="11"/>
        <v>203.9801048050449</v>
      </c>
      <c r="U9" s="6"/>
      <c r="V9" s="6"/>
      <c r="W9" s="6"/>
      <c r="X9" s="6"/>
      <c r="Y9" s="6"/>
      <c r="Z9" s="6"/>
      <c r="AA9" s="6"/>
      <c r="AH9" s="78" t="s">
        <v>136</v>
      </c>
      <c r="AI9" s="80"/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0"/>
        <v>9.2949640287769757</v>
      </c>
      <c r="J10" s="43">
        <f t="shared" si="1"/>
        <v>4</v>
      </c>
      <c r="K10" s="9">
        <f t="shared" si="3"/>
        <v>37.179856115107903</v>
      </c>
      <c r="L10" s="9">
        <f t="shared" si="4"/>
        <v>31.999999999999993</v>
      </c>
      <c r="M10" s="43" t="str">
        <f t="shared" si="5"/>
        <v>LG28</v>
      </c>
      <c r="N10" s="43" t="str">
        <f t="shared" si="6"/>
        <v>20/40 Новатэк</v>
      </c>
      <c r="O10" s="43">
        <f t="shared" si="7"/>
        <v>400</v>
      </c>
      <c r="P10" s="43">
        <f t="shared" si="8"/>
        <v>500</v>
      </c>
      <c r="Q10" s="9">
        <f t="shared" si="12"/>
        <v>14399.999999999996</v>
      </c>
      <c r="R10" s="9">
        <f t="shared" si="9"/>
        <v>226.77147171151972</v>
      </c>
      <c r="S10" s="9">
        <f t="shared" si="10"/>
        <v>40000</v>
      </c>
      <c r="T10" s="21">
        <f t="shared" si="11"/>
        <v>241.1599609201528</v>
      </c>
      <c r="U10" s="6"/>
      <c r="V10" s="6"/>
      <c r="W10" s="6"/>
      <c r="X10" s="6"/>
      <c r="Y10" s="6"/>
      <c r="Z10" s="6"/>
      <c r="AA10" s="6"/>
      <c r="AH10" s="34">
        <v>-3</v>
      </c>
      <c r="AI10" s="34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20/40 Новатэк</v>
      </c>
      <c r="F11" s="62">
        <f>IF(E11="","",SUMIF(N5:N30,C9,Q5:Q30)/1000)</f>
        <v>40</v>
      </c>
      <c r="G11" s="6"/>
      <c r="H11" s="20" t="str">
        <f t="shared" si="2"/>
        <v>Пропант</v>
      </c>
      <c r="I11" s="9">
        <f t="shared" si="0"/>
        <v>6.481481481481481</v>
      </c>
      <c r="J11" s="43">
        <f t="shared" si="1"/>
        <v>4</v>
      </c>
      <c r="K11" s="9">
        <f t="shared" si="3"/>
        <v>25.925925925925924</v>
      </c>
      <c r="L11" s="9">
        <f t="shared" si="4"/>
        <v>22.222222222222221</v>
      </c>
      <c r="M11" s="43" t="str">
        <f t="shared" si="5"/>
        <v>LG28</v>
      </c>
      <c r="N11" s="43" t="str">
        <f t="shared" si="6"/>
        <v>16/20 Новатэк</v>
      </c>
      <c r="O11" s="43">
        <f t="shared" si="7"/>
        <v>500</v>
      </c>
      <c r="P11" s="43">
        <f t="shared" si="8"/>
        <v>500</v>
      </c>
      <c r="Q11" s="9">
        <f t="shared" si="12"/>
        <v>10000</v>
      </c>
      <c r="R11" s="9">
        <f t="shared" si="9"/>
        <v>248.99369393374195</v>
      </c>
      <c r="S11" s="9">
        <f t="shared" si="10"/>
        <v>50000</v>
      </c>
      <c r="T11" s="21">
        <f t="shared" si="11"/>
        <v>267.08588684607872</v>
      </c>
      <c r="U11" s="6"/>
      <c r="V11" s="6"/>
      <c r="W11" s="6"/>
      <c r="X11" s="6"/>
      <c r="Y11" s="6"/>
      <c r="Z11" s="6"/>
      <c r="AA11" s="6"/>
      <c r="AH11" s="34">
        <v>-2</v>
      </c>
      <c r="AI11" s="34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16/20 Новатэк</v>
      </c>
      <c r="F12" s="62">
        <f>SUMIF(N5:N30,C10,Q5:Q30)/1000</f>
        <v>10</v>
      </c>
      <c r="G12" s="6"/>
      <c r="H12" s="20" t="str">
        <f t="shared" si="2"/>
        <v>-</v>
      </c>
      <c r="I12" s="9" t="str">
        <f t="shared" si="0"/>
        <v>-</v>
      </c>
      <c r="J12" s="43" t="str">
        <f t="shared" si="1"/>
        <v>-</v>
      </c>
      <c r="K12" s="9" t="str">
        <f t="shared" si="3"/>
        <v>-</v>
      </c>
      <c r="L12" s="9" t="str">
        <f t="shared" si="4"/>
        <v>-</v>
      </c>
      <c r="M12" s="43" t="str">
        <f t="shared" si="5"/>
        <v>-</v>
      </c>
      <c r="N12" s="43" t="str">
        <f t="shared" si="6"/>
        <v>-</v>
      </c>
      <c r="O12" s="43" t="str">
        <f t="shared" si="7"/>
        <v>-</v>
      </c>
      <c r="P12" s="43" t="str">
        <f t="shared" si="8"/>
        <v>-</v>
      </c>
      <c r="Q12" s="9" t="str">
        <f t="shared" si="12"/>
        <v>-</v>
      </c>
      <c r="R12" s="9" t="str">
        <f t="shared" si="9"/>
        <v>-</v>
      </c>
      <c r="S12" s="9" t="str">
        <f t="shared" si="10"/>
        <v>-</v>
      </c>
      <c r="T12" s="21" t="str">
        <f t="shared" si="11"/>
        <v>-</v>
      </c>
      <c r="U12" s="6"/>
      <c r="V12" s="6"/>
      <c r="W12" s="6"/>
      <c r="X12" s="6"/>
      <c r="Y12" s="6"/>
      <c r="Z12" s="6"/>
      <c r="AA12" s="6"/>
      <c r="AH12" s="34">
        <v>-1</v>
      </c>
      <c r="AI12" s="34">
        <v>1.6</v>
      </c>
    </row>
    <row r="13" spans="1:36" ht="15.75" customHeight="1" x14ac:dyDescent="0.25">
      <c r="A13" s="6"/>
      <c r="B13" s="24" t="s">
        <v>41</v>
      </c>
      <c r="C13" s="39" t="s">
        <v>42</v>
      </c>
      <c r="D13" s="6"/>
      <c r="E13" s="13" t="s">
        <v>34</v>
      </c>
      <c r="F13" s="14">
        <f>C3</f>
        <v>50</v>
      </c>
      <c r="G13" s="6"/>
      <c r="H13" s="20" t="str">
        <f t="shared" si="2"/>
        <v>-</v>
      </c>
      <c r="I13" s="9" t="str">
        <f t="shared" si="0"/>
        <v>-</v>
      </c>
      <c r="J13" s="43" t="str">
        <f t="shared" si="1"/>
        <v>-</v>
      </c>
      <c r="K13" s="9" t="str">
        <f t="shared" si="3"/>
        <v>-</v>
      </c>
      <c r="L13" s="9" t="str">
        <f t="shared" si="4"/>
        <v>-</v>
      </c>
      <c r="M13" s="43" t="str">
        <f t="shared" si="5"/>
        <v>-</v>
      </c>
      <c r="N13" s="43" t="str">
        <f t="shared" si="6"/>
        <v>-</v>
      </c>
      <c r="O13" s="43" t="str">
        <f t="shared" si="7"/>
        <v>-</v>
      </c>
      <c r="P13" s="43" t="str">
        <f t="shared" si="8"/>
        <v>-</v>
      </c>
      <c r="Q13" s="9" t="str">
        <f t="shared" si="12"/>
        <v>-</v>
      </c>
      <c r="R13" s="9" t="str">
        <f t="shared" si="9"/>
        <v>-</v>
      </c>
      <c r="S13" s="9" t="str">
        <f t="shared" si="10"/>
        <v>-</v>
      </c>
      <c r="T13" s="21" t="str">
        <f t="shared" si="11"/>
        <v>-</v>
      </c>
      <c r="U13" s="6"/>
      <c r="V13" s="6"/>
      <c r="W13" s="6"/>
      <c r="X13" s="6"/>
      <c r="Y13" s="6"/>
      <c r="Z13" s="6"/>
      <c r="AA13" s="6"/>
      <c r="AH13" s="34">
        <v>0</v>
      </c>
      <c r="AI13" s="34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2"/>
        <v>-</v>
      </c>
      <c r="I14" s="9" t="str">
        <f t="shared" si="0"/>
        <v>-</v>
      </c>
      <c r="J14" s="43" t="str">
        <f t="shared" si="1"/>
        <v>-</v>
      </c>
      <c r="K14" s="9" t="str">
        <f t="shared" si="3"/>
        <v>-</v>
      </c>
      <c r="L14" s="9" t="str">
        <f t="shared" si="4"/>
        <v>-</v>
      </c>
      <c r="M14" s="43" t="str">
        <f t="shared" si="5"/>
        <v>-</v>
      </c>
      <c r="N14" s="43" t="str">
        <f t="shared" si="6"/>
        <v>-</v>
      </c>
      <c r="O14" s="43" t="str">
        <f t="shared" si="7"/>
        <v>-</v>
      </c>
      <c r="P14" s="43" t="str">
        <f t="shared" si="8"/>
        <v>-</v>
      </c>
      <c r="Q14" s="9" t="str">
        <f t="shared" si="12"/>
        <v>-</v>
      </c>
      <c r="R14" s="9" t="str">
        <f t="shared" si="9"/>
        <v>-</v>
      </c>
      <c r="S14" s="9" t="str">
        <f t="shared" si="10"/>
        <v>-</v>
      </c>
      <c r="T14" s="21" t="str">
        <f t="shared" si="11"/>
        <v>-</v>
      </c>
      <c r="U14" s="6"/>
      <c r="V14" s="6"/>
      <c r="W14" s="6"/>
      <c r="X14" s="6"/>
      <c r="Y14" s="6"/>
      <c r="Z14" s="6"/>
      <c r="AA14" s="6"/>
      <c r="AH14" s="34">
        <v>1</v>
      </c>
      <c r="AI14" s="34">
        <v>2.2000000000000002</v>
      </c>
    </row>
    <row r="15" spans="1:36" ht="18" customHeight="1" x14ac:dyDescent="0.25">
      <c r="A15" s="6"/>
      <c r="B15" s="24" t="s">
        <v>45</v>
      </c>
      <c r="C15" s="39">
        <v>0</v>
      </c>
      <c r="D15" s="6"/>
      <c r="E15" s="10"/>
      <c r="F15" s="11"/>
      <c r="G15" s="6"/>
      <c r="H15" s="20" t="str">
        <f t="shared" si="2"/>
        <v>-</v>
      </c>
      <c r="I15" s="9" t="str">
        <f t="shared" si="0"/>
        <v>-</v>
      </c>
      <c r="J15" s="43" t="str">
        <f t="shared" si="1"/>
        <v>-</v>
      </c>
      <c r="K15" s="9" t="str">
        <f t="shared" si="3"/>
        <v>-</v>
      </c>
      <c r="L15" s="9" t="str">
        <f t="shared" si="4"/>
        <v>-</v>
      </c>
      <c r="M15" s="43" t="str">
        <f t="shared" si="5"/>
        <v>-</v>
      </c>
      <c r="N15" s="43" t="str">
        <f t="shared" si="6"/>
        <v>-</v>
      </c>
      <c r="O15" s="43" t="str">
        <f t="shared" si="7"/>
        <v>-</v>
      </c>
      <c r="P15" s="43" t="str">
        <f t="shared" si="8"/>
        <v>-</v>
      </c>
      <c r="Q15" s="9" t="str">
        <f t="shared" si="12"/>
        <v>-</v>
      </c>
      <c r="R15" s="9" t="str">
        <f t="shared" si="9"/>
        <v>-</v>
      </c>
      <c r="S15" s="9" t="str">
        <f t="shared" si="10"/>
        <v>-</v>
      </c>
      <c r="T15" s="21" t="str">
        <f t="shared" si="11"/>
        <v>-</v>
      </c>
      <c r="U15" s="6"/>
      <c r="V15" s="6"/>
      <c r="W15" s="6"/>
      <c r="X15" s="6"/>
      <c r="Y15" s="6"/>
      <c r="Z15" s="6"/>
      <c r="AA15" s="6"/>
      <c r="AH15" s="34">
        <v>2</v>
      </c>
      <c r="AI15" s="34">
        <v>2.4</v>
      </c>
    </row>
    <row r="16" spans="1:36" ht="18" customHeight="1" x14ac:dyDescent="0.25">
      <c r="A16" s="6"/>
      <c r="B16" s="24" t="s">
        <v>46</v>
      </c>
      <c r="C16" s="39">
        <v>500</v>
      </c>
      <c r="D16" s="6"/>
      <c r="E16" s="10"/>
      <c r="F16" s="11"/>
      <c r="G16" s="6"/>
      <c r="H16" s="20" t="str">
        <f t="shared" si="2"/>
        <v>-</v>
      </c>
      <c r="I16" s="9" t="str">
        <f t="shared" si="0"/>
        <v>-</v>
      </c>
      <c r="J16" s="43" t="str">
        <f t="shared" si="1"/>
        <v>-</v>
      </c>
      <c r="K16" s="9" t="str">
        <f t="shared" si="3"/>
        <v>-</v>
      </c>
      <c r="L16" s="9" t="str">
        <f t="shared" si="4"/>
        <v>-</v>
      </c>
      <c r="M16" s="43" t="str">
        <f t="shared" si="5"/>
        <v>-</v>
      </c>
      <c r="N16" s="43" t="str">
        <f t="shared" si="6"/>
        <v>-</v>
      </c>
      <c r="O16" s="43" t="str">
        <f t="shared" si="7"/>
        <v>-</v>
      </c>
      <c r="P16" s="43" t="str">
        <f t="shared" si="8"/>
        <v>-</v>
      </c>
      <c r="Q16" s="9" t="str">
        <f t="shared" si="12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H16" s="34">
        <v>3</v>
      </c>
      <c r="AI16" s="34">
        <v>2.6</v>
      </c>
    </row>
    <row r="17" spans="1:40" ht="19.5" customHeight="1" x14ac:dyDescent="0.25">
      <c r="A17" s="6"/>
      <c r="B17" s="35" t="s">
        <v>135</v>
      </c>
      <c r="C17" s="39">
        <v>25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0"/>
        <v>-</v>
      </c>
      <c r="J17" s="43" t="str">
        <f t="shared" si="1"/>
        <v>-</v>
      </c>
      <c r="K17" s="9" t="str">
        <f t="shared" si="3"/>
        <v>-</v>
      </c>
      <c r="L17" s="9" t="str">
        <f t="shared" si="4"/>
        <v>-</v>
      </c>
      <c r="M17" s="43" t="str">
        <f t="shared" si="5"/>
        <v>-</v>
      </c>
      <c r="N17" s="43" t="str">
        <f t="shared" si="6"/>
        <v>-</v>
      </c>
      <c r="O17" s="43" t="str">
        <f t="shared" si="7"/>
        <v>-</v>
      </c>
      <c r="P17" s="43" t="str">
        <f t="shared" si="8"/>
        <v>-</v>
      </c>
      <c r="Q17" s="9" t="str">
        <f t="shared" si="12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H17" s="81" t="s">
        <v>137</v>
      </c>
      <c r="AI17" s="79"/>
    </row>
    <row r="18" spans="1:40" ht="15.75" customHeight="1" x14ac:dyDescent="0.25">
      <c r="A18" s="6"/>
      <c r="B18" s="24" t="s">
        <v>142</v>
      </c>
      <c r="C18" s="39" t="s">
        <v>51</v>
      </c>
      <c r="D18" s="6"/>
      <c r="E18" s="65">
        <f>IFERROR(C3/SUM(L5:L30), "-")</f>
        <v>0.20080829843548234</v>
      </c>
      <c r="F18" s="66"/>
      <c r="G18" s="6"/>
      <c r="H18" s="20" t="str">
        <f t="shared" si="2"/>
        <v>-</v>
      </c>
      <c r="I18" s="9" t="str">
        <f t="shared" si="0"/>
        <v>-</v>
      </c>
      <c r="J18" s="43" t="str">
        <f t="shared" si="1"/>
        <v>-</v>
      </c>
      <c r="K18" s="9" t="str">
        <f t="shared" si="3"/>
        <v>-</v>
      </c>
      <c r="L18" s="9" t="str">
        <f t="shared" si="4"/>
        <v>-</v>
      </c>
      <c r="M18" s="43" t="str">
        <f t="shared" si="5"/>
        <v>-</v>
      </c>
      <c r="N18" s="43" t="str">
        <f t="shared" si="6"/>
        <v>-</v>
      </c>
      <c r="O18" s="43" t="str">
        <f t="shared" si="7"/>
        <v>-</v>
      </c>
      <c r="P18" s="43" t="str">
        <f t="shared" si="8"/>
        <v>-</v>
      </c>
      <c r="Q18" s="9" t="str">
        <f t="shared" si="12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24" t="s">
        <v>58</v>
      </c>
      <c r="C19" s="39" t="s">
        <v>59</v>
      </c>
      <c r="D19" s="6"/>
      <c r="E19" s="10"/>
      <c r="F19" s="11"/>
      <c r="G19" s="6"/>
      <c r="H19" s="20" t="str">
        <f t="shared" si="2"/>
        <v>-</v>
      </c>
      <c r="I19" s="9" t="str">
        <f t="shared" si="0"/>
        <v>-</v>
      </c>
      <c r="J19" s="43" t="str">
        <f t="shared" si="1"/>
        <v>-</v>
      </c>
      <c r="K19" s="9" t="str">
        <f t="shared" si="3"/>
        <v>-</v>
      </c>
      <c r="L19" s="9" t="str">
        <f t="shared" si="4"/>
        <v>-</v>
      </c>
      <c r="M19" s="43" t="str">
        <f t="shared" si="5"/>
        <v>-</v>
      </c>
      <c r="N19" s="43" t="str">
        <f t="shared" si="6"/>
        <v>-</v>
      </c>
      <c r="O19" s="43" t="str">
        <f t="shared" si="7"/>
        <v>-</v>
      </c>
      <c r="P19" s="43" t="str">
        <f t="shared" si="8"/>
        <v>-</v>
      </c>
      <c r="Q19" s="9" t="str">
        <f t="shared" si="12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</row>
    <row r="20" spans="1:40" ht="18.75" customHeight="1" thickBot="1" x14ac:dyDescent="0.3">
      <c r="A20" s="6"/>
      <c r="B20" s="27" t="s">
        <v>65</v>
      </c>
      <c r="C20" s="47">
        <v>15</v>
      </c>
      <c r="D20" s="6"/>
      <c r="E20" s="17"/>
      <c r="F20" s="18"/>
      <c r="G20" s="6"/>
      <c r="H20" s="20" t="str">
        <f t="shared" si="2"/>
        <v>-</v>
      </c>
      <c r="I20" s="9" t="str">
        <f t="shared" si="0"/>
        <v>-</v>
      </c>
      <c r="J20" s="43" t="str">
        <f t="shared" si="1"/>
        <v>-</v>
      </c>
      <c r="K20" s="9" t="str">
        <f t="shared" si="3"/>
        <v>-</v>
      </c>
      <c r="L20" s="9" t="str">
        <f t="shared" si="4"/>
        <v>-</v>
      </c>
      <c r="M20" s="43" t="str">
        <f t="shared" si="5"/>
        <v>-</v>
      </c>
      <c r="N20" s="43" t="str">
        <f t="shared" si="6"/>
        <v>-</v>
      </c>
      <c r="O20" s="43" t="str">
        <f t="shared" si="7"/>
        <v>-</v>
      </c>
      <c r="P20" s="43" t="str">
        <f t="shared" si="8"/>
        <v>-</v>
      </c>
      <c r="Q20" s="9" t="str">
        <f t="shared" si="12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H20" s="67" t="s">
        <v>138</v>
      </c>
      <c r="AI20" s="68"/>
      <c r="AJ20" s="68"/>
      <c r="AK20" s="68"/>
      <c r="AL20" s="68"/>
      <c r="AM20" s="68"/>
      <c r="AN20" s="68"/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0"/>
        <v>-</v>
      </c>
      <c r="J21" s="43" t="str">
        <f t="shared" si="1"/>
        <v>-</v>
      </c>
      <c r="K21" s="9" t="str">
        <f t="shared" si="3"/>
        <v>-</v>
      </c>
      <c r="L21" s="9" t="str">
        <f t="shared" si="4"/>
        <v>-</v>
      </c>
      <c r="M21" s="43" t="str">
        <f t="shared" si="5"/>
        <v>-</v>
      </c>
      <c r="N21" s="43" t="str">
        <f t="shared" si="6"/>
        <v>-</v>
      </c>
      <c r="O21" s="43" t="str">
        <f t="shared" si="7"/>
        <v>-</v>
      </c>
      <c r="P21" s="43" t="str">
        <f t="shared" si="8"/>
        <v>-</v>
      </c>
      <c r="Q21" s="9" t="str">
        <f t="shared" si="12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H21" s="78" t="s">
        <v>57</v>
      </c>
      <c r="AI21" s="79"/>
      <c r="AJ21" s="79"/>
      <c r="AK21" s="80"/>
      <c r="AM21" s="78" t="s">
        <v>64</v>
      </c>
      <c r="AN21" s="80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0"/>
        <v>-</v>
      </c>
      <c r="J22" s="43" t="str">
        <f t="shared" si="1"/>
        <v>-</v>
      </c>
      <c r="K22" s="9" t="str">
        <f t="shared" si="3"/>
        <v>-</v>
      </c>
      <c r="L22" s="9" t="str">
        <f t="shared" si="4"/>
        <v>-</v>
      </c>
      <c r="M22" s="43" t="str">
        <f t="shared" si="5"/>
        <v>-</v>
      </c>
      <c r="N22" s="43" t="str">
        <f t="shared" si="6"/>
        <v>-</v>
      </c>
      <c r="O22" s="43" t="str">
        <f t="shared" si="7"/>
        <v>-</v>
      </c>
      <c r="P22" s="43" t="str">
        <f t="shared" si="8"/>
        <v>-</v>
      </c>
      <c r="Q22" s="9" t="str">
        <f t="shared" si="12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H22" s="38" t="s">
        <v>60</v>
      </c>
      <c r="AI22" s="38" t="s">
        <v>61</v>
      </c>
      <c r="AJ22" s="38" t="s">
        <v>62</v>
      </c>
      <c r="AK22" s="38" t="s">
        <v>63</v>
      </c>
      <c r="AM22" s="34" t="s">
        <v>68</v>
      </c>
      <c r="AN22" s="34" t="s">
        <v>69</v>
      </c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0"/>
        <v>-</v>
      </c>
      <c r="J23" s="43" t="str">
        <f t="shared" si="1"/>
        <v>-</v>
      </c>
      <c r="K23" s="9" t="str">
        <f t="shared" si="3"/>
        <v>-</v>
      </c>
      <c r="L23" s="9" t="str">
        <f t="shared" si="4"/>
        <v>-</v>
      </c>
      <c r="M23" s="43" t="str">
        <f t="shared" si="5"/>
        <v>-</v>
      </c>
      <c r="N23" s="43" t="str">
        <f t="shared" si="6"/>
        <v>-</v>
      </c>
      <c r="O23" s="43" t="str">
        <f t="shared" si="7"/>
        <v>-</v>
      </c>
      <c r="P23" s="43" t="str">
        <f t="shared" si="8"/>
        <v>-</v>
      </c>
      <c r="Q23" s="9" t="str">
        <f t="shared" si="12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H23" s="34" t="s">
        <v>40</v>
      </c>
      <c r="AI23" s="34" t="s">
        <v>66</v>
      </c>
      <c r="AJ23" s="34" t="s">
        <v>67</v>
      </c>
      <c r="AK23" s="34" t="s">
        <v>59</v>
      </c>
      <c r="AM23" s="34" t="s">
        <v>72</v>
      </c>
      <c r="AN23" s="34">
        <v>3.11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0"/>
        <v>-</v>
      </c>
      <c r="J24" s="43" t="str">
        <f t="shared" si="1"/>
        <v>-</v>
      </c>
      <c r="K24" s="9" t="str">
        <f t="shared" si="3"/>
        <v>-</v>
      </c>
      <c r="L24" s="9" t="str">
        <f t="shared" si="4"/>
        <v>-</v>
      </c>
      <c r="M24" s="43" t="str">
        <f t="shared" si="5"/>
        <v>-</v>
      </c>
      <c r="N24" s="43" t="str">
        <f t="shared" si="6"/>
        <v>-</v>
      </c>
      <c r="O24" s="43" t="str">
        <f t="shared" si="7"/>
        <v>-</v>
      </c>
      <c r="P24" s="43" t="str">
        <f t="shared" si="8"/>
        <v>-</v>
      </c>
      <c r="Q24" s="9" t="str">
        <f t="shared" si="12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H24" s="34"/>
      <c r="AI24" s="34" t="s">
        <v>70</v>
      </c>
      <c r="AJ24" s="34" t="s">
        <v>71</v>
      </c>
      <c r="AK24" s="34" t="s">
        <v>40</v>
      </c>
      <c r="AM24" s="34" t="s">
        <v>75</v>
      </c>
      <c r="AN24" s="34">
        <v>2.95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0"/>
        <v>-</v>
      </c>
      <c r="J25" s="43" t="str">
        <f t="shared" si="1"/>
        <v>-</v>
      </c>
      <c r="K25" s="9" t="str">
        <f t="shared" si="3"/>
        <v>-</v>
      </c>
      <c r="L25" s="9" t="str">
        <f t="shared" si="4"/>
        <v>-</v>
      </c>
      <c r="M25" s="43" t="str">
        <f t="shared" si="5"/>
        <v>-</v>
      </c>
      <c r="N25" s="43" t="str">
        <f t="shared" si="6"/>
        <v>-</v>
      </c>
      <c r="O25" s="43" t="str">
        <f t="shared" si="7"/>
        <v>-</v>
      </c>
      <c r="P25" s="43" t="str">
        <f t="shared" si="8"/>
        <v>-</v>
      </c>
      <c r="Q25" s="9" t="str">
        <f t="shared" si="12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H25" s="34"/>
      <c r="AI25" s="34" t="s">
        <v>73</v>
      </c>
      <c r="AJ25" s="34" t="s">
        <v>74</v>
      </c>
      <c r="AK25" s="34" t="s">
        <v>66</v>
      </c>
      <c r="AM25" s="34" t="s">
        <v>36</v>
      </c>
      <c r="AN25" s="34">
        <v>2.7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0"/>
        <v>-</v>
      </c>
      <c r="J26" s="43" t="str">
        <f t="shared" si="1"/>
        <v>-</v>
      </c>
      <c r="K26" s="9" t="str">
        <f t="shared" si="3"/>
        <v>-</v>
      </c>
      <c r="L26" s="9" t="str">
        <f t="shared" si="4"/>
        <v>-</v>
      </c>
      <c r="M26" s="43" t="str">
        <f t="shared" si="5"/>
        <v>-</v>
      </c>
      <c r="N26" s="43" t="str">
        <f t="shared" si="6"/>
        <v>-</v>
      </c>
      <c r="O26" s="43" t="str">
        <f t="shared" si="7"/>
        <v>-</v>
      </c>
      <c r="P26" s="43" t="str">
        <f t="shared" si="8"/>
        <v>-</v>
      </c>
      <c r="Q26" s="9" t="str">
        <f t="shared" si="12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H26" s="34"/>
      <c r="AI26" s="34" t="s">
        <v>76</v>
      </c>
      <c r="AJ26" s="34" t="s">
        <v>77</v>
      </c>
      <c r="AK26" s="34" t="s">
        <v>70</v>
      </c>
      <c r="AM26" s="34" t="s">
        <v>80</v>
      </c>
      <c r="AN26" s="34">
        <v>3.2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0"/>
        <v>-</v>
      </c>
      <c r="J27" s="43" t="str">
        <f t="shared" si="1"/>
        <v>-</v>
      </c>
      <c r="K27" s="9" t="str">
        <f t="shared" si="3"/>
        <v>-</v>
      </c>
      <c r="L27" s="9" t="str">
        <f t="shared" si="4"/>
        <v>-</v>
      </c>
      <c r="M27" s="43" t="str">
        <f t="shared" si="5"/>
        <v>-</v>
      </c>
      <c r="N27" s="43" t="str">
        <f t="shared" si="6"/>
        <v>-</v>
      </c>
      <c r="O27" s="43" t="str">
        <f t="shared" si="7"/>
        <v>-</v>
      </c>
      <c r="P27" s="43" t="str">
        <f t="shared" si="8"/>
        <v>-</v>
      </c>
      <c r="Q27" s="9" t="str">
        <f t="shared" si="12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H27" s="34"/>
      <c r="AI27" s="34" t="s">
        <v>78</v>
      </c>
      <c r="AJ27" s="34" t="s">
        <v>79</v>
      </c>
      <c r="AK27" s="34" t="s">
        <v>73</v>
      </c>
      <c r="AM27" s="34" t="s">
        <v>33</v>
      </c>
      <c r="AN27" s="34">
        <v>2.78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0"/>
        <v>-</v>
      </c>
      <c r="J28" s="43" t="str">
        <f t="shared" si="1"/>
        <v>-</v>
      </c>
      <c r="K28" s="9" t="str">
        <f t="shared" si="3"/>
        <v>-</v>
      </c>
      <c r="L28" s="9" t="str">
        <f t="shared" si="4"/>
        <v>-</v>
      </c>
      <c r="M28" s="43" t="str">
        <f t="shared" si="5"/>
        <v>-</v>
      </c>
      <c r="N28" s="43" t="str">
        <f t="shared" si="6"/>
        <v>-</v>
      </c>
      <c r="O28" s="43" t="str">
        <f t="shared" si="7"/>
        <v>-</v>
      </c>
      <c r="P28" s="43" t="str">
        <f t="shared" si="8"/>
        <v>-</v>
      </c>
      <c r="Q28" s="9" t="str">
        <f t="shared" si="12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H28" s="34"/>
      <c r="AI28" s="34" t="s">
        <v>51</v>
      </c>
      <c r="AJ28" s="34" t="s">
        <v>81</v>
      </c>
      <c r="AK28" s="34" t="s">
        <v>76</v>
      </c>
      <c r="AM28" s="34" t="s">
        <v>83</v>
      </c>
      <c r="AN28" s="34">
        <v>3.15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0"/>
        <v>-</v>
      </c>
      <c r="J29" s="43" t="str">
        <f t="shared" si="1"/>
        <v>-</v>
      </c>
      <c r="K29" s="9" t="str">
        <f t="shared" si="3"/>
        <v>-</v>
      </c>
      <c r="L29" s="9" t="str">
        <f t="shared" si="4"/>
        <v>-</v>
      </c>
      <c r="M29" s="43" t="str">
        <f t="shared" si="5"/>
        <v>-</v>
      </c>
      <c r="N29" s="43" t="str">
        <f t="shared" si="6"/>
        <v>-</v>
      </c>
      <c r="O29" s="43" t="str">
        <f t="shared" si="7"/>
        <v>-</v>
      </c>
      <c r="P29" s="43" t="str">
        <f t="shared" si="8"/>
        <v>-</v>
      </c>
      <c r="Q29" s="9" t="str">
        <f t="shared" si="12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H29" s="34"/>
      <c r="AI29" s="34" t="s">
        <v>82</v>
      </c>
      <c r="AJ29" s="34" t="s">
        <v>54</v>
      </c>
      <c r="AK29" s="34" t="s">
        <v>78</v>
      </c>
      <c r="AM29" s="34" t="s">
        <v>84</v>
      </c>
      <c r="AN29" s="34">
        <v>3.11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0"/>
        <v>-</v>
      </c>
      <c r="J30" s="43" t="str">
        <f t="shared" si="1"/>
        <v>-</v>
      </c>
      <c r="K30" s="9" t="str">
        <f t="shared" si="3"/>
        <v>-</v>
      </c>
      <c r="L30" s="9" t="str">
        <f t="shared" si="4"/>
        <v>-</v>
      </c>
      <c r="M30" s="43" t="str">
        <f t="shared" si="5"/>
        <v>-</v>
      </c>
      <c r="N30" s="43" t="str">
        <f t="shared" si="6"/>
        <v>-</v>
      </c>
      <c r="O30" s="43" t="str">
        <f t="shared" si="7"/>
        <v>-</v>
      </c>
      <c r="P30" s="43" t="str">
        <f t="shared" si="8"/>
        <v>-</v>
      </c>
      <c r="Q30" s="9" t="str">
        <f t="shared" si="12"/>
        <v>-</v>
      </c>
      <c r="R30" s="9" t="str">
        <f t="shared" si="9"/>
        <v>-</v>
      </c>
      <c r="S30" s="9" t="str">
        <f t="shared" si="10"/>
        <v>-</v>
      </c>
      <c r="T30" s="21" t="str">
        <f t="shared" si="11"/>
        <v>-</v>
      </c>
      <c r="U30" s="6"/>
      <c r="V30" s="6"/>
      <c r="W30" s="6"/>
      <c r="X30" s="6"/>
      <c r="Y30" s="6"/>
      <c r="Z30" s="6"/>
      <c r="AA30" s="6"/>
      <c r="AH30" s="34"/>
      <c r="AI30" s="34" t="s">
        <v>42</v>
      </c>
      <c r="AJ30" s="34" t="s">
        <v>44</v>
      </c>
      <c r="AK30" s="34" t="s">
        <v>51</v>
      </c>
      <c r="AM30" s="34" t="s">
        <v>87</v>
      </c>
      <c r="AN30" s="34">
        <v>2.78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2"/>
        <v>-</v>
      </c>
      <c r="I31" s="23" t="str">
        <f t="shared" si="0"/>
        <v>-</v>
      </c>
      <c r="J31" s="48" t="str">
        <f t="shared" si="1"/>
        <v>-</v>
      </c>
      <c r="K31" s="23" t="str">
        <f t="shared" si="3"/>
        <v>-</v>
      </c>
      <c r="L31" s="23" t="str">
        <f t="shared" si="4"/>
        <v>-</v>
      </c>
      <c r="M31" s="48" t="str">
        <f t="shared" si="5"/>
        <v>-</v>
      </c>
      <c r="N31" s="48" t="str">
        <f t="shared" si="6"/>
        <v>-</v>
      </c>
      <c r="O31" s="48" t="str">
        <f t="shared" si="7"/>
        <v>-</v>
      </c>
      <c r="P31" s="48" t="str">
        <f t="shared" si="8"/>
        <v>-</v>
      </c>
      <c r="Q31" s="23" t="str">
        <f t="shared" si="12"/>
        <v>-</v>
      </c>
      <c r="R31" s="23" t="str">
        <f t="shared" si="9"/>
        <v>-</v>
      </c>
      <c r="S31" s="23" t="str">
        <f t="shared" si="10"/>
        <v>-</v>
      </c>
      <c r="T31" s="36" t="str">
        <f t="shared" si="11"/>
        <v>-</v>
      </c>
      <c r="U31" s="6"/>
      <c r="V31" s="6"/>
      <c r="W31" s="6"/>
      <c r="X31" s="6"/>
      <c r="Y31" s="6"/>
      <c r="Z31" s="6"/>
      <c r="AA31" s="6"/>
      <c r="AH31" s="34"/>
      <c r="AI31" s="34" t="s">
        <v>85</v>
      </c>
      <c r="AJ31" s="34" t="s">
        <v>86</v>
      </c>
      <c r="AK31" s="34" t="s">
        <v>82</v>
      </c>
      <c r="AM31" s="34" t="s">
        <v>90</v>
      </c>
      <c r="AN31" s="34">
        <v>3.2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H32" s="34"/>
      <c r="AI32" s="34" t="s">
        <v>88</v>
      </c>
      <c r="AJ32" s="34" t="s">
        <v>89</v>
      </c>
      <c r="AK32" s="34" t="s">
        <v>42</v>
      </c>
      <c r="AM32" s="34" t="s">
        <v>93</v>
      </c>
      <c r="AN32" s="34">
        <v>3.08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H33" s="34"/>
      <c r="AI33" s="34" t="s">
        <v>91</v>
      </c>
      <c r="AJ33" s="34" t="s">
        <v>92</v>
      </c>
      <c r="AK33" s="34" t="s">
        <v>85</v>
      </c>
      <c r="AM33" s="34" t="s">
        <v>96</v>
      </c>
      <c r="AN33" s="34">
        <v>3.07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H34" s="34"/>
      <c r="AI34" s="34" t="s">
        <v>94</v>
      </c>
      <c r="AJ34" s="34" t="s">
        <v>95</v>
      </c>
      <c r="AK34" s="34" t="s">
        <v>88</v>
      </c>
      <c r="AM34" s="34" t="s">
        <v>99</v>
      </c>
      <c r="AN34" s="34">
        <v>3.7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40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H35" s="34"/>
      <c r="AI35" s="34" t="s">
        <v>97</v>
      </c>
      <c r="AJ35" s="34" t="s">
        <v>98</v>
      </c>
      <c r="AK35" s="34" t="s">
        <v>91</v>
      </c>
      <c r="AM35" s="34" t="s">
        <v>102</v>
      </c>
      <c r="AN35" s="34">
        <v>3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10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H36" s="34"/>
      <c r="AI36" s="34" t="s">
        <v>100</v>
      </c>
      <c r="AJ36" s="34" t="s">
        <v>101</v>
      </c>
      <c r="AK36" s="34" t="s">
        <v>94</v>
      </c>
      <c r="AM36" s="34" t="s">
        <v>105</v>
      </c>
      <c r="AN36" s="34">
        <v>3.09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H37" s="34"/>
      <c r="AI37" s="34" t="s">
        <v>103</v>
      </c>
      <c r="AJ37" s="34" t="s">
        <v>104</v>
      </c>
      <c r="AK37" s="34" t="s">
        <v>97</v>
      </c>
      <c r="AM37" s="34" t="s">
        <v>108</v>
      </c>
      <c r="AN37" s="34">
        <v>3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34"/>
      <c r="AI38" s="34" t="s">
        <v>106</v>
      </c>
      <c r="AJ38" s="34" t="s">
        <v>107</v>
      </c>
      <c r="AK38" s="34" t="s">
        <v>100</v>
      </c>
      <c r="AM38" s="34" t="s">
        <v>110</v>
      </c>
      <c r="AN38" s="34">
        <v>3.1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34"/>
      <c r="AI39" s="34" t="s">
        <v>109</v>
      </c>
      <c r="AJ39" s="34"/>
      <c r="AK39" s="34" t="s">
        <v>103</v>
      </c>
      <c r="AM39" s="34" t="s">
        <v>112</v>
      </c>
      <c r="AN39" s="34">
        <v>2.9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H40" s="34"/>
      <c r="AI40" s="34" t="s">
        <v>111</v>
      </c>
      <c r="AJ40" s="34"/>
      <c r="AK40" s="34" t="s">
        <v>106</v>
      </c>
      <c r="AM40" s="34" t="s">
        <v>113</v>
      </c>
      <c r="AN40" s="34">
        <v>2.88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H41" s="34"/>
      <c r="AI41" s="34"/>
      <c r="AJ41" s="34"/>
      <c r="AK41" s="34" t="s">
        <v>109</v>
      </c>
      <c r="AM41" s="34" t="s">
        <v>114</v>
      </c>
      <c r="AN41" s="34">
        <v>2.96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H42" s="34"/>
      <c r="AI42" s="34"/>
      <c r="AJ42" s="34"/>
      <c r="AK42" s="34" t="s">
        <v>111</v>
      </c>
      <c r="AM42" s="34" t="s">
        <v>75</v>
      </c>
      <c r="AN42" s="34">
        <v>2.95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H43" s="34"/>
      <c r="AI43" s="34"/>
      <c r="AJ43" s="34"/>
      <c r="AK43" s="34" t="s">
        <v>67</v>
      </c>
      <c r="AM43" s="34" t="s">
        <v>115</v>
      </c>
      <c r="AN43" s="34">
        <v>3.06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H44" s="34"/>
      <c r="AI44" s="34"/>
      <c r="AJ44" s="34"/>
      <c r="AK44" s="34" t="s">
        <v>71</v>
      </c>
      <c r="AM44" s="34" t="s">
        <v>116</v>
      </c>
      <c r="AN44" s="34">
        <v>3.12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H45" s="34"/>
      <c r="AI45" s="34"/>
      <c r="AJ45" s="34"/>
      <c r="AK45" s="34" t="s">
        <v>74</v>
      </c>
      <c r="AM45" s="34" t="s">
        <v>117</v>
      </c>
      <c r="AN45" s="34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H46" s="34"/>
      <c r="AI46" s="34"/>
      <c r="AJ46" s="34"/>
      <c r="AK46" s="34" t="s">
        <v>77</v>
      </c>
      <c r="AM46" s="34" t="s">
        <v>83</v>
      </c>
      <c r="AN46" s="34">
        <v>3.15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H47" s="34"/>
      <c r="AI47" s="34"/>
      <c r="AJ47" s="34"/>
      <c r="AK47" s="34" t="s">
        <v>79</v>
      </c>
      <c r="AM47" s="34" t="s">
        <v>118</v>
      </c>
      <c r="AN47" s="34">
        <v>2.89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H48" s="34"/>
      <c r="AI48" s="34"/>
      <c r="AJ48" s="34"/>
      <c r="AK48" s="34" t="s">
        <v>81</v>
      </c>
      <c r="AM48" s="34" t="s">
        <v>119</v>
      </c>
      <c r="AN48" s="34">
        <v>2.92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H49" s="34"/>
      <c r="AI49" s="34"/>
      <c r="AJ49" s="34"/>
      <c r="AK49" s="34" t="s">
        <v>54</v>
      </c>
      <c r="AM49" s="34" t="s">
        <v>120</v>
      </c>
      <c r="AN49" s="34">
        <v>2.95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H50" s="34"/>
      <c r="AI50" s="34"/>
      <c r="AJ50" s="34"/>
      <c r="AK50" s="34" t="s">
        <v>44</v>
      </c>
      <c r="AM50" s="34" t="s">
        <v>121</v>
      </c>
      <c r="AN50" s="34">
        <v>2.9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H51" s="34"/>
      <c r="AI51" s="34"/>
      <c r="AJ51" s="34"/>
      <c r="AK51" s="34" t="s">
        <v>86</v>
      </c>
      <c r="AM51" s="34"/>
      <c r="AN51" s="34"/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H52" s="34"/>
      <c r="AI52" s="34"/>
      <c r="AJ52" s="34"/>
      <c r="AK52" s="34" t="s">
        <v>89</v>
      </c>
      <c r="AM52" s="34"/>
      <c r="AN52" s="34"/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H53" s="34"/>
      <c r="AI53" s="34"/>
      <c r="AJ53" s="34"/>
      <c r="AK53" s="34" t="s">
        <v>92</v>
      </c>
      <c r="AM53" s="34"/>
      <c r="AN53" s="34"/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H54" s="34"/>
      <c r="AI54" s="34"/>
      <c r="AJ54" s="34"/>
      <c r="AK54" s="34" t="s">
        <v>95</v>
      </c>
      <c r="AM54" s="34"/>
      <c r="AN54" s="34"/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H55" s="34"/>
      <c r="AI55" s="34"/>
      <c r="AJ55" s="34"/>
      <c r="AK55" s="34" t="s">
        <v>98</v>
      </c>
      <c r="AM55" s="34"/>
      <c r="AN55" s="34"/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H56" s="34"/>
      <c r="AI56" s="34"/>
      <c r="AJ56" s="34"/>
      <c r="AK56" s="34" t="s">
        <v>101</v>
      </c>
      <c r="AM56" s="34"/>
      <c r="AN56" s="34"/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H57" s="34"/>
      <c r="AI57" s="34"/>
      <c r="AJ57" s="34"/>
      <c r="AK57" s="34" t="s">
        <v>104</v>
      </c>
      <c r="AM57" s="34"/>
      <c r="AN57" s="34"/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H58" s="34"/>
      <c r="AI58" s="34"/>
      <c r="AJ58" s="34"/>
      <c r="AK58" s="34" t="s">
        <v>107</v>
      </c>
      <c r="AM58" s="34"/>
      <c r="AN58" s="34"/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H59" s="34"/>
      <c r="AI59" s="34"/>
      <c r="AJ59" s="34"/>
      <c r="AK59" s="34"/>
      <c r="AM59" s="34"/>
      <c r="AN59" s="34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H60" s="34"/>
      <c r="AI60" s="34"/>
      <c r="AJ60" s="34"/>
      <c r="AK60" s="34"/>
      <c r="AM60" s="34"/>
      <c r="AN60" s="34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H61" s="34"/>
      <c r="AI61" s="34"/>
      <c r="AJ61" s="34"/>
      <c r="AK61" s="34"/>
      <c r="AM61" s="34"/>
      <c r="AN61" s="34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H62" s="34"/>
      <c r="AI62" s="34"/>
      <c r="AJ62" s="34"/>
      <c r="AK62" s="34"/>
      <c r="AM62" s="34"/>
      <c r="AN62" s="34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H63" s="34"/>
      <c r="AI63" s="34"/>
      <c r="AJ63" s="34"/>
      <c r="AK63" s="34"/>
      <c r="AM63" s="34"/>
      <c r="AN63" s="34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H64" s="34"/>
      <c r="AI64" s="34"/>
      <c r="AJ64" s="34"/>
      <c r="AK64" s="34"/>
      <c r="AM64" s="34"/>
      <c r="AN64" s="34"/>
    </row>
    <row r="65" spans="1:4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H65" s="34"/>
      <c r="AI65" s="34"/>
      <c r="AJ65" s="34"/>
      <c r="AK65" s="34"/>
      <c r="AM65" s="34"/>
      <c r="AN65" s="34"/>
    </row>
    <row r="66" spans="1:4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4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40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40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40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40" x14ac:dyDescent="0.25">
      <c r="F73" s="3" t="s">
        <v>122</v>
      </c>
      <c r="G73" s="3" t="s">
        <v>123</v>
      </c>
      <c r="I73" s="54" t="s">
        <v>124</v>
      </c>
      <c r="J73" s="54">
        <f>($C$17/100)*AJ5</f>
        <v>66.771471711519681</v>
      </c>
      <c r="L73">
        <v>0</v>
      </c>
      <c r="M73">
        <v>0</v>
      </c>
      <c r="O73" t="s">
        <v>19</v>
      </c>
      <c r="P73" t="s">
        <v>20</v>
      </c>
      <c r="Q73" t="s">
        <v>21</v>
      </c>
      <c r="R73" t="s">
        <v>22</v>
      </c>
    </row>
    <row r="74" spans="1:40" x14ac:dyDescent="0.25">
      <c r="F74" s="52"/>
      <c r="G74" s="52"/>
      <c r="I74" s="54" t="s">
        <v>125</v>
      </c>
      <c r="J74" s="54" t="e">
        <f>#REF!/100*J73</f>
        <v>#REF!</v>
      </c>
      <c r="L74" s="5">
        <f>IFERROR(L73+I5,L73)</f>
        <v>16.69286792787992</v>
      </c>
      <c r="M74">
        <v>0</v>
      </c>
      <c r="O74">
        <v>0</v>
      </c>
      <c r="P74">
        <v>0</v>
      </c>
      <c r="Q74">
        <f>O5</f>
        <v>0</v>
      </c>
      <c r="R74">
        <f t="shared" ref="R74:R105" si="13">$C$6</f>
        <v>4</v>
      </c>
    </row>
    <row r="75" spans="1:40" x14ac:dyDescent="0.25">
      <c r="F75" s="52"/>
      <c r="G75" s="52"/>
      <c r="I75" s="54" t="s">
        <v>126</v>
      </c>
      <c r="J75" s="54" t="e">
        <f>J73-J74</f>
        <v>#REF!</v>
      </c>
      <c r="L75" s="5">
        <f>IFERROR(L74+#REF!,L74)</f>
        <v>16.69286792787992</v>
      </c>
      <c r="M75">
        <v>0</v>
      </c>
      <c r="O75" s="5">
        <f t="shared" ref="O75:O100" si="14">O74+I5</f>
        <v>16.69286792787992</v>
      </c>
      <c r="P75">
        <f>O75</f>
        <v>16.69286792787992</v>
      </c>
      <c r="Q75">
        <f>P5</f>
        <v>0</v>
      </c>
      <c r="R75">
        <f t="shared" si="13"/>
        <v>4</v>
      </c>
    </row>
    <row r="76" spans="1:40" x14ac:dyDescent="0.25">
      <c r="E76">
        <v>1</v>
      </c>
      <c r="F76" s="53">
        <f t="shared" ref="F76:F101" si="15">IF(P6="-","-",P6/$C$4)</f>
        <v>0.2</v>
      </c>
      <c r="G76" s="53">
        <f t="shared" ref="G76:G101" si="16">IF(F76="-","-",F76^$AI$18)</f>
        <v>4.0000000000000008E-2</v>
      </c>
      <c r="L76" s="5">
        <f t="shared" ref="L76:L100" si="17">IFERROR(L75+I6,L75)</f>
        <v>24.836752819966254</v>
      </c>
      <c r="M76">
        <f t="shared" ref="M76:M100" si="18">P6</f>
        <v>100</v>
      </c>
      <c r="O76" s="5">
        <f t="shared" si="14"/>
        <v>24.836752819966254</v>
      </c>
      <c r="P76">
        <f>P75</f>
        <v>16.69286792787992</v>
      </c>
      <c r="Q76">
        <f>P6</f>
        <v>100</v>
      </c>
      <c r="R76">
        <f t="shared" si="13"/>
        <v>4</v>
      </c>
    </row>
    <row r="77" spans="1:40" x14ac:dyDescent="0.25">
      <c r="E77">
        <v>2</v>
      </c>
      <c r="F77" s="53">
        <f t="shared" si="15"/>
        <v>0.4</v>
      </c>
      <c r="G77" s="53">
        <f t="shared" si="16"/>
        <v>0.16000000000000003</v>
      </c>
      <c r="I77" s="54" t="s">
        <v>128</v>
      </c>
      <c r="J77" s="54">
        <f>C4/C7</f>
        <v>5</v>
      </c>
      <c r="L77" s="5">
        <f t="shared" si="17"/>
        <v>33.268407496225251</v>
      </c>
      <c r="M77">
        <f t="shared" si="18"/>
        <v>200</v>
      </c>
      <c r="O77" s="5">
        <f t="shared" si="14"/>
        <v>33.268407496225251</v>
      </c>
      <c r="P77" s="5">
        <f>O76</f>
        <v>24.836752819966254</v>
      </c>
      <c r="Q77" t="e">
        <f>#REF!</f>
        <v>#REF!</v>
      </c>
      <c r="R77">
        <f t="shared" si="13"/>
        <v>4</v>
      </c>
    </row>
    <row r="78" spans="1:40" x14ac:dyDescent="0.25">
      <c r="E78">
        <v>3</v>
      </c>
      <c r="F78" s="53">
        <f t="shared" si="15"/>
        <v>0.6</v>
      </c>
      <c r="G78" s="53">
        <f t="shared" si="16"/>
        <v>0.36</v>
      </c>
      <c r="L78" s="5">
        <f t="shared" si="17"/>
        <v>41.987831956656905</v>
      </c>
      <c r="M78">
        <f t="shared" si="18"/>
        <v>300</v>
      </c>
      <c r="O78">
        <f t="shared" si="14"/>
        <v>41.987831956656905</v>
      </c>
      <c r="P78" s="5">
        <f>P77</f>
        <v>24.836752819966254</v>
      </c>
      <c r="Q78">
        <f>P7</f>
        <v>200</v>
      </c>
      <c r="R78">
        <f t="shared" si="13"/>
        <v>4</v>
      </c>
    </row>
    <row r="79" spans="1:40" x14ac:dyDescent="0.25">
      <c r="E79">
        <v>4</v>
      </c>
      <c r="F79" s="53">
        <f t="shared" si="15"/>
        <v>0.8</v>
      </c>
      <c r="G79" s="53">
        <f t="shared" si="16"/>
        <v>0.64000000000000012</v>
      </c>
      <c r="L79" s="5">
        <f t="shared" si="17"/>
        <v>50.995026201261226</v>
      </c>
      <c r="M79">
        <f t="shared" si="18"/>
        <v>400</v>
      </c>
      <c r="O79">
        <f t="shared" si="14"/>
        <v>50.995026201261226</v>
      </c>
      <c r="P79">
        <f>O77</f>
        <v>33.268407496225251</v>
      </c>
      <c r="Q79" t="e">
        <f>#REF!</f>
        <v>#REF!</v>
      </c>
      <c r="R79">
        <f t="shared" si="13"/>
        <v>4</v>
      </c>
    </row>
    <row r="80" spans="1:40" x14ac:dyDescent="0.25">
      <c r="E80">
        <v>5</v>
      </c>
      <c r="F80" s="53">
        <f t="shared" si="15"/>
        <v>1</v>
      </c>
      <c r="G80" s="53">
        <f t="shared" si="16"/>
        <v>1</v>
      </c>
      <c r="L80" s="5">
        <f t="shared" si="17"/>
        <v>60.2899902300382</v>
      </c>
      <c r="M80">
        <f t="shared" si="18"/>
        <v>500</v>
      </c>
      <c r="O80">
        <f t="shared" si="14"/>
        <v>60.2899902300382</v>
      </c>
      <c r="P80">
        <f>P79</f>
        <v>33.268407496225251</v>
      </c>
      <c r="Q80">
        <f>P8</f>
        <v>300</v>
      </c>
      <c r="R80">
        <f t="shared" si="13"/>
        <v>4</v>
      </c>
    </row>
    <row r="81" spans="5:18" x14ac:dyDescent="0.25">
      <c r="E81">
        <v>6</v>
      </c>
      <c r="F81" s="53">
        <f t="shared" si="15"/>
        <v>1</v>
      </c>
      <c r="G81" s="53">
        <f t="shared" si="16"/>
        <v>1</v>
      </c>
      <c r="L81" s="5">
        <f t="shared" si="17"/>
        <v>66.771471711519681</v>
      </c>
      <c r="M81">
        <f t="shared" si="18"/>
        <v>500</v>
      </c>
      <c r="O81">
        <f t="shared" si="14"/>
        <v>66.771471711519681</v>
      </c>
      <c r="P81">
        <f>O78</f>
        <v>41.987831956656905</v>
      </c>
      <c r="Q81" t="e">
        <f>#REF!</f>
        <v>#REF!</v>
      </c>
      <c r="R81">
        <f t="shared" si="13"/>
        <v>4</v>
      </c>
    </row>
    <row r="82" spans="5:18" x14ac:dyDescent="0.25">
      <c r="E82">
        <v>7</v>
      </c>
      <c r="F82" s="53" t="str">
        <f t="shared" si="15"/>
        <v>-</v>
      </c>
      <c r="G82" s="53" t="str">
        <f t="shared" si="16"/>
        <v>-</v>
      </c>
      <c r="L82" s="5">
        <f t="shared" si="17"/>
        <v>66.771471711519681</v>
      </c>
      <c r="M82" t="str">
        <f t="shared" si="18"/>
        <v>-</v>
      </c>
      <c r="O82" t="e">
        <f t="shared" si="14"/>
        <v>#VALUE!</v>
      </c>
      <c r="P82">
        <f>P81</f>
        <v>41.987831956656905</v>
      </c>
      <c r="Q82">
        <f>P9</f>
        <v>400</v>
      </c>
      <c r="R82">
        <f t="shared" si="13"/>
        <v>4</v>
      </c>
    </row>
    <row r="83" spans="5:18" x14ac:dyDescent="0.25">
      <c r="E83">
        <v>8</v>
      </c>
      <c r="F83" s="53" t="str">
        <f t="shared" si="15"/>
        <v>-</v>
      </c>
      <c r="G83" s="53" t="str">
        <f t="shared" si="16"/>
        <v>-</v>
      </c>
      <c r="L83" s="5">
        <f t="shared" si="17"/>
        <v>66.771471711519681</v>
      </c>
      <c r="M83" t="str">
        <f t="shared" si="18"/>
        <v>-</v>
      </c>
      <c r="O83" t="e">
        <f t="shared" si="14"/>
        <v>#VALUE!</v>
      </c>
      <c r="P83">
        <f>O79</f>
        <v>50.995026201261226</v>
      </c>
      <c r="Q83" t="e">
        <f>#REF!</f>
        <v>#REF!</v>
      </c>
      <c r="R83">
        <f t="shared" si="13"/>
        <v>4</v>
      </c>
    </row>
    <row r="84" spans="5:18" x14ac:dyDescent="0.25">
      <c r="E84">
        <v>9</v>
      </c>
      <c r="F84" s="53" t="str">
        <f t="shared" si="15"/>
        <v>-</v>
      </c>
      <c r="G84" s="53" t="str">
        <f t="shared" si="16"/>
        <v>-</v>
      </c>
      <c r="L84" s="5">
        <f t="shared" si="17"/>
        <v>66.771471711519681</v>
      </c>
      <c r="M84" t="str">
        <f t="shared" si="18"/>
        <v>-</v>
      </c>
      <c r="O84" s="5" t="e">
        <f t="shared" si="14"/>
        <v>#VALUE!</v>
      </c>
      <c r="P84">
        <f>P83</f>
        <v>50.995026201261226</v>
      </c>
      <c r="Q84">
        <f>P10</f>
        <v>500</v>
      </c>
      <c r="R84">
        <f t="shared" si="13"/>
        <v>4</v>
      </c>
    </row>
    <row r="85" spans="5:18" x14ac:dyDescent="0.25">
      <c r="E85">
        <v>10</v>
      </c>
      <c r="F85" s="53" t="str">
        <f t="shared" si="15"/>
        <v>-</v>
      </c>
      <c r="G85" s="53" t="str">
        <f t="shared" si="16"/>
        <v>-</v>
      </c>
      <c r="L85" s="5">
        <f t="shared" si="17"/>
        <v>66.771471711519681</v>
      </c>
      <c r="M85" t="str">
        <f t="shared" si="18"/>
        <v>-</v>
      </c>
      <c r="O85" t="e">
        <f t="shared" si="14"/>
        <v>#VALUE!</v>
      </c>
      <c r="P85">
        <f>O80</f>
        <v>60.2899902300382</v>
      </c>
      <c r="Q85" t="e">
        <f>#REF!</f>
        <v>#REF!</v>
      </c>
      <c r="R85">
        <f t="shared" si="13"/>
        <v>4</v>
      </c>
    </row>
    <row r="86" spans="5:18" x14ac:dyDescent="0.25">
      <c r="E86">
        <v>11</v>
      </c>
      <c r="F86" s="53" t="str">
        <f t="shared" si="15"/>
        <v>-</v>
      </c>
      <c r="G86" s="53" t="str">
        <f t="shared" si="16"/>
        <v>-</v>
      </c>
      <c r="L86" s="5">
        <f t="shared" si="17"/>
        <v>66.771471711519681</v>
      </c>
      <c r="M86" t="str">
        <f t="shared" si="18"/>
        <v>-</v>
      </c>
      <c r="O86" t="e">
        <f t="shared" si="14"/>
        <v>#VALUE!</v>
      </c>
      <c r="P86">
        <f>P85</f>
        <v>60.2899902300382</v>
      </c>
      <c r="Q86">
        <f>P11</f>
        <v>500</v>
      </c>
      <c r="R86">
        <f t="shared" si="13"/>
        <v>4</v>
      </c>
    </row>
    <row r="87" spans="5:18" x14ac:dyDescent="0.25">
      <c r="E87">
        <v>12</v>
      </c>
      <c r="F87" s="53" t="str">
        <f t="shared" si="15"/>
        <v>-</v>
      </c>
      <c r="G87" s="53" t="str">
        <f t="shared" si="16"/>
        <v>-</v>
      </c>
      <c r="L87" s="5">
        <f t="shared" si="17"/>
        <v>66.771471711519681</v>
      </c>
      <c r="M87" t="str">
        <f t="shared" si="18"/>
        <v>-</v>
      </c>
      <c r="O87" t="e">
        <f t="shared" si="14"/>
        <v>#VALUE!</v>
      </c>
      <c r="P87">
        <f>O81</f>
        <v>66.771471711519681</v>
      </c>
      <c r="Q87" t="e">
        <f>#REF!</f>
        <v>#REF!</v>
      </c>
      <c r="R87">
        <f t="shared" si="13"/>
        <v>4</v>
      </c>
    </row>
    <row r="88" spans="5:18" x14ac:dyDescent="0.25">
      <c r="E88">
        <v>13</v>
      </c>
      <c r="F88" s="53" t="str">
        <f t="shared" si="15"/>
        <v>-</v>
      </c>
      <c r="G88" s="53" t="str">
        <f t="shared" si="16"/>
        <v>-</v>
      </c>
      <c r="L88" s="5">
        <f t="shared" si="17"/>
        <v>66.771471711519681</v>
      </c>
      <c r="M88" t="str">
        <f t="shared" si="18"/>
        <v>-</v>
      </c>
      <c r="O88" t="e">
        <f t="shared" si="14"/>
        <v>#VALUE!</v>
      </c>
      <c r="P88">
        <f>P87</f>
        <v>66.771471711519681</v>
      </c>
      <c r="Q88" t="str">
        <f>P12</f>
        <v>-</v>
      </c>
      <c r="R88">
        <f t="shared" si="13"/>
        <v>4</v>
      </c>
    </row>
    <row r="89" spans="5:18" x14ac:dyDescent="0.25">
      <c r="E89">
        <v>14</v>
      </c>
      <c r="F89" s="53" t="str">
        <f t="shared" si="15"/>
        <v>-</v>
      </c>
      <c r="G89" s="53" t="str">
        <f t="shared" si="16"/>
        <v>-</v>
      </c>
      <c r="L89" s="5">
        <f t="shared" si="17"/>
        <v>66.771471711519681</v>
      </c>
      <c r="M89" t="str">
        <f t="shared" si="18"/>
        <v>-</v>
      </c>
      <c r="O89" t="e">
        <f t="shared" si="14"/>
        <v>#VALUE!</v>
      </c>
      <c r="P89" t="e">
        <f>O82</f>
        <v>#VALUE!</v>
      </c>
      <c r="Q89" t="e">
        <f>#REF!</f>
        <v>#REF!</v>
      </c>
      <c r="R89">
        <f t="shared" si="13"/>
        <v>4</v>
      </c>
    </row>
    <row r="90" spans="5:18" x14ac:dyDescent="0.25">
      <c r="E90">
        <v>15</v>
      </c>
      <c r="F90" s="53" t="str">
        <f t="shared" si="15"/>
        <v>-</v>
      </c>
      <c r="G90" s="53" t="str">
        <f t="shared" si="16"/>
        <v>-</v>
      </c>
      <c r="L90" s="5">
        <f t="shared" si="17"/>
        <v>66.771471711519681</v>
      </c>
      <c r="M90" t="str">
        <f t="shared" si="18"/>
        <v>-</v>
      </c>
      <c r="O90" s="5" t="e">
        <f t="shared" si="14"/>
        <v>#VALUE!</v>
      </c>
      <c r="P90" t="e">
        <f>P89</f>
        <v>#VALUE!</v>
      </c>
      <c r="Q90" t="str">
        <f>P13</f>
        <v>-</v>
      </c>
      <c r="R90">
        <f t="shared" si="13"/>
        <v>4</v>
      </c>
    </row>
    <row r="91" spans="5:18" x14ac:dyDescent="0.25">
      <c r="E91">
        <v>16</v>
      </c>
      <c r="F91" s="53" t="str">
        <f t="shared" si="15"/>
        <v>-</v>
      </c>
      <c r="G91" s="53" t="str">
        <f t="shared" si="16"/>
        <v>-</v>
      </c>
      <c r="L91" s="5">
        <f t="shared" si="17"/>
        <v>66.771471711519681</v>
      </c>
      <c r="M91" t="str">
        <f t="shared" si="18"/>
        <v>-</v>
      </c>
      <c r="O91" s="5" t="e">
        <f t="shared" si="14"/>
        <v>#VALUE!</v>
      </c>
      <c r="P91" t="e">
        <f>O83</f>
        <v>#VALUE!</v>
      </c>
      <c r="Q91" t="e">
        <f>#REF!</f>
        <v>#REF!</v>
      </c>
      <c r="R91">
        <f t="shared" si="13"/>
        <v>4</v>
      </c>
    </row>
    <row r="92" spans="5:18" x14ac:dyDescent="0.25">
      <c r="E92">
        <v>17</v>
      </c>
      <c r="F92" s="53" t="str">
        <f t="shared" si="15"/>
        <v>-</v>
      </c>
      <c r="G92" s="53" t="str">
        <f t="shared" si="16"/>
        <v>-</v>
      </c>
      <c r="L92" s="5">
        <f t="shared" si="17"/>
        <v>66.771471711519681</v>
      </c>
      <c r="M92" t="str">
        <f t="shared" si="18"/>
        <v>-</v>
      </c>
      <c r="O92" s="5" t="e">
        <f t="shared" si="14"/>
        <v>#VALUE!</v>
      </c>
      <c r="P92" t="e">
        <f>P91</f>
        <v>#VALUE!</v>
      </c>
      <c r="Q92" t="str">
        <f>P14</f>
        <v>-</v>
      </c>
      <c r="R92">
        <f t="shared" si="13"/>
        <v>4</v>
      </c>
    </row>
    <row r="93" spans="5:18" x14ac:dyDescent="0.25">
      <c r="E93">
        <v>18</v>
      </c>
      <c r="F93" s="53" t="str">
        <f t="shared" si="15"/>
        <v>-</v>
      </c>
      <c r="G93" s="53" t="str">
        <f t="shared" si="16"/>
        <v>-</v>
      </c>
      <c r="L93" s="5">
        <f t="shared" si="17"/>
        <v>66.771471711519681</v>
      </c>
      <c r="M93" t="str">
        <f t="shared" si="18"/>
        <v>-</v>
      </c>
      <c r="O93" s="5" t="e">
        <f t="shared" si="14"/>
        <v>#VALUE!</v>
      </c>
      <c r="P93" t="e">
        <f>O84</f>
        <v>#VALUE!</v>
      </c>
      <c r="Q93" t="e">
        <f>#REF!</f>
        <v>#REF!</v>
      </c>
      <c r="R93">
        <f t="shared" si="13"/>
        <v>4</v>
      </c>
    </row>
    <row r="94" spans="5:18" x14ac:dyDescent="0.25">
      <c r="E94">
        <v>19</v>
      </c>
      <c r="F94" s="53" t="str">
        <f t="shared" si="15"/>
        <v>-</v>
      </c>
      <c r="G94" s="53" t="str">
        <f t="shared" si="16"/>
        <v>-</v>
      </c>
      <c r="L94" s="5">
        <f t="shared" si="17"/>
        <v>66.771471711519681</v>
      </c>
      <c r="M94" t="str">
        <f t="shared" si="18"/>
        <v>-</v>
      </c>
      <c r="O94" s="5" t="e">
        <f t="shared" si="14"/>
        <v>#VALUE!</v>
      </c>
      <c r="P94" t="e">
        <f>P93</f>
        <v>#VALUE!</v>
      </c>
      <c r="Q94" t="str">
        <f>P15</f>
        <v>-</v>
      </c>
      <c r="R94">
        <f t="shared" si="13"/>
        <v>4</v>
      </c>
    </row>
    <row r="95" spans="5:18" x14ac:dyDescent="0.25">
      <c r="E95">
        <v>20</v>
      </c>
      <c r="F95" s="53" t="str">
        <f t="shared" si="15"/>
        <v>-</v>
      </c>
      <c r="G95" s="53" t="str">
        <f t="shared" si="16"/>
        <v>-</v>
      </c>
      <c r="L95" s="5">
        <f t="shared" si="17"/>
        <v>66.771471711519681</v>
      </c>
      <c r="M95" t="str">
        <f t="shared" si="18"/>
        <v>-</v>
      </c>
      <c r="O95" s="5" t="e">
        <f t="shared" si="14"/>
        <v>#VALUE!</v>
      </c>
      <c r="P95" t="e">
        <f>O85</f>
        <v>#VALUE!</v>
      </c>
      <c r="Q95" t="e">
        <f>#REF!</f>
        <v>#REF!</v>
      </c>
      <c r="R95">
        <f t="shared" si="13"/>
        <v>4</v>
      </c>
    </row>
    <row r="96" spans="5:18" x14ac:dyDescent="0.25">
      <c r="E96">
        <v>21</v>
      </c>
      <c r="F96" s="53" t="str">
        <f t="shared" si="15"/>
        <v>-</v>
      </c>
      <c r="G96" s="53" t="str">
        <f t="shared" si="16"/>
        <v>-</v>
      </c>
      <c r="L96" s="5">
        <f t="shared" si="17"/>
        <v>66.771471711519681</v>
      </c>
      <c r="M96" t="str">
        <f t="shared" si="18"/>
        <v>-</v>
      </c>
      <c r="O96" s="5" t="e">
        <f t="shared" si="14"/>
        <v>#VALUE!</v>
      </c>
      <c r="P96" t="e">
        <f>P95</f>
        <v>#VALUE!</v>
      </c>
      <c r="Q96" t="str">
        <f>P16</f>
        <v>-</v>
      </c>
      <c r="R96">
        <f t="shared" si="13"/>
        <v>4</v>
      </c>
    </row>
    <row r="97" spans="5:18" x14ac:dyDescent="0.25">
      <c r="E97">
        <v>22</v>
      </c>
      <c r="F97" s="53" t="str">
        <f t="shared" si="15"/>
        <v>-</v>
      </c>
      <c r="G97" s="53" t="str">
        <f t="shared" si="16"/>
        <v>-</v>
      </c>
      <c r="L97" s="5">
        <f t="shared" si="17"/>
        <v>66.771471711519681</v>
      </c>
      <c r="M97" t="str">
        <f t="shared" si="18"/>
        <v>-</v>
      </c>
      <c r="O97" s="5" t="e">
        <f t="shared" si="14"/>
        <v>#VALUE!</v>
      </c>
      <c r="P97" t="e">
        <f>O86</f>
        <v>#VALUE!</v>
      </c>
      <c r="Q97" t="e">
        <f>#REF!</f>
        <v>#REF!</v>
      </c>
      <c r="R97">
        <f t="shared" si="13"/>
        <v>4</v>
      </c>
    </row>
    <row r="98" spans="5:18" x14ac:dyDescent="0.25">
      <c r="E98">
        <v>23</v>
      </c>
      <c r="F98" s="53" t="str">
        <f t="shared" si="15"/>
        <v>-</v>
      </c>
      <c r="G98" s="53" t="str">
        <f t="shared" si="16"/>
        <v>-</v>
      </c>
      <c r="L98" s="5">
        <f t="shared" si="17"/>
        <v>66.771471711519681</v>
      </c>
      <c r="M98" t="str">
        <f t="shared" si="18"/>
        <v>-</v>
      </c>
      <c r="O98" s="5" t="e">
        <f t="shared" si="14"/>
        <v>#VALUE!</v>
      </c>
      <c r="P98" t="e">
        <f>P97</f>
        <v>#VALUE!</v>
      </c>
      <c r="Q98" t="str">
        <f>P17</f>
        <v>-</v>
      </c>
      <c r="R98">
        <f t="shared" si="13"/>
        <v>4</v>
      </c>
    </row>
    <row r="99" spans="5:18" x14ac:dyDescent="0.25">
      <c r="E99">
        <v>24</v>
      </c>
      <c r="F99" s="53" t="str">
        <f t="shared" si="15"/>
        <v>-</v>
      </c>
      <c r="G99" s="53" t="str">
        <f t="shared" si="16"/>
        <v>-</v>
      </c>
      <c r="L99" s="5">
        <f t="shared" si="17"/>
        <v>66.771471711519681</v>
      </c>
      <c r="M99" t="str">
        <f t="shared" si="18"/>
        <v>-</v>
      </c>
      <c r="O99" s="5" t="e">
        <f t="shared" si="14"/>
        <v>#VALUE!</v>
      </c>
      <c r="P99" t="e">
        <f>O87</f>
        <v>#VALUE!</v>
      </c>
      <c r="Q99" t="e">
        <f>#REF!</f>
        <v>#REF!</v>
      </c>
      <c r="R99">
        <f t="shared" si="13"/>
        <v>4</v>
      </c>
    </row>
    <row r="100" spans="5:18" x14ac:dyDescent="0.25">
      <c r="E100">
        <v>25</v>
      </c>
      <c r="F100" s="53" t="str">
        <f t="shared" si="15"/>
        <v>-</v>
      </c>
      <c r="G100" s="53" t="str">
        <f t="shared" si="16"/>
        <v>-</v>
      </c>
      <c r="L100" s="5">
        <f t="shared" si="17"/>
        <v>66.771471711519681</v>
      </c>
      <c r="M100" t="str">
        <f t="shared" si="18"/>
        <v>-</v>
      </c>
      <c r="O100" s="5" t="e">
        <f t="shared" si="14"/>
        <v>#VALUE!</v>
      </c>
      <c r="P100" t="e">
        <f>P99</f>
        <v>#VALUE!</v>
      </c>
      <c r="Q100" t="str">
        <f>P18</f>
        <v>-</v>
      </c>
      <c r="R100">
        <f t="shared" si="13"/>
        <v>4</v>
      </c>
    </row>
    <row r="101" spans="5:18" x14ac:dyDescent="0.25">
      <c r="E101">
        <v>26</v>
      </c>
      <c r="F101" s="53" t="str">
        <f t="shared" si="15"/>
        <v>-</v>
      </c>
      <c r="G101" s="53" t="str">
        <f t="shared" si="16"/>
        <v>-</v>
      </c>
      <c r="O101" s="5" t="e">
        <f t="shared" ref="O101:O106" si="19">O100+F31</f>
        <v>#VALUE!</v>
      </c>
      <c r="P101" t="e">
        <f>O88</f>
        <v>#VALUE!</v>
      </c>
      <c r="Q101" t="e">
        <f>#REF!</f>
        <v>#REF!</v>
      </c>
      <c r="R101">
        <f t="shared" si="13"/>
        <v>4</v>
      </c>
    </row>
    <row r="102" spans="5:18" x14ac:dyDescent="0.25">
      <c r="O102" s="5" t="e">
        <f t="shared" si="19"/>
        <v>#VALUE!</v>
      </c>
      <c r="P102" t="e">
        <f>P101</f>
        <v>#VALUE!</v>
      </c>
      <c r="Q102" t="str">
        <f>P19</f>
        <v>-</v>
      </c>
      <c r="R102">
        <f t="shared" si="13"/>
        <v>4</v>
      </c>
    </row>
    <row r="103" spans="5:18" x14ac:dyDescent="0.25">
      <c r="F103" s="7" t="s">
        <v>133</v>
      </c>
      <c r="G103" s="7">
        <f>IF(C9=AM23,AN23,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"?"))))))))))))))))))))))))))))</f>
        <v>2.78</v>
      </c>
      <c r="O103" s="5" t="e">
        <f t="shared" si="19"/>
        <v>#VALUE!</v>
      </c>
      <c r="P103" t="e">
        <f>O89</f>
        <v>#VALUE!</v>
      </c>
      <c r="Q103" t="e">
        <f>#REF!</f>
        <v>#REF!</v>
      </c>
      <c r="R103">
        <f t="shared" si="13"/>
        <v>4</v>
      </c>
    </row>
    <row r="104" spans="5:18" x14ac:dyDescent="0.25">
      <c r="F104" s="7" t="s">
        <v>134</v>
      </c>
      <c r="G104" s="7">
        <f>IF(C10=AM23,AN23,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"?"))))))))))))))))))))))))))))</f>
        <v>2.7</v>
      </c>
      <c r="O104" s="5" t="e">
        <f t="shared" si="19"/>
        <v>#VALUE!</v>
      </c>
      <c r="P104" t="e">
        <f>P103</f>
        <v>#VALUE!</v>
      </c>
      <c r="Q104" t="str">
        <f>P20</f>
        <v>-</v>
      </c>
      <c r="R104">
        <f t="shared" si="13"/>
        <v>4</v>
      </c>
    </row>
    <row r="105" spans="5:18" x14ac:dyDescent="0.25">
      <c r="O105" s="5" t="e">
        <f t="shared" si="19"/>
        <v>#VALUE!</v>
      </c>
      <c r="P105" s="5" t="e">
        <f>O90</f>
        <v>#VALUE!</v>
      </c>
      <c r="Q105" t="e">
        <f>#REF!</f>
        <v>#REF!</v>
      </c>
      <c r="R105">
        <f t="shared" si="13"/>
        <v>4</v>
      </c>
    </row>
    <row r="106" spans="5:18" x14ac:dyDescent="0.25">
      <c r="O106" s="5" t="e">
        <f t="shared" si="19"/>
        <v>#VALUE!</v>
      </c>
      <c r="P106" s="5" t="e">
        <f>P105</f>
        <v>#VALUE!</v>
      </c>
      <c r="Q106" t="str">
        <f>P21</f>
        <v>-</v>
      </c>
      <c r="R106">
        <f t="shared" ref="R106:R124" si="20">$C$6</f>
        <v>4</v>
      </c>
    </row>
    <row r="107" spans="5:18" x14ac:dyDescent="0.25">
      <c r="P107" s="5" t="e">
        <f>O91</f>
        <v>#VALUE!</v>
      </c>
      <c r="Q107" t="e">
        <f>#REF!</f>
        <v>#REF!</v>
      </c>
      <c r="R107">
        <f t="shared" si="20"/>
        <v>4</v>
      </c>
    </row>
    <row r="108" spans="5:18" x14ac:dyDescent="0.25">
      <c r="P108" s="5" t="e">
        <f>P107</f>
        <v>#VALUE!</v>
      </c>
      <c r="Q108" t="str">
        <f>P22</f>
        <v>-</v>
      </c>
      <c r="R108">
        <f t="shared" si="20"/>
        <v>4</v>
      </c>
    </row>
    <row r="109" spans="5:18" x14ac:dyDescent="0.25">
      <c r="P109" s="5" t="e">
        <f>O92</f>
        <v>#VALUE!</v>
      </c>
      <c r="Q109" t="e">
        <f>#REF!</f>
        <v>#REF!</v>
      </c>
      <c r="R109">
        <f t="shared" si="20"/>
        <v>4</v>
      </c>
    </row>
    <row r="110" spans="5:18" x14ac:dyDescent="0.25">
      <c r="P110" s="5" t="e">
        <f>P109</f>
        <v>#VALUE!</v>
      </c>
      <c r="Q110" t="str">
        <f>P23</f>
        <v>-</v>
      </c>
      <c r="R110">
        <f t="shared" si="20"/>
        <v>4</v>
      </c>
    </row>
    <row r="111" spans="5:18" x14ac:dyDescent="0.25">
      <c r="P111" s="5" t="e">
        <f>O93</f>
        <v>#VALUE!</v>
      </c>
      <c r="Q111" t="e">
        <f>#REF!</f>
        <v>#REF!</v>
      </c>
      <c r="R111">
        <f t="shared" si="20"/>
        <v>4</v>
      </c>
    </row>
    <row r="112" spans="5:18" x14ac:dyDescent="0.25">
      <c r="P112" s="5" t="e">
        <f>P111</f>
        <v>#VALUE!</v>
      </c>
      <c r="Q112" t="str">
        <f>P24</f>
        <v>-</v>
      </c>
      <c r="R112">
        <f t="shared" si="20"/>
        <v>4</v>
      </c>
    </row>
    <row r="113" spans="16:18" x14ac:dyDescent="0.25">
      <c r="P113" s="5" t="e">
        <f>O94</f>
        <v>#VALUE!</v>
      </c>
      <c r="Q113" t="e">
        <f>#REF!</f>
        <v>#REF!</v>
      </c>
      <c r="R113">
        <f t="shared" si="20"/>
        <v>4</v>
      </c>
    </row>
    <row r="114" spans="16:18" x14ac:dyDescent="0.25">
      <c r="P114" s="5" t="e">
        <f>P113</f>
        <v>#VALUE!</v>
      </c>
      <c r="Q114" t="str">
        <f>P25</f>
        <v>-</v>
      </c>
      <c r="R114">
        <f t="shared" si="20"/>
        <v>4</v>
      </c>
    </row>
    <row r="115" spans="16:18" x14ac:dyDescent="0.25">
      <c r="P115" s="5" t="e">
        <f>O95</f>
        <v>#VALUE!</v>
      </c>
      <c r="Q115" t="e">
        <f>#REF!</f>
        <v>#REF!</v>
      </c>
      <c r="R115">
        <f t="shared" si="20"/>
        <v>4</v>
      </c>
    </row>
    <row r="116" spans="16:18" x14ac:dyDescent="0.25">
      <c r="P116" s="5" t="e">
        <f>P115</f>
        <v>#VALUE!</v>
      </c>
      <c r="Q116" t="str">
        <f>P26</f>
        <v>-</v>
      </c>
      <c r="R116">
        <f t="shared" si="20"/>
        <v>4</v>
      </c>
    </row>
    <row r="117" spans="16:18" x14ac:dyDescent="0.25">
      <c r="P117" s="5" t="e">
        <f>O96</f>
        <v>#VALUE!</v>
      </c>
      <c r="Q117" t="e">
        <f>#REF!</f>
        <v>#REF!</v>
      </c>
      <c r="R117">
        <f t="shared" si="20"/>
        <v>4</v>
      </c>
    </row>
    <row r="118" spans="16:18" x14ac:dyDescent="0.25">
      <c r="P118" s="5" t="e">
        <f>O96</f>
        <v>#VALUE!</v>
      </c>
      <c r="Q118" t="str">
        <f>P27</f>
        <v>-</v>
      </c>
      <c r="R118">
        <f t="shared" si="20"/>
        <v>4</v>
      </c>
    </row>
    <row r="119" spans="16:18" x14ac:dyDescent="0.25">
      <c r="P119" s="5" t="e">
        <f>O97</f>
        <v>#VALUE!</v>
      </c>
      <c r="Q119" t="e">
        <f>#REF!</f>
        <v>#REF!</v>
      </c>
      <c r="R119">
        <f t="shared" si="20"/>
        <v>4</v>
      </c>
    </row>
    <row r="120" spans="16:18" x14ac:dyDescent="0.25">
      <c r="P120" s="5" t="e">
        <f>P119</f>
        <v>#VALUE!</v>
      </c>
      <c r="Q120" t="str">
        <f>P28</f>
        <v>-</v>
      </c>
      <c r="R120">
        <f t="shared" si="20"/>
        <v>4</v>
      </c>
    </row>
    <row r="121" spans="16:18" x14ac:dyDescent="0.25">
      <c r="P121" s="5" t="e">
        <f>O98</f>
        <v>#VALUE!</v>
      </c>
      <c r="Q121" t="e">
        <f>#REF!</f>
        <v>#REF!</v>
      </c>
      <c r="R121">
        <f t="shared" si="20"/>
        <v>4</v>
      </c>
    </row>
    <row r="122" spans="16:18" x14ac:dyDescent="0.25">
      <c r="P122" s="5" t="e">
        <f>P121</f>
        <v>#VALUE!</v>
      </c>
      <c r="Q122" t="str">
        <f>P29</f>
        <v>-</v>
      </c>
      <c r="R122">
        <f t="shared" si="20"/>
        <v>4</v>
      </c>
    </row>
    <row r="123" spans="16:18" x14ac:dyDescent="0.25">
      <c r="P123" s="5" t="e">
        <f>O99</f>
        <v>#VALUE!</v>
      </c>
      <c r="Q123" t="e">
        <f>#REF!</f>
        <v>#REF!</v>
      </c>
      <c r="R123">
        <f t="shared" si="20"/>
        <v>4</v>
      </c>
    </row>
    <row r="124" spans="16:18" x14ac:dyDescent="0.25">
      <c r="P124" s="5" t="e">
        <f>P123</f>
        <v>#VALUE!</v>
      </c>
      <c r="Q124" t="str">
        <f>P30</f>
        <v>-</v>
      </c>
      <c r="R124">
        <f t="shared" si="20"/>
        <v>4</v>
      </c>
    </row>
  </sheetData>
  <mergeCells count="12">
    <mergeCell ref="E17:F17"/>
    <mergeCell ref="AH17:AI17"/>
    <mergeCell ref="E18:F18"/>
    <mergeCell ref="AH20:AN20"/>
    <mergeCell ref="AH21:AK21"/>
    <mergeCell ref="AM21:AN21"/>
    <mergeCell ref="AH9:AI9"/>
    <mergeCell ref="B1:C1"/>
    <mergeCell ref="E1:T1"/>
    <mergeCell ref="B2:C2"/>
    <mergeCell ref="E2:F2"/>
    <mergeCell ref="H2:T2"/>
  </mergeCells>
  <dataValidations count="5">
    <dataValidation type="list" showInputMessage="1" showErrorMessage="1" sqref="C9:C10">
      <formula1>$AM$23:$AM$50</formula1>
    </dataValidation>
    <dataValidation type="list" showInputMessage="1" showErrorMessage="1" sqref="C14">
      <formula1>$AJ$23:$AJ$38</formula1>
    </dataValidation>
    <dataValidation type="list" showInputMessage="1" showErrorMessage="1" sqref="C13">
      <formula1>$AI$23:$AI$40</formula1>
    </dataValidation>
    <dataValidation type="list" showInputMessage="1" showErrorMessage="1" sqref="C12">
      <formula1>$AH$23</formula1>
    </dataValidation>
    <dataValidation type="list" showInputMessage="1" showErrorMessage="1" sqref="C18:C19">
      <formula1>$AK$23:$AK$58</formula1>
    </dataValidation>
  </dataValidation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85" zoomScaleNormal="85" workbookViewId="0">
      <selection activeCell="J18" sqref="J18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34" width="9.140625" style="64" customWidth="1"/>
    <col min="35" max="35" width="8.7109375" style="64" customWidth="1"/>
    <col min="36" max="204" width="9.140625" style="64" customWidth="1"/>
    <col min="20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50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700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14.004599613669782</v>
      </c>
      <c r="J4" s="43">
        <f t="shared" ref="J4:J30" si="0">IF(K4="-","-",$C$6)</f>
        <v>4</v>
      </c>
      <c r="K4" s="9">
        <f>IFERROR(J74, "-")</f>
        <v>56.018398454679129</v>
      </c>
      <c r="L4" s="9">
        <f>IFERROR(K4,0)</f>
        <v>56.018398454679129</v>
      </c>
      <c r="M4" s="43" t="str">
        <f>IF(L4="-","-",$C$19)</f>
        <v>LG24</v>
      </c>
      <c r="N4" s="43"/>
      <c r="O4" s="43"/>
      <c r="P4" s="43"/>
      <c r="Q4" s="9"/>
      <c r="R4" s="9">
        <f>IF(L4="-","-",L4)</f>
        <v>56.018398454679129</v>
      </c>
      <c r="S4" s="9"/>
      <c r="T4" s="21">
        <f>IF(K4="-","-",K4)</f>
        <v>56.018398454679129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$C$6</f>
        <v>4</v>
      </c>
      <c r="AI4" t="s">
        <v>27</v>
      </c>
      <c r="AJ4" s="5">
        <f>SUM(K6:K30)-$C$24</f>
        <v>147.00782022210592</v>
      </c>
    </row>
    <row r="5" spans="1:36" ht="15.75" customHeight="1" x14ac:dyDescent="0.25">
      <c r="A5" s="6"/>
      <c r="B5" s="35" t="s">
        <v>143</v>
      </c>
      <c r="C5" s="42">
        <v>20</v>
      </c>
      <c r="D5" s="6"/>
      <c r="E5" s="12" t="str">
        <f>IF(C15=0,"",C12)</f>
        <v/>
      </c>
      <c r="F5" s="62" t="str">
        <f>IF(E5="","",SUMIF(M4:M30,C12,L4:L30))</f>
        <v/>
      </c>
      <c r="G5" s="6"/>
      <c r="H5" s="20" t="str">
        <f>IF(I5="-","-","Буфер")</f>
        <v>Буфер</v>
      </c>
      <c r="I5" s="9">
        <f>IFERROR(K5/J5,"-")</f>
        <v>14.004599613669782</v>
      </c>
      <c r="J5" s="43">
        <f t="shared" si="0"/>
        <v>4</v>
      </c>
      <c r="K5" s="9">
        <f>IFERROR(J75, "-")</f>
        <v>56.018398454679129</v>
      </c>
      <c r="L5" s="9">
        <f>IFERROR(K5,0)</f>
        <v>56.018398454679129</v>
      </c>
      <c r="M5" s="43" t="str">
        <f>IF(L5="-","-",$C$20)</f>
        <v>LG20</v>
      </c>
      <c r="N5" s="43"/>
      <c r="O5" s="43"/>
      <c r="P5" s="43"/>
      <c r="Q5" s="9"/>
      <c r="R5" s="9">
        <f>IF(L5="-","-",R4+L5)</f>
        <v>112.03679690935826</v>
      </c>
      <c r="S5" s="9"/>
      <c r="T5" s="21">
        <f>IF(K5="-","-",K5+T4)</f>
        <v>112.03679690935826</v>
      </c>
      <c r="U5" s="6"/>
      <c r="V5" s="6"/>
      <c r="W5" s="6"/>
      <c r="X5" s="6"/>
      <c r="Y5" s="6"/>
      <c r="Z5" s="6"/>
      <c r="AA5" s="6"/>
      <c r="AC5">
        <f>AC4+I4+I5</f>
        <v>28.009199227339565</v>
      </c>
      <c r="AD5">
        <f>AC5</f>
        <v>28.009199227339565</v>
      </c>
      <c r="AE5">
        <f>P4</f>
        <v>0</v>
      </c>
      <c r="AF5">
        <f t="shared" si="1"/>
        <v>4</v>
      </c>
      <c r="AI5" t="s">
        <v>29</v>
      </c>
      <c r="AJ5">
        <f>AJ4/(1-J81)</f>
        <v>259.04461713146418</v>
      </c>
    </row>
    <row r="6" spans="1:36" ht="18" customHeight="1" x14ac:dyDescent="0.25">
      <c r="A6" s="6"/>
      <c r="B6" s="24" t="s">
        <v>28</v>
      </c>
      <c r="C6" s="39">
        <v>4</v>
      </c>
      <c r="D6" s="6"/>
      <c r="E6" s="12" t="str">
        <f>C13</f>
        <v>LG20</v>
      </c>
      <c r="F6" s="62">
        <f>SUMIF(M4:M30,C13,L4:L30)</f>
        <v>137.65105151590359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4.145408163265305</v>
      </c>
      <c r="J6" s="43">
        <f t="shared" si="0"/>
        <v>4</v>
      </c>
      <c r="K6" s="9">
        <f t="shared" ref="K6:K30" si="4">IF(S5=$C$3*1000,$C$24,IFERROR(L6+Q6/(IF(N6=$C$9,$G$103,$G$104)*1000),"-"))</f>
        <v>16.58163265306122</v>
      </c>
      <c r="L6" s="9">
        <f t="shared" ref="L6:L30" si="5">IF(S5=$C$3*1000,$C$24,IFERROR(Q6/(P6-($C$7/2)),"-"))</f>
        <v>16.326530612244895</v>
      </c>
      <c r="M6" s="43" t="str">
        <f t="shared" ref="M6:M30" si="6">IF(S5=$C$3*1000,$C$23,IF(L6="-","-",IF(O6&lt;$C$15,$C$12,IF(P6&gt;$C$16,$C$14,$C$13))))</f>
        <v>LG20</v>
      </c>
      <c r="N6" s="43" t="str">
        <f t="shared" ref="N6:N30" si="7">IF(O6="-","-",IF(O6&lt;$C$11,$C$9,$C$10))</f>
        <v>FP_20/40</v>
      </c>
      <c r="O6" s="43">
        <f t="shared" ref="O6:O30" si="8">IFERROR(IF(P6="-","-",IF(P5=$C$4,$C$4,P6-$C$7)),"-")</f>
        <v>0</v>
      </c>
      <c r="P6" s="43">
        <f t="shared" ref="P6:P30" si="9">IFERROR(IF(O5=$C$4,"-",IF(P5=$C$4,$C$4,P5+($C$4-P5)/($J$78-E75))),"-")</f>
        <v>100</v>
      </c>
      <c r="Q6" s="9">
        <f>IF(S6="-","-",S6)</f>
        <v>816.32653061224482</v>
      </c>
      <c r="R6" s="9">
        <f t="shared" ref="R6:R30" si="10">IFERROR(IF(L6="-","-",R5+L6),"-")</f>
        <v>128.36332752160314</v>
      </c>
      <c r="S6" s="9">
        <f t="shared" ref="S6:S30" si="11">IFERROR(IF(S5=$Q$35*1000,$C$3*1000,G76*$Q$35*1000),"-")</f>
        <v>816.32653061224482</v>
      </c>
      <c r="T6" s="21">
        <f t="shared" ref="T6:T30" si="12">IFERROR(IF(K6="-","-",T5+K6),"-")</f>
        <v>128.61842956241946</v>
      </c>
      <c r="U6" s="6"/>
      <c r="V6" s="6"/>
      <c r="W6" s="6"/>
      <c r="X6" s="6"/>
      <c r="Y6" s="6"/>
      <c r="Z6" s="6"/>
      <c r="AA6" s="6"/>
      <c r="AC6" s="5">
        <f t="shared" ref="AC6:AC30" si="13">AC5+I6</f>
        <v>32.154607390604866</v>
      </c>
      <c r="AD6">
        <f>AD5</f>
        <v>28.009199227339565</v>
      </c>
      <c r="AE6">
        <f>P6</f>
        <v>100</v>
      </c>
      <c r="AF6">
        <f t="shared" si="1"/>
        <v>4</v>
      </c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DX20</v>
      </c>
      <c r="F7" s="62">
        <f>SUMIF(M4:M30,C14,L4:L30)</f>
        <v>48.037676609105183</v>
      </c>
      <c r="G7" s="6"/>
      <c r="H7" s="20" t="str">
        <f t="shared" si="2"/>
        <v>Пропант</v>
      </c>
      <c r="I7" s="9">
        <f t="shared" si="3"/>
        <v>4.2729591836734686</v>
      </c>
      <c r="J7" s="43">
        <f t="shared" si="0"/>
        <v>4</v>
      </c>
      <c r="K7" s="9">
        <f t="shared" si="4"/>
        <v>17.091836734693874</v>
      </c>
      <c r="L7" s="9">
        <f t="shared" si="5"/>
        <v>16.326530612244895</v>
      </c>
      <c r="M7" s="43" t="str">
        <f t="shared" si="6"/>
        <v>LG20</v>
      </c>
      <c r="N7" s="43" t="str">
        <f t="shared" si="7"/>
        <v>FP_20/40</v>
      </c>
      <c r="O7" s="43">
        <f t="shared" si="8"/>
        <v>100</v>
      </c>
      <c r="P7" s="43">
        <f t="shared" si="9"/>
        <v>200</v>
      </c>
      <c r="Q7" s="9">
        <f t="shared" ref="Q7:Q30" si="14">IF(S7="-","-",S7-S6)</f>
        <v>2448.9795918367345</v>
      </c>
      <c r="R7" s="9">
        <f t="shared" si="10"/>
        <v>144.68985813384802</v>
      </c>
      <c r="S7" s="9">
        <f t="shared" si="11"/>
        <v>3265.3061224489793</v>
      </c>
      <c r="T7" s="21">
        <f t="shared" si="12"/>
        <v>145.71026629711335</v>
      </c>
      <c r="U7" s="6"/>
      <c r="V7" s="6"/>
      <c r="W7" s="6"/>
      <c r="X7" s="6"/>
      <c r="Y7" s="6"/>
      <c r="Z7" s="6"/>
      <c r="AA7" s="6"/>
      <c r="AC7" s="5">
        <f t="shared" si="13"/>
        <v>36.427566574278337</v>
      </c>
      <c r="AD7" s="5">
        <f>AC6</f>
        <v>32.154607390604866</v>
      </c>
      <c r="AE7" t="e">
        <f>#REF!</f>
        <v>#REF!</v>
      </c>
      <c r="AF7">
        <f t="shared" si="1"/>
        <v>4</v>
      </c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SUM(L4:L30)</f>
        <v>258.70712657968784</v>
      </c>
      <c r="G8" s="6"/>
      <c r="H8" s="20" t="str">
        <f t="shared" si="2"/>
        <v>Пропант</v>
      </c>
      <c r="I8" s="9">
        <f t="shared" si="3"/>
        <v>4.4005102040816322</v>
      </c>
      <c r="J8" s="43">
        <f t="shared" si="0"/>
        <v>4</v>
      </c>
      <c r="K8" s="9">
        <f t="shared" si="4"/>
        <v>17.602040816326529</v>
      </c>
      <c r="L8" s="9">
        <f t="shared" si="5"/>
        <v>16.326530612244895</v>
      </c>
      <c r="M8" s="43" t="str">
        <f t="shared" si="6"/>
        <v>LG20</v>
      </c>
      <c r="N8" s="43" t="str">
        <f t="shared" si="7"/>
        <v>FP_20/40</v>
      </c>
      <c r="O8" s="43">
        <f t="shared" si="8"/>
        <v>200</v>
      </c>
      <c r="P8" s="43">
        <f t="shared" si="9"/>
        <v>300</v>
      </c>
      <c r="Q8" s="9">
        <f t="shared" si="14"/>
        <v>4081.6326530612241</v>
      </c>
      <c r="R8" s="9">
        <f t="shared" si="10"/>
        <v>161.0163887460929</v>
      </c>
      <c r="S8" s="9">
        <f t="shared" si="11"/>
        <v>7346.9387755102034</v>
      </c>
      <c r="T8" s="21">
        <f t="shared" si="12"/>
        <v>163.31230711343989</v>
      </c>
      <c r="U8" s="6"/>
      <c r="V8" s="6"/>
      <c r="W8" s="6"/>
      <c r="X8" s="6"/>
      <c r="Y8" s="6"/>
      <c r="Z8" s="6"/>
      <c r="AA8" s="6"/>
      <c r="AC8">
        <f t="shared" si="13"/>
        <v>40.828076778359971</v>
      </c>
      <c r="AD8" s="5">
        <f>AD7</f>
        <v>32.154607390604866</v>
      </c>
      <c r="AE8">
        <f>P7</f>
        <v>200</v>
      </c>
      <c r="AF8">
        <f t="shared" si="1"/>
        <v>4</v>
      </c>
      <c r="AI8">
        <f>C3/AJ4</f>
        <v>0.34011796055786547</v>
      </c>
    </row>
    <row r="9" spans="1:36" ht="15.75" customHeight="1" x14ac:dyDescent="0.25">
      <c r="A9" s="6"/>
      <c r="B9" s="24" t="s">
        <v>32</v>
      </c>
      <c r="C9" s="39" t="s">
        <v>90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4.5280612244897949</v>
      </c>
      <c r="J9" s="43">
        <f t="shared" si="0"/>
        <v>4</v>
      </c>
      <c r="K9" s="9">
        <f t="shared" si="4"/>
        <v>18.112244897959179</v>
      </c>
      <c r="L9" s="9">
        <f t="shared" si="5"/>
        <v>16.326530612244895</v>
      </c>
      <c r="M9" s="43" t="str">
        <f t="shared" si="6"/>
        <v>LG20</v>
      </c>
      <c r="N9" s="43" t="str">
        <f t="shared" si="7"/>
        <v>FP_20/40</v>
      </c>
      <c r="O9" s="43">
        <f t="shared" si="8"/>
        <v>300</v>
      </c>
      <c r="P9" s="43">
        <f t="shared" si="9"/>
        <v>400</v>
      </c>
      <c r="Q9" s="9">
        <f t="shared" si="14"/>
        <v>5714.2857142857138</v>
      </c>
      <c r="R9" s="9">
        <f t="shared" si="10"/>
        <v>177.34291935833778</v>
      </c>
      <c r="S9" s="9">
        <f t="shared" si="11"/>
        <v>13061.224489795917</v>
      </c>
      <c r="T9" s="21">
        <f t="shared" si="12"/>
        <v>181.42455201139907</v>
      </c>
      <c r="U9" s="6"/>
      <c r="V9" s="6"/>
      <c r="W9" s="6"/>
      <c r="X9" s="6"/>
      <c r="Y9" s="6"/>
      <c r="Z9" s="6"/>
      <c r="AA9" s="6"/>
      <c r="AC9">
        <f t="shared" si="13"/>
        <v>45.356138002849768</v>
      </c>
      <c r="AD9">
        <f>AC7</f>
        <v>36.427566574278337</v>
      </c>
      <c r="AE9" t="e">
        <f>#REF!</f>
        <v>#REF!</v>
      </c>
      <c r="AF9">
        <f t="shared" si="1"/>
        <v>4</v>
      </c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4.6556122448979584</v>
      </c>
      <c r="J10" s="43">
        <f t="shared" si="0"/>
        <v>4</v>
      </c>
      <c r="K10" s="9">
        <f t="shared" si="4"/>
        <v>18.622448979591834</v>
      </c>
      <c r="L10" s="9">
        <f t="shared" si="5"/>
        <v>16.326530612244895</v>
      </c>
      <c r="M10" s="43" t="str">
        <f t="shared" si="6"/>
        <v>LG20</v>
      </c>
      <c r="N10" s="43" t="str">
        <f t="shared" si="7"/>
        <v>FP_20/40</v>
      </c>
      <c r="O10" s="43">
        <f t="shared" si="8"/>
        <v>400</v>
      </c>
      <c r="P10" s="43">
        <f t="shared" si="9"/>
        <v>500</v>
      </c>
      <c r="Q10" s="9">
        <f t="shared" si="14"/>
        <v>7346.9387755102034</v>
      </c>
      <c r="R10" s="9">
        <f t="shared" si="10"/>
        <v>193.66944997058266</v>
      </c>
      <c r="S10" s="9">
        <f t="shared" si="11"/>
        <v>20408.163265306121</v>
      </c>
      <c r="T10" s="21">
        <f t="shared" si="12"/>
        <v>200.04700099099091</v>
      </c>
      <c r="U10" s="6"/>
      <c r="V10" s="6"/>
      <c r="W10" s="6"/>
      <c r="X10" s="6"/>
      <c r="Y10" s="6"/>
      <c r="Z10" s="6"/>
      <c r="AA10" s="6"/>
      <c r="AC10">
        <f t="shared" si="13"/>
        <v>50.011750247747727</v>
      </c>
      <c r="AD10">
        <f>AD9</f>
        <v>36.427566574278337</v>
      </c>
      <c r="AE10">
        <f>P8</f>
        <v>300</v>
      </c>
      <c r="AF10">
        <f t="shared" si="1"/>
        <v>4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FP_20/40</v>
      </c>
      <c r="F11" s="62">
        <f>IF(E11="","",SUMIF(N4:N30,C9,Q4:Q30)/1000)</f>
        <v>20.408163265306122</v>
      </c>
      <c r="G11" s="6"/>
      <c r="H11" s="20" t="str">
        <f t="shared" si="2"/>
        <v>Пропант</v>
      </c>
      <c r="I11" s="9">
        <f t="shared" si="3"/>
        <v>4.913076341647769</v>
      </c>
      <c r="J11" s="43">
        <f t="shared" si="0"/>
        <v>4</v>
      </c>
      <c r="K11" s="9">
        <f t="shared" si="4"/>
        <v>19.652305366591076</v>
      </c>
      <c r="L11" s="9">
        <f t="shared" si="5"/>
        <v>16.326530612244895</v>
      </c>
      <c r="M11" s="43" t="str">
        <f t="shared" si="6"/>
        <v>DX20</v>
      </c>
      <c r="N11" s="43" t="str">
        <f t="shared" si="7"/>
        <v>16/20 Новатэк</v>
      </c>
      <c r="O11" s="43">
        <f t="shared" si="8"/>
        <v>500</v>
      </c>
      <c r="P11" s="43">
        <f t="shared" si="9"/>
        <v>600</v>
      </c>
      <c r="Q11" s="9">
        <f t="shared" si="14"/>
        <v>8979.5918367346931</v>
      </c>
      <c r="R11" s="9">
        <f t="shared" si="10"/>
        <v>209.99598058282754</v>
      </c>
      <c r="S11" s="9">
        <f t="shared" si="11"/>
        <v>29387.755102040814</v>
      </c>
      <c r="T11" s="21">
        <f t="shared" si="12"/>
        <v>219.69930635758197</v>
      </c>
      <c r="U11" s="6"/>
      <c r="V11" s="6"/>
      <c r="W11" s="6"/>
      <c r="X11" s="6"/>
      <c r="Y11" s="6"/>
      <c r="Z11" s="6"/>
      <c r="AA11" s="6"/>
      <c r="AC11">
        <f t="shared" si="13"/>
        <v>54.924826589395494</v>
      </c>
      <c r="AD11">
        <f>AC8</f>
        <v>40.828076778359971</v>
      </c>
      <c r="AE11" t="e">
        <f>#REF!</f>
        <v>#REF!</v>
      </c>
      <c r="AF11">
        <f t="shared" si="1"/>
        <v>4</v>
      </c>
      <c r="AH11">
        <v>-2</v>
      </c>
      <c r="AI11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16/20 Новатэк</v>
      </c>
      <c r="F12" s="62">
        <f>SUMIF(N4:N30,C10,Q4:Q30)/1000</f>
        <v>29.591836734693878</v>
      </c>
      <c r="G12" s="6"/>
      <c r="H12" s="20" t="str">
        <f t="shared" si="2"/>
        <v>Пропант</v>
      </c>
      <c r="I12" s="9">
        <f t="shared" si="3"/>
        <v>5.0642479213907796</v>
      </c>
      <c r="J12" s="43">
        <f t="shared" si="0"/>
        <v>4</v>
      </c>
      <c r="K12" s="9">
        <f t="shared" si="4"/>
        <v>20.256991685563118</v>
      </c>
      <c r="L12" s="9">
        <f t="shared" si="5"/>
        <v>16.326530612244902</v>
      </c>
      <c r="M12" s="43" t="str">
        <f t="shared" si="6"/>
        <v>DX20</v>
      </c>
      <c r="N12" s="43" t="str">
        <f t="shared" si="7"/>
        <v>16/20 Новатэк</v>
      </c>
      <c r="O12" s="43">
        <f t="shared" si="8"/>
        <v>600</v>
      </c>
      <c r="P12" s="43">
        <f t="shared" si="9"/>
        <v>700</v>
      </c>
      <c r="Q12" s="9">
        <f t="shared" si="14"/>
        <v>10612.244897959186</v>
      </c>
      <c r="R12" s="9">
        <f t="shared" si="10"/>
        <v>226.32251119507245</v>
      </c>
      <c r="S12" s="9">
        <f t="shared" si="11"/>
        <v>40000</v>
      </c>
      <c r="T12" s="21">
        <f t="shared" si="12"/>
        <v>239.9562980431451</v>
      </c>
      <c r="U12" s="6"/>
      <c r="V12" s="6"/>
      <c r="W12" s="6"/>
      <c r="X12" s="6"/>
      <c r="Y12" s="6"/>
      <c r="Z12" s="6"/>
      <c r="AA12" s="6"/>
      <c r="AC12">
        <f t="shared" si="13"/>
        <v>59.989074510786274</v>
      </c>
      <c r="AD12">
        <f>AD11</f>
        <v>40.828076778359971</v>
      </c>
      <c r="AE12">
        <f>P9</f>
        <v>400</v>
      </c>
      <c r="AF12">
        <f t="shared" si="1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76</v>
      </c>
      <c r="D13" s="6"/>
      <c r="E13" s="13" t="s">
        <v>34</v>
      </c>
      <c r="F13" s="14">
        <f>C3</f>
        <v>50</v>
      </c>
      <c r="G13" s="6"/>
      <c r="H13" s="20" t="str">
        <f t="shared" si="2"/>
        <v>Пропант</v>
      </c>
      <c r="I13" s="9">
        <f t="shared" si="3"/>
        <v>4.7720797720797723</v>
      </c>
      <c r="J13" s="43">
        <f t="shared" si="0"/>
        <v>4</v>
      </c>
      <c r="K13" s="9">
        <f t="shared" si="4"/>
        <v>19.088319088319089</v>
      </c>
      <c r="L13" s="9">
        <f t="shared" si="5"/>
        <v>15.384615384615385</v>
      </c>
      <c r="M13" s="43" t="str">
        <f t="shared" si="6"/>
        <v>DX20</v>
      </c>
      <c r="N13" s="43" t="str">
        <f t="shared" si="7"/>
        <v>16/20 Новатэк</v>
      </c>
      <c r="O13" s="43">
        <f t="shared" si="8"/>
        <v>700</v>
      </c>
      <c r="P13" s="43">
        <f t="shared" si="9"/>
        <v>700</v>
      </c>
      <c r="Q13" s="9">
        <f t="shared" si="14"/>
        <v>10000</v>
      </c>
      <c r="R13" s="9">
        <f t="shared" si="10"/>
        <v>241.70712657968784</v>
      </c>
      <c r="S13" s="9">
        <f t="shared" si="11"/>
        <v>50000</v>
      </c>
      <c r="T13" s="21">
        <f t="shared" si="12"/>
        <v>259.04461713146418</v>
      </c>
      <c r="U13" s="6"/>
      <c r="V13" s="6"/>
      <c r="W13" s="6"/>
      <c r="X13" s="6"/>
      <c r="Y13" s="6"/>
      <c r="Z13" s="6"/>
      <c r="AA13" s="6"/>
      <c r="AC13">
        <f t="shared" si="13"/>
        <v>64.761154282866045</v>
      </c>
      <c r="AD13">
        <f>AC9</f>
        <v>45.356138002849768</v>
      </c>
      <c r="AE13" t="e">
        <f>#REF!</f>
        <v>#REF!</v>
      </c>
      <c r="AF13">
        <f t="shared" si="1"/>
        <v>4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77</v>
      </c>
      <c r="D14" s="6"/>
      <c r="E14" s="10"/>
      <c r="F14" s="11"/>
      <c r="G14" s="6"/>
      <c r="H14" s="20" t="str">
        <f t="shared" si="2"/>
        <v>Продавка</v>
      </c>
      <c r="I14" s="9">
        <f t="shared" si="3"/>
        <v>4.25</v>
      </c>
      <c r="J14" s="43">
        <f t="shared" si="0"/>
        <v>4</v>
      </c>
      <c r="K14" s="9">
        <f t="shared" si="4"/>
        <v>17</v>
      </c>
      <c r="L14" s="9">
        <f t="shared" si="5"/>
        <v>17</v>
      </c>
      <c r="M14" s="43" t="str">
        <f t="shared" si="6"/>
        <v>LG32</v>
      </c>
      <c r="N14" s="43" t="str">
        <f t="shared" si="7"/>
        <v>-</v>
      </c>
      <c r="O14" s="43" t="str">
        <f t="shared" si="8"/>
        <v>-</v>
      </c>
      <c r="P14" s="43" t="str">
        <f t="shared" si="9"/>
        <v>-</v>
      </c>
      <c r="Q14" s="9" t="str">
        <f t="shared" si="14"/>
        <v>-</v>
      </c>
      <c r="R14" s="9">
        <f t="shared" si="10"/>
        <v>258.70712657968784</v>
      </c>
      <c r="S14" s="9" t="str">
        <f t="shared" si="11"/>
        <v>-</v>
      </c>
      <c r="T14" s="21">
        <f t="shared" si="12"/>
        <v>276.04461713146418</v>
      </c>
      <c r="U14" s="6"/>
      <c r="V14" s="6"/>
      <c r="W14" s="6"/>
      <c r="X14" s="6"/>
      <c r="Y14" s="6"/>
      <c r="Z14" s="6"/>
      <c r="AA14" s="6"/>
      <c r="AC14" s="5">
        <f t="shared" si="13"/>
        <v>69.011154282866045</v>
      </c>
      <c r="AD14">
        <f>AD13</f>
        <v>45.356138002849768</v>
      </c>
      <c r="AE14">
        <f>P10</f>
        <v>500</v>
      </c>
      <c r="AF14">
        <f t="shared" si="1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0</v>
      </c>
      <c r="D15" s="6"/>
      <c r="E15" s="10"/>
      <c r="F15" s="11"/>
      <c r="G15" s="6"/>
      <c r="H15" s="20" t="str">
        <f t="shared" si="2"/>
        <v>Остановка</v>
      </c>
      <c r="I15" s="9">
        <f t="shared" si="3"/>
        <v>120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8"/>
        <v>-</v>
      </c>
      <c r="P15" s="43" t="str">
        <f t="shared" si="9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>
        <f t="shared" si="13"/>
        <v>189.01115428286604</v>
      </c>
      <c r="AD15">
        <f>AC10</f>
        <v>50.011750247747727</v>
      </c>
      <c r="AE15" t="e">
        <f>#REF!</f>
        <v>#REF!</v>
      </c>
      <c r="AF15">
        <f t="shared" si="1"/>
        <v>4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500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9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 t="e">
        <f t="shared" si="13"/>
        <v>#VALUE!</v>
      </c>
      <c r="AD16">
        <f>AD15</f>
        <v>50.011750247747727</v>
      </c>
      <c r="AE16">
        <f>P11</f>
        <v>600</v>
      </c>
      <c r="AF16">
        <f t="shared" si="1"/>
        <v>4</v>
      </c>
      <c r="AH16">
        <v>3</v>
      </c>
      <c r="AI16">
        <v>2.6</v>
      </c>
    </row>
    <row r="17" spans="1:40" ht="19.5" customHeight="1" x14ac:dyDescent="0.25">
      <c r="A17" s="6"/>
      <c r="B17" s="35" t="s">
        <v>47</v>
      </c>
      <c r="C17" s="39">
        <v>25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9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13"/>
        <v>#VALUE!</v>
      </c>
      <c r="AD17">
        <f>AC11</f>
        <v>54.924826589395494</v>
      </c>
      <c r="AE17" t="e">
        <f>#REF!</f>
        <v>#REF!</v>
      </c>
      <c r="AF17">
        <f t="shared" si="1"/>
        <v>4</v>
      </c>
    </row>
    <row r="18" spans="1:40" ht="15.75" customHeight="1" x14ac:dyDescent="0.25">
      <c r="A18" s="6"/>
      <c r="B18" s="35" t="s">
        <v>48</v>
      </c>
      <c r="C18" s="39">
        <v>55</v>
      </c>
      <c r="D18" s="6"/>
      <c r="E18" s="65">
        <f>IFERROR(C3/SUM(L4:L30), "-")</f>
        <v>0.19326873851926468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13"/>
        <v>#VALUE!</v>
      </c>
      <c r="AD18">
        <f>AD17</f>
        <v>54.924826589395494</v>
      </c>
      <c r="AE18">
        <f>P12</f>
        <v>700</v>
      </c>
      <c r="AF18">
        <f t="shared" si="1"/>
        <v>4</v>
      </c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24" t="s">
        <v>50</v>
      </c>
      <c r="C19" s="39" t="s">
        <v>51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13"/>
        <v>#VALUE!</v>
      </c>
      <c r="AD19">
        <f>AC12</f>
        <v>59.989074510786274</v>
      </c>
      <c r="AE19" t="e">
        <f>#REF!</f>
        <v>#REF!</v>
      </c>
      <c r="AF19">
        <f t="shared" si="1"/>
        <v>4</v>
      </c>
    </row>
    <row r="20" spans="1:40" ht="16.5" customHeight="1" thickBot="1" x14ac:dyDescent="0.3">
      <c r="A20" s="6"/>
      <c r="B20" s="24" t="s">
        <v>53</v>
      </c>
      <c r="C20" s="39" t="s">
        <v>76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13"/>
        <v>#VALUE!</v>
      </c>
      <c r="AD20">
        <f>AD19</f>
        <v>59.989074510786274</v>
      </c>
      <c r="AE20">
        <f>P13</f>
        <v>700</v>
      </c>
      <c r="AF20">
        <f t="shared" si="1"/>
        <v>4</v>
      </c>
    </row>
    <row r="21" spans="1:40" ht="15.75" customHeight="1" x14ac:dyDescent="0.25">
      <c r="A21" s="6"/>
      <c r="B21" s="24" t="s">
        <v>55</v>
      </c>
      <c r="C21" s="39">
        <v>50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13"/>
        <v>#VALUE!</v>
      </c>
      <c r="AD21">
        <f>AC13</f>
        <v>64.761154282866045</v>
      </c>
      <c r="AE21" t="e">
        <f>#REF!</f>
        <v>#REF!</v>
      </c>
      <c r="AF21">
        <f t="shared" si="1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33" t="s">
        <v>56</v>
      </c>
      <c r="C22" s="56">
        <v>50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13"/>
        <v>#VALUE!</v>
      </c>
      <c r="AD22">
        <f>AD21</f>
        <v>64.761154282866045</v>
      </c>
      <c r="AE22" t="str">
        <f>P14</f>
        <v>-</v>
      </c>
      <c r="AF22">
        <f t="shared" si="1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35" t="s">
        <v>139</v>
      </c>
      <c r="C23" s="39" t="s">
        <v>88</v>
      </c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13"/>
        <v>#VALUE!</v>
      </c>
      <c r="AD23">
        <f>AC14</f>
        <v>69.011154282866045</v>
      </c>
      <c r="AE23" t="e">
        <f>#REF!</f>
        <v>#REF!</v>
      </c>
      <c r="AF23">
        <f t="shared" si="1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8.75" customHeight="1" thickBot="1" x14ac:dyDescent="0.3">
      <c r="A24" s="6"/>
      <c r="B24" s="37" t="s">
        <v>140</v>
      </c>
      <c r="C24" s="47">
        <v>17</v>
      </c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13"/>
        <v>#VALUE!</v>
      </c>
      <c r="AD24">
        <f>AD23</f>
        <v>69.011154282866045</v>
      </c>
      <c r="AE24" t="str">
        <f>P15</f>
        <v>-</v>
      </c>
      <c r="AF24">
        <f t="shared" si="1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13"/>
        <v>#VALUE!</v>
      </c>
      <c r="AD25">
        <f>AC15</f>
        <v>189.01115428286604</v>
      </c>
      <c r="AE25" t="e">
        <f>#REF!</f>
        <v>#REF!</v>
      </c>
      <c r="AF25">
        <f t="shared" si="1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13"/>
        <v>#VALUE!</v>
      </c>
      <c r="AD26">
        <f>AD25</f>
        <v>189.01115428286604</v>
      </c>
      <c r="AE26" t="str">
        <f>P16</f>
        <v>-</v>
      </c>
      <c r="AF26">
        <f t="shared" si="1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13"/>
        <v>#VALUE!</v>
      </c>
      <c r="AD27" t="e">
        <f>AC16</f>
        <v>#VALUE!</v>
      </c>
      <c r="AE27" t="e">
        <f>#REF!</f>
        <v>#REF!</v>
      </c>
      <c r="AF27">
        <f t="shared" si="1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13"/>
        <v>#VALUE!</v>
      </c>
      <c r="AD28" t="e">
        <f>AD27</f>
        <v>#VALUE!</v>
      </c>
      <c r="AE28" t="str">
        <f>P17</f>
        <v>-</v>
      </c>
      <c r="AF28">
        <f t="shared" si="1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13"/>
        <v>#VALUE!</v>
      </c>
      <c r="AD29" t="e">
        <f>AC17</f>
        <v>#VALUE!</v>
      </c>
      <c r="AE29" t="e">
        <f>#REF!</f>
        <v>#REF!</v>
      </c>
      <c r="AF29">
        <f t="shared" si="1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9"/>
        <v>-</v>
      </c>
      <c r="Q30" s="23" t="str">
        <f t="shared" si="14"/>
        <v>-</v>
      </c>
      <c r="R30" s="23" t="str">
        <f t="shared" si="10"/>
        <v>-</v>
      </c>
      <c r="S30" s="23" t="str">
        <f t="shared" si="11"/>
        <v>-</v>
      </c>
      <c r="T30" s="36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13"/>
        <v>#VALUE!</v>
      </c>
      <c r="AD30" t="e">
        <f>AD29</f>
        <v>#VALUE!</v>
      </c>
      <c r="AE30" t="str">
        <f>P18</f>
        <v>-</v>
      </c>
      <c r="AF30">
        <f t="shared" si="1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1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1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40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10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$C$6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112.03679690935826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C21/100*J73</f>
        <v>56.018398454679129</v>
      </c>
      <c r="L74" s="5">
        <f t="shared" ref="L74:L100" si="17">IF(L73=SUM($I$4:$I$30)-($C$24/$C$6),L73,IFERROR(L73+I4,L73))</f>
        <v>14.004599613669782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56.018398454679129</v>
      </c>
      <c r="L75" s="5">
        <f t="shared" si="17"/>
        <v>28.009199227339565</v>
      </c>
      <c r="M75">
        <v>0</v>
      </c>
    </row>
    <row r="76" spans="1:27" x14ac:dyDescent="0.25">
      <c r="E76">
        <v>1</v>
      </c>
      <c r="F76" s="53">
        <f t="shared" ref="F76:F100" si="18">IF(P6="-","-",P6/$C$4)</f>
        <v>0.14285714285714285</v>
      </c>
      <c r="G76" s="53">
        <f t="shared" ref="G76:G100" si="19">IF(F76="-","-",F76^$AI$18)</f>
        <v>2.0408163265306121E-2</v>
      </c>
      <c r="L76" s="5">
        <f t="shared" si="17"/>
        <v>32.154607390604866</v>
      </c>
      <c r="M76">
        <f t="shared" ref="M76:M100" si="20">P6</f>
        <v>100</v>
      </c>
    </row>
    <row r="77" spans="1:27" x14ac:dyDescent="0.25">
      <c r="E77">
        <v>2</v>
      </c>
      <c r="F77" s="53">
        <f t="shared" si="18"/>
        <v>0.2857142857142857</v>
      </c>
      <c r="G77" s="53">
        <f t="shared" si="19"/>
        <v>8.1632653061224483E-2</v>
      </c>
      <c r="I77" s="4" t="s">
        <v>127</v>
      </c>
      <c r="J77" s="4">
        <f>IF(C17&gt;20,0.05,0.25*(C17/100))</f>
        <v>0.05</v>
      </c>
      <c r="L77" s="5">
        <f t="shared" si="17"/>
        <v>36.427566574278337</v>
      </c>
      <c r="M77">
        <f t="shared" si="20"/>
        <v>200</v>
      </c>
    </row>
    <row r="78" spans="1:27" x14ac:dyDescent="0.25">
      <c r="E78">
        <v>3</v>
      </c>
      <c r="F78" s="53">
        <f t="shared" si="18"/>
        <v>0.42857142857142855</v>
      </c>
      <c r="G78" s="53">
        <f t="shared" si="19"/>
        <v>0.18367346938775508</v>
      </c>
      <c r="I78" s="54" t="s">
        <v>128</v>
      </c>
      <c r="J78" s="54">
        <f>C4/C7</f>
        <v>7</v>
      </c>
      <c r="L78" s="5">
        <f t="shared" si="17"/>
        <v>40.828076778359971</v>
      </c>
      <c r="M78">
        <f t="shared" si="20"/>
        <v>300</v>
      </c>
    </row>
    <row r="79" spans="1:27" x14ac:dyDescent="0.25">
      <c r="E79">
        <v>4</v>
      </c>
      <c r="F79" s="53">
        <f t="shared" si="18"/>
        <v>0.5714285714285714</v>
      </c>
      <c r="G79" s="53">
        <f t="shared" si="19"/>
        <v>0.32653061224489793</v>
      </c>
      <c r="I79" s="54" t="s">
        <v>129</v>
      </c>
      <c r="J79" s="54">
        <f>(1-C17/100)^2+J77</f>
        <v>0.61250000000000004</v>
      </c>
      <c r="L79" s="5">
        <f t="shared" si="17"/>
        <v>45.356138002849768</v>
      </c>
      <c r="M79">
        <f t="shared" si="20"/>
        <v>400</v>
      </c>
    </row>
    <row r="80" spans="1:27" x14ac:dyDescent="0.25">
      <c r="E80">
        <v>5</v>
      </c>
      <c r="F80" s="53">
        <f t="shared" si="18"/>
        <v>0.7142857142857143</v>
      </c>
      <c r="G80" s="53">
        <f t="shared" si="19"/>
        <v>0.51020408163265307</v>
      </c>
      <c r="L80" s="5">
        <f t="shared" si="17"/>
        <v>50.011750247747727</v>
      </c>
      <c r="M80">
        <f t="shared" si="20"/>
        <v>500</v>
      </c>
    </row>
    <row r="81" spans="5:13" x14ac:dyDescent="0.25">
      <c r="E81">
        <v>6</v>
      </c>
      <c r="F81" s="53">
        <f t="shared" si="18"/>
        <v>0.8571428571428571</v>
      </c>
      <c r="G81" s="53">
        <f t="shared" si="19"/>
        <v>0.73469387755102034</v>
      </c>
      <c r="I81" s="34" t="s">
        <v>130</v>
      </c>
      <c r="J81" s="34">
        <f>C21/100*((1-C17/100)^2+J82)+C22/100*((1-C18/100)^2+J83)</f>
        <v>0.4325</v>
      </c>
      <c r="L81" s="5">
        <f t="shared" si="17"/>
        <v>54.924826589395494</v>
      </c>
      <c r="M81">
        <f t="shared" si="20"/>
        <v>600</v>
      </c>
    </row>
    <row r="82" spans="5:13" x14ac:dyDescent="0.25">
      <c r="E82">
        <v>7</v>
      </c>
      <c r="F82" s="53">
        <f t="shared" si="18"/>
        <v>1</v>
      </c>
      <c r="G82" s="53">
        <f t="shared" si="19"/>
        <v>1</v>
      </c>
      <c r="I82" s="34" t="s">
        <v>131</v>
      </c>
      <c r="J82" s="34">
        <f>IF(C17&gt;20,0.05,0.25*(C17/100))</f>
        <v>0.05</v>
      </c>
      <c r="L82" s="5">
        <f t="shared" si="17"/>
        <v>59.989074510786274</v>
      </c>
      <c r="M82">
        <f t="shared" si="20"/>
        <v>700</v>
      </c>
    </row>
    <row r="83" spans="5:13" x14ac:dyDescent="0.25">
      <c r="E83">
        <v>8</v>
      </c>
      <c r="F83" s="53">
        <f t="shared" si="18"/>
        <v>1</v>
      </c>
      <c r="G83" s="53">
        <f t="shared" si="19"/>
        <v>1</v>
      </c>
      <c r="I83" s="34" t="s">
        <v>132</v>
      </c>
      <c r="J83" s="34">
        <f>IF(C18&gt;20,0.05,0.25*(C18/100))</f>
        <v>0.05</v>
      </c>
      <c r="L83" s="5">
        <f t="shared" si="17"/>
        <v>64.761154282866045</v>
      </c>
      <c r="M83">
        <f t="shared" si="20"/>
        <v>700</v>
      </c>
    </row>
    <row r="84" spans="5:13" x14ac:dyDescent="0.25">
      <c r="E84">
        <v>9</v>
      </c>
      <c r="F84" s="53" t="str">
        <f t="shared" si="18"/>
        <v>-</v>
      </c>
      <c r="G84" s="53" t="str">
        <f t="shared" si="19"/>
        <v>-</v>
      </c>
      <c r="L84" s="5">
        <f t="shared" si="17"/>
        <v>69.011154282866045</v>
      </c>
      <c r="M84" t="str">
        <f t="shared" si="20"/>
        <v>-</v>
      </c>
    </row>
    <row r="85" spans="5:13" x14ac:dyDescent="0.25">
      <c r="E85">
        <v>10</v>
      </c>
      <c r="F85" s="53" t="str">
        <f t="shared" si="18"/>
        <v>-</v>
      </c>
      <c r="G85" s="53" t="str">
        <f t="shared" si="19"/>
        <v>-</v>
      </c>
      <c r="L85" s="5">
        <f t="shared" si="17"/>
        <v>189.01115428286604</v>
      </c>
      <c r="M85" t="str">
        <f t="shared" si="20"/>
        <v>-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189.01115428286604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189.01115428286604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189.01115428286604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189.01115428286604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189.01115428286604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189.01115428286604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189.01115428286604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189.01115428286604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189.01115428286604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189.01115428286604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189.01115428286604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189.01115428286604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189.01115428286604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189.01115428286604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189.01115428286604</v>
      </c>
      <c r="M100" t="str">
        <f t="shared" si="20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3.2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23 C19:C20">
      <formula1>$AK$23:$AK$58</formula1>
    </dataValidation>
    <dataValidation type="list" showInputMessage="1" showErrorMessage="1" sqref="C9:C10">
      <formula1>$AM$24:$AM$51</formula1>
    </dataValidation>
    <dataValidation type="list" showInputMessage="1" showErrorMessage="1" sqref="C12">
      <formula1>$AH$23</formula1>
    </dataValidation>
    <dataValidation type="list" showInputMessage="1" showErrorMessage="1" sqref="C13">
      <formula1>$AI$23:$AI$40</formula1>
    </dataValidation>
    <dataValidation type="list" showInputMessage="1" showErrorMessage="1" sqref="C14">
      <formula1>$AJ$23:$AJ$38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workbookViewId="0">
      <selection activeCell="I6" sqref="I6:I30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194" width="9.140625" style="64" customWidth="1"/>
    <col min="19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700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4.1343164548824474</v>
      </c>
      <c r="J4" s="43">
        <f t="shared" ref="J4:J30" si="0">IF(K4="-","-",$C$6)</f>
        <v>3</v>
      </c>
      <c r="K4" s="9">
        <f>IFERROR(J74, "-")</f>
        <v>12.402949364647343</v>
      </c>
      <c r="L4" s="9">
        <f>IFERROR(K4,0)</f>
        <v>12.402949364647343</v>
      </c>
      <c r="M4" s="43" t="str">
        <f>IF(L4="-","-",$C$18)</f>
        <v>LG24</v>
      </c>
      <c r="N4" s="43"/>
      <c r="O4" s="43"/>
      <c r="P4" s="43"/>
      <c r="Q4" s="9"/>
      <c r="R4" s="9">
        <f>IF(L4="-","-",L4)</f>
        <v>12.402949364647343</v>
      </c>
      <c r="S4" s="9"/>
      <c r="T4" s="21">
        <f>IF(K4="-","-",K4)</f>
        <v>12.402949364647343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$C$6</f>
        <v>3</v>
      </c>
      <c r="AI4" t="s">
        <v>27</v>
      </c>
      <c r="AJ4" s="5">
        <f>SUM(K6:K30)-$C$23</f>
        <v>76.780162733531171</v>
      </c>
    </row>
    <row r="5" spans="1:36" ht="15.75" customHeight="1" x14ac:dyDescent="0.25">
      <c r="A5" s="6"/>
      <c r="B5" s="35" t="s">
        <v>143</v>
      </c>
      <c r="C5" s="42">
        <v>20</v>
      </c>
      <c r="D5" s="6"/>
      <c r="E5" s="12" t="str">
        <f>IF(C15=0,"",C12)</f>
        <v>FR01</v>
      </c>
      <c r="F5" s="62">
        <f>IF(E5="","",SUMIF(M4:M30,C12,L4:L30))</f>
        <v>8.1913321238752008</v>
      </c>
      <c r="G5" s="6"/>
      <c r="H5" s="20" t="str">
        <f>IF(I5="-","-","Буфер")</f>
        <v>Буфер</v>
      </c>
      <c r="I5" s="9">
        <f>IFERROR(K5/J5,"-")</f>
        <v>9.6467383947257108</v>
      </c>
      <c r="J5" s="43">
        <f t="shared" si="0"/>
        <v>3</v>
      </c>
      <c r="K5" s="9">
        <f>IFERROR(J75, "-")</f>
        <v>28.940215184177134</v>
      </c>
      <c r="L5" s="9">
        <f>IFERROR(K5,0)</f>
        <v>28.940215184177134</v>
      </c>
      <c r="M5" s="43" t="str">
        <f>IF(L5="-","-",$C$19)</f>
        <v>DX26</v>
      </c>
      <c r="N5" s="43"/>
      <c r="O5" s="43"/>
      <c r="P5" s="43"/>
      <c r="Q5" s="9"/>
      <c r="R5" s="9">
        <f>IF(L5="-","-",R4+L5)</f>
        <v>41.343164548824475</v>
      </c>
      <c r="S5" s="9"/>
      <c r="T5" s="21">
        <f>IF(K5="-","-",K5+T4)</f>
        <v>41.343164548824475</v>
      </c>
      <c r="U5" s="6"/>
      <c r="V5" s="6"/>
      <c r="W5" s="6"/>
      <c r="X5" s="6"/>
      <c r="Y5" s="6"/>
      <c r="Z5" s="6"/>
      <c r="AA5" s="6"/>
      <c r="AC5">
        <f>AC4+I4+I5</f>
        <v>13.781054849608157</v>
      </c>
      <c r="AD5">
        <f>AC5</f>
        <v>13.781054849608157</v>
      </c>
      <c r="AE5">
        <f>P4</f>
        <v>0</v>
      </c>
      <c r="AF5">
        <f t="shared" si="1"/>
        <v>3</v>
      </c>
      <c r="AI5" t="s">
        <v>29</v>
      </c>
      <c r="AJ5">
        <f>AJ4/(1-$C$17/100)</f>
        <v>118.12332728235565</v>
      </c>
    </row>
    <row r="6" spans="1:36" ht="18" customHeight="1" x14ac:dyDescent="0.25">
      <c r="A6" s="6"/>
      <c r="B6" s="24" t="s">
        <v>28</v>
      </c>
      <c r="C6" s="39">
        <v>3</v>
      </c>
      <c r="D6" s="6"/>
      <c r="E6" s="12" t="str">
        <f>C13</f>
        <v>LG28</v>
      </c>
      <c r="F6" s="62">
        <f>SUMIF(M4:M30,C13,L4:L30)</f>
        <v>36.161212989761673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1.0342052027243762</v>
      </c>
      <c r="J6" s="43">
        <f t="shared" si="0"/>
        <v>3</v>
      </c>
      <c r="K6" s="9">
        <f t="shared" ref="K6:K30" si="4">IF(S5=$C$3*1000,$C$23,IFERROR(L6+Q6/(IF(N6=$C$9,$G$103,$G$104)*1000),"-"))</f>
        <v>3.1026156081731289</v>
      </c>
      <c r="L6" s="9">
        <f t="shared" ref="L6:L30" si="5">IF(S5=$C$3*1000,$C$23,IFERROR(Q6/(P6-($C$7/2)),"-"))</f>
        <v>3.0477990779933917</v>
      </c>
      <c r="M6" s="43" t="str">
        <f t="shared" ref="M6:M30" si="6">IF(S5=$C$3*1000,$C$22,IF(L6="-","-",IF(O6&lt;$C$15,$C$12,IF(P6&gt;$C$16,$C$14,$C$13))))</f>
        <v>FR01</v>
      </c>
      <c r="N6" s="43" t="str">
        <f t="shared" ref="N6:N30" si="7">IF(O6="-","-",IF(O6&lt;$C$11,$C$9,$C$10))</f>
        <v>20/40 Новатэк</v>
      </c>
      <c r="O6" s="43">
        <f t="shared" ref="O6:O30" si="8">IFERROR(IF(P6="-","-",IF(P5=$C$4,$C$4,P6-$C$7)),"-")</f>
        <v>0</v>
      </c>
      <c r="P6" s="43">
        <f t="shared" ref="P6:P30" si="9">IFERROR(IF(O5=$C$4,"-",IF(P5=$C$4,$C$4,P5+($C$4-P5)/($J$77-E75))),"-")</f>
        <v>100</v>
      </c>
      <c r="Q6" s="9">
        <f>IF(S6="-","-",S6)</f>
        <v>152.38995389966959</v>
      </c>
      <c r="R6" s="9">
        <f t="shared" ref="R6:R30" si="10">IFERROR(IF(L6="-","-",R5+L6),"-")</f>
        <v>44.390963626817864</v>
      </c>
      <c r="S6" s="9">
        <f t="shared" ref="S6:S30" si="11">IFERROR(IF(S5=$Q$35*1000,$C$3*1000,G76*$Q$35*1000),"-")</f>
        <v>152.38995389966959</v>
      </c>
      <c r="T6" s="21">
        <f t="shared" ref="T6:T30" si="12">IFERROR(IF(K6="-","-",T5+K6),"-")</f>
        <v>44.445780156997607</v>
      </c>
      <c r="U6" s="6"/>
      <c r="V6" s="6"/>
      <c r="W6" s="6"/>
      <c r="X6" s="6"/>
      <c r="Y6" s="6"/>
      <c r="Z6" s="6"/>
      <c r="AA6" s="6"/>
      <c r="AC6" s="5">
        <f t="shared" ref="AC6:AC30" si="13">AC5+I6</f>
        <v>14.815260052332533</v>
      </c>
      <c r="AD6">
        <f>AD5</f>
        <v>13.781054849608157</v>
      </c>
      <c r="AE6">
        <f>P6</f>
        <v>100</v>
      </c>
      <c r="AF6">
        <f t="shared" si="1"/>
        <v>3</v>
      </c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DX28</v>
      </c>
      <c r="F7" s="62">
        <f>SUMIF(M4:M30,C14,L4:L30)</f>
        <v>21.423156242603941</v>
      </c>
      <c r="G7" s="6"/>
      <c r="H7" s="20" t="str">
        <f t="shared" si="2"/>
        <v>Пропант</v>
      </c>
      <c r="I7" s="9">
        <f t="shared" si="3"/>
        <v>1.8070206024500841</v>
      </c>
      <c r="J7" s="43">
        <f t="shared" si="0"/>
        <v>3</v>
      </c>
      <c r="K7" s="9">
        <f t="shared" si="4"/>
        <v>5.4210618073502523</v>
      </c>
      <c r="L7" s="9">
        <f t="shared" si="5"/>
        <v>5.1435330458818092</v>
      </c>
      <c r="M7" s="43" t="str">
        <f t="shared" si="6"/>
        <v>FR01</v>
      </c>
      <c r="N7" s="43" t="str">
        <f t="shared" si="7"/>
        <v>20/40 Новатэк</v>
      </c>
      <c r="O7" s="43">
        <f t="shared" si="8"/>
        <v>100</v>
      </c>
      <c r="P7" s="43">
        <f t="shared" si="9"/>
        <v>200</v>
      </c>
      <c r="Q7" s="9">
        <f t="shared" ref="Q7:Q30" si="14">IF(S7="-","-",S7-S6)</f>
        <v>771.52995688227134</v>
      </c>
      <c r="R7" s="9">
        <f t="shared" si="10"/>
        <v>49.534496672699674</v>
      </c>
      <c r="S7" s="9">
        <f t="shared" si="11"/>
        <v>923.91991078194087</v>
      </c>
      <c r="T7" s="21">
        <f t="shared" si="12"/>
        <v>49.866841964347856</v>
      </c>
      <c r="U7" s="6"/>
      <c r="V7" s="6"/>
      <c r="W7" s="6"/>
      <c r="X7" s="6"/>
      <c r="Y7" s="6"/>
      <c r="Z7" s="6"/>
      <c r="AA7" s="6"/>
      <c r="AC7" s="5">
        <f t="shared" si="13"/>
        <v>16.622280654782617</v>
      </c>
      <c r="AD7" s="5">
        <f>AC6</f>
        <v>14.815260052332533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31</v>
      </c>
      <c r="C8" s="39">
        <v>3</v>
      </c>
      <c r="D8" s="6"/>
      <c r="E8" s="13" t="s">
        <v>34</v>
      </c>
      <c r="F8" s="14">
        <f>SUM(L4:L30)</f>
        <v>122.11886590506526</v>
      </c>
      <c r="G8" s="6"/>
      <c r="H8" s="20" t="str">
        <f t="shared" si="2"/>
        <v>Пропант</v>
      </c>
      <c r="I8" s="9">
        <f t="shared" si="3"/>
        <v>2.5104062899499833</v>
      </c>
      <c r="J8" s="43">
        <f t="shared" si="0"/>
        <v>3</v>
      </c>
      <c r="K8" s="9">
        <f t="shared" si="4"/>
        <v>7.5312188698499494</v>
      </c>
      <c r="L8" s="9">
        <f t="shared" si="5"/>
        <v>6.9098311743177749</v>
      </c>
      <c r="M8" s="43" t="str">
        <f t="shared" si="6"/>
        <v>LG28</v>
      </c>
      <c r="N8" s="43" t="str">
        <f t="shared" si="7"/>
        <v>20/40 Новатэк</v>
      </c>
      <c r="O8" s="43">
        <f t="shared" si="8"/>
        <v>200</v>
      </c>
      <c r="P8" s="43">
        <f t="shared" si="9"/>
        <v>300</v>
      </c>
      <c r="Q8" s="9">
        <f t="shared" si="14"/>
        <v>1727.4577935794437</v>
      </c>
      <c r="R8" s="9">
        <f t="shared" si="10"/>
        <v>56.444327847017448</v>
      </c>
      <c r="S8" s="9">
        <f t="shared" si="11"/>
        <v>2651.3777043613845</v>
      </c>
      <c r="T8" s="21">
        <f t="shared" si="12"/>
        <v>57.398060834197807</v>
      </c>
      <c r="U8" s="6"/>
      <c r="V8" s="6"/>
      <c r="W8" s="6"/>
      <c r="X8" s="6"/>
      <c r="Y8" s="6"/>
      <c r="Z8" s="6"/>
      <c r="AA8" s="6"/>
      <c r="AC8">
        <f t="shared" si="13"/>
        <v>19.132686944732601</v>
      </c>
      <c r="AD8" s="5">
        <f>AD7</f>
        <v>14.815260052332533</v>
      </c>
      <c r="AE8">
        <f>P7</f>
        <v>200</v>
      </c>
      <c r="AF8">
        <f t="shared" si="1"/>
        <v>3</v>
      </c>
      <c r="AI8">
        <f>C3/AJ4</f>
        <v>0.39072592362321867</v>
      </c>
    </row>
    <row r="9" spans="1:36" ht="15.75" customHeight="1" x14ac:dyDescent="0.25">
      <c r="A9" s="6"/>
      <c r="B9" s="24" t="s">
        <v>32</v>
      </c>
      <c r="C9" s="39" t="s">
        <v>33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3.1634822664985758</v>
      </c>
      <c r="J9" s="43">
        <f t="shared" si="0"/>
        <v>3</v>
      </c>
      <c r="K9" s="9">
        <f t="shared" si="4"/>
        <v>9.4904467994957269</v>
      </c>
      <c r="L9" s="9">
        <f t="shared" si="5"/>
        <v>8.4292147292645758</v>
      </c>
      <c r="M9" s="43" t="str">
        <f t="shared" si="6"/>
        <v>LG28</v>
      </c>
      <c r="N9" s="43" t="str">
        <f t="shared" si="7"/>
        <v>20/40 Новатэк</v>
      </c>
      <c r="O9" s="43">
        <f t="shared" si="8"/>
        <v>300</v>
      </c>
      <c r="P9" s="43">
        <f t="shared" si="9"/>
        <v>400</v>
      </c>
      <c r="Q9" s="9">
        <f t="shared" si="14"/>
        <v>2950.2251552426014</v>
      </c>
      <c r="R9" s="9">
        <f t="shared" si="10"/>
        <v>64.87354257628202</v>
      </c>
      <c r="S9" s="9">
        <f t="shared" si="11"/>
        <v>5601.602859603986</v>
      </c>
      <c r="T9" s="21">
        <f t="shared" si="12"/>
        <v>66.888507633693536</v>
      </c>
      <c r="U9" s="6"/>
      <c r="V9" s="6"/>
      <c r="W9" s="6"/>
      <c r="X9" s="6"/>
      <c r="Y9" s="6"/>
      <c r="Z9" s="6"/>
      <c r="AA9" s="6"/>
      <c r="AC9">
        <f t="shared" si="13"/>
        <v>22.296169211231177</v>
      </c>
      <c r="AD9">
        <f>AC7</f>
        <v>16.622280654782617</v>
      </c>
      <c r="AE9" t="e">
        <f>#REF!</f>
        <v>#REF!</v>
      </c>
      <c r="AF9">
        <f t="shared" si="1"/>
        <v>3</v>
      </c>
    </row>
    <row r="10" spans="1:36" ht="15.75" customHeight="1" x14ac:dyDescent="0.25">
      <c r="A10" s="6"/>
      <c r="B10" s="24" t="s">
        <v>35</v>
      </c>
      <c r="C10" s="39" t="s">
        <v>36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3.7909755353302335</v>
      </c>
      <c r="J10" s="43">
        <f t="shared" si="0"/>
        <v>3</v>
      </c>
      <c r="K10" s="9">
        <f t="shared" si="4"/>
        <v>11.372926605990701</v>
      </c>
      <c r="L10" s="9">
        <f t="shared" si="5"/>
        <v>9.7884631469517487</v>
      </c>
      <c r="M10" s="43" t="str">
        <f t="shared" si="6"/>
        <v>LG28</v>
      </c>
      <c r="N10" s="43" t="str">
        <f t="shared" si="7"/>
        <v>20/40 Новатэк</v>
      </c>
      <c r="O10" s="43">
        <f t="shared" si="8"/>
        <v>400</v>
      </c>
      <c r="P10" s="43">
        <f t="shared" si="9"/>
        <v>500</v>
      </c>
      <c r="Q10" s="9">
        <f t="shared" si="14"/>
        <v>4404.8084161282868</v>
      </c>
      <c r="R10" s="9">
        <f t="shared" si="10"/>
        <v>74.662005723233762</v>
      </c>
      <c r="S10" s="9">
        <f t="shared" si="11"/>
        <v>10006.411275732273</v>
      </c>
      <c r="T10" s="21">
        <f t="shared" si="12"/>
        <v>78.261434239684235</v>
      </c>
      <c r="U10" s="6"/>
      <c r="V10" s="6"/>
      <c r="W10" s="6"/>
      <c r="X10" s="6"/>
      <c r="Y10" s="6"/>
      <c r="Z10" s="6"/>
      <c r="AA10" s="6"/>
      <c r="AC10">
        <f t="shared" si="13"/>
        <v>26.08714474656141</v>
      </c>
      <c r="AD10">
        <f>AD9</f>
        <v>16.622280654782617</v>
      </c>
      <c r="AE10">
        <f>P8</f>
        <v>300</v>
      </c>
      <c r="AF10">
        <f t="shared" si="1"/>
        <v>3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20/40 Новатэк</v>
      </c>
      <c r="F11" s="62">
        <f>IF(E11="","",SUMIF(N4:N30,C9,Q4:Q30)/1000)</f>
        <v>10.006411275732273</v>
      </c>
      <c r="G11" s="6"/>
      <c r="H11" s="20" t="str">
        <f t="shared" si="2"/>
        <v>Пропант</v>
      </c>
      <c r="I11" s="9">
        <f t="shared" si="3"/>
        <v>4.427103432406124</v>
      </c>
      <c r="J11" s="43">
        <f t="shared" si="0"/>
        <v>3</v>
      </c>
      <c r="K11" s="9">
        <f t="shared" si="4"/>
        <v>13.281310297218372</v>
      </c>
      <c r="L11" s="9">
        <f t="shared" si="5"/>
        <v>11.033703939227571</v>
      </c>
      <c r="M11" s="43" t="str">
        <f t="shared" si="6"/>
        <v>LG28</v>
      </c>
      <c r="N11" s="43" t="str">
        <f t="shared" si="7"/>
        <v>16/20 Новатэк</v>
      </c>
      <c r="O11" s="43">
        <f t="shared" si="8"/>
        <v>500</v>
      </c>
      <c r="P11" s="43">
        <f t="shared" si="9"/>
        <v>600</v>
      </c>
      <c r="Q11" s="9">
        <f t="shared" si="14"/>
        <v>6068.5371665751645</v>
      </c>
      <c r="R11" s="9">
        <f t="shared" si="10"/>
        <v>85.695709662461326</v>
      </c>
      <c r="S11" s="9">
        <f t="shared" si="11"/>
        <v>16074.948442307437</v>
      </c>
      <c r="T11" s="21">
        <f t="shared" si="12"/>
        <v>91.542744536902603</v>
      </c>
      <c r="U11" s="6"/>
      <c r="V11" s="6"/>
      <c r="W11" s="6"/>
      <c r="X11" s="6"/>
      <c r="Y11" s="6"/>
      <c r="Z11" s="6"/>
      <c r="AA11" s="6"/>
      <c r="AC11">
        <f t="shared" si="13"/>
        <v>30.514248178967534</v>
      </c>
      <c r="AD11">
        <f>AC8</f>
        <v>19.132686944732601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16/20 Новатэк</v>
      </c>
      <c r="F12" s="62">
        <f>SUMIF(N4:N30,C10,Q4:Q30)/1000</f>
        <v>19.993588724267727</v>
      </c>
      <c r="G12" s="6"/>
      <c r="H12" s="20" t="str">
        <f t="shared" si="2"/>
        <v>Пропант</v>
      </c>
      <c r="I12" s="9">
        <f t="shared" si="3"/>
        <v>5.0425304308205288</v>
      </c>
      <c r="J12" s="43">
        <f t="shared" si="0"/>
        <v>3</v>
      </c>
      <c r="K12" s="9">
        <f t="shared" si="4"/>
        <v>15.127591292461586</v>
      </c>
      <c r="L12" s="9">
        <f t="shared" si="5"/>
        <v>12.192387011834711</v>
      </c>
      <c r="M12" s="43" t="str">
        <f t="shared" si="6"/>
        <v>DX28</v>
      </c>
      <c r="N12" s="43" t="str">
        <f t="shared" si="7"/>
        <v>16/20 Новатэк</v>
      </c>
      <c r="O12" s="43">
        <f t="shared" si="8"/>
        <v>600</v>
      </c>
      <c r="P12" s="43">
        <f t="shared" si="9"/>
        <v>700</v>
      </c>
      <c r="Q12" s="9">
        <f t="shared" si="14"/>
        <v>7925.0515576925627</v>
      </c>
      <c r="R12" s="9">
        <f t="shared" si="10"/>
        <v>97.888096674296037</v>
      </c>
      <c r="S12" s="9">
        <f t="shared" si="11"/>
        <v>24000</v>
      </c>
      <c r="T12" s="21">
        <f t="shared" si="12"/>
        <v>106.67033582936419</v>
      </c>
      <c r="U12" s="6"/>
      <c r="V12" s="6"/>
      <c r="W12" s="6"/>
      <c r="X12" s="6"/>
      <c r="Y12" s="6"/>
      <c r="Z12" s="6"/>
      <c r="AA12" s="6"/>
      <c r="AC12">
        <f t="shared" si="13"/>
        <v>35.556778609788061</v>
      </c>
      <c r="AD12">
        <f>AD11</f>
        <v>19.132686944732601</v>
      </c>
      <c r="AE12">
        <f>P9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42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3"/>
        <v>3.8176638176638171</v>
      </c>
      <c r="J13" s="43">
        <f t="shared" si="0"/>
        <v>3</v>
      </c>
      <c r="K13" s="9">
        <f t="shared" si="4"/>
        <v>11.452991452991451</v>
      </c>
      <c r="L13" s="9">
        <f t="shared" si="5"/>
        <v>9.2307692307692299</v>
      </c>
      <c r="M13" s="43" t="str">
        <f t="shared" si="6"/>
        <v>DX28</v>
      </c>
      <c r="N13" s="43" t="str">
        <f t="shared" si="7"/>
        <v>16/20 Новатэк</v>
      </c>
      <c r="O13" s="43">
        <f t="shared" si="8"/>
        <v>700</v>
      </c>
      <c r="P13" s="43">
        <f t="shared" si="9"/>
        <v>700</v>
      </c>
      <c r="Q13" s="9">
        <f t="shared" si="14"/>
        <v>6000</v>
      </c>
      <c r="R13" s="9">
        <f t="shared" si="10"/>
        <v>107.11886590506526</v>
      </c>
      <c r="S13" s="9">
        <f t="shared" si="11"/>
        <v>30000</v>
      </c>
      <c r="T13" s="21">
        <f t="shared" si="12"/>
        <v>118.12332728235565</v>
      </c>
      <c r="U13" s="6"/>
      <c r="V13" s="6"/>
      <c r="W13" s="6"/>
      <c r="X13" s="6"/>
      <c r="Y13" s="6"/>
      <c r="Z13" s="6"/>
      <c r="AA13" s="6"/>
      <c r="AC13">
        <f t="shared" si="13"/>
        <v>39.374442427451882</v>
      </c>
      <c r="AD13">
        <f>AC9</f>
        <v>22.296169211231177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2"/>
        <v>Продавка</v>
      </c>
      <c r="I14" s="9">
        <f t="shared" si="3"/>
        <v>5</v>
      </c>
      <c r="J14" s="43">
        <f t="shared" si="0"/>
        <v>3</v>
      </c>
      <c r="K14" s="9">
        <f t="shared" si="4"/>
        <v>15</v>
      </c>
      <c r="L14" s="9">
        <f t="shared" si="5"/>
        <v>15</v>
      </c>
      <c r="M14" s="43" t="str">
        <f t="shared" si="6"/>
        <v>H2O1</v>
      </c>
      <c r="N14" s="43" t="str">
        <f t="shared" si="7"/>
        <v>-</v>
      </c>
      <c r="O14" s="43" t="str">
        <f t="shared" si="8"/>
        <v>-</v>
      </c>
      <c r="P14" s="43" t="str">
        <f t="shared" si="9"/>
        <v>-</v>
      </c>
      <c r="Q14" s="9" t="str">
        <f t="shared" si="14"/>
        <v>-</v>
      </c>
      <c r="R14" s="9">
        <f t="shared" si="10"/>
        <v>122.11886590506526</v>
      </c>
      <c r="S14" s="9" t="str">
        <f t="shared" si="11"/>
        <v>-</v>
      </c>
      <c r="T14" s="21">
        <f t="shared" si="12"/>
        <v>133.12332728235566</v>
      </c>
      <c r="U14" s="6"/>
      <c r="V14" s="6"/>
      <c r="W14" s="6"/>
      <c r="X14" s="6"/>
      <c r="Y14" s="6"/>
      <c r="Z14" s="6"/>
      <c r="AA14" s="6"/>
      <c r="AC14" s="5">
        <f t="shared" si="13"/>
        <v>44.374442427451882</v>
      </c>
      <c r="AD14">
        <f>AD13</f>
        <v>22.296169211231177</v>
      </c>
      <c r="AE14">
        <f>P10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200</v>
      </c>
      <c r="D15" s="6"/>
      <c r="E15" s="10"/>
      <c r="F15" s="11"/>
      <c r="G15" s="6"/>
      <c r="H15" s="20" t="str">
        <f t="shared" si="2"/>
        <v>Остановка</v>
      </c>
      <c r="I15" s="9">
        <f t="shared" si="3"/>
        <v>120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8"/>
        <v>-</v>
      </c>
      <c r="P15" s="43" t="str">
        <f t="shared" si="9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>
        <f t="shared" si="13"/>
        <v>164.37444242745187</v>
      </c>
      <c r="AD15">
        <f>AC10</f>
        <v>26.08714474656141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600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9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 t="e">
        <f t="shared" si="13"/>
        <v>#VALUE!</v>
      </c>
      <c r="AD16">
        <f>AD15</f>
        <v>26.08714474656141</v>
      </c>
      <c r="AE16">
        <f>P11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35" t="s">
        <v>135</v>
      </c>
      <c r="C17" s="39">
        <v>35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9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13"/>
        <v>#VALUE!</v>
      </c>
      <c r="AD17">
        <f>AC11</f>
        <v>30.514248178967534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24" t="s">
        <v>50</v>
      </c>
      <c r="C18" s="39" t="s">
        <v>51</v>
      </c>
      <c r="D18" s="6"/>
      <c r="E18" s="65">
        <f>IFERROR(C3/SUM(L4:L30), "-")</f>
        <v>0.24566228794920095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13"/>
        <v>#VALUE!</v>
      </c>
      <c r="AD18">
        <f>AD17</f>
        <v>30.514248178967534</v>
      </c>
      <c r="AE18">
        <f>P12</f>
        <v>700</v>
      </c>
      <c r="AF18">
        <f t="shared" si="1"/>
        <v>3</v>
      </c>
      <c r="AH18" s="44" t="s">
        <v>52</v>
      </c>
      <c r="AI18" s="2">
        <f>IF(C8=-3,AI10,IF(C8=-2,AI11,IF(C8=-1,AI12,IF(C8=0,AI13,IF(C8=1,AI14,IF(C8=2,AI15,IF(C8=3,AI16)))))))</f>
        <v>2.6</v>
      </c>
    </row>
    <row r="19" spans="1:40" ht="15.75" customHeight="1" x14ac:dyDescent="0.25">
      <c r="A19" s="6"/>
      <c r="B19" s="24" t="s">
        <v>53</v>
      </c>
      <c r="C19" s="39" t="s">
        <v>54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13"/>
        <v>#VALUE!</v>
      </c>
      <c r="AD19">
        <f>AC12</f>
        <v>35.556778609788061</v>
      </c>
      <c r="AE19" t="e">
        <f>#REF!</f>
        <v>#REF!</v>
      </c>
      <c r="AF19">
        <f t="shared" si="1"/>
        <v>3</v>
      </c>
    </row>
    <row r="20" spans="1:40" ht="16.5" customHeight="1" thickBot="1" x14ac:dyDescent="0.3">
      <c r="A20" s="6"/>
      <c r="B20" s="24" t="s">
        <v>55</v>
      </c>
      <c r="C20" s="39">
        <v>30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13"/>
        <v>#VALUE!</v>
      </c>
      <c r="AD20">
        <f>AD19</f>
        <v>35.556778609788061</v>
      </c>
      <c r="AE20">
        <f>P13</f>
        <v>700</v>
      </c>
      <c r="AF20">
        <f t="shared" si="1"/>
        <v>3</v>
      </c>
    </row>
    <row r="21" spans="1:40" ht="15.75" customHeight="1" x14ac:dyDescent="0.25">
      <c r="A21" s="6"/>
      <c r="B21" s="33" t="s">
        <v>56</v>
      </c>
      <c r="C21" s="56">
        <v>70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13"/>
        <v>#VALUE!</v>
      </c>
      <c r="AD21">
        <f>AC13</f>
        <v>39.374442427451882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35" t="s">
        <v>139</v>
      </c>
      <c r="C22" s="39" t="s">
        <v>59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13"/>
        <v>#VALUE!</v>
      </c>
      <c r="AD22">
        <f>AD21</f>
        <v>39.374442427451882</v>
      </c>
      <c r="AE22" t="str">
        <f>P14</f>
        <v>-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8.75" customHeight="1" thickBot="1" x14ac:dyDescent="0.3">
      <c r="A23" s="6"/>
      <c r="B23" s="37" t="s">
        <v>140</v>
      </c>
      <c r="C23" s="47">
        <v>15</v>
      </c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13"/>
        <v>#VALUE!</v>
      </c>
      <c r="AD23">
        <f>AC14</f>
        <v>44.374442427451882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13"/>
        <v>#VALUE!</v>
      </c>
      <c r="AD24">
        <f>AD23</f>
        <v>44.374442427451882</v>
      </c>
      <c r="AE24" t="str">
        <f>P15</f>
        <v>-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13"/>
        <v>#VALUE!</v>
      </c>
      <c r="AD25">
        <f>AC15</f>
        <v>164.37444242745187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13"/>
        <v>#VALUE!</v>
      </c>
      <c r="AD26">
        <f>AD25</f>
        <v>164.37444242745187</v>
      </c>
      <c r="AE26" t="str">
        <f>P16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13"/>
        <v>#VALUE!</v>
      </c>
      <c r="AD27" t="e">
        <f>AC16</f>
        <v>#VALUE!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13"/>
        <v>#VALUE!</v>
      </c>
      <c r="AD28" t="e">
        <f>AD27</f>
        <v>#VALUE!</v>
      </c>
      <c r="AE28" t="str">
        <f>P17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13"/>
        <v>#VALUE!</v>
      </c>
      <c r="AD29" t="e">
        <f>AC17</f>
        <v>#VALUE!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9"/>
        <v>-</v>
      </c>
      <c r="Q30" s="23" t="str">
        <f t="shared" si="14"/>
        <v>-</v>
      </c>
      <c r="R30" s="23" t="str">
        <f t="shared" si="10"/>
        <v>-</v>
      </c>
      <c r="S30" s="23" t="str">
        <f t="shared" si="11"/>
        <v>-</v>
      </c>
      <c r="T30" s="36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13"/>
        <v>#VALUE!</v>
      </c>
      <c r="AD30" t="e">
        <f>AD29</f>
        <v>#VALUE!</v>
      </c>
      <c r="AE30" t="str">
        <f>P18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24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6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$C$6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(C17/100)*AJ5</f>
        <v>41.343164548824475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C20/100*J73</f>
        <v>12.402949364647343</v>
      </c>
      <c r="L74" s="5">
        <f t="shared" ref="L74:L100" si="17">IF(L73=SUM($I$4:$I$30)-($C$23/$C$6),L73,IFERROR(L73+I4,L73))</f>
        <v>4.1343164548824474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28.940215184177134</v>
      </c>
      <c r="L75" s="5">
        <f t="shared" si="17"/>
        <v>13.781054849608157</v>
      </c>
      <c r="M75">
        <v>0</v>
      </c>
    </row>
    <row r="76" spans="1:27" x14ac:dyDescent="0.25">
      <c r="E76">
        <v>1</v>
      </c>
      <c r="F76" s="53">
        <f t="shared" ref="F76:F100" si="18">IF(P6="-","-",P6/$C$4)</f>
        <v>0.14285714285714285</v>
      </c>
      <c r="G76" s="53">
        <f t="shared" ref="G76:G100" si="19">IF(F76="-","-",F76^$AI$18)</f>
        <v>6.3495814124862326E-3</v>
      </c>
      <c r="L76" s="5">
        <f t="shared" si="17"/>
        <v>14.815260052332533</v>
      </c>
      <c r="M76">
        <f t="shared" ref="M76:M100" si="20">P6</f>
        <v>100</v>
      </c>
    </row>
    <row r="77" spans="1:27" x14ac:dyDescent="0.25">
      <c r="E77">
        <v>2</v>
      </c>
      <c r="F77" s="53">
        <f t="shared" si="18"/>
        <v>0.2857142857142857</v>
      </c>
      <c r="G77" s="53">
        <f t="shared" si="19"/>
        <v>3.8496662949247536E-2</v>
      </c>
      <c r="I77" s="54" t="s">
        <v>128</v>
      </c>
      <c r="J77" s="54">
        <f>C4/C7</f>
        <v>7</v>
      </c>
      <c r="L77" s="5">
        <f t="shared" si="17"/>
        <v>16.622280654782617</v>
      </c>
      <c r="M77">
        <f t="shared" si="20"/>
        <v>200</v>
      </c>
    </row>
    <row r="78" spans="1:27" x14ac:dyDescent="0.25">
      <c r="E78">
        <v>3</v>
      </c>
      <c r="F78" s="53">
        <f t="shared" si="18"/>
        <v>0.42857142857142855</v>
      </c>
      <c r="G78" s="53">
        <f t="shared" si="19"/>
        <v>0.11047407101505768</v>
      </c>
      <c r="L78" s="5">
        <f t="shared" si="17"/>
        <v>19.132686944732601</v>
      </c>
      <c r="M78">
        <f t="shared" si="20"/>
        <v>300</v>
      </c>
    </row>
    <row r="79" spans="1:27" x14ac:dyDescent="0.25">
      <c r="E79">
        <v>4</v>
      </c>
      <c r="F79" s="53">
        <f t="shared" si="18"/>
        <v>0.5714285714285714</v>
      </c>
      <c r="G79" s="53">
        <f t="shared" si="19"/>
        <v>0.23340011915016609</v>
      </c>
      <c r="L79" s="5">
        <f t="shared" si="17"/>
        <v>22.296169211231177</v>
      </c>
      <c r="M79">
        <f t="shared" si="20"/>
        <v>400</v>
      </c>
    </row>
    <row r="80" spans="1:27" x14ac:dyDescent="0.25">
      <c r="E80">
        <v>5</v>
      </c>
      <c r="F80" s="53">
        <f t="shared" si="18"/>
        <v>0.7142857142857143</v>
      </c>
      <c r="G80" s="53">
        <f t="shared" si="19"/>
        <v>0.41693380315551132</v>
      </c>
      <c r="L80" s="5">
        <f t="shared" si="17"/>
        <v>26.08714474656141</v>
      </c>
      <c r="M80">
        <f t="shared" si="20"/>
        <v>500</v>
      </c>
    </row>
    <row r="81" spans="5:13" x14ac:dyDescent="0.25">
      <c r="E81">
        <v>6</v>
      </c>
      <c r="F81" s="53">
        <f t="shared" si="18"/>
        <v>0.8571428571428571</v>
      </c>
      <c r="G81" s="53">
        <f t="shared" si="19"/>
        <v>0.66978951842947654</v>
      </c>
      <c r="L81" s="5">
        <f t="shared" si="17"/>
        <v>30.514248178967534</v>
      </c>
      <c r="M81">
        <f t="shared" si="20"/>
        <v>600</v>
      </c>
    </row>
    <row r="82" spans="5:13" x14ac:dyDescent="0.25">
      <c r="E82">
        <v>7</v>
      </c>
      <c r="F82" s="53">
        <f t="shared" si="18"/>
        <v>1</v>
      </c>
      <c r="G82" s="53">
        <f t="shared" si="19"/>
        <v>1</v>
      </c>
      <c r="L82" s="5">
        <f t="shared" si="17"/>
        <v>35.556778609788061</v>
      </c>
      <c r="M82">
        <f t="shared" si="20"/>
        <v>700</v>
      </c>
    </row>
    <row r="83" spans="5:13" x14ac:dyDescent="0.25">
      <c r="E83">
        <v>8</v>
      </c>
      <c r="F83" s="53">
        <f t="shared" si="18"/>
        <v>1</v>
      </c>
      <c r="G83" s="53">
        <f t="shared" si="19"/>
        <v>1</v>
      </c>
      <c r="L83" s="5">
        <f t="shared" si="17"/>
        <v>39.374442427451882</v>
      </c>
      <c r="M83">
        <f t="shared" si="20"/>
        <v>700</v>
      </c>
    </row>
    <row r="84" spans="5:13" x14ac:dyDescent="0.25">
      <c r="E84">
        <v>9</v>
      </c>
      <c r="F84" s="53" t="str">
        <f t="shared" si="18"/>
        <v>-</v>
      </c>
      <c r="G84" s="53" t="str">
        <f t="shared" si="19"/>
        <v>-</v>
      </c>
      <c r="L84" s="5">
        <f t="shared" si="17"/>
        <v>44.374442427451882</v>
      </c>
      <c r="M84" t="str">
        <f t="shared" si="20"/>
        <v>-</v>
      </c>
    </row>
    <row r="85" spans="5:13" x14ac:dyDescent="0.25">
      <c r="E85">
        <v>10</v>
      </c>
      <c r="F85" s="53" t="str">
        <f t="shared" si="18"/>
        <v>-</v>
      </c>
      <c r="G85" s="53" t="str">
        <f t="shared" si="19"/>
        <v>-</v>
      </c>
      <c r="L85" s="5">
        <f t="shared" si="17"/>
        <v>164.37444242745187</v>
      </c>
      <c r="M85" t="str">
        <f t="shared" si="20"/>
        <v>-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164.37444242745187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164.37444242745187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164.37444242745187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164.37444242745187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164.37444242745187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164.37444242745187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164.37444242745187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164.37444242745187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164.37444242745187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164.37444242745187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164.37444242745187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164.37444242745187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164.37444242745187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164.37444242745187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164.37444242745187</v>
      </c>
      <c r="M100" t="str">
        <f t="shared" si="20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2.78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4">
      <formula1>$AJ$23:$AJ$38</formula1>
    </dataValidation>
    <dataValidation type="list" showInputMessage="1" showErrorMessage="1" sqref="C13">
      <formula1>$AI$23:$AI$40</formula1>
    </dataValidation>
    <dataValidation type="list" showInputMessage="1" showErrorMessage="1" sqref="C12">
      <formula1>$AH$23</formula1>
    </dataValidation>
    <dataValidation type="list" showInputMessage="1" showErrorMessage="1" sqref="C9:C10">
      <formula1>$AM$24:$AM$51</formula1>
    </dataValidation>
    <dataValidation type="list" showInputMessage="1" showErrorMessage="1" sqref="C22 C18:C19">
      <formula1>$AK$23:$AK$58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workbookViewId="0">
      <selection activeCell="I5" sqref="I5:I30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34" width="9.140625" style="64" customWidth="1"/>
    <col min="35" max="35" width="8.7109375" style="64" customWidth="1"/>
    <col min="36" max="204" width="9.140625" style="64" customWidth="1"/>
    <col min="20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800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11.55861494641546</v>
      </c>
      <c r="J4" s="43">
        <f t="shared" ref="J4:J30" si="0">IF(K4="-","-",$C$6)</f>
        <v>3</v>
      </c>
      <c r="K4" s="9">
        <f>IFERROR(J73, "-")</f>
        <v>34.675844839246381</v>
      </c>
      <c r="L4" s="9">
        <f>IFERROR(K4,0)</f>
        <v>34.675844839246381</v>
      </c>
      <c r="M4" s="43" t="str">
        <f>IF(L4="-","-",$C$18)</f>
        <v>LG28</v>
      </c>
      <c r="N4" s="43"/>
      <c r="O4" s="43"/>
      <c r="P4" s="43"/>
      <c r="Q4" s="9"/>
      <c r="R4" s="9">
        <f>IF(L4="-","-",L4)</f>
        <v>34.675844839246381</v>
      </c>
      <c r="S4" s="9"/>
      <c r="T4" s="21">
        <f>IF(K4="-","-",K4)</f>
        <v>34.675844839246381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$C$6</f>
        <v>3</v>
      </c>
      <c r="AI4" t="s">
        <v>27</v>
      </c>
      <c r="AJ4" s="5">
        <f>SUM(K5:K30)-$C$20</f>
        <v>49.899386475988706</v>
      </c>
    </row>
    <row r="5" spans="1:36" ht="15.75" customHeight="1" x14ac:dyDescent="0.25">
      <c r="A5" s="6"/>
      <c r="B5" s="57" t="s">
        <v>143</v>
      </c>
      <c r="C5" s="58">
        <v>30</v>
      </c>
      <c r="D5" s="6"/>
      <c r="E5" s="12" t="str">
        <f>IF(C15=0,"",C12)</f>
        <v/>
      </c>
      <c r="F5" s="62" t="str">
        <f>IF(E5="","",SUMIF(M4:M29,C12,L4:L29))</f>
        <v/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1.4830508474576272</v>
      </c>
      <c r="J5" s="43">
        <f t="shared" si="0"/>
        <v>3</v>
      </c>
      <c r="K5" s="9">
        <f t="shared" ref="K5:K30" si="4">IF(S4=$C$3*1000,$C$20,IFERROR(L5+Q5/(IF(N5=$C$9,$G$103,$G$104)*1000),"-"))</f>
        <v>4.4491525423728815</v>
      </c>
      <c r="L5" s="9">
        <f t="shared" ref="L5:L30" si="5">IF(S4=$C$3*1000,$C$20,IFERROR(Q5/(P5-($C$7/2)),"-"))</f>
        <v>4.375</v>
      </c>
      <c r="M5" s="43" t="str">
        <f t="shared" ref="M5:M30" si="6">IF(S4=$C$3*1000,$C$19,IF(L5="-","-",IF(O5&lt;$C$15,$C$12,IF(P5&gt;$C$16,$C$14,$C$13))))</f>
        <v>LG28</v>
      </c>
      <c r="N5" s="43" t="str">
        <f t="shared" ref="N5:N30" si="7">IF(O5="-","-",IF(O5&lt;$C$11,$C$9,$C$10))</f>
        <v>BPR2040</v>
      </c>
      <c r="O5" s="43">
        <f t="shared" ref="O5:O30" si="8">IFERROR(IF(P5="-","-",IF(P4=$C$4,$C$4,P5-$C$7)),"-")</f>
        <v>0</v>
      </c>
      <c r="P5" s="43">
        <f t="shared" ref="P5:P30" si="9">IFERROR(IF(O4=$C$4,"-",IF(P4=$C$4,$C$4,P4+($C$4-P4)/($J$78-E75))),"-")</f>
        <v>100</v>
      </c>
      <c r="Q5" s="9">
        <f>IF(S5="-","-",S5)</f>
        <v>218.75</v>
      </c>
      <c r="R5" s="9">
        <f t="shared" ref="R5:R30" si="10">IFERROR(IF(L5="-","-",R4+L5),"-")</f>
        <v>39.050844839246381</v>
      </c>
      <c r="S5" s="9">
        <f t="shared" ref="S5:S30" si="11">IFERROR(IF(S4=$Q$35*1000,$C$3*1000,G76*$Q$35*1000),"-")</f>
        <v>218.75</v>
      </c>
      <c r="T5" s="21">
        <f t="shared" ref="T5:T30" si="12">IFERROR(IF(K5="-","-",T4+K5),"-")</f>
        <v>39.124997381619259</v>
      </c>
      <c r="U5" s="6"/>
      <c r="V5" s="6"/>
      <c r="W5" s="6"/>
      <c r="X5" s="6"/>
      <c r="Y5" s="6"/>
      <c r="Z5" s="6"/>
      <c r="AA5" s="6"/>
      <c r="AC5" s="5">
        <f t="shared" ref="AC5:AC30" si="13">AC4+I4</f>
        <v>11.55861494641546</v>
      </c>
      <c r="AD5">
        <f>AC5</f>
        <v>11.55861494641546</v>
      </c>
      <c r="AE5">
        <f>P4</f>
        <v>0</v>
      </c>
      <c r="AF5">
        <f t="shared" si="1"/>
        <v>3</v>
      </c>
      <c r="AI5" t="s">
        <v>29</v>
      </c>
      <c r="AJ5">
        <f>AJ4/(1-J81)</f>
        <v>84.575231315235087</v>
      </c>
    </row>
    <row r="6" spans="1:36" ht="18" customHeight="1" x14ac:dyDescent="0.25">
      <c r="A6" s="6"/>
      <c r="B6" s="24" t="s">
        <v>28</v>
      </c>
      <c r="C6" s="39">
        <v>3</v>
      </c>
      <c r="D6" s="6"/>
      <c r="E6" s="12" t="str">
        <f>C13</f>
        <v>LG28</v>
      </c>
      <c r="F6" s="62">
        <f>SUMIF(M4:M29,C13,L4:L29)</f>
        <v>67.175844839246381</v>
      </c>
      <c r="G6" s="6"/>
      <c r="H6" s="20" t="str">
        <f t="shared" si="2"/>
        <v>Пропант</v>
      </c>
      <c r="I6" s="9">
        <f t="shared" si="3"/>
        <v>1.5324858757062148</v>
      </c>
      <c r="J6" s="43">
        <f t="shared" si="0"/>
        <v>3</v>
      </c>
      <c r="K6" s="9">
        <f t="shared" si="4"/>
        <v>4.5974576271186445</v>
      </c>
      <c r="L6" s="9">
        <f t="shared" si="5"/>
        <v>4.375</v>
      </c>
      <c r="M6" s="43" t="str">
        <f t="shared" si="6"/>
        <v>LG28</v>
      </c>
      <c r="N6" s="43" t="str">
        <f t="shared" si="7"/>
        <v>BPR2040</v>
      </c>
      <c r="O6" s="43">
        <f t="shared" si="8"/>
        <v>100</v>
      </c>
      <c r="P6" s="43">
        <f t="shared" si="9"/>
        <v>200</v>
      </c>
      <c r="Q6" s="9">
        <f t="shared" ref="Q6:Q30" si="14">IF(S6="-","-",S6-S5)</f>
        <v>656.25</v>
      </c>
      <c r="R6" s="9">
        <f t="shared" si="10"/>
        <v>43.425844839246381</v>
      </c>
      <c r="S6" s="9">
        <f t="shared" si="11"/>
        <v>875</v>
      </c>
      <c r="T6" s="21">
        <f t="shared" si="12"/>
        <v>43.722455008737903</v>
      </c>
      <c r="U6" s="6"/>
      <c r="V6" s="6"/>
      <c r="W6" s="6"/>
      <c r="X6" s="6"/>
      <c r="Y6" s="6"/>
      <c r="Z6" s="6"/>
      <c r="AA6" s="6"/>
      <c r="AC6" s="5">
        <f t="shared" si="13"/>
        <v>13.041665793873086</v>
      </c>
      <c r="AD6">
        <f>AD5</f>
        <v>11.55861494641546</v>
      </c>
      <c r="AE6">
        <f>P5</f>
        <v>100</v>
      </c>
      <c r="AF6">
        <f t="shared" si="1"/>
        <v>3</v>
      </c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DX28</v>
      </c>
      <c r="F7" s="62">
        <f>SUMIF(M4:M29,C14,L4:L29)</f>
        <v>25.5</v>
      </c>
      <c r="G7" s="6"/>
      <c r="H7" s="20" t="str">
        <f t="shared" si="2"/>
        <v>Пропант</v>
      </c>
      <c r="I7" s="9">
        <f t="shared" si="3"/>
        <v>1.5819209039548021</v>
      </c>
      <c r="J7" s="43">
        <f t="shared" si="0"/>
        <v>3</v>
      </c>
      <c r="K7" s="9">
        <f t="shared" si="4"/>
        <v>4.7457627118644066</v>
      </c>
      <c r="L7" s="9">
        <f t="shared" si="5"/>
        <v>4.375</v>
      </c>
      <c r="M7" s="43" t="str">
        <f t="shared" si="6"/>
        <v>LG28</v>
      </c>
      <c r="N7" s="43" t="str">
        <f t="shared" si="7"/>
        <v>BPR2040</v>
      </c>
      <c r="O7" s="43">
        <f t="shared" si="8"/>
        <v>200</v>
      </c>
      <c r="P7" s="43">
        <f t="shared" si="9"/>
        <v>300</v>
      </c>
      <c r="Q7" s="9">
        <f t="shared" si="14"/>
        <v>1093.75</v>
      </c>
      <c r="R7" s="9">
        <f t="shared" si="10"/>
        <v>47.800844839246381</v>
      </c>
      <c r="S7" s="9">
        <f t="shared" si="11"/>
        <v>1968.75</v>
      </c>
      <c r="T7" s="21">
        <f t="shared" si="12"/>
        <v>48.468217720602311</v>
      </c>
      <c r="U7" s="6"/>
      <c r="V7" s="6"/>
      <c r="W7" s="6"/>
      <c r="X7" s="6"/>
      <c r="Y7" s="6"/>
      <c r="Z7" s="6"/>
      <c r="AA7" s="6"/>
      <c r="AC7" s="5">
        <f t="shared" si="13"/>
        <v>14.574151669579301</v>
      </c>
      <c r="AD7" s="5">
        <f>AC6</f>
        <v>13.041665793873086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SUM(L4:L29)</f>
        <v>92.675844839246381</v>
      </c>
      <c r="G8" s="6"/>
      <c r="H8" s="20" t="str">
        <f t="shared" si="2"/>
        <v>Пропант</v>
      </c>
      <c r="I8" s="9">
        <f t="shared" si="3"/>
        <v>1.6313559322033899</v>
      </c>
      <c r="J8" s="43">
        <f t="shared" si="0"/>
        <v>3</v>
      </c>
      <c r="K8" s="9">
        <f t="shared" si="4"/>
        <v>4.8940677966101696</v>
      </c>
      <c r="L8" s="9">
        <f t="shared" si="5"/>
        <v>4.375</v>
      </c>
      <c r="M8" s="43" t="str">
        <f t="shared" si="6"/>
        <v>LG28</v>
      </c>
      <c r="N8" s="43" t="str">
        <f t="shared" si="7"/>
        <v>BPR2040</v>
      </c>
      <c r="O8" s="43">
        <f t="shared" si="8"/>
        <v>300</v>
      </c>
      <c r="P8" s="43">
        <f t="shared" si="9"/>
        <v>400</v>
      </c>
      <c r="Q8" s="9">
        <f t="shared" si="14"/>
        <v>1531.25</v>
      </c>
      <c r="R8" s="9">
        <f t="shared" si="10"/>
        <v>52.175844839246381</v>
      </c>
      <c r="S8" s="9">
        <f t="shared" si="11"/>
        <v>3500</v>
      </c>
      <c r="T8" s="21">
        <f t="shared" si="12"/>
        <v>53.362285517212484</v>
      </c>
      <c r="U8" s="6"/>
      <c r="V8" s="6"/>
      <c r="W8" s="6"/>
      <c r="X8" s="6"/>
      <c r="Y8" s="6"/>
      <c r="Z8" s="6"/>
      <c r="AA8" s="6"/>
      <c r="AC8">
        <f t="shared" si="13"/>
        <v>16.156072573534104</v>
      </c>
      <c r="AD8" s="5">
        <f>AD7</f>
        <v>13.041665793873086</v>
      </c>
      <c r="AE8">
        <f>P6</f>
        <v>200</v>
      </c>
      <c r="AF8">
        <f t="shared" si="1"/>
        <v>3</v>
      </c>
      <c r="AI8">
        <f>C3/AJ4</f>
        <v>0.40080653115091674</v>
      </c>
    </row>
    <row r="9" spans="1:36" ht="15.75" customHeight="1" x14ac:dyDescent="0.25">
      <c r="A9" s="6"/>
      <c r="B9" s="24" t="s">
        <v>32</v>
      </c>
      <c r="C9" s="39" t="s">
        <v>75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1.6807909604519775</v>
      </c>
      <c r="J9" s="43">
        <f t="shared" si="0"/>
        <v>3</v>
      </c>
      <c r="K9" s="9">
        <f t="shared" si="4"/>
        <v>5.0423728813559325</v>
      </c>
      <c r="L9" s="9">
        <f t="shared" si="5"/>
        <v>4.375</v>
      </c>
      <c r="M9" s="43" t="str">
        <f t="shared" si="6"/>
        <v>DX28</v>
      </c>
      <c r="N9" s="43" t="str">
        <f t="shared" si="7"/>
        <v>BPR2040</v>
      </c>
      <c r="O9" s="43">
        <f t="shared" si="8"/>
        <v>400</v>
      </c>
      <c r="P9" s="43">
        <f t="shared" si="9"/>
        <v>500</v>
      </c>
      <c r="Q9" s="9">
        <f t="shared" si="14"/>
        <v>1968.75</v>
      </c>
      <c r="R9" s="9">
        <f t="shared" si="10"/>
        <v>56.550844839246381</v>
      </c>
      <c r="S9" s="9">
        <f t="shared" si="11"/>
        <v>5468.75</v>
      </c>
      <c r="T9" s="21">
        <f t="shared" si="12"/>
        <v>58.404658398568415</v>
      </c>
      <c r="U9" s="6"/>
      <c r="V9" s="6"/>
      <c r="W9" s="6"/>
      <c r="X9" s="6"/>
      <c r="Y9" s="6"/>
      <c r="Z9" s="6"/>
      <c r="AA9" s="6"/>
      <c r="AC9">
        <f t="shared" si="13"/>
        <v>17.787428505737495</v>
      </c>
      <c r="AD9">
        <f>AC7</f>
        <v>14.574151669579301</v>
      </c>
      <c r="AE9" t="e">
        <f>#REF!</f>
        <v>#REF!</v>
      </c>
      <c r="AF9">
        <f t="shared" si="1"/>
        <v>3</v>
      </c>
    </row>
    <row r="10" spans="1:36" ht="15.75" customHeight="1" x14ac:dyDescent="0.25">
      <c r="A10" s="6"/>
      <c r="B10" s="24" t="s">
        <v>35</v>
      </c>
      <c r="C10" s="39" t="s">
        <v>113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1.7368344907407407</v>
      </c>
      <c r="J10" s="43">
        <f t="shared" si="0"/>
        <v>3</v>
      </c>
      <c r="K10" s="9">
        <f t="shared" si="4"/>
        <v>5.2105034722222223</v>
      </c>
      <c r="L10" s="9">
        <f t="shared" si="5"/>
        <v>4.375</v>
      </c>
      <c r="M10" s="43" t="str">
        <f t="shared" si="6"/>
        <v>DX28</v>
      </c>
      <c r="N10" s="43" t="str">
        <f t="shared" si="7"/>
        <v>BPR1620</v>
      </c>
      <c r="O10" s="43">
        <f t="shared" si="8"/>
        <v>500</v>
      </c>
      <c r="P10" s="43">
        <f t="shared" si="9"/>
        <v>600</v>
      </c>
      <c r="Q10" s="9">
        <f t="shared" si="14"/>
        <v>2406.25</v>
      </c>
      <c r="R10" s="9">
        <f t="shared" si="10"/>
        <v>60.925844839246381</v>
      </c>
      <c r="S10" s="9">
        <f t="shared" si="11"/>
        <v>7875</v>
      </c>
      <c r="T10" s="21">
        <f t="shared" si="12"/>
        <v>63.615161870790637</v>
      </c>
      <c r="U10" s="6"/>
      <c r="V10" s="6"/>
      <c r="W10" s="6"/>
      <c r="X10" s="6"/>
      <c r="Y10" s="6"/>
      <c r="Z10" s="6"/>
      <c r="AA10" s="6"/>
      <c r="AC10">
        <f t="shared" si="13"/>
        <v>19.468219466189474</v>
      </c>
      <c r="AD10">
        <f>AD9</f>
        <v>14.574151669579301</v>
      </c>
      <c r="AE10">
        <f>P7</f>
        <v>300</v>
      </c>
      <c r="AF10">
        <f t="shared" si="1"/>
        <v>3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BPR2040</v>
      </c>
      <c r="F11" s="62">
        <f>IF(E11="","",SUMIF(N4:N29,C9,Q4:Q29)/1000)</f>
        <v>5.46875</v>
      </c>
      <c r="G11" s="6"/>
      <c r="H11" s="20" t="str">
        <f t="shared" si="2"/>
        <v>Пропант</v>
      </c>
      <c r="I11" s="9">
        <f t="shared" si="3"/>
        <v>1.7874710648148149</v>
      </c>
      <c r="J11" s="43">
        <f t="shared" si="0"/>
        <v>3</v>
      </c>
      <c r="K11" s="9">
        <f t="shared" si="4"/>
        <v>5.3624131944444446</v>
      </c>
      <c r="L11" s="9">
        <f t="shared" si="5"/>
        <v>4.375</v>
      </c>
      <c r="M11" s="43" t="str">
        <f t="shared" si="6"/>
        <v>DX28</v>
      </c>
      <c r="N11" s="43" t="str">
        <f t="shared" si="7"/>
        <v>BPR1620</v>
      </c>
      <c r="O11" s="43">
        <f t="shared" si="8"/>
        <v>600</v>
      </c>
      <c r="P11" s="43">
        <f t="shared" si="9"/>
        <v>700</v>
      </c>
      <c r="Q11" s="9">
        <f t="shared" si="14"/>
        <v>2843.75</v>
      </c>
      <c r="R11" s="9">
        <f t="shared" si="10"/>
        <v>65.300844839246381</v>
      </c>
      <c r="S11" s="9">
        <f t="shared" si="11"/>
        <v>10718.75</v>
      </c>
      <c r="T11" s="21">
        <f t="shared" si="12"/>
        <v>68.977575065235087</v>
      </c>
      <c r="U11" s="6"/>
      <c r="V11" s="6"/>
      <c r="W11" s="6"/>
      <c r="X11" s="6"/>
      <c r="Y11" s="6"/>
      <c r="Z11" s="6"/>
      <c r="AA11" s="6"/>
      <c r="AC11">
        <f t="shared" si="13"/>
        <v>21.205053956930215</v>
      </c>
      <c r="AD11">
        <f>AC8</f>
        <v>16.156072573534104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BPR1620</v>
      </c>
      <c r="F12" s="62">
        <f>SUMIF(N4:N29,C10,Q4:Q29)/1000</f>
        <v>14.53125</v>
      </c>
      <c r="G12" s="6"/>
      <c r="H12" s="20" t="str">
        <f t="shared" si="2"/>
        <v>Пропант</v>
      </c>
      <c r="I12" s="9">
        <f t="shared" si="3"/>
        <v>1.8381076388888891</v>
      </c>
      <c r="J12" s="43">
        <f t="shared" si="0"/>
        <v>3</v>
      </c>
      <c r="K12" s="9">
        <f t="shared" si="4"/>
        <v>5.514322916666667</v>
      </c>
      <c r="L12" s="9">
        <f t="shared" si="5"/>
        <v>4.375</v>
      </c>
      <c r="M12" s="43" t="str">
        <f t="shared" si="6"/>
        <v>DX28</v>
      </c>
      <c r="N12" s="43" t="str">
        <f t="shared" si="7"/>
        <v>BPR1620</v>
      </c>
      <c r="O12" s="43">
        <f t="shared" si="8"/>
        <v>700</v>
      </c>
      <c r="P12" s="43">
        <f t="shared" si="9"/>
        <v>800</v>
      </c>
      <c r="Q12" s="9">
        <f t="shared" si="14"/>
        <v>3281.25</v>
      </c>
      <c r="R12" s="9">
        <f t="shared" si="10"/>
        <v>69.675844839246381</v>
      </c>
      <c r="S12" s="9">
        <f t="shared" si="11"/>
        <v>14000</v>
      </c>
      <c r="T12" s="21">
        <f t="shared" si="12"/>
        <v>74.491897981901758</v>
      </c>
      <c r="U12" s="6"/>
      <c r="V12" s="6"/>
      <c r="W12" s="6"/>
      <c r="X12" s="6"/>
      <c r="Y12" s="6"/>
      <c r="Z12" s="6"/>
      <c r="AA12" s="6"/>
      <c r="AC12">
        <f t="shared" si="13"/>
        <v>22.992525021745031</v>
      </c>
      <c r="AD12">
        <f>AD11</f>
        <v>16.156072573534104</v>
      </c>
      <c r="AE12">
        <f>P8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42</v>
      </c>
      <c r="D13" s="6"/>
      <c r="E13" s="13" t="s">
        <v>34</v>
      </c>
      <c r="F13" s="14">
        <f>C3</f>
        <v>20</v>
      </c>
      <c r="G13" s="6"/>
      <c r="H13" s="20" t="str">
        <f t="shared" si="2"/>
        <v>Пропант</v>
      </c>
      <c r="I13" s="9">
        <f t="shared" si="3"/>
        <v>3.3611111111111112</v>
      </c>
      <c r="J13" s="43">
        <f t="shared" si="0"/>
        <v>3</v>
      </c>
      <c r="K13" s="9">
        <f t="shared" si="4"/>
        <v>10.083333333333334</v>
      </c>
      <c r="L13" s="9">
        <f t="shared" si="5"/>
        <v>8</v>
      </c>
      <c r="M13" s="43" t="str">
        <f t="shared" si="6"/>
        <v>DX28</v>
      </c>
      <c r="N13" s="43" t="str">
        <f t="shared" si="7"/>
        <v>BPR1620</v>
      </c>
      <c r="O13" s="43">
        <f t="shared" si="8"/>
        <v>800</v>
      </c>
      <c r="P13" s="43">
        <f t="shared" si="9"/>
        <v>800</v>
      </c>
      <c r="Q13" s="9">
        <f t="shared" si="14"/>
        <v>6000</v>
      </c>
      <c r="R13" s="9">
        <f t="shared" si="10"/>
        <v>77.675844839246381</v>
      </c>
      <c r="S13" s="9">
        <f t="shared" si="11"/>
        <v>20000</v>
      </c>
      <c r="T13" s="21">
        <f t="shared" si="12"/>
        <v>84.575231315235087</v>
      </c>
      <c r="U13" s="6"/>
      <c r="V13" s="6"/>
      <c r="W13" s="6"/>
      <c r="X13" s="6"/>
      <c r="Y13" s="6"/>
      <c r="Z13" s="6"/>
      <c r="AA13" s="6"/>
      <c r="AC13">
        <f t="shared" si="13"/>
        <v>24.83063266063392</v>
      </c>
      <c r="AD13">
        <f>AC9</f>
        <v>17.787428505737495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2"/>
        <v>Продавка</v>
      </c>
      <c r="I14" s="9">
        <f t="shared" si="3"/>
        <v>5</v>
      </c>
      <c r="J14" s="43">
        <f t="shared" si="0"/>
        <v>3</v>
      </c>
      <c r="K14" s="9">
        <f t="shared" si="4"/>
        <v>15</v>
      </c>
      <c r="L14" s="9">
        <f t="shared" si="5"/>
        <v>15</v>
      </c>
      <c r="M14" s="43" t="str">
        <f t="shared" si="6"/>
        <v>LG28</v>
      </c>
      <c r="N14" s="43" t="str">
        <f t="shared" si="7"/>
        <v>-</v>
      </c>
      <c r="O14" s="43" t="str">
        <f t="shared" si="8"/>
        <v>-</v>
      </c>
      <c r="P14" s="43" t="str">
        <f t="shared" si="9"/>
        <v>-</v>
      </c>
      <c r="Q14" s="9" t="str">
        <f t="shared" si="14"/>
        <v>-</v>
      </c>
      <c r="R14" s="9">
        <f t="shared" si="10"/>
        <v>92.675844839246381</v>
      </c>
      <c r="S14" s="9" t="str">
        <f t="shared" si="11"/>
        <v>-</v>
      </c>
      <c r="T14" s="21">
        <f t="shared" si="12"/>
        <v>99.575231315235087</v>
      </c>
      <c r="U14" s="6"/>
      <c r="V14" s="6"/>
      <c r="W14" s="6"/>
      <c r="X14" s="6"/>
      <c r="Y14" s="6"/>
      <c r="Z14" s="6"/>
      <c r="AA14" s="6"/>
      <c r="AC14" s="5">
        <f t="shared" si="13"/>
        <v>28.191743771745031</v>
      </c>
      <c r="AD14">
        <f>AD13</f>
        <v>17.787428505737495</v>
      </c>
      <c r="AE14">
        <f>P9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0</v>
      </c>
      <c r="D15" s="6"/>
      <c r="E15" s="10"/>
      <c r="F15" s="11"/>
      <c r="G15" s="6"/>
      <c r="H15" s="20" t="str">
        <f t="shared" si="2"/>
        <v>Остановка</v>
      </c>
      <c r="I15" s="9">
        <f t="shared" si="3"/>
        <v>120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8"/>
        <v>-</v>
      </c>
      <c r="P15" s="43" t="str">
        <f t="shared" si="9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>
        <f t="shared" si="13"/>
        <v>33.191743771745031</v>
      </c>
      <c r="AD15">
        <f>AC10</f>
        <v>19.468219466189474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400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9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>
        <f t="shared" si="13"/>
        <v>153.19174377174502</v>
      </c>
      <c r="AD16">
        <f>AD15</f>
        <v>19.468219466189474</v>
      </c>
      <c r="AE16">
        <f>P10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57" t="s">
        <v>141</v>
      </c>
      <c r="C17" s="39">
        <v>40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9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13"/>
        <v>#VALUE!</v>
      </c>
      <c r="AD17">
        <f>AC11</f>
        <v>21.205053956930215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24" t="s">
        <v>142</v>
      </c>
      <c r="C18" s="39" t="s">
        <v>42</v>
      </c>
      <c r="D18" s="6"/>
      <c r="E18" s="65">
        <f>IFERROR(C3/SUM(L4:L29), "-")</f>
        <v>0.21580596362182172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13"/>
        <v>#VALUE!</v>
      </c>
      <c r="AD18">
        <f>AD17</f>
        <v>21.205053956930215</v>
      </c>
      <c r="AE18">
        <f>P11</f>
        <v>700</v>
      </c>
      <c r="AF18">
        <f t="shared" si="1"/>
        <v>3</v>
      </c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57" t="s">
        <v>139</v>
      </c>
      <c r="C19" s="39" t="s">
        <v>42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13"/>
        <v>#VALUE!</v>
      </c>
      <c r="AD19">
        <f>AC12</f>
        <v>22.992525021745031</v>
      </c>
      <c r="AE19" t="e">
        <f>#REF!</f>
        <v>#REF!</v>
      </c>
      <c r="AF19">
        <f t="shared" si="1"/>
        <v>3</v>
      </c>
    </row>
    <row r="20" spans="1:40" ht="18.75" customHeight="1" thickBot="1" x14ac:dyDescent="0.3">
      <c r="A20" s="6"/>
      <c r="B20" s="59" t="s">
        <v>140</v>
      </c>
      <c r="C20" s="47">
        <v>15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13"/>
        <v>#VALUE!</v>
      </c>
      <c r="AD20">
        <f>AD19</f>
        <v>22.992525021745031</v>
      </c>
      <c r="AE20">
        <f>P12</f>
        <v>800</v>
      </c>
      <c r="AF20">
        <f t="shared" si="1"/>
        <v>3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13"/>
        <v>#VALUE!</v>
      </c>
      <c r="AD21">
        <f>AC13</f>
        <v>24.83063266063392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13"/>
        <v>#VALUE!</v>
      </c>
      <c r="AD22">
        <f>AD21</f>
        <v>24.83063266063392</v>
      </c>
      <c r="AE22">
        <f>P13</f>
        <v>800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13"/>
        <v>#VALUE!</v>
      </c>
      <c r="AD23">
        <f>AC14</f>
        <v>28.191743771745031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13"/>
        <v>#VALUE!</v>
      </c>
      <c r="AD24">
        <f>AD23</f>
        <v>28.191743771745031</v>
      </c>
      <c r="AE24" t="str">
        <f>P14</f>
        <v>-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13"/>
        <v>#VALUE!</v>
      </c>
      <c r="AD25">
        <f>AC15</f>
        <v>33.191743771745031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13"/>
        <v>#VALUE!</v>
      </c>
      <c r="AD26">
        <f>AD25</f>
        <v>33.191743771745031</v>
      </c>
      <c r="AE26" t="str">
        <f>P15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13"/>
        <v>#VALUE!</v>
      </c>
      <c r="AD27">
        <f>AC16</f>
        <v>153.19174377174502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13"/>
        <v>#VALUE!</v>
      </c>
      <c r="AD28">
        <f>AD27</f>
        <v>153.19174377174502</v>
      </c>
      <c r="AE28" t="str">
        <f>P16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13"/>
        <v>#VALUE!</v>
      </c>
      <c r="AD29" t="e">
        <f>AC17</f>
        <v>#VALUE!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9"/>
        <v>-</v>
      </c>
      <c r="Q30" s="23" t="str">
        <f t="shared" si="14"/>
        <v>-</v>
      </c>
      <c r="R30" s="23" t="str">
        <f t="shared" si="10"/>
        <v>-</v>
      </c>
      <c r="S30" s="23" t="str">
        <f t="shared" si="11"/>
        <v>-</v>
      </c>
      <c r="T30" s="36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13"/>
        <v>#VALUE!</v>
      </c>
      <c r="AD30" t="e">
        <f>AD29</f>
        <v>#VALUE!</v>
      </c>
      <c r="AE30" t="str">
        <f>P17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P18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P19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14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6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P20</f>
        <v>-</v>
      </c>
      <c r="AF36">
        <f t="shared" ref="AF36:AF54" si="16">$C$6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P21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P22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P23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P24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P25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P26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P27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P28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P29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34.675844839246381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>IF(L73=SUM($I$4:$I$29)-($C$20/$C$6),L73,IFERROR(L73+I4,L73))</f>
        <v>11.55861494641546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>IF(L74=SUM($I$4:$I$29)-($C$20/$C$6),L74,IFERROR(L74+#REF!,L74))</f>
        <v>11.55861494641546</v>
      </c>
      <c r="M75">
        <v>0</v>
      </c>
    </row>
    <row r="76" spans="1:27" x14ac:dyDescent="0.25">
      <c r="E76">
        <v>1</v>
      </c>
      <c r="F76" s="53">
        <f t="shared" ref="F76:F101" si="17">IF(P5="-","-",P5/$C$4)</f>
        <v>0.125</v>
      </c>
      <c r="G76" s="53">
        <f t="shared" ref="G76:G101" si="18">IF(F76="-","-",F76^$AI$18)</f>
        <v>1.5625E-2</v>
      </c>
      <c r="L76" s="5">
        <f t="shared" ref="L76:L100" si="19">IF(L75=SUM($I$4:$I$29)-($C$20/$C$6),L75,IFERROR(L75+I5,L75))</f>
        <v>13.041665793873086</v>
      </c>
      <c r="M76">
        <f t="shared" ref="M76:M100" si="20">P5</f>
        <v>100</v>
      </c>
    </row>
    <row r="77" spans="1:27" x14ac:dyDescent="0.25">
      <c r="E77">
        <v>2</v>
      </c>
      <c r="F77" s="53">
        <f t="shared" si="17"/>
        <v>0.25</v>
      </c>
      <c r="G77" s="53">
        <f t="shared" si="18"/>
        <v>6.25E-2</v>
      </c>
      <c r="I77" s="4" t="s">
        <v>127</v>
      </c>
      <c r="J77" s="4">
        <f>IF(C17&gt;20,0.05,0.25*(C17/100))</f>
        <v>0.05</v>
      </c>
      <c r="L77" s="5">
        <f t="shared" si="19"/>
        <v>14.574151669579301</v>
      </c>
      <c r="M77">
        <f t="shared" si="20"/>
        <v>200</v>
      </c>
    </row>
    <row r="78" spans="1:27" x14ac:dyDescent="0.25">
      <c r="E78">
        <v>3</v>
      </c>
      <c r="F78" s="53">
        <f t="shared" si="17"/>
        <v>0.375</v>
      </c>
      <c r="G78" s="53">
        <f t="shared" si="18"/>
        <v>0.140625</v>
      </c>
      <c r="I78" s="54" t="s">
        <v>128</v>
      </c>
      <c r="J78" s="54">
        <f>C4/C7</f>
        <v>8</v>
      </c>
      <c r="L78" s="5">
        <f t="shared" si="19"/>
        <v>16.156072573534104</v>
      </c>
      <c r="M78">
        <f t="shared" si="20"/>
        <v>300</v>
      </c>
    </row>
    <row r="79" spans="1:27" x14ac:dyDescent="0.25">
      <c r="E79">
        <v>4</v>
      </c>
      <c r="F79" s="53">
        <f t="shared" si="17"/>
        <v>0.5</v>
      </c>
      <c r="G79" s="53">
        <f t="shared" si="18"/>
        <v>0.25</v>
      </c>
      <c r="I79" s="54" t="s">
        <v>129</v>
      </c>
      <c r="J79" s="54">
        <f>(1-C17/100)^2+J77</f>
        <v>0.41</v>
      </c>
      <c r="L79" s="5">
        <f t="shared" si="19"/>
        <v>17.787428505737495</v>
      </c>
      <c r="M79">
        <f t="shared" si="20"/>
        <v>400</v>
      </c>
    </row>
    <row r="80" spans="1:27" x14ac:dyDescent="0.25">
      <c r="E80">
        <v>5</v>
      </c>
      <c r="F80" s="53">
        <f t="shared" si="17"/>
        <v>0.625</v>
      </c>
      <c r="G80" s="53">
        <f t="shared" si="18"/>
        <v>0.390625</v>
      </c>
      <c r="L80" s="5">
        <f t="shared" si="19"/>
        <v>19.468219466189474</v>
      </c>
      <c r="M80">
        <f t="shared" si="20"/>
        <v>500</v>
      </c>
    </row>
    <row r="81" spans="5:13" x14ac:dyDescent="0.25">
      <c r="E81">
        <v>6</v>
      </c>
      <c r="F81" s="53">
        <f t="shared" si="17"/>
        <v>0.75</v>
      </c>
      <c r="G81" s="53">
        <f t="shared" si="18"/>
        <v>0.5625</v>
      </c>
      <c r="I81" s="34" t="s">
        <v>130</v>
      </c>
      <c r="J81" s="34">
        <f>((1-C17/100)^2+J82)</f>
        <v>0.41</v>
      </c>
      <c r="L81" s="5">
        <f t="shared" si="19"/>
        <v>21.205053956930215</v>
      </c>
      <c r="M81">
        <f t="shared" si="20"/>
        <v>600</v>
      </c>
    </row>
    <row r="82" spans="5:13" x14ac:dyDescent="0.25">
      <c r="E82">
        <v>7</v>
      </c>
      <c r="F82" s="53">
        <f t="shared" si="17"/>
        <v>0.875</v>
      </c>
      <c r="G82" s="53">
        <f t="shared" si="18"/>
        <v>0.765625</v>
      </c>
      <c r="I82" s="34" t="s">
        <v>131</v>
      </c>
      <c r="J82" s="34">
        <f>IF(C17&gt;20,0.05,0.25*(C17/100))</f>
        <v>0.05</v>
      </c>
      <c r="L82" s="5">
        <f t="shared" si="19"/>
        <v>22.992525021745031</v>
      </c>
      <c r="M82">
        <f t="shared" si="20"/>
        <v>700</v>
      </c>
    </row>
    <row r="83" spans="5:13" x14ac:dyDescent="0.25">
      <c r="E83">
        <v>8</v>
      </c>
      <c r="F83" s="53">
        <f t="shared" si="17"/>
        <v>1</v>
      </c>
      <c r="G83" s="53">
        <f t="shared" si="18"/>
        <v>1</v>
      </c>
      <c r="I83" s="34" t="s">
        <v>132</v>
      </c>
      <c r="J83" s="34" t="e">
        <f>IF(#REF!&gt;20,0.05,0.25*(#REF!/100))</f>
        <v>#REF!</v>
      </c>
      <c r="L83" s="5">
        <f t="shared" si="19"/>
        <v>24.83063266063392</v>
      </c>
      <c r="M83">
        <f t="shared" si="20"/>
        <v>800</v>
      </c>
    </row>
    <row r="84" spans="5:13" x14ac:dyDescent="0.25">
      <c r="E84">
        <v>9</v>
      </c>
      <c r="F84" s="53">
        <f t="shared" si="17"/>
        <v>1</v>
      </c>
      <c r="G84" s="53">
        <f t="shared" si="18"/>
        <v>1</v>
      </c>
      <c r="L84" s="5">
        <f t="shared" si="19"/>
        <v>28.191743771745031</v>
      </c>
      <c r="M84">
        <f t="shared" si="20"/>
        <v>800</v>
      </c>
    </row>
    <row r="85" spans="5:13" x14ac:dyDescent="0.25">
      <c r="E85">
        <v>10</v>
      </c>
      <c r="F85" s="53" t="str">
        <f t="shared" si="17"/>
        <v>-</v>
      </c>
      <c r="G85" s="53" t="str">
        <f t="shared" si="18"/>
        <v>-</v>
      </c>
      <c r="L85" s="5">
        <f t="shared" si="19"/>
        <v>33.191743771745031</v>
      </c>
      <c r="M85" t="str">
        <f t="shared" si="20"/>
        <v>-</v>
      </c>
    </row>
    <row r="86" spans="5:13" x14ac:dyDescent="0.25">
      <c r="E86">
        <v>11</v>
      </c>
      <c r="F86" s="53" t="str">
        <f t="shared" si="17"/>
        <v>-</v>
      </c>
      <c r="G86" s="53" t="str">
        <f t="shared" si="18"/>
        <v>-</v>
      </c>
      <c r="L86" s="5">
        <f t="shared" si="19"/>
        <v>153.19174377174502</v>
      </c>
      <c r="M86" t="str">
        <f t="shared" si="20"/>
        <v>-</v>
      </c>
    </row>
    <row r="87" spans="5:13" x14ac:dyDescent="0.25">
      <c r="E87">
        <v>12</v>
      </c>
      <c r="F87" s="53" t="str">
        <f t="shared" si="17"/>
        <v>-</v>
      </c>
      <c r="G87" s="53" t="str">
        <f t="shared" si="18"/>
        <v>-</v>
      </c>
      <c r="L87" s="5">
        <f t="shared" si="19"/>
        <v>153.19174377174502</v>
      </c>
      <c r="M87" t="str">
        <f t="shared" si="20"/>
        <v>-</v>
      </c>
    </row>
    <row r="88" spans="5:13" x14ac:dyDescent="0.25">
      <c r="E88">
        <v>13</v>
      </c>
      <c r="F88" s="53" t="str">
        <f t="shared" si="17"/>
        <v>-</v>
      </c>
      <c r="G88" s="53" t="str">
        <f t="shared" si="18"/>
        <v>-</v>
      </c>
      <c r="L88" s="5">
        <f t="shared" si="19"/>
        <v>153.19174377174502</v>
      </c>
      <c r="M88" t="str">
        <f t="shared" si="20"/>
        <v>-</v>
      </c>
    </row>
    <row r="89" spans="5:13" x14ac:dyDescent="0.25">
      <c r="E89">
        <v>14</v>
      </c>
      <c r="F89" s="53" t="str">
        <f t="shared" si="17"/>
        <v>-</v>
      </c>
      <c r="G89" s="53" t="str">
        <f t="shared" si="18"/>
        <v>-</v>
      </c>
      <c r="L89" s="5">
        <f t="shared" si="19"/>
        <v>153.19174377174502</v>
      </c>
      <c r="M89" t="str">
        <f t="shared" si="20"/>
        <v>-</v>
      </c>
    </row>
    <row r="90" spans="5:13" x14ac:dyDescent="0.25">
      <c r="E90">
        <v>15</v>
      </c>
      <c r="F90" s="53" t="str">
        <f t="shared" si="17"/>
        <v>-</v>
      </c>
      <c r="G90" s="53" t="str">
        <f t="shared" si="18"/>
        <v>-</v>
      </c>
      <c r="L90" s="5">
        <f t="shared" si="19"/>
        <v>153.19174377174502</v>
      </c>
      <c r="M90" t="str">
        <f t="shared" si="20"/>
        <v>-</v>
      </c>
    </row>
    <row r="91" spans="5:13" x14ac:dyDescent="0.25">
      <c r="E91">
        <v>16</v>
      </c>
      <c r="F91" s="53" t="str">
        <f t="shared" si="17"/>
        <v>-</v>
      </c>
      <c r="G91" s="53" t="str">
        <f t="shared" si="18"/>
        <v>-</v>
      </c>
      <c r="L91" s="5">
        <f t="shared" si="19"/>
        <v>153.19174377174502</v>
      </c>
      <c r="M91" t="str">
        <f t="shared" si="20"/>
        <v>-</v>
      </c>
    </row>
    <row r="92" spans="5:13" x14ac:dyDescent="0.25">
      <c r="E92">
        <v>17</v>
      </c>
      <c r="F92" s="53" t="str">
        <f t="shared" si="17"/>
        <v>-</v>
      </c>
      <c r="G92" s="53" t="str">
        <f t="shared" si="18"/>
        <v>-</v>
      </c>
      <c r="L92" s="5">
        <f t="shared" si="19"/>
        <v>153.19174377174502</v>
      </c>
      <c r="M92" t="str">
        <f t="shared" si="20"/>
        <v>-</v>
      </c>
    </row>
    <row r="93" spans="5:13" x14ac:dyDescent="0.25">
      <c r="E93">
        <v>18</v>
      </c>
      <c r="F93" s="53" t="str">
        <f t="shared" si="17"/>
        <v>-</v>
      </c>
      <c r="G93" s="53" t="str">
        <f t="shared" si="18"/>
        <v>-</v>
      </c>
      <c r="L93" s="5">
        <f t="shared" si="19"/>
        <v>153.19174377174502</v>
      </c>
      <c r="M93" t="str">
        <f t="shared" si="20"/>
        <v>-</v>
      </c>
    </row>
    <row r="94" spans="5:13" x14ac:dyDescent="0.25">
      <c r="E94">
        <v>19</v>
      </c>
      <c r="F94" s="53" t="str">
        <f t="shared" si="17"/>
        <v>-</v>
      </c>
      <c r="G94" s="53" t="str">
        <f t="shared" si="18"/>
        <v>-</v>
      </c>
      <c r="L94" s="5">
        <f t="shared" si="19"/>
        <v>153.19174377174502</v>
      </c>
      <c r="M94" t="str">
        <f t="shared" si="20"/>
        <v>-</v>
      </c>
    </row>
    <row r="95" spans="5:13" x14ac:dyDescent="0.25">
      <c r="E95">
        <v>20</v>
      </c>
      <c r="F95" s="53" t="str">
        <f t="shared" si="17"/>
        <v>-</v>
      </c>
      <c r="G95" s="53" t="str">
        <f t="shared" si="18"/>
        <v>-</v>
      </c>
      <c r="L95" s="5">
        <f t="shared" si="19"/>
        <v>153.19174377174502</v>
      </c>
      <c r="M95" t="str">
        <f t="shared" si="20"/>
        <v>-</v>
      </c>
    </row>
    <row r="96" spans="5:13" x14ac:dyDescent="0.25">
      <c r="E96">
        <v>21</v>
      </c>
      <c r="F96" s="53" t="str">
        <f t="shared" si="17"/>
        <v>-</v>
      </c>
      <c r="G96" s="53" t="str">
        <f t="shared" si="18"/>
        <v>-</v>
      </c>
      <c r="L96" s="5">
        <f t="shared" si="19"/>
        <v>153.19174377174502</v>
      </c>
      <c r="M96" t="str">
        <f t="shared" si="20"/>
        <v>-</v>
      </c>
    </row>
    <row r="97" spans="5:13" x14ac:dyDescent="0.25">
      <c r="E97">
        <v>22</v>
      </c>
      <c r="F97" s="53" t="str">
        <f t="shared" si="17"/>
        <v>-</v>
      </c>
      <c r="G97" s="53" t="str">
        <f t="shared" si="18"/>
        <v>-</v>
      </c>
      <c r="L97" s="5">
        <f t="shared" si="19"/>
        <v>153.19174377174502</v>
      </c>
      <c r="M97" t="str">
        <f t="shared" si="20"/>
        <v>-</v>
      </c>
    </row>
    <row r="98" spans="5:13" x14ac:dyDescent="0.25">
      <c r="E98">
        <v>23</v>
      </c>
      <c r="F98" s="53" t="str">
        <f t="shared" si="17"/>
        <v>-</v>
      </c>
      <c r="G98" s="53" t="str">
        <f t="shared" si="18"/>
        <v>-</v>
      </c>
      <c r="L98" s="5">
        <f t="shared" si="19"/>
        <v>153.19174377174502</v>
      </c>
      <c r="M98" t="str">
        <f t="shared" si="20"/>
        <v>-</v>
      </c>
    </row>
    <row r="99" spans="5:13" x14ac:dyDescent="0.25">
      <c r="E99">
        <v>24</v>
      </c>
      <c r="F99" s="53" t="str">
        <f t="shared" si="17"/>
        <v>-</v>
      </c>
      <c r="G99" s="53" t="str">
        <f t="shared" si="18"/>
        <v>-</v>
      </c>
      <c r="L99" s="5">
        <f t="shared" si="19"/>
        <v>153.19174377174502</v>
      </c>
      <c r="M99" t="str">
        <f t="shared" si="20"/>
        <v>-</v>
      </c>
    </row>
    <row r="100" spans="5:13" x14ac:dyDescent="0.25">
      <c r="E100">
        <v>25</v>
      </c>
      <c r="F100" s="53" t="str">
        <f t="shared" si="17"/>
        <v>-</v>
      </c>
      <c r="G100" s="53" t="str">
        <f t="shared" si="18"/>
        <v>-</v>
      </c>
      <c r="L100" s="5">
        <f t="shared" si="19"/>
        <v>153.19174377174502</v>
      </c>
      <c r="M100" t="str">
        <f t="shared" si="20"/>
        <v>-</v>
      </c>
    </row>
    <row r="101" spans="5:13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2.95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2.88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4">
      <formula1>$AJ$23:$AJ$38</formula1>
    </dataValidation>
    <dataValidation type="list" showInputMessage="1" showErrorMessage="1" sqref="C13">
      <formula1>$AI$23:$AI$40</formula1>
    </dataValidation>
    <dataValidation type="list" showInputMessage="1" showErrorMessage="1" sqref="C12">
      <formula1>$AH$23</formula1>
    </dataValidation>
    <dataValidation type="list" showInputMessage="1" showErrorMessage="1" sqref="C9:C10">
      <formula1>$AM$24:$AM$51</formula1>
    </dataValidation>
    <dataValidation type="list" showInputMessage="1" showErrorMessage="1" sqref="C18:C19">
      <formula1>$AK$23:$AK$58</formula1>
    </dataValidation>
  </dataValidation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40" zoomScaleNormal="40" workbookViewId="0">
      <selection activeCell="H17" sqref="H17"/>
    </sheetView>
  </sheetViews>
  <sheetFormatPr defaultColWidth="9.140625"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1" width="9.5703125" style="64" customWidth="1"/>
    <col min="12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1" max="23" width="9.140625" style="64" customWidth="1"/>
    <col min="24" max="24" width="25.85546875" style="64" bestFit="1" customWidth="1"/>
    <col min="25" max="25" width="12" style="64" bestFit="1" customWidth="1"/>
    <col min="26" max="194" width="9.140625" style="64" customWidth="1"/>
    <col min="195" max="16384" width="9.140625" style="64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800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7.1284837822841007</v>
      </c>
      <c r="J4" s="43">
        <f t="shared" ref="J4:J30" si="0">IF(K4="-","-",$C$6)</f>
        <v>3</v>
      </c>
      <c r="K4" s="9">
        <f>IFERROR(J73, "-")</f>
        <v>21.385451346852303</v>
      </c>
      <c r="L4" s="9">
        <f>IFERROR(K4,0)</f>
        <v>21.385451346852303</v>
      </c>
      <c r="M4" s="43" t="str">
        <f>IF(L4="-","-",$C$18)</f>
        <v>LG28</v>
      </c>
      <c r="N4" s="43"/>
      <c r="O4" s="43"/>
      <c r="P4" s="43"/>
      <c r="Q4" s="9"/>
      <c r="R4" s="9">
        <f>IF(L4="-","-",L4)</f>
        <v>21.385451346852303</v>
      </c>
      <c r="S4" s="9"/>
      <c r="T4" s="21">
        <f>IF(K4="-","-",K4)</f>
        <v>21.385451346852303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$C$6</f>
        <v>3</v>
      </c>
      <c r="AI4" t="s">
        <v>27</v>
      </c>
      <c r="AJ4" s="5">
        <f>SUM(K5:K30)-$C$20</f>
        <v>49.899386475988706</v>
      </c>
    </row>
    <row r="5" spans="1:36" ht="15.75" customHeight="1" x14ac:dyDescent="0.25">
      <c r="A5" s="6"/>
      <c r="B5" s="35" t="s">
        <v>143</v>
      </c>
      <c r="C5" s="42">
        <v>30</v>
      </c>
      <c r="D5" s="6"/>
      <c r="E5" s="12" t="str">
        <f>IF(C15=0,"",C12)</f>
        <v>FR01</v>
      </c>
      <c r="F5" s="62">
        <f>IF(E5="","",SUMIF(M4:M29,C12,L4:L29))</f>
        <v>8.75</v>
      </c>
      <c r="G5" s="6"/>
      <c r="H5" s="20" t="str">
        <f t="shared" ref="H5:H30" si="2">IF(H4="Продавка","Остановка",IF(S4=$C$3*1000,"Продавка",IF(I5="-","-","Пропант")))</f>
        <v>Пропант</v>
      </c>
      <c r="I5" s="9">
        <f t="shared" ref="I5:I30" si="3">IF(H4="Продавка",120,IFERROR(K5/J5,"-"))</f>
        <v>1.4830508474576272</v>
      </c>
      <c r="J5" s="43">
        <f t="shared" si="0"/>
        <v>3</v>
      </c>
      <c r="K5" s="9">
        <f t="shared" ref="K5:K30" si="4">IF(S4=$C$3*1000,$C$20,IFERROR(L5+Q5/(IF(N5=$C$9,$G$103,$G$104)*1000),"-"))</f>
        <v>4.4491525423728815</v>
      </c>
      <c r="L5" s="9">
        <f t="shared" ref="L5:L30" si="5">IF(S4=$C$3*1000,$C$20,IFERROR(Q5/(P5-($C$7/2)),"-"))</f>
        <v>4.375</v>
      </c>
      <c r="M5" s="43" t="str">
        <f t="shared" ref="M5:M30" si="6">IF(S4=$C$3*1000,$C$19,IF(L5="-","-",IF(O5&lt;$C$15,$C$12,IF(P5&gt;$C$16,$C$14,$C$13))))</f>
        <v>FR01</v>
      </c>
      <c r="N5" s="43" t="str">
        <f t="shared" ref="N5:N30" si="7">IF(O5="-","-",IF(O5&lt;$C$11,$C$9,$C$10))</f>
        <v>BPR2040</v>
      </c>
      <c r="O5" s="43">
        <f t="shared" ref="O5:O30" si="8">IFERROR(IF(P5="-","-",IF(P4=$C$4,$C$4,P5-$C$7)),"-")</f>
        <v>0</v>
      </c>
      <c r="P5" s="43">
        <f t="shared" ref="P5:P30" si="9">IFERROR(IF(O4=$C$4,"-",IF(P4=$C$4,$C$4,P4+($C$4-P4)/($J$77-E75))),"-")</f>
        <v>100</v>
      </c>
      <c r="Q5" s="9">
        <f>IF(S5="-","-",S5)</f>
        <v>218.75</v>
      </c>
      <c r="R5" s="9">
        <f t="shared" ref="R5:R30" si="10">IFERROR(IF(L5="-","-",R4+L5),"-")</f>
        <v>25.760451346852303</v>
      </c>
      <c r="S5" s="9">
        <f t="shared" ref="S5:S30" si="11">IFERROR(IF(S4=$Q$35*1000,$C$3*1000,G76*$Q$35*1000),"-")</f>
        <v>218.75</v>
      </c>
      <c r="T5" s="21">
        <f t="shared" ref="T5:T30" si="12">IFERROR(IF(K5="-","-",T4+K5),"-")</f>
        <v>25.834603889225185</v>
      </c>
      <c r="U5" s="6"/>
      <c r="V5" s="6"/>
      <c r="W5" s="6"/>
      <c r="X5" s="6"/>
      <c r="Y5" s="6"/>
      <c r="Z5" s="6"/>
      <c r="AA5" s="6"/>
      <c r="AC5" s="5">
        <f t="shared" ref="AC5:AC30" si="13">AC4+I4</f>
        <v>7.1284837822841007</v>
      </c>
      <c r="AD5">
        <f>AC5</f>
        <v>7.1284837822841007</v>
      </c>
      <c r="AE5">
        <f>P4</f>
        <v>0</v>
      </c>
      <c r="AF5">
        <f t="shared" si="1"/>
        <v>3</v>
      </c>
      <c r="AI5" t="s">
        <v>29</v>
      </c>
      <c r="AJ5">
        <f>AJ4/(1-$C$17/100)</f>
        <v>71.284837822841013</v>
      </c>
    </row>
    <row r="6" spans="1:36" ht="18" customHeight="1" x14ac:dyDescent="0.25">
      <c r="A6" s="6"/>
      <c r="B6" s="24" t="s">
        <v>28</v>
      </c>
      <c r="C6" s="39">
        <v>3</v>
      </c>
      <c r="D6" s="6"/>
      <c r="E6" s="12" t="str">
        <f>C13</f>
        <v>LG28</v>
      </c>
      <c r="F6" s="62">
        <f>SUMIF(M4:M29,C13,L4:L29)</f>
        <v>49.510451346852307</v>
      </c>
      <c r="G6" s="6"/>
      <c r="H6" s="20" t="str">
        <f t="shared" si="2"/>
        <v>Пропант</v>
      </c>
      <c r="I6" s="9">
        <f t="shared" si="3"/>
        <v>1.5324858757062148</v>
      </c>
      <c r="J6" s="43">
        <f t="shared" si="0"/>
        <v>3</v>
      </c>
      <c r="K6" s="9">
        <f t="shared" si="4"/>
        <v>4.5974576271186445</v>
      </c>
      <c r="L6" s="9">
        <f t="shared" si="5"/>
        <v>4.375</v>
      </c>
      <c r="M6" s="43" t="str">
        <f t="shared" si="6"/>
        <v>FR01</v>
      </c>
      <c r="N6" s="43" t="str">
        <f t="shared" si="7"/>
        <v>BPR2040</v>
      </c>
      <c r="O6" s="43">
        <f t="shared" si="8"/>
        <v>100</v>
      </c>
      <c r="P6" s="43">
        <f t="shared" si="9"/>
        <v>200</v>
      </c>
      <c r="Q6" s="9">
        <f t="shared" ref="Q6:Q30" si="14">IF(S6="-","-",S6-S5)</f>
        <v>656.25</v>
      </c>
      <c r="R6" s="9">
        <f t="shared" si="10"/>
        <v>30.135451346852303</v>
      </c>
      <c r="S6" s="9">
        <f t="shared" si="11"/>
        <v>875</v>
      </c>
      <c r="T6" s="21">
        <f t="shared" si="12"/>
        <v>30.432061516343829</v>
      </c>
      <c r="U6" s="6"/>
      <c r="V6" s="6"/>
      <c r="W6" s="6"/>
      <c r="X6" s="6"/>
      <c r="Y6" s="6"/>
      <c r="Z6" s="6"/>
      <c r="AA6" s="6"/>
      <c r="AC6" s="5">
        <f t="shared" si="13"/>
        <v>8.6115346297417279</v>
      </c>
      <c r="AD6">
        <f>AD5</f>
        <v>7.1284837822841007</v>
      </c>
      <c r="AE6">
        <f>P5</f>
        <v>100</v>
      </c>
      <c r="AF6">
        <f t="shared" si="1"/>
        <v>3</v>
      </c>
    </row>
    <row r="7" spans="1:36" ht="18" customHeight="1" x14ac:dyDescent="0.25">
      <c r="A7" s="6"/>
      <c r="B7" s="25" t="s">
        <v>30</v>
      </c>
      <c r="C7" s="39">
        <v>100</v>
      </c>
      <c r="D7" s="6"/>
      <c r="E7" s="12" t="str">
        <f>C14</f>
        <v>DX28</v>
      </c>
      <c r="F7" s="62">
        <f>SUMIF(M4:M29,C14,L4:L29)</f>
        <v>21.125</v>
      </c>
      <c r="G7" s="6"/>
      <c r="H7" s="20" t="str">
        <f t="shared" si="2"/>
        <v>Пропант</v>
      </c>
      <c r="I7" s="9">
        <f t="shared" si="3"/>
        <v>1.5819209039548021</v>
      </c>
      <c r="J7" s="43">
        <f t="shared" si="0"/>
        <v>3</v>
      </c>
      <c r="K7" s="9">
        <f t="shared" si="4"/>
        <v>4.7457627118644066</v>
      </c>
      <c r="L7" s="9">
        <f t="shared" si="5"/>
        <v>4.375</v>
      </c>
      <c r="M7" s="43" t="str">
        <f t="shared" si="6"/>
        <v>LG28</v>
      </c>
      <c r="N7" s="43" t="str">
        <f t="shared" si="7"/>
        <v>BPR2040</v>
      </c>
      <c r="O7" s="43">
        <f t="shared" si="8"/>
        <v>200</v>
      </c>
      <c r="P7" s="43">
        <f t="shared" si="9"/>
        <v>300</v>
      </c>
      <c r="Q7" s="9">
        <f t="shared" si="14"/>
        <v>1093.75</v>
      </c>
      <c r="R7" s="9">
        <f t="shared" si="10"/>
        <v>34.510451346852307</v>
      </c>
      <c r="S7" s="9">
        <f t="shared" si="11"/>
        <v>1968.75</v>
      </c>
      <c r="T7" s="21">
        <f t="shared" si="12"/>
        <v>35.177824228208237</v>
      </c>
      <c r="U7" s="6"/>
      <c r="V7" s="6"/>
      <c r="W7" s="6"/>
      <c r="X7" s="6"/>
      <c r="Y7" s="6"/>
      <c r="Z7" s="6"/>
      <c r="AA7" s="6"/>
      <c r="AC7" s="5">
        <f t="shared" si="13"/>
        <v>10.144020505447942</v>
      </c>
      <c r="AD7" s="5">
        <f>AC6</f>
        <v>8.6115346297417279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31</v>
      </c>
      <c r="C8" s="39">
        <v>0</v>
      </c>
      <c r="D8" s="6"/>
      <c r="E8" s="13" t="s">
        <v>34</v>
      </c>
      <c r="F8" s="14">
        <f>SUM(L4:L29)</f>
        <v>79.385451346852307</v>
      </c>
      <c r="G8" s="6"/>
      <c r="H8" s="20" t="str">
        <f t="shared" si="2"/>
        <v>Пропант</v>
      </c>
      <c r="I8" s="9">
        <f t="shared" si="3"/>
        <v>1.6313559322033899</v>
      </c>
      <c r="J8" s="43">
        <f t="shared" si="0"/>
        <v>3</v>
      </c>
      <c r="K8" s="9">
        <f t="shared" si="4"/>
        <v>4.8940677966101696</v>
      </c>
      <c r="L8" s="9">
        <f t="shared" si="5"/>
        <v>4.375</v>
      </c>
      <c r="M8" s="43" t="str">
        <f t="shared" si="6"/>
        <v>LG28</v>
      </c>
      <c r="N8" s="43" t="str">
        <f t="shared" si="7"/>
        <v>BPR2040</v>
      </c>
      <c r="O8" s="43">
        <f t="shared" si="8"/>
        <v>300</v>
      </c>
      <c r="P8" s="43">
        <f t="shared" si="9"/>
        <v>400</v>
      </c>
      <c r="Q8" s="9">
        <f t="shared" si="14"/>
        <v>1531.25</v>
      </c>
      <c r="R8" s="9">
        <f t="shared" si="10"/>
        <v>38.885451346852307</v>
      </c>
      <c r="S8" s="9">
        <f t="shared" si="11"/>
        <v>3500</v>
      </c>
      <c r="T8" s="21">
        <f t="shared" si="12"/>
        <v>40.071892024818411</v>
      </c>
      <c r="U8" s="6"/>
      <c r="V8" s="6"/>
      <c r="W8" s="6"/>
      <c r="X8" s="6"/>
      <c r="Y8" s="6"/>
      <c r="Z8" s="6"/>
      <c r="AA8" s="6"/>
      <c r="AC8">
        <f t="shared" si="13"/>
        <v>11.725941409402745</v>
      </c>
      <c r="AD8" s="5">
        <f>AD7</f>
        <v>8.6115346297417279</v>
      </c>
      <c r="AE8">
        <f>P6</f>
        <v>200</v>
      </c>
      <c r="AF8">
        <f t="shared" si="1"/>
        <v>3</v>
      </c>
      <c r="AI8">
        <f>C3/AJ4</f>
        <v>0.40080653115091674</v>
      </c>
    </row>
    <row r="9" spans="1:36" ht="15.75" customHeight="1" x14ac:dyDescent="0.25">
      <c r="A9" s="6"/>
      <c r="B9" s="24" t="s">
        <v>32</v>
      </c>
      <c r="C9" s="39" t="s">
        <v>75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1.6807909604519775</v>
      </c>
      <c r="J9" s="43">
        <f t="shared" si="0"/>
        <v>3</v>
      </c>
      <c r="K9" s="9">
        <f t="shared" si="4"/>
        <v>5.0423728813559325</v>
      </c>
      <c r="L9" s="9">
        <f t="shared" si="5"/>
        <v>4.375</v>
      </c>
      <c r="M9" s="43" t="str">
        <f t="shared" si="6"/>
        <v>LG28</v>
      </c>
      <c r="N9" s="43" t="str">
        <f t="shared" si="7"/>
        <v>BPR2040</v>
      </c>
      <c r="O9" s="43">
        <f t="shared" si="8"/>
        <v>400</v>
      </c>
      <c r="P9" s="43">
        <f t="shared" si="9"/>
        <v>500</v>
      </c>
      <c r="Q9" s="9">
        <f t="shared" si="14"/>
        <v>1968.75</v>
      </c>
      <c r="R9" s="9">
        <f t="shared" si="10"/>
        <v>43.260451346852307</v>
      </c>
      <c r="S9" s="9">
        <f t="shared" si="11"/>
        <v>5468.75</v>
      </c>
      <c r="T9" s="21">
        <f t="shared" si="12"/>
        <v>45.114264906174341</v>
      </c>
      <c r="U9" s="6"/>
      <c r="V9" s="6"/>
      <c r="W9" s="6"/>
      <c r="X9" s="6"/>
      <c r="Y9" s="6"/>
      <c r="Z9" s="6"/>
      <c r="AA9" s="6"/>
      <c r="AC9">
        <f t="shared" si="13"/>
        <v>13.357297341606134</v>
      </c>
      <c r="AD9">
        <f>AC7</f>
        <v>10.144020505447942</v>
      </c>
      <c r="AE9" t="e">
        <f>#REF!</f>
        <v>#REF!</v>
      </c>
      <c r="AF9">
        <f t="shared" si="1"/>
        <v>3</v>
      </c>
    </row>
    <row r="10" spans="1:36" ht="15.75" customHeight="1" x14ac:dyDescent="0.25">
      <c r="A10" s="6"/>
      <c r="B10" s="24" t="s">
        <v>35</v>
      </c>
      <c r="C10" s="39" t="s">
        <v>113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1.7368344907407407</v>
      </c>
      <c r="J10" s="43">
        <f t="shared" si="0"/>
        <v>3</v>
      </c>
      <c r="K10" s="9">
        <f t="shared" si="4"/>
        <v>5.2105034722222223</v>
      </c>
      <c r="L10" s="9">
        <f t="shared" si="5"/>
        <v>4.375</v>
      </c>
      <c r="M10" s="43" t="str">
        <f t="shared" si="6"/>
        <v>DX28</v>
      </c>
      <c r="N10" s="43" t="str">
        <f t="shared" si="7"/>
        <v>BPR1620</v>
      </c>
      <c r="O10" s="43">
        <f t="shared" si="8"/>
        <v>500</v>
      </c>
      <c r="P10" s="43">
        <f t="shared" si="9"/>
        <v>600</v>
      </c>
      <c r="Q10" s="9">
        <f t="shared" si="14"/>
        <v>2406.25</v>
      </c>
      <c r="R10" s="9">
        <f t="shared" si="10"/>
        <v>47.635451346852307</v>
      </c>
      <c r="S10" s="9">
        <f t="shared" si="11"/>
        <v>7875</v>
      </c>
      <c r="T10" s="21">
        <f t="shared" si="12"/>
        <v>50.324768378396563</v>
      </c>
      <c r="U10" s="6"/>
      <c r="V10" s="6"/>
      <c r="W10" s="6"/>
      <c r="X10" s="6"/>
      <c r="Y10" s="6"/>
      <c r="Z10" s="6"/>
      <c r="AA10" s="6"/>
      <c r="AC10">
        <f t="shared" si="13"/>
        <v>15.038088302058112</v>
      </c>
      <c r="AD10">
        <f>AD9</f>
        <v>10.144020505447942</v>
      </c>
      <c r="AE10">
        <f>P7</f>
        <v>300</v>
      </c>
      <c r="AF10">
        <f t="shared" si="1"/>
        <v>3</v>
      </c>
      <c r="AH10">
        <v>-3</v>
      </c>
      <c r="AI10">
        <v>1.3</v>
      </c>
    </row>
    <row r="11" spans="1:36" ht="18" customHeight="1" x14ac:dyDescent="0.25">
      <c r="A11" s="6"/>
      <c r="B11" s="24" t="s">
        <v>37</v>
      </c>
      <c r="C11" s="39">
        <v>500</v>
      </c>
      <c r="D11" s="6"/>
      <c r="E11" s="12" t="str">
        <f>IF(C11=0,"",C9)</f>
        <v>BPR2040</v>
      </c>
      <c r="F11" s="62">
        <f>IF(E11="","",SUMIF(N4:N29,C9,Q4:Q29)/1000)</f>
        <v>5.46875</v>
      </c>
      <c r="G11" s="6"/>
      <c r="H11" s="20" t="str">
        <f t="shared" si="2"/>
        <v>Пропант</v>
      </c>
      <c r="I11" s="9">
        <f t="shared" si="3"/>
        <v>1.7874710648148149</v>
      </c>
      <c r="J11" s="43">
        <f t="shared" si="0"/>
        <v>3</v>
      </c>
      <c r="K11" s="9">
        <f t="shared" si="4"/>
        <v>5.3624131944444446</v>
      </c>
      <c r="L11" s="9">
        <f t="shared" si="5"/>
        <v>4.375</v>
      </c>
      <c r="M11" s="43" t="str">
        <f t="shared" si="6"/>
        <v>DX28</v>
      </c>
      <c r="N11" s="43" t="str">
        <f t="shared" si="7"/>
        <v>BPR1620</v>
      </c>
      <c r="O11" s="43">
        <f t="shared" si="8"/>
        <v>600</v>
      </c>
      <c r="P11" s="43">
        <f t="shared" si="9"/>
        <v>700</v>
      </c>
      <c r="Q11" s="9">
        <f t="shared" si="14"/>
        <v>2843.75</v>
      </c>
      <c r="R11" s="9">
        <f t="shared" si="10"/>
        <v>52.010451346852307</v>
      </c>
      <c r="S11" s="9">
        <f t="shared" si="11"/>
        <v>10718.75</v>
      </c>
      <c r="T11" s="21">
        <f t="shared" si="12"/>
        <v>55.687181572841006</v>
      </c>
      <c r="U11" s="6"/>
      <c r="V11" s="6"/>
      <c r="W11" s="6"/>
      <c r="X11" s="6"/>
      <c r="Y11" s="6"/>
      <c r="Z11" s="6"/>
      <c r="AA11" s="6"/>
      <c r="AC11">
        <f t="shared" si="13"/>
        <v>16.774922792798854</v>
      </c>
      <c r="AD11">
        <f>AC8</f>
        <v>11.725941409402745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6" t="s">
        <v>39</v>
      </c>
      <c r="C12" s="55" t="s">
        <v>40</v>
      </c>
      <c r="D12" s="6"/>
      <c r="E12" s="12" t="str">
        <f>C10</f>
        <v>BPR1620</v>
      </c>
      <c r="F12" s="62">
        <f>SUMIF(N4:N29,C10,Q4:Q29)/1000</f>
        <v>14.53125</v>
      </c>
      <c r="G12" s="6"/>
      <c r="H12" s="20" t="str">
        <f t="shared" si="2"/>
        <v>Пропант</v>
      </c>
      <c r="I12" s="9">
        <f t="shared" si="3"/>
        <v>1.8381076388888891</v>
      </c>
      <c r="J12" s="43">
        <f t="shared" si="0"/>
        <v>3</v>
      </c>
      <c r="K12" s="9">
        <f t="shared" si="4"/>
        <v>5.514322916666667</v>
      </c>
      <c r="L12" s="9">
        <f t="shared" si="5"/>
        <v>4.375</v>
      </c>
      <c r="M12" s="43" t="str">
        <f t="shared" si="6"/>
        <v>DX28</v>
      </c>
      <c r="N12" s="43" t="str">
        <f t="shared" si="7"/>
        <v>BPR1620</v>
      </c>
      <c r="O12" s="43">
        <f t="shared" si="8"/>
        <v>700</v>
      </c>
      <c r="P12" s="43">
        <f t="shared" si="9"/>
        <v>800</v>
      </c>
      <c r="Q12" s="9">
        <f t="shared" si="14"/>
        <v>3281.25</v>
      </c>
      <c r="R12" s="9">
        <f t="shared" si="10"/>
        <v>56.385451346852307</v>
      </c>
      <c r="S12" s="9">
        <f t="shared" si="11"/>
        <v>14000</v>
      </c>
      <c r="T12" s="21">
        <f t="shared" si="12"/>
        <v>61.20150448950767</v>
      </c>
      <c r="U12" s="6"/>
      <c r="V12" s="6"/>
      <c r="W12" s="6"/>
      <c r="X12" s="6"/>
      <c r="Y12" s="6"/>
      <c r="Z12" s="6"/>
      <c r="AA12" s="6"/>
      <c r="AC12">
        <f t="shared" si="13"/>
        <v>18.562393857613671</v>
      </c>
      <c r="AD12">
        <f>AD11</f>
        <v>11.725941409402745</v>
      </c>
      <c r="AE12">
        <f>P8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41</v>
      </c>
      <c r="C13" s="39" t="s">
        <v>42</v>
      </c>
      <c r="D13" s="6"/>
      <c r="E13" s="13" t="s">
        <v>34</v>
      </c>
      <c r="F13" s="14">
        <f>C3</f>
        <v>20</v>
      </c>
      <c r="G13" s="6"/>
      <c r="H13" s="20" t="str">
        <f t="shared" si="2"/>
        <v>Пропант</v>
      </c>
      <c r="I13" s="9">
        <f t="shared" si="3"/>
        <v>3.3611111111111112</v>
      </c>
      <c r="J13" s="43">
        <f t="shared" si="0"/>
        <v>3</v>
      </c>
      <c r="K13" s="9">
        <f t="shared" si="4"/>
        <v>10.083333333333334</v>
      </c>
      <c r="L13" s="9">
        <f t="shared" si="5"/>
        <v>8</v>
      </c>
      <c r="M13" s="43" t="str">
        <f t="shared" si="6"/>
        <v>DX28</v>
      </c>
      <c r="N13" s="43" t="str">
        <f t="shared" si="7"/>
        <v>BPR1620</v>
      </c>
      <c r="O13" s="43">
        <f t="shared" si="8"/>
        <v>800</v>
      </c>
      <c r="P13" s="43">
        <f t="shared" si="9"/>
        <v>800</v>
      </c>
      <c r="Q13" s="9">
        <f t="shared" si="14"/>
        <v>6000</v>
      </c>
      <c r="R13" s="9">
        <f t="shared" si="10"/>
        <v>64.385451346852307</v>
      </c>
      <c r="S13" s="9">
        <f t="shared" si="11"/>
        <v>20000</v>
      </c>
      <c r="T13" s="21">
        <f t="shared" si="12"/>
        <v>71.284837822840998</v>
      </c>
      <c r="U13" s="6"/>
      <c r="V13" s="6"/>
      <c r="W13" s="6"/>
      <c r="X13" s="6"/>
      <c r="Y13" s="6"/>
      <c r="Z13" s="6"/>
      <c r="AA13" s="6"/>
      <c r="AC13">
        <f t="shared" si="13"/>
        <v>20.40050149650256</v>
      </c>
      <c r="AD13">
        <f>AC9</f>
        <v>13.357297341606134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5.75" customHeight="1" x14ac:dyDescent="0.25">
      <c r="A14" s="6"/>
      <c r="B14" s="24" t="s">
        <v>43</v>
      </c>
      <c r="C14" s="39" t="s">
        <v>44</v>
      </c>
      <c r="D14" s="6"/>
      <c r="E14" s="10"/>
      <c r="F14" s="11"/>
      <c r="G14" s="6"/>
      <c r="H14" s="20" t="str">
        <f t="shared" si="2"/>
        <v>Продавка</v>
      </c>
      <c r="I14" s="9">
        <f t="shared" si="3"/>
        <v>5</v>
      </c>
      <c r="J14" s="43">
        <f t="shared" si="0"/>
        <v>3</v>
      </c>
      <c r="K14" s="9">
        <f t="shared" si="4"/>
        <v>15</v>
      </c>
      <c r="L14" s="9">
        <f t="shared" si="5"/>
        <v>15</v>
      </c>
      <c r="M14" s="43" t="str">
        <f t="shared" si="6"/>
        <v>LG28</v>
      </c>
      <c r="N14" s="43" t="str">
        <f t="shared" si="7"/>
        <v>-</v>
      </c>
      <c r="O14" s="43" t="str">
        <f t="shared" si="8"/>
        <v>-</v>
      </c>
      <c r="P14" s="43" t="str">
        <f t="shared" si="9"/>
        <v>-</v>
      </c>
      <c r="Q14" s="9" t="str">
        <f t="shared" si="14"/>
        <v>-</v>
      </c>
      <c r="R14" s="9">
        <f t="shared" si="10"/>
        <v>79.385451346852307</v>
      </c>
      <c r="S14" s="9" t="str">
        <f t="shared" si="11"/>
        <v>-</v>
      </c>
      <c r="T14" s="21">
        <f t="shared" si="12"/>
        <v>86.284837822840998</v>
      </c>
      <c r="U14" s="6"/>
      <c r="V14" s="6"/>
      <c r="W14" s="6"/>
      <c r="X14" s="6"/>
      <c r="Y14" s="6"/>
      <c r="Z14" s="6"/>
      <c r="AA14" s="6"/>
      <c r="AC14" s="5">
        <f t="shared" si="13"/>
        <v>23.761612607613671</v>
      </c>
      <c r="AD14">
        <f>AD13</f>
        <v>13.357297341606134</v>
      </c>
      <c r="AE14">
        <f>P9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45</v>
      </c>
      <c r="C15" s="39">
        <v>200</v>
      </c>
      <c r="D15" s="6"/>
      <c r="E15" s="10"/>
      <c r="F15" s="11"/>
      <c r="G15" s="6"/>
      <c r="H15" s="20" t="str">
        <f t="shared" si="2"/>
        <v>Остановка</v>
      </c>
      <c r="I15" s="9">
        <f t="shared" si="3"/>
        <v>120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8"/>
        <v>-</v>
      </c>
      <c r="P15" s="43" t="str">
        <f t="shared" si="9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>
        <f t="shared" si="13"/>
        <v>28.761612607613671</v>
      </c>
      <c r="AD15">
        <f>AC10</f>
        <v>15.038088302058112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8" customHeight="1" x14ac:dyDescent="0.25">
      <c r="A16" s="6"/>
      <c r="B16" s="24" t="s">
        <v>46</v>
      </c>
      <c r="C16" s="39">
        <v>500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9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>
        <f t="shared" si="13"/>
        <v>148.76161260761367</v>
      </c>
      <c r="AD16">
        <f>AD15</f>
        <v>15.038088302058112</v>
      </c>
      <c r="AE16">
        <f>P10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35" t="s">
        <v>135</v>
      </c>
      <c r="C17" s="39">
        <v>30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9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13"/>
        <v>#VALUE!</v>
      </c>
      <c r="AD17">
        <f>AC11</f>
        <v>16.774922792798854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24" t="s">
        <v>142</v>
      </c>
      <c r="C18" s="39" t="s">
        <v>42</v>
      </c>
      <c r="D18" s="6"/>
      <c r="E18" s="65">
        <f>IFERROR(C3/SUM(L4:L29), "-")</f>
        <v>0.25193533148304026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13"/>
        <v>#VALUE!</v>
      </c>
      <c r="AD18">
        <f>AD17</f>
        <v>16.774922792798854</v>
      </c>
      <c r="AE18">
        <f>P11</f>
        <v>700</v>
      </c>
      <c r="AF18">
        <f t="shared" si="1"/>
        <v>3</v>
      </c>
      <c r="AH18" s="44" t="s">
        <v>52</v>
      </c>
      <c r="AI18" s="2">
        <f>IF(C8=-3,AI10,IF(C8=-2,AI11,IF(C8=-1,AI12,IF(C8=0,AI13,IF(C8=1,AI14,IF(C8=2,AI15,IF(C8=3,AI16)))))))</f>
        <v>2</v>
      </c>
    </row>
    <row r="19" spans="1:40" ht="15.75" customHeight="1" x14ac:dyDescent="0.25">
      <c r="A19" s="6"/>
      <c r="B19" s="35" t="s">
        <v>139</v>
      </c>
      <c r="C19" s="39" t="s">
        <v>42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13"/>
        <v>#VALUE!</v>
      </c>
      <c r="AD19">
        <f>AC12</f>
        <v>18.562393857613671</v>
      </c>
      <c r="AE19" t="e">
        <f>#REF!</f>
        <v>#REF!</v>
      </c>
      <c r="AF19">
        <f t="shared" si="1"/>
        <v>3</v>
      </c>
    </row>
    <row r="20" spans="1:40" ht="18.75" customHeight="1" thickBot="1" x14ac:dyDescent="0.3">
      <c r="A20" s="6"/>
      <c r="B20" s="37" t="s">
        <v>140</v>
      </c>
      <c r="C20" s="47">
        <v>15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13"/>
        <v>#VALUE!</v>
      </c>
      <c r="AD20">
        <f>AD19</f>
        <v>18.562393857613671</v>
      </c>
      <c r="AE20">
        <f>P12</f>
        <v>800</v>
      </c>
      <c r="AF20">
        <f t="shared" si="1"/>
        <v>3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13"/>
        <v>#VALUE!</v>
      </c>
      <c r="AD21">
        <f>AC13</f>
        <v>20.40050149650256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13"/>
        <v>#VALUE!</v>
      </c>
      <c r="AD22">
        <f>AD21</f>
        <v>20.40050149650256</v>
      </c>
      <c r="AE22">
        <f>P13</f>
        <v>800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13"/>
        <v>#VALUE!</v>
      </c>
      <c r="AD23">
        <f>AC14</f>
        <v>23.761612607613671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13"/>
        <v>#VALUE!</v>
      </c>
      <c r="AD24">
        <f>AD23</f>
        <v>23.761612607613671</v>
      </c>
      <c r="AE24" t="str">
        <f>P14</f>
        <v>-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13"/>
        <v>#VALUE!</v>
      </c>
      <c r="AD25">
        <f>AC15</f>
        <v>28.761612607613671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13"/>
        <v>#VALUE!</v>
      </c>
      <c r="AD26">
        <f>AD25</f>
        <v>28.761612607613671</v>
      </c>
      <c r="AE26" t="str">
        <f>P15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13"/>
        <v>#VALUE!</v>
      </c>
      <c r="AD27">
        <f>AC16</f>
        <v>148.76161260761367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13"/>
        <v>#VALUE!</v>
      </c>
      <c r="AD28">
        <f>AD27</f>
        <v>148.76161260761367</v>
      </c>
      <c r="AE28" t="str">
        <f>P16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13"/>
        <v>#VALUE!</v>
      </c>
      <c r="AD29" t="e">
        <f>AC17</f>
        <v>#VALUE!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9"/>
        <v>-</v>
      </c>
      <c r="Q30" s="23" t="str">
        <f t="shared" si="14"/>
        <v>-</v>
      </c>
      <c r="R30" s="23" t="str">
        <f t="shared" si="10"/>
        <v>-</v>
      </c>
      <c r="S30" s="23" t="str">
        <f t="shared" si="11"/>
        <v>-</v>
      </c>
      <c r="T30" s="36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13"/>
        <v>#VALUE!</v>
      </c>
      <c r="AD30" t="e">
        <f>AD29</f>
        <v>#VALUE!</v>
      </c>
      <c r="AE30" t="str">
        <f>P17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P18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8" customHeight="1" thickBot="1" x14ac:dyDescent="0.35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P19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49" t="s">
        <v>144</v>
      </c>
      <c r="Q35" s="50">
        <f>C3*(1-C5/100)</f>
        <v>14</v>
      </c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8" customHeight="1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27" t="s">
        <v>145</v>
      </c>
      <c r="Q36" s="51">
        <f>C3-Q35</f>
        <v>6</v>
      </c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P20</f>
        <v>-</v>
      </c>
      <c r="AF36">
        <f t="shared" ref="AF36:AF54" si="16">$C$6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P21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P22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P23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P24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P25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P26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P27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P28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P29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(C17/100)*AJ5</f>
        <v>21.385451346852303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 t="e">
        <f>#REF!/100*J73</f>
        <v>#REF!</v>
      </c>
      <c r="L74" s="5">
        <f>IF(L73=SUM($I$4:$I$29)-($C$20/$C$6),L73,IFERROR(L73+I4,L73))</f>
        <v>7.1284837822841007</v>
      </c>
      <c r="M74">
        <v>0</v>
      </c>
    </row>
    <row r="75" spans="1:27" x14ac:dyDescent="0.25">
      <c r="F75" s="52"/>
      <c r="G75" s="52"/>
      <c r="I75" s="54" t="s">
        <v>126</v>
      </c>
      <c r="J75" s="54" t="e">
        <f>J73-J74</f>
        <v>#REF!</v>
      </c>
      <c r="L75" s="5">
        <f>IF(L74=SUM($I$4:$I$29)-($C$20/$C$6),L74,IFERROR(L74+#REF!,L74))</f>
        <v>7.1284837822841007</v>
      </c>
      <c r="M75">
        <v>0</v>
      </c>
    </row>
    <row r="76" spans="1:27" x14ac:dyDescent="0.25">
      <c r="E76">
        <v>1</v>
      </c>
      <c r="F76" s="53">
        <f t="shared" ref="F76:F101" si="17">IF(P5="-","-",P5/$C$4)</f>
        <v>0.125</v>
      </c>
      <c r="G76" s="53">
        <f t="shared" ref="G76:G101" si="18">IF(F76="-","-",F76^$AI$18)</f>
        <v>1.5625E-2</v>
      </c>
      <c r="L76" s="5">
        <f t="shared" ref="L76:L100" si="19">IF(L75=SUM($I$4:$I$29)-($C$20/$C$6),L75,IFERROR(L75+I5,L75))</f>
        <v>8.6115346297417279</v>
      </c>
      <c r="M76">
        <f t="shared" ref="M76:M100" si="20">P5</f>
        <v>100</v>
      </c>
    </row>
    <row r="77" spans="1:27" x14ac:dyDescent="0.25">
      <c r="E77">
        <v>2</v>
      </c>
      <c r="F77" s="53">
        <f t="shared" si="17"/>
        <v>0.25</v>
      </c>
      <c r="G77" s="53">
        <f t="shared" si="18"/>
        <v>6.25E-2</v>
      </c>
      <c r="I77" s="54" t="s">
        <v>128</v>
      </c>
      <c r="J77" s="54">
        <f>C4/C7</f>
        <v>8</v>
      </c>
      <c r="L77" s="5">
        <f t="shared" si="19"/>
        <v>10.144020505447942</v>
      </c>
      <c r="M77">
        <f t="shared" si="20"/>
        <v>200</v>
      </c>
    </row>
    <row r="78" spans="1:27" x14ac:dyDescent="0.25">
      <c r="E78">
        <v>3</v>
      </c>
      <c r="F78" s="53">
        <f t="shared" si="17"/>
        <v>0.375</v>
      </c>
      <c r="G78" s="53">
        <f t="shared" si="18"/>
        <v>0.140625</v>
      </c>
      <c r="L78" s="5">
        <f t="shared" si="19"/>
        <v>11.725941409402745</v>
      </c>
      <c r="M78">
        <f t="shared" si="20"/>
        <v>300</v>
      </c>
    </row>
    <row r="79" spans="1:27" x14ac:dyDescent="0.25">
      <c r="E79">
        <v>4</v>
      </c>
      <c r="F79" s="53">
        <f t="shared" si="17"/>
        <v>0.5</v>
      </c>
      <c r="G79" s="53">
        <f t="shared" si="18"/>
        <v>0.25</v>
      </c>
      <c r="L79" s="5">
        <f t="shared" si="19"/>
        <v>13.357297341606134</v>
      </c>
      <c r="M79">
        <f t="shared" si="20"/>
        <v>400</v>
      </c>
    </row>
    <row r="80" spans="1:27" x14ac:dyDescent="0.25">
      <c r="E80">
        <v>5</v>
      </c>
      <c r="F80" s="53">
        <f t="shared" si="17"/>
        <v>0.625</v>
      </c>
      <c r="G80" s="53">
        <f t="shared" si="18"/>
        <v>0.390625</v>
      </c>
      <c r="L80" s="5">
        <f t="shared" si="19"/>
        <v>15.038088302058112</v>
      </c>
      <c r="M80">
        <f t="shared" si="20"/>
        <v>500</v>
      </c>
    </row>
    <row r="81" spans="5:13" x14ac:dyDescent="0.25">
      <c r="E81">
        <v>6</v>
      </c>
      <c r="F81" s="53">
        <f t="shared" si="17"/>
        <v>0.75</v>
      </c>
      <c r="G81" s="53">
        <f t="shared" si="18"/>
        <v>0.5625</v>
      </c>
      <c r="L81" s="5">
        <f t="shared" si="19"/>
        <v>16.774922792798854</v>
      </c>
      <c r="M81">
        <f t="shared" si="20"/>
        <v>600</v>
      </c>
    </row>
    <row r="82" spans="5:13" x14ac:dyDescent="0.25">
      <c r="E82">
        <v>7</v>
      </c>
      <c r="F82" s="53">
        <f t="shared" si="17"/>
        <v>0.875</v>
      </c>
      <c r="G82" s="53">
        <f t="shared" si="18"/>
        <v>0.765625</v>
      </c>
      <c r="L82" s="5">
        <f t="shared" si="19"/>
        <v>18.562393857613671</v>
      </c>
      <c r="M82">
        <f t="shared" si="20"/>
        <v>700</v>
      </c>
    </row>
    <row r="83" spans="5:13" x14ac:dyDescent="0.25">
      <c r="E83">
        <v>8</v>
      </c>
      <c r="F83" s="53">
        <f t="shared" si="17"/>
        <v>1</v>
      </c>
      <c r="G83" s="53">
        <f t="shared" si="18"/>
        <v>1</v>
      </c>
      <c r="L83" s="5">
        <f t="shared" si="19"/>
        <v>20.40050149650256</v>
      </c>
      <c r="M83">
        <f t="shared" si="20"/>
        <v>800</v>
      </c>
    </row>
    <row r="84" spans="5:13" x14ac:dyDescent="0.25">
      <c r="E84">
        <v>9</v>
      </c>
      <c r="F84" s="53">
        <f t="shared" si="17"/>
        <v>1</v>
      </c>
      <c r="G84" s="53">
        <f t="shared" si="18"/>
        <v>1</v>
      </c>
      <c r="L84" s="5">
        <f t="shared" si="19"/>
        <v>23.761612607613671</v>
      </c>
      <c r="M84">
        <f t="shared" si="20"/>
        <v>800</v>
      </c>
    </row>
    <row r="85" spans="5:13" x14ac:dyDescent="0.25">
      <c r="E85">
        <v>10</v>
      </c>
      <c r="F85" s="53" t="str">
        <f t="shared" si="17"/>
        <v>-</v>
      </c>
      <c r="G85" s="53" t="str">
        <f t="shared" si="18"/>
        <v>-</v>
      </c>
      <c r="L85" s="5">
        <f t="shared" si="19"/>
        <v>28.761612607613671</v>
      </c>
      <c r="M85" t="str">
        <f t="shared" si="20"/>
        <v>-</v>
      </c>
    </row>
    <row r="86" spans="5:13" x14ac:dyDescent="0.25">
      <c r="E86">
        <v>11</v>
      </c>
      <c r="F86" s="53" t="str">
        <f t="shared" si="17"/>
        <v>-</v>
      </c>
      <c r="G86" s="53" t="str">
        <f t="shared" si="18"/>
        <v>-</v>
      </c>
      <c r="L86" s="5">
        <f t="shared" si="19"/>
        <v>148.76161260761367</v>
      </c>
      <c r="M86" t="str">
        <f t="shared" si="20"/>
        <v>-</v>
      </c>
    </row>
    <row r="87" spans="5:13" x14ac:dyDescent="0.25">
      <c r="E87">
        <v>12</v>
      </c>
      <c r="F87" s="53" t="str">
        <f t="shared" si="17"/>
        <v>-</v>
      </c>
      <c r="G87" s="53" t="str">
        <f t="shared" si="18"/>
        <v>-</v>
      </c>
      <c r="L87" s="5">
        <f t="shared" si="19"/>
        <v>148.76161260761367</v>
      </c>
      <c r="M87" t="str">
        <f t="shared" si="20"/>
        <v>-</v>
      </c>
    </row>
    <row r="88" spans="5:13" x14ac:dyDescent="0.25">
      <c r="E88">
        <v>13</v>
      </c>
      <c r="F88" s="53" t="str">
        <f t="shared" si="17"/>
        <v>-</v>
      </c>
      <c r="G88" s="53" t="str">
        <f t="shared" si="18"/>
        <v>-</v>
      </c>
      <c r="L88" s="5">
        <f t="shared" si="19"/>
        <v>148.76161260761367</v>
      </c>
      <c r="M88" t="str">
        <f t="shared" si="20"/>
        <v>-</v>
      </c>
    </row>
    <row r="89" spans="5:13" x14ac:dyDescent="0.25">
      <c r="E89">
        <v>14</v>
      </c>
      <c r="F89" s="53" t="str">
        <f t="shared" si="17"/>
        <v>-</v>
      </c>
      <c r="G89" s="53" t="str">
        <f t="shared" si="18"/>
        <v>-</v>
      </c>
      <c r="L89" s="5">
        <f t="shared" si="19"/>
        <v>148.76161260761367</v>
      </c>
      <c r="M89" t="str">
        <f t="shared" si="20"/>
        <v>-</v>
      </c>
    </row>
    <row r="90" spans="5:13" x14ac:dyDescent="0.25">
      <c r="E90">
        <v>15</v>
      </c>
      <c r="F90" s="53" t="str">
        <f t="shared" si="17"/>
        <v>-</v>
      </c>
      <c r="G90" s="53" t="str">
        <f t="shared" si="18"/>
        <v>-</v>
      </c>
      <c r="L90" s="5">
        <f t="shared" si="19"/>
        <v>148.76161260761367</v>
      </c>
      <c r="M90" t="str">
        <f t="shared" si="20"/>
        <v>-</v>
      </c>
    </row>
    <row r="91" spans="5:13" x14ac:dyDescent="0.25">
      <c r="E91">
        <v>16</v>
      </c>
      <c r="F91" s="53" t="str">
        <f t="shared" si="17"/>
        <v>-</v>
      </c>
      <c r="G91" s="53" t="str">
        <f t="shared" si="18"/>
        <v>-</v>
      </c>
      <c r="L91" s="5">
        <f t="shared" si="19"/>
        <v>148.76161260761367</v>
      </c>
      <c r="M91" t="str">
        <f t="shared" si="20"/>
        <v>-</v>
      </c>
    </row>
    <row r="92" spans="5:13" x14ac:dyDescent="0.25">
      <c r="E92">
        <v>17</v>
      </c>
      <c r="F92" s="53" t="str">
        <f t="shared" si="17"/>
        <v>-</v>
      </c>
      <c r="G92" s="53" t="str">
        <f t="shared" si="18"/>
        <v>-</v>
      </c>
      <c r="L92" s="5">
        <f t="shared" si="19"/>
        <v>148.76161260761367</v>
      </c>
      <c r="M92" t="str">
        <f t="shared" si="20"/>
        <v>-</v>
      </c>
    </row>
    <row r="93" spans="5:13" x14ac:dyDescent="0.25">
      <c r="E93">
        <v>18</v>
      </c>
      <c r="F93" s="53" t="str">
        <f t="shared" si="17"/>
        <v>-</v>
      </c>
      <c r="G93" s="53" t="str">
        <f t="shared" si="18"/>
        <v>-</v>
      </c>
      <c r="L93" s="5">
        <f t="shared" si="19"/>
        <v>148.76161260761367</v>
      </c>
      <c r="M93" t="str">
        <f t="shared" si="20"/>
        <v>-</v>
      </c>
    </row>
    <row r="94" spans="5:13" x14ac:dyDescent="0.25">
      <c r="E94">
        <v>19</v>
      </c>
      <c r="F94" s="53" t="str">
        <f t="shared" si="17"/>
        <v>-</v>
      </c>
      <c r="G94" s="53" t="str">
        <f t="shared" si="18"/>
        <v>-</v>
      </c>
      <c r="L94" s="5">
        <f t="shared" si="19"/>
        <v>148.76161260761367</v>
      </c>
      <c r="M94" t="str">
        <f t="shared" si="20"/>
        <v>-</v>
      </c>
    </row>
    <row r="95" spans="5:13" x14ac:dyDescent="0.25">
      <c r="E95">
        <v>20</v>
      </c>
      <c r="F95" s="53" t="str">
        <f t="shared" si="17"/>
        <v>-</v>
      </c>
      <c r="G95" s="53" t="str">
        <f t="shared" si="18"/>
        <v>-</v>
      </c>
      <c r="L95" s="5">
        <f t="shared" si="19"/>
        <v>148.76161260761367</v>
      </c>
      <c r="M95" t="str">
        <f t="shared" si="20"/>
        <v>-</v>
      </c>
    </row>
    <row r="96" spans="5:13" x14ac:dyDescent="0.25">
      <c r="E96">
        <v>21</v>
      </c>
      <c r="F96" s="53" t="str">
        <f t="shared" si="17"/>
        <v>-</v>
      </c>
      <c r="G96" s="53" t="str">
        <f t="shared" si="18"/>
        <v>-</v>
      </c>
      <c r="L96" s="5">
        <f t="shared" si="19"/>
        <v>148.76161260761367</v>
      </c>
      <c r="M96" t="str">
        <f t="shared" si="20"/>
        <v>-</v>
      </c>
    </row>
    <row r="97" spans="5:13" x14ac:dyDescent="0.25">
      <c r="E97">
        <v>22</v>
      </c>
      <c r="F97" s="53" t="str">
        <f t="shared" si="17"/>
        <v>-</v>
      </c>
      <c r="G97" s="53" t="str">
        <f t="shared" si="18"/>
        <v>-</v>
      </c>
      <c r="L97" s="5">
        <f t="shared" si="19"/>
        <v>148.76161260761367</v>
      </c>
      <c r="M97" t="str">
        <f t="shared" si="20"/>
        <v>-</v>
      </c>
    </row>
    <row r="98" spans="5:13" x14ac:dyDescent="0.25">
      <c r="E98">
        <v>23</v>
      </c>
      <c r="F98" s="53" t="str">
        <f t="shared" si="17"/>
        <v>-</v>
      </c>
      <c r="G98" s="53" t="str">
        <f t="shared" si="18"/>
        <v>-</v>
      </c>
      <c r="L98" s="5">
        <f t="shared" si="19"/>
        <v>148.76161260761367</v>
      </c>
      <c r="M98" t="str">
        <f t="shared" si="20"/>
        <v>-</v>
      </c>
    </row>
    <row r="99" spans="5:13" x14ac:dyDescent="0.25">
      <c r="E99">
        <v>24</v>
      </c>
      <c r="F99" s="53" t="str">
        <f t="shared" si="17"/>
        <v>-</v>
      </c>
      <c r="G99" s="53" t="str">
        <f t="shared" si="18"/>
        <v>-</v>
      </c>
      <c r="L99" s="5">
        <f t="shared" si="19"/>
        <v>148.76161260761367</v>
      </c>
      <c r="M99" t="str">
        <f t="shared" si="20"/>
        <v>-</v>
      </c>
    </row>
    <row r="100" spans="5:13" x14ac:dyDescent="0.25">
      <c r="E100">
        <v>25</v>
      </c>
      <c r="F100" s="53" t="str">
        <f t="shared" si="17"/>
        <v>-</v>
      </c>
      <c r="G100" s="53" t="str">
        <f t="shared" si="18"/>
        <v>-</v>
      </c>
      <c r="L100" s="5">
        <f t="shared" si="19"/>
        <v>148.76161260761367</v>
      </c>
      <c r="M100" t="str">
        <f t="shared" si="20"/>
        <v>-</v>
      </c>
    </row>
    <row r="101" spans="5:13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13" x14ac:dyDescent="0.25">
      <c r="F103" s="7" t="s">
        <v>133</v>
      </c>
      <c r="G103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2.95</v>
      </c>
    </row>
    <row r="104" spans="5:13" x14ac:dyDescent="0.25">
      <c r="F104" s="7" t="s">
        <v>134</v>
      </c>
      <c r="G104" s="7">
        <f>IF(C10=AM24,AN24,IF(C10=AM25,AN25,IF(C10=AM26,AN26,IF(C10=AM27,AN27,IF(C10=AM28,AN28,IF(C10=AM29,AN29,IF(C10=AM30,AN30,IF(C10=AM31,AN31,IF(C10=AM32,AN32,IF(C10=AM33,AN33,IF(C10=AM34,AN34,IF(C10=AM35,AN35,IF(C10=AM36,AN36,IF(C10=AM37,AN37,IF(C10=AM38,AN38,IF(C10=AM39,AN39,IF(C10=AM40,AN40,IF(C10=AM41,AN41,IF(C10=AM42,AN42,IF(C10=AM43,AN43,IF(C10=AM44,AN44,IF(C10=AM45,AN45,IF(C10=AM46,AN46,IF(C10=AM47,AN47,IF(C10=AM48,AN48,IF(C10=AM49,AN49,IF(C10=AM50,AN50,IF(C10=AM51,AN51,"?"))))))))))))))))))))))))))))</f>
        <v>2.88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4">
    <dataValidation type="list" showInputMessage="1" showErrorMessage="1" sqref="C9:C10">
      <formula1>$AM$24:$AM$51</formula1>
    </dataValidation>
    <dataValidation type="list" showInputMessage="1" showErrorMessage="1" sqref="C12">
      <formula1>$AH$23</formula1>
    </dataValidation>
    <dataValidation type="list" showInputMessage="1" showErrorMessage="1" sqref="C13 C18:C19">
      <formula1>$AI$23:$AI$40</formula1>
    </dataValidation>
    <dataValidation type="list" showInputMessage="1" showErrorMessage="1" sqref="C14">
      <formula1>$AJ$23:$AJ$38</formula1>
    </dataValidation>
  </dataValidation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>
      <selection activeCell="C11" sqref="C11"/>
    </sheetView>
  </sheetViews>
  <sheetFormatPr defaultRowHeight="15" x14ac:dyDescent="0.25"/>
  <cols>
    <col min="1" max="1" width="59.28515625" style="64" bestFit="1" customWidth="1"/>
  </cols>
  <sheetData>
    <row r="1" spans="1:1" x14ac:dyDescent="0.25">
      <c r="A1" s="60" t="s">
        <v>147</v>
      </c>
    </row>
    <row r="2" spans="1:1" x14ac:dyDescent="0.25">
      <c r="A2" s="60" t="s">
        <v>148</v>
      </c>
    </row>
    <row r="3" spans="1:1" x14ac:dyDescent="0.25">
      <c r="A3" s="60" t="s">
        <v>149</v>
      </c>
    </row>
    <row r="4" spans="1:1" x14ac:dyDescent="0.25">
      <c r="A4" s="60" t="s">
        <v>150</v>
      </c>
    </row>
    <row r="5" spans="1:1" x14ac:dyDescent="0.25">
      <c r="A5" s="61" t="s">
        <v>151</v>
      </c>
    </row>
    <row r="6" spans="1:1" x14ac:dyDescent="0.25">
      <c r="A6" s="61" t="s">
        <v>152</v>
      </c>
    </row>
    <row r="7" spans="1:1" x14ac:dyDescent="0.25">
      <c r="A7" s="61" t="s">
        <v>153</v>
      </c>
    </row>
    <row r="8" spans="1:1" x14ac:dyDescent="0.25">
      <c r="A8" s="61" t="s">
        <v>154</v>
      </c>
    </row>
    <row r="9" spans="1:1" x14ac:dyDescent="0.25">
      <c r="A9" s="60" t="s">
        <v>155</v>
      </c>
    </row>
    <row r="10" spans="1:1" x14ac:dyDescent="0.25">
      <c r="A10" s="60" t="s">
        <v>156</v>
      </c>
    </row>
    <row r="11" spans="1:1" x14ac:dyDescent="0.25">
      <c r="A11" s="60" t="s">
        <v>157</v>
      </c>
    </row>
    <row r="12" spans="1:1" x14ac:dyDescent="0.25">
      <c r="A12" s="60" t="s">
        <v>158</v>
      </c>
    </row>
    <row r="13" spans="1:1" x14ac:dyDescent="0.25">
      <c r="A13" s="61" t="s">
        <v>159</v>
      </c>
    </row>
    <row r="14" spans="1:1" x14ac:dyDescent="0.25">
      <c r="A14" s="61" t="s">
        <v>160</v>
      </c>
    </row>
    <row r="15" spans="1:1" x14ac:dyDescent="0.25">
      <c r="A15" s="61" t="s">
        <v>161</v>
      </c>
    </row>
    <row r="16" spans="1:1" x14ac:dyDescent="0.25">
      <c r="A16" s="61" t="s">
        <v>162</v>
      </c>
    </row>
    <row r="17" spans="1:1" x14ac:dyDescent="0.25">
      <c r="A17" s="60" t="s">
        <v>163</v>
      </c>
    </row>
    <row r="18" spans="1:1" x14ac:dyDescent="0.25">
      <c r="A18" s="60" t="s">
        <v>164</v>
      </c>
    </row>
    <row r="19" spans="1:1" x14ac:dyDescent="0.25">
      <c r="A19" s="60" t="s">
        <v>165</v>
      </c>
    </row>
    <row r="20" spans="1:1" x14ac:dyDescent="0.25">
      <c r="A20" s="60" t="s">
        <v>166</v>
      </c>
    </row>
    <row r="21" spans="1:1" x14ac:dyDescent="0.25">
      <c r="A21" s="61" t="s">
        <v>167</v>
      </c>
    </row>
    <row r="22" spans="1:1" x14ac:dyDescent="0.25">
      <c r="A22" s="61" t="s">
        <v>168</v>
      </c>
    </row>
    <row r="23" spans="1:1" x14ac:dyDescent="0.25">
      <c r="A23" s="61" t="s">
        <v>169</v>
      </c>
    </row>
    <row r="24" spans="1:1" x14ac:dyDescent="0.25">
      <c r="A24" s="61" t="s">
        <v>170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AJ4" sqref="AJ4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500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C23</f>
        <v>15</v>
      </c>
      <c r="M4" s="41" t="str">
        <f>C22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O5</f>
        <v>0</v>
      </c>
      <c r="AF4">
        <f t="shared" ref="AF4:AF35" si="0">$C$5</f>
        <v>4</v>
      </c>
      <c r="AI4" t="s">
        <v>27</v>
      </c>
      <c r="AJ4" s="5">
        <f>SUM(K7:K31)</f>
        <v>87.222222222222229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>FR01</v>
      </c>
      <c r="F5" s="62">
        <f>IF(E5="","",SUMIF(M5:M31,C11,L5:L31))</f>
        <v>16.000000000000004</v>
      </c>
      <c r="G5" s="6"/>
      <c r="H5" s="20" t="str">
        <f>IF(I5="-","-","Буфер")</f>
        <v>Буфер</v>
      </c>
      <c r="I5" s="9">
        <f t="shared" ref="I5:I31" si="1">IFERROR(K5/J5,"-")</f>
        <v>0</v>
      </c>
      <c r="J5" s="43">
        <f t="shared" ref="J5:J31" si="2">IF(K5="-","-",$C$5)</f>
        <v>4</v>
      </c>
      <c r="K5" s="9">
        <f>IFERROR(J74, "-")</f>
        <v>0</v>
      </c>
      <c r="L5" s="9">
        <f>IFERROR(K5,0)</f>
        <v>0</v>
      </c>
      <c r="M5" s="43" t="str">
        <f>IF(L5="-","-",$C$18)</f>
        <v>LG24</v>
      </c>
      <c r="N5" s="43"/>
      <c r="O5" s="43"/>
      <c r="P5" s="43"/>
      <c r="Q5" s="9"/>
      <c r="R5" s="9">
        <f>IF(L5="-","-",L5)</f>
        <v>0</v>
      </c>
      <c r="S5" s="9"/>
      <c r="T5" s="21">
        <f>IF(K5="-","-",K5)</f>
        <v>0</v>
      </c>
      <c r="U5" s="6"/>
      <c r="V5" s="6"/>
      <c r="W5" s="6"/>
      <c r="X5" s="6"/>
      <c r="Y5" s="6"/>
      <c r="Z5" s="6"/>
      <c r="AA5" s="6"/>
      <c r="AC5">
        <f>AC4+I5+I6</f>
        <v>7.3657562244518751</v>
      </c>
      <c r="AD5">
        <f>AC5</f>
        <v>7.3657562244518751</v>
      </c>
      <c r="AE5">
        <f>P5</f>
        <v>0</v>
      </c>
      <c r="AF5">
        <f t="shared" si="0"/>
        <v>4</v>
      </c>
      <c r="AI5" t="s">
        <v>29</v>
      </c>
      <c r="AJ5">
        <f>AJ4/(1-J81)</f>
        <v>116.68524712002973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LG32</v>
      </c>
      <c r="F6" s="62">
        <f>SUMIF(M5:M31,C12,L5:L31)</f>
        <v>45.4630248978075</v>
      </c>
      <c r="G6" s="6"/>
      <c r="H6" s="20" t="str">
        <f>IF(I6="-","-","Буфер")</f>
        <v>Буфер</v>
      </c>
      <c r="I6" s="9">
        <f t="shared" si="1"/>
        <v>7.3657562244518751</v>
      </c>
      <c r="J6" s="43">
        <f t="shared" si="2"/>
        <v>4</v>
      </c>
      <c r="K6" s="9">
        <f>IFERROR(J75, "-")</f>
        <v>29.4630248978075</v>
      </c>
      <c r="L6" s="9">
        <f>IFERROR(K6,0)</f>
        <v>29.4630248978075</v>
      </c>
      <c r="M6" s="43" t="str">
        <f>IF(L6="-","-",$C$19)</f>
        <v>LG32</v>
      </c>
      <c r="N6" s="43"/>
      <c r="O6" s="43"/>
      <c r="P6" s="43"/>
      <c r="Q6" s="9"/>
      <c r="R6" s="9">
        <f>IF(L6="-","-",R5+L6)</f>
        <v>29.4630248978075</v>
      </c>
      <c r="S6" s="9"/>
      <c r="T6" s="21">
        <f>IF(K6="-","-",K6+T5)</f>
        <v>29.4630248978075</v>
      </c>
      <c r="U6" s="6"/>
      <c r="V6" s="6"/>
      <c r="W6" s="6"/>
      <c r="X6" s="6"/>
      <c r="Y6" s="6"/>
      <c r="Z6" s="6"/>
      <c r="AA6" s="6"/>
      <c r="AC6" s="5">
        <f t="shared" ref="AC6:AC30" si="3">AC5+I7</f>
        <v>11.428256224451875</v>
      </c>
      <c r="AD6">
        <f>AD5</f>
        <v>7.3657562244518751</v>
      </c>
      <c r="AE6">
        <f>P7</f>
        <v>100</v>
      </c>
      <c r="AF6">
        <f t="shared" si="0"/>
        <v>4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SUMIF(M5:M31,C13,L5:L31)</f>
        <v>48</v>
      </c>
      <c r="G7" s="6"/>
      <c r="H7" s="20" t="str">
        <f t="shared" ref="H7:H31" si="4">IF(I7="-","-","Пропант")</f>
        <v>Пропант</v>
      </c>
      <c r="I7" s="9">
        <f t="shared" si="1"/>
        <v>4.0625000000000009</v>
      </c>
      <c r="J7" s="43">
        <f t="shared" si="2"/>
        <v>4</v>
      </c>
      <c r="K7" s="9">
        <f t="shared" ref="K7:K31" si="5">IFERROR(L7+Q7/(IF(N7=$C$8,$G$103,$G$104)*1000),"-")</f>
        <v>16.250000000000004</v>
      </c>
      <c r="L7" s="9">
        <f t="shared" ref="L7:L31" si="6">IFERROR(Q7/(P7-($C$6/2)),"-")</f>
        <v>16.000000000000004</v>
      </c>
      <c r="M7" s="43" t="str">
        <f t="shared" ref="M7:M31" si="7">IF(L7="-","-",IF(O7&lt;$C$14,$C$11,IF(P7&gt;$C$15,$C$13,$C$12)))</f>
        <v>FR01</v>
      </c>
      <c r="N7" s="43" t="str">
        <f t="shared" ref="N7:N31" si="8">IF(O7="-","-",IF(O7&lt;$C$10,$C$8,$C$9))</f>
        <v>FP_20/40</v>
      </c>
      <c r="O7" s="43">
        <f t="shared" ref="O7:O31" si="9">IFERROR(P7-$C$6,"-")</f>
        <v>0</v>
      </c>
      <c r="P7" s="43">
        <f>IFERROR(O6+($C$4-O6)/($J$78-D5),"-")</f>
        <v>100</v>
      </c>
      <c r="Q7" s="9">
        <f>IF(S7="-","-",S7)</f>
        <v>800.00000000000011</v>
      </c>
      <c r="R7" s="9">
        <f t="shared" ref="R7:R31" si="10">IFERROR(IF(L7="-","-",R6+L7),"-")</f>
        <v>45.4630248978075</v>
      </c>
      <c r="S7" s="9">
        <f t="shared" ref="S7:S31" si="11">IF(G76="-","-",G76*$C$3*1000)</f>
        <v>800.00000000000011</v>
      </c>
      <c r="T7" s="21">
        <f t="shared" ref="T7:T31" si="12">IFERROR(IF(K7="-","-",T6+K7),"-")</f>
        <v>45.7130248978075</v>
      </c>
      <c r="U7" s="6"/>
      <c r="V7" s="6"/>
      <c r="W7" s="6"/>
      <c r="X7" s="6"/>
      <c r="Y7" s="6"/>
      <c r="Z7" s="6"/>
      <c r="AA7" s="6"/>
      <c r="AC7" s="5">
        <f t="shared" si="3"/>
        <v>15.615756224451875</v>
      </c>
      <c r="AD7" s="5">
        <f>AC6</f>
        <v>11.428256224451875</v>
      </c>
      <c r="AE7" t="e">
        <f>#REF!</f>
        <v>#REF!</v>
      </c>
      <c r="AF7">
        <f t="shared" si="0"/>
        <v>4</v>
      </c>
    </row>
    <row r="8" spans="1:36" ht="15.75" customHeight="1" x14ac:dyDescent="0.25">
      <c r="A8" s="6"/>
      <c r="B8" s="24" t="s">
        <v>32</v>
      </c>
      <c r="C8" s="39" t="s">
        <v>90</v>
      </c>
      <c r="D8" s="6"/>
      <c r="E8" s="13" t="s">
        <v>34</v>
      </c>
      <c r="F8" s="14">
        <f>SUM(L5:L31)</f>
        <v>109.46302489780751</v>
      </c>
      <c r="G8" s="6"/>
      <c r="H8" s="20" t="str">
        <f t="shared" si="4"/>
        <v>Пропант</v>
      </c>
      <c r="I8" s="9">
        <f t="shared" si="1"/>
        <v>4.1875000000000009</v>
      </c>
      <c r="J8" s="43">
        <f t="shared" si="2"/>
        <v>4</v>
      </c>
      <c r="K8" s="9">
        <f t="shared" si="5"/>
        <v>16.750000000000004</v>
      </c>
      <c r="L8" s="9">
        <f t="shared" si="6"/>
        <v>16.000000000000004</v>
      </c>
      <c r="M8" s="43" t="str">
        <f t="shared" si="7"/>
        <v>LG32</v>
      </c>
      <c r="N8" s="43" t="str">
        <f t="shared" si="8"/>
        <v>FP_20/40</v>
      </c>
      <c r="O8" s="43">
        <f t="shared" si="9"/>
        <v>100</v>
      </c>
      <c r="P8" s="43">
        <f t="shared" ref="P8:P31" si="13">IFERROR(P7+($C$4-P7)/($J$78-E76),"-")</f>
        <v>200</v>
      </c>
      <c r="Q8" s="9">
        <f t="shared" ref="Q8:Q31" si="14">IF(S8="-","-",S8-S7)</f>
        <v>2400.0000000000005</v>
      </c>
      <c r="R8" s="9">
        <f t="shared" si="10"/>
        <v>61.4630248978075</v>
      </c>
      <c r="S8" s="9">
        <f t="shared" si="11"/>
        <v>3200.0000000000005</v>
      </c>
      <c r="T8" s="21">
        <f t="shared" si="12"/>
        <v>62.4630248978075</v>
      </c>
      <c r="U8" s="6"/>
      <c r="V8" s="6"/>
      <c r="W8" s="6"/>
      <c r="X8" s="6"/>
      <c r="Y8" s="6"/>
      <c r="Z8" s="6"/>
      <c r="AA8" s="6"/>
      <c r="AC8">
        <f t="shared" si="3"/>
        <v>19.986126594822245</v>
      </c>
      <c r="AD8" s="5">
        <f>AD7</f>
        <v>11.428256224451875</v>
      </c>
      <c r="AE8">
        <f>P8</f>
        <v>200</v>
      </c>
      <c r="AF8">
        <f t="shared" si="0"/>
        <v>4</v>
      </c>
      <c r="AI8">
        <f>C3/AJ4</f>
        <v>0.22929936305732482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4.3703703703703685</v>
      </c>
      <c r="J9" s="43">
        <f t="shared" si="2"/>
        <v>4</v>
      </c>
      <c r="K9" s="9">
        <f t="shared" si="5"/>
        <v>17.481481481481474</v>
      </c>
      <c r="L9" s="9">
        <f t="shared" si="6"/>
        <v>15.999999999999995</v>
      </c>
      <c r="M9" s="43" t="str">
        <f t="shared" si="7"/>
        <v>DX28</v>
      </c>
      <c r="N9" s="43" t="str">
        <f t="shared" si="8"/>
        <v>16/20 Новатэк</v>
      </c>
      <c r="O9" s="43">
        <f t="shared" si="9"/>
        <v>200</v>
      </c>
      <c r="P9" s="43">
        <f t="shared" si="13"/>
        <v>300</v>
      </c>
      <c r="Q9" s="9">
        <f t="shared" si="14"/>
        <v>3999.9999999999986</v>
      </c>
      <c r="R9" s="9">
        <f t="shared" si="10"/>
        <v>77.4630248978075</v>
      </c>
      <c r="S9" s="9">
        <f t="shared" si="11"/>
        <v>7199.9999999999991</v>
      </c>
      <c r="T9" s="21">
        <f t="shared" si="12"/>
        <v>79.944506379288981</v>
      </c>
      <c r="U9" s="6"/>
      <c r="V9" s="6"/>
      <c r="W9" s="6"/>
      <c r="X9" s="6"/>
      <c r="Y9" s="6"/>
      <c r="Z9" s="6"/>
      <c r="AA9" s="6"/>
      <c r="AC9">
        <f t="shared" si="3"/>
        <v>24.504645113340764</v>
      </c>
      <c r="AD9">
        <f>AC7</f>
        <v>15.615756224451875</v>
      </c>
      <c r="AE9" t="e">
        <f>#REF!</f>
        <v>#REF!</v>
      </c>
      <c r="AF9">
        <f t="shared" si="0"/>
        <v>4</v>
      </c>
    </row>
    <row r="10" spans="1:36" ht="18" customHeight="1" x14ac:dyDescent="0.25">
      <c r="A10" s="6"/>
      <c r="B10" s="24" t="s">
        <v>37</v>
      </c>
      <c r="C10" s="39">
        <v>200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4.5185185185185208</v>
      </c>
      <c r="J10" s="43">
        <f t="shared" si="2"/>
        <v>4</v>
      </c>
      <c r="K10" s="9">
        <f t="shared" si="5"/>
        <v>18.074074074074083</v>
      </c>
      <c r="L10" s="9">
        <f t="shared" si="6"/>
        <v>16.000000000000007</v>
      </c>
      <c r="M10" s="43" t="str">
        <f t="shared" si="7"/>
        <v>DX28</v>
      </c>
      <c r="N10" s="43" t="str">
        <f t="shared" si="8"/>
        <v>16/20 Новатэк</v>
      </c>
      <c r="O10" s="43">
        <f t="shared" si="9"/>
        <v>300</v>
      </c>
      <c r="P10" s="43">
        <f t="shared" si="13"/>
        <v>400</v>
      </c>
      <c r="Q10" s="9">
        <f t="shared" si="14"/>
        <v>5600.0000000000027</v>
      </c>
      <c r="R10" s="9">
        <f t="shared" si="10"/>
        <v>93.463024897807514</v>
      </c>
      <c r="S10" s="9">
        <f t="shared" si="11"/>
        <v>12800.000000000002</v>
      </c>
      <c r="T10" s="21">
        <f t="shared" si="12"/>
        <v>98.018580453363057</v>
      </c>
      <c r="U10" s="6"/>
      <c r="V10" s="6"/>
      <c r="W10" s="6"/>
      <c r="X10" s="6"/>
      <c r="Y10" s="6"/>
      <c r="Z10" s="6"/>
      <c r="AA10" s="6"/>
      <c r="AC10">
        <f t="shared" si="3"/>
        <v>29.171311780007429</v>
      </c>
      <c r="AD10">
        <f>AD9</f>
        <v>15.615756224451875</v>
      </c>
      <c r="AE10">
        <f>P9</f>
        <v>300</v>
      </c>
      <c r="AF10">
        <f t="shared" si="0"/>
        <v>4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FP_20/40</v>
      </c>
      <c r="F11" s="62">
        <f>IF(E11="","",SUMIF(N5:N31,C8,Q5:Q31)/1000)</f>
        <v>3.2000000000000006</v>
      </c>
      <c r="G11" s="6"/>
      <c r="H11" s="20" t="str">
        <f t="shared" si="4"/>
        <v>Пропант</v>
      </c>
      <c r="I11" s="9">
        <f t="shared" si="1"/>
        <v>4.6666666666666661</v>
      </c>
      <c r="J11" s="43">
        <f t="shared" si="2"/>
        <v>4</v>
      </c>
      <c r="K11" s="9">
        <f t="shared" si="5"/>
        <v>18.666666666666664</v>
      </c>
      <c r="L11" s="9">
        <f t="shared" si="6"/>
        <v>15.999999999999996</v>
      </c>
      <c r="M11" s="43" t="str">
        <f t="shared" si="7"/>
        <v>DX28</v>
      </c>
      <c r="N11" s="43" t="str">
        <f t="shared" si="8"/>
        <v>16/20 Новатэк</v>
      </c>
      <c r="O11" s="43">
        <f t="shared" si="9"/>
        <v>400</v>
      </c>
      <c r="P11" s="43">
        <f t="shared" si="13"/>
        <v>500</v>
      </c>
      <c r="Q11" s="9">
        <f t="shared" si="14"/>
        <v>7199.9999999999982</v>
      </c>
      <c r="R11" s="9">
        <f t="shared" si="10"/>
        <v>109.46302489780751</v>
      </c>
      <c r="S11" s="9">
        <f t="shared" si="11"/>
        <v>20000</v>
      </c>
      <c r="T11" s="21">
        <f t="shared" si="12"/>
        <v>116.68524712002971</v>
      </c>
      <c r="U11" s="6"/>
      <c r="V11" s="6"/>
      <c r="W11" s="6"/>
      <c r="X11" s="6"/>
      <c r="Y11" s="6"/>
      <c r="Z11" s="6"/>
      <c r="AA11" s="6"/>
      <c r="AC11" t="e">
        <f t="shared" si="3"/>
        <v>#VALUE!</v>
      </c>
      <c r="AD11">
        <f>AC8</f>
        <v>19.986126594822245</v>
      </c>
      <c r="AE11" t="e">
        <f>#REF!</f>
        <v>#REF!</v>
      </c>
      <c r="AF11">
        <f t="shared" si="0"/>
        <v>4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88</v>
      </c>
      <c r="D12" s="6"/>
      <c r="E12" s="12" t="str">
        <f>C9</f>
        <v>16/20 Новатэк</v>
      </c>
      <c r="F12" s="62">
        <f>SUMIF(N5:N31,C9,Q5:Q31)/1000</f>
        <v>16.8</v>
      </c>
      <c r="G12" s="6"/>
      <c r="H12" s="20" t="str">
        <f t="shared" si="4"/>
        <v>-</v>
      </c>
      <c r="I12" s="9" t="str">
        <f t="shared" si="1"/>
        <v>-</v>
      </c>
      <c r="J12" s="43" t="str">
        <f t="shared" si="2"/>
        <v>-</v>
      </c>
      <c r="K12" s="9" t="str">
        <f t="shared" si="5"/>
        <v>-</v>
      </c>
      <c r="L12" s="9" t="str">
        <f t="shared" si="6"/>
        <v>-</v>
      </c>
      <c r="M12" s="43" t="str">
        <f t="shared" si="7"/>
        <v>-</v>
      </c>
      <c r="N12" s="43" t="str">
        <f t="shared" si="8"/>
        <v>-</v>
      </c>
      <c r="O12" s="43" t="str">
        <f t="shared" si="9"/>
        <v>-</v>
      </c>
      <c r="P12" s="43" t="str">
        <f t="shared" si="13"/>
        <v>-</v>
      </c>
      <c r="Q12" s="9" t="str">
        <f t="shared" si="14"/>
        <v>-</v>
      </c>
      <c r="R12" s="9" t="str">
        <f t="shared" si="10"/>
        <v>-</v>
      </c>
      <c r="S12" s="9" t="str">
        <f t="shared" si="11"/>
        <v>-</v>
      </c>
      <c r="T12" s="21" t="str">
        <f t="shared" si="12"/>
        <v>-</v>
      </c>
      <c r="U12" s="6"/>
      <c r="V12" s="6"/>
      <c r="W12" s="6"/>
      <c r="X12" s="6"/>
      <c r="Y12" s="6"/>
      <c r="Z12" s="6"/>
      <c r="AA12" s="6"/>
      <c r="AC12" t="e">
        <f t="shared" si="3"/>
        <v>#VALUE!</v>
      </c>
      <c r="AD12">
        <f>AD11</f>
        <v>19.986126594822245</v>
      </c>
      <c r="AE12">
        <f>P10</f>
        <v>400</v>
      </c>
      <c r="AF12">
        <f t="shared" si="0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20</v>
      </c>
      <c r="G13" s="6"/>
      <c r="H13" s="20" t="str">
        <f t="shared" si="4"/>
        <v>-</v>
      </c>
      <c r="I13" s="9" t="str">
        <f t="shared" si="1"/>
        <v>-</v>
      </c>
      <c r="J13" s="43" t="str">
        <f t="shared" si="2"/>
        <v>-</v>
      </c>
      <c r="K13" s="9" t="str">
        <f t="shared" si="5"/>
        <v>-</v>
      </c>
      <c r="L13" s="9" t="str">
        <f t="shared" si="6"/>
        <v>-</v>
      </c>
      <c r="M13" s="43" t="str">
        <f t="shared" si="7"/>
        <v>-</v>
      </c>
      <c r="N13" s="43" t="str">
        <f t="shared" si="8"/>
        <v>-</v>
      </c>
      <c r="O13" s="43" t="str">
        <f t="shared" si="9"/>
        <v>-</v>
      </c>
      <c r="P13" s="43" t="str">
        <f t="shared" si="13"/>
        <v>-</v>
      </c>
      <c r="Q13" s="9" t="str">
        <f t="shared" si="14"/>
        <v>-</v>
      </c>
      <c r="R13" s="9" t="str">
        <f t="shared" si="10"/>
        <v>-</v>
      </c>
      <c r="S13" s="9" t="str">
        <f t="shared" si="11"/>
        <v>-</v>
      </c>
      <c r="T13" s="21" t="str">
        <f t="shared" si="12"/>
        <v>-</v>
      </c>
      <c r="U13" s="6"/>
      <c r="V13" s="6"/>
      <c r="W13" s="6"/>
      <c r="X13" s="6"/>
      <c r="Y13" s="6"/>
      <c r="Z13" s="6"/>
      <c r="AA13" s="6"/>
      <c r="AC13" t="e">
        <f t="shared" si="3"/>
        <v>#VALUE!</v>
      </c>
      <c r="AD13">
        <f>AC9</f>
        <v>24.504645113340764</v>
      </c>
      <c r="AE13" t="e">
        <f>#REF!</f>
        <v>#REF!</v>
      </c>
      <c r="AF13">
        <f t="shared" si="0"/>
        <v>4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100</v>
      </c>
      <c r="D14" s="6"/>
      <c r="E14" s="10"/>
      <c r="F14" s="11"/>
      <c r="G14" s="6"/>
      <c r="H14" s="20" t="str">
        <f t="shared" si="4"/>
        <v>-</v>
      </c>
      <c r="I14" s="9" t="str">
        <f t="shared" si="1"/>
        <v>-</v>
      </c>
      <c r="J14" s="43" t="str">
        <f t="shared" si="2"/>
        <v>-</v>
      </c>
      <c r="K14" s="9" t="str">
        <f t="shared" si="5"/>
        <v>-</v>
      </c>
      <c r="L14" s="9" t="str">
        <f t="shared" si="6"/>
        <v>-</v>
      </c>
      <c r="M14" s="43" t="str">
        <f t="shared" si="7"/>
        <v>-</v>
      </c>
      <c r="N14" s="43" t="str">
        <f t="shared" si="8"/>
        <v>-</v>
      </c>
      <c r="O14" s="43" t="str">
        <f t="shared" si="9"/>
        <v>-</v>
      </c>
      <c r="P14" s="43" t="str">
        <f t="shared" si="13"/>
        <v>-</v>
      </c>
      <c r="Q14" s="9" t="str">
        <f t="shared" si="14"/>
        <v>-</v>
      </c>
      <c r="R14" s="9" t="str">
        <f t="shared" si="10"/>
        <v>-</v>
      </c>
      <c r="S14" s="9" t="str">
        <f t="shared" si="11"/>
        <v>-</v>
      </c>
      <c r="T14" s="21" t="str">
        <f t="shared" si="12"/>
        <v>-</v>
      </c>
      <c r="U14" s="6"/>
      <c r="V14" s="6"/>
      <c r="W14" s="6"/>
      <c r="X14" s="6"/>
      <c r="Y14" s="6"/>
      <c r="Z14" s="6"/>
      <c r="AA14" s="6"/>
      <c r="AC14" s="5" t="e">
        <f t="shared" si="3"/>
        <v>#VALUE!</v>
      </c>
      <c r="AD14">
        <f>AD13</f>
        <v>24.504645113340764</v>
      </c>
      <c r="AE14">
        <f>P11</f>
        <v>500</v>
      </c>
      <c r="AF14">
        <f t="shared" si="0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200</v>
      </c>
      <c r="D15" s="6"/>
      <c r="E15" s="10"/>
      <c r="F15" s="11"/>
      <c r="G15" s="6"/>
      <c r="H15" s="20" t="str">
        <f t="shared" si="4"/>
        <v>-</v>
      </c>
      <c r="I15" s="9" t="str">
        <f t="shared" si="1"/>
        <v>-</v>
      </c>
      <c r="J15" s="43" t="str">
        <f t="shared" si="2"/>
        <v>-</v>
      </c>
      <c r="K15" s="9" t="str">
        <f t="shared" si="5"/>
        <v>-</v>
      </c>
      <c r="L15" s="9" t="str">
        <f t="shared" si="6"/>
        <v>-</v>
      </c>
      <c r="M15" s="43" t="str">
        <f t="shared" si="7"/>
        <v>-</v>
      </c>
      <c r="N15" s="43" t="str">
        <f t="shared" si="8"/>
        <v>-</v>
      </c>
      <c r="O15" s="43" t="str">
        <f t="shared" si="9"/>
        <v>-</v>
      </c>
      <c r="P15" s="43" t="str">
        <f t="shared" si="13"/>
        <v>-</v>
      </c>
      <c r="Q15" s="9" t="str">
        <f t="shared" si="14"/>
        <v>-</v>
      </c>
      <c r="R15" s="9" t="str">
        <f t="shared" si="10"/>
        <v>-</v>
      </c>
      <c r="S15" s="9" t="str">
        <f t="shared" si="11"/>
        <v>-</v>
      </c>
      <c r="T15" s="21" t="str">
        <f t="shared" si="12"/>
        <v>-</v>
      </c>
      <c r="U15" s="6"/>
      <c r="V15" s="6"/>
      <c r="W15" s="6"/>
      <c r="X15" s="6"/>
      <c r="Y15" s="6"/>
      <c r="Z15" s="6"/>
      <c r="AA15" s="6"/>
      <c r="AC15" t="e">
        <f t="shared" si="3"/>
        <v>#VALUE!</v>
      </c>
      <c r="AD15">
        <f>AC10</f>
        <v>29.171311780007429</v>
      </c>
      <c r="AE15" t="e">
        <f>#REF!</f>
        <v>#REF!</v>
      </c>
      <c r="AF15">
        <f t="shared" si="0"/>
        <v>4</v>
      </c>
      <c r="AH15">
        <v>2</v>
      </c>
      <c r="AI15">
        <v>2.4</v>
      </c>
    </row>
    <row r="16" spans="1:36" ht="15.75" customHeight="1" x14ac:dyDescent="0.25">
      <c r="A16" s="6"/>
      <c r="B16" s="35" t="s">
        <v>47</v>
      </c>
      <c r="C16" s="39">
        <v>55</v>
      </c>
      <c r="D16" s="6"/>
      <c r="E16" s="10"/>
      <c r="F16" s="11"/>
      <c r="G16" s="6"/>
      <c r="H16" s="20" t="str">
        <f t="shared" si="4"/>
        <v>-</v>
      </c>
      <c r="I16" s="9" t="str">
        <f t="shared" si="1"/>
        <v>-</v>
      </c>
      <c r="J16" s="43" t="str">
        <f t="shared" si="2"/>
        <v>-</v>
      </c>
      <c r="K16" s="9" t="str">
        <f t="shared" si="5"/>
        <v>-</v>
      </c>
      <c r="L16" s="9" t="str">
        <f t="shared" si="6"/>
        <v>-</v>
      </c>
      <c r="M16" s="43" t="str">
        <f t="shared" si="7"/>
        <v>-</v>
      </c>
      <c r="N16" s="43" t="str">
        <f t="shared" si="8"/>
        <v>-</v>
      </c>
      <c r="O16" s="43" t="str">
        <f t="shared" si="9"/>
        <v>-</v>
      </c>
      <c r="P16" s="43" t="str">
        <f t="shared" si="13"/>
        <v>-</v>
      </c>
      <c r="Q16" s="9" t="str">
        <f t="shared" si="14"/>
        <v>-</v>
      </c>
      <c r="R16" s="9" t="str">
        <f t="shared" si="10"/>
        <v>-</v>
      </c>
      <c r="S16" s="9" t="str">
        <f t="shared" si="11"/>
        <v>-</v>
      </c>
      <c r="T16" s="21" t="str">
        <f t="shared" si="12"/>
        <v>-</v>
      </c>
      <c r="U16" s="6"/>
      <c r="V16" s="6"/>
      <c r="W16" s="6"/>
      <c r="X16" s="6"/>
      <c r="Y16" s="6"/>
      <c r="Z16" s="6"/>
      <c r="AA16" s="6"/>
      <c r="AC16" t="e">
        <f t="shared" si="3"/>
        <v>#VALUE!</v>
      </c>
      <c r="AD16">
        <f>AD15</f>
        <v>29.171311780007429</v>
      </c>
      <c r="AE16" t="str">
        <f>P12</f>
        <v>-</v>
      </c>
      <c r="AF16">
        <f t="shared" si="0"/>
        <v>4</v>
      </c>
      <c r="AH16">
        <v>3</v>
      </c>
      <c r="AI16">
        <v>2.6</v>
      </c>
    </row>
    <row r="17" spans="1:40" ht="19.5" customHeight="1" x14ac:dyDescent="0.25">
      <c r="A17" s="6"/>
      <c r="B17" s="35" t="s">
        <v>48</v>
      </c>
      <c r="C17" s="39">
        <v>55</v>
      </c>
      <c r="D17" s="6"/>
      <c r="E17" s="77" t="s">
        <v>49</v>
      </c>
      <c r="F17" s="66"/>
      <c r="G17" s="6"/>
      <c r="H17" s="20" t="str">
        <f t="shared" si="4"/>
        <v>-</v>
      </c>
      <c r="I17" s="9" t="str">
        <f t="shared" si="1"/>
        <v>-</v>
      </c>
      <c r="J17" s="43" t="str">
        <f t="shared" si="2"/>
        <v>-</v>
      </c>
      <c r="K17" s="9" t="str">
        <f t="shared" si="5"/>
        <v>-</v>
      </c>
      <c r="L17" s="9" t="str">
        <f t="shared" si="6"/>
        <v>-</v>
      </c>
      <c r="M17" s="43" t="str">
        <f t="shared" si="7"/>
        <v>-</v>
      </c>
      <c r="N17" s="43" t="str">
        <f t="shared" si="8"/>
        <v>-</v>
      </c>
      <c r="O17" s="43" t="str">
        <f t="shared" si="9"/>
        <v>-</v>
      </c>
      <c r="P17" s="43" t="str">
        <f t="shared" si="13"/>
        <v>-</v>
      </c>
      <c r="Q17" s="9" t="str">
        <f t="shared" si="14"/>
        <v>-</v>
      </c>
      <c r="R17" s="9" t="str">
        <f t="shared" si="10"/>
        <v>-</v>
      </c>
      <c r="S17" s="9" t="str">
        <f t="shared" si="11"/>
        <v>-</v>
      </c>
      <c r="T17" s="21" t="str">
        <f t="shared" si="12"/>
        <v>-</v>
      </c>
      <c r="U17" s="6"/>
      <c r="V17" s="6"/>
      <c r="W17" s="6"/>
      <c r="X17" s="6"/>
      <c r="Y17" s="6"/>
      <c r="Z17" s="6"/>
      <c r="AA17" s="6"/>
      <c r="AC17" t="e">
        <f t="shared" si="3"/>
        <v>#VALUE!</v>
      </c>
      <c r="AD17" t="e">
        <f>AC11</f>
        <v>#VALUE!</v>
      </c>
      <c r="AE17" t="e">
        <f>#REF!</f>
        <v>#REF!</v>
      </c>
      <c r="AF17">
        <f t="shared" si="0"/>
        <v>4</v>
      </c>
    </row>
    <row r="18" spans="1:40" ht="15.75" customHeight="1" x14ac:dyDescent="0.25">
      <c r="A18" s="6"/>
      <c r="B18" s="24" t="s">
        <v>50</v>
      </c>
      <c r="C18" s="39" t="s">
        <v>51</v>
      </c>
      <c r="D18" s="6"/>
      <c r="E18" s="65">
        <f>IFERROR(C3/SUM(L5:L31), "-")</f>
        <v>0.18271009794103168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9"/>
        <v>-</v>
      </c>
      <c r="P18" s="43" t="str">
        <f t="shared" si="13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 t="e">
        <f>AD17</f>
        <v>#VALUE!</v>
      </c>
      <c r="AE18" t="str">
        <f>P13</f>
        <v>-</v>
      </c>
      <c r="AF18">
        <f t="shared" si="0"/>
        <v>4</v>
      </c>
      <c r="AH18" s="44" t="s">
        <v>52</v>
      </c>
      <c r="AI18" s="2">
        <f>IF(C7=-3,AI10,IF(C7=-2,AI11,IF(C7=-1,AI12,IF(C7=0,AI13,IF(C7=1,AI14,IF(C7=2,AI15,IF(C7=3,AI16)))))))</f>
        <v>2</v>
      </c>
    </row>
    <row r="19" spans="1:40" ht="15.75" customHeight="1" x14ac:dyDescent="0.25">
      <c r="A19" s="6"/>
      <c r="B19" s="24" t="s">
        <v>53</v>
      </c>
      <c r="C19" s="39" t="s">
        <v>88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9"/>
        <v>-</v>
      </c>
      <c r="P19" s="43" t="str">
        <f t="shared" si="13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 t="e">
        <f>AC12</f>
        <v>#VALUE!</v>
      </c>
      <c r="AE19" t="e">
        <f>#REF!</f>
        <v>#REF!</v>
      </c>
      <c r="AF19">
        <f t="shared" si="0"/>
        <v>4</v>
      </c>
    </row>
    <row r="20" spans="1:40" ht="16.5" customHeight="1" thickBot="1" x14ac:dyDescent="0.3">
      <c r="A20" s="6"/>
      <c r="B20" s="24" t="s">
        <v>55</v>
      </c>
      <c r="C20" s="39">
        <v>0</v>
      </c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9"/>
        <v>-</v>
      </c>
      <c r="P20" s="43" t="str">
        <f t="shared" si="13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 t="e">
        <f>AD19</f>
        <v>#VALUE!</v>
      </c>
      <c r="AE20" t="str">
        <f>P14</f>
        <v>-</v>
      </c>
      <c r="AF20">
        <f t="shared" si="0"/>
        <v>4</v>
      </c>
    </row>
    <row r="21" spans="1:40" ht="15.75" customHeight="1" x14ac:dyDescent="0.25">
      <c r="A21" s="6"/>
      <c r="B21" s="33" t="s">
        <v>56</v>
      </c>
      <c r="C21" s="56">
        <f>100-C20</f>
        <v>100</v>
      </c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9"/>
        <v>-</v>
      </c>
      <c r="P21" s="43" t="str">
        <f t="shared" si="13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 t="e">
        <f>AC13</f>
        <v>#VALUE!</v>
      </c>
      <c r="AE21" t="e">
        <f>#REF!</f>
        <v>#REF!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24" t="s">
        <v>58</v>
      </c>
      <c r="C22" s="39" t="s">
        <v>59</v>
      </c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9"/>
        <v>-</v>
      </c>
      <c r="P22" s="43" t="str">
        <f t="shared" si="13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 t="e">
        <f>AD21</f>
        <v>#VALUE!</v>
      </c>
      <c r="AE22" t="str">
        <f>P15</f>
        <v>-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8.75" customHeight="1" thickBot="1" x14ac:dyDescent="0.3">
      <c r="A23" s="6"/>
      <c r="B23" s="27" t="s">
        <v>65</v>
      </c>
      <c r="C23" s="47">
        <v>15</v>
      </c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9"/>
        <v>-</v>
      </c>
      <c r="P23" s="43" t="str">
        <f t="shared" si="13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 t="e">
        <f>AC14</f>
        <v>#VALUE!</v>
      </c>
      <c r="AE23" t="e">
        <f>#REF!</f>
        <v>#REF!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9"/>
        <v>-</v>
      </c>
      <c r="P24" s="43" t="str">
        <f t="shared" si="13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 t="e">
        <f>AD23</f>
        <v>#VALUE!</v>
      </c>
      <c r="AE24" t="str">
        <f>P16</f>
        <v>-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9"/>
        <v>-</v>
      </c>
      <c r="P25" s="43" t="str">
        <f t="shared" si="13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 t="e">
        <f>AC15</f>
        <v>#VALUE!</v>
      </c>
      <c r="AE25" t="e">
        <f>#REF!</f>
        <v>#REF!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9"/>
        <v>-</v>
      </c>
      <c r="P26" s="43" t="str">
        <f t="shared" si="13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 t="e">
        <f>AD25</f>
        <v>#VALUE!</v>
      </c>
      <c r="AE26" t="str">
        <f>P17</f>
        <v>-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9"/>
        <v>-</v>
      </c>
      <c r="P27" s="43" t="str">
        <f t="shared" si="13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 t="e">
        <f>AC16</f>
        <v>#VALUE!</v>
      </c>
      <c r="AE27" t="e">
        <f>#REF!</f>
        <v>#REF!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9"/>
        <v>-</v>
      </c>
      <c r="P28" s="43" t="str">
        <f t="shared" si="13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 t="e">
        <f>AD27</f>
        <v>#VALUE!</v>
      </c>
      <c r="AE28" t="str">
        <f>P18</f>
        <v>-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9"/>
        <v>-</v>
      </c>
      <c r="P29" s="43" t="str">
        <f t="shared" si="13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 t="e">
        <f>AC17</f>
        <v>#VALUE!</v>
      </c>
      <c r="AE29" t="e">
        <f>#REF!</f>
        <v>#REF!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9"/>
        <v>-</v>
      </c>
      <c r="P30" s="43" t="str">
        <f t="shared" si="13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 t="e">
        <f>AD29</f>
        <v>#VALUE!</v>
      </c>
      <c r="AE30" t="str">
        <f>P19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4"/>
        <v>-</v>
      </c>
      <c r="I31" s="23" t="str">
        <f t="shared" si="1"/>
        <v>-</v>
      </c>
      <c r="J31" s="48" t="str">
        <f t="shared" si="2"/>
        <v>-</v>
      </c>
      <c r="K31" s="23" t="str">
        <f t="shared" si="5"/>
        <v>-</v>
      </c>
      <c r="L31" s="23" t="str">
        <f t="shared" si="6"/>
        <v>-</v>
      </c>
      <c r="M31" s="43" t="str">
        <f t="shared" si="7"/>
        <v>-</v>
      </c>
      <c r="N31" s="43" t="str">
        <f t="shared" si="8"/>
        <v>-</v>
      </c>
      <c r="O31" s="48" t="str">
        <f t="shared" si="9"/>
        <v>-</v>
      </c>
      <c r="P31" s="48" t="str">
        <f t="shared" si="13"/>
        <v>-</v>
      </c>
      <c r="Q31" s="23" t="str">
        <f t="shared" si="14"/>
        <v>-</v>
      </c>
      <c r="R31" s="23" t="str">
        <f t="shared" si="10"/>
        <v>-</v>
      </c>
      <c r="S31" s="23" t="str">
        <f t="shared" si="11"/>
        <v>-</v>
      </c>
      <c r="T31" s="36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P20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P21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P22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P23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P24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P25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P26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P27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P28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P29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P30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P31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29.4630248978075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C20/100*J73</f>
        <v>0</v>
      </c>
      <c r="L74" s="5">
        <f t="shared" ref="L74:L100" si="17">IFERROR(L73+I5,L73)</f>
        <v>0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29.4630248978075</v>
      </c>
      <c r="L75" s="5">
        <f t="shared" si="17"/>
        <v>7.3657562244518751</v>
      </c>
      <c r="M75">
        <v>0</v>
      </c>
    </row>
    <row r="76" spans="1:27" x14ac:dyDescent="0.25">
      <c r="E76">
        <v>1</v>
      </c>
      <c r="F76" s="53">
        <f t="shared" ref="F76:F100" si="18">IF(P7="-","-",P7/$C$4)</f>
        <v>0.2</v>
      </c>
      <c r="G76" s="53">
        <f t="shared" ref="G76:G100" si="19">IF(F76="-","-",F76^$AI$18)</f>
        <v>4.0000000000000008E-2</v>
      </c>
      <c r="L76" s="5">
        <f t="shared" si="17"/>
        <v>11.428256224451875</v>
      </c>
      <c r="M76">
        <f t="shared" ref="M76:M100" si="20">P7</f>
        <v>100</v>
      </c>
    </row>
    <row r="77" spans="1:27" x14ac:dyDescent="0.25">
      <c r="E77">
        <v>2</v>
      </c>
      <c r="F77" s="53">
        <f t="shared" si="18"/>
        <v>0.4</v>
      </c>
      <c r="G77" s="53">
        <f t="shared" si="19"/>
        <v>0.16000000000000003</v>
      </c>
      <c r="I77" s="4" t="s">
        <v>127</v>
      </c>
      <c r="J77" s="4">
        <f>IF(C16&gt;20,0.05,0.25*(C16/100))</f>
        <v>0.05</v>
      </c>
      <c r="L77" s="5">
        <f t="shared" si="17"/>
        <v>15.615756224451875</v>
      </c>
      <c r="M77">
        <f t="shared" si="20"/>
        <v>200</v>
      </c>
    </row>
    <row r="78" spans="1:27" x14ac:dyDescent="0.25">
      <c r="E78">
        <v>3</v>
      </c>
      <c r="F78" s="53">
        <f t="shared" si="18"/>
        <v>0.6</v>
      </c>
      <c r="G78" s="53">
        <f t="shared" si="19"/>
        <v>0.36</v>
      </c>
      <c r="I78" s="54" t="s">
        <v>128</v>
      </c>
      <c r="J78" s="54">
        <f>C4/C6</f>
        <v>5</v>
      </c>
      <c r="L78" s="5">
        <f t="shared" si="17"/>
        <v>19.986126594822245</v>
      </c>
      <c r="M78">
        <f t="shared" si="20"/>
        <v>300</v>
      </c>
    </row>
    <row r="79" spans="1:27" x14ac:dyDescent="0.25">
      <c r="E79">
        <v>4</v>
      </c>
      <c r="F79" s="53">
        <f t="shared" si="18"/>
        <v>0.8</v>
      </c>
      <c r="G79" s="53">
        <f t="shared" si="19"/>
        <v>0.64000000000000012</v>
      </c>
      <c r="I79" s="54" t="s">
        <v>129</v>
      </c>
      <c r="J79" s="54">
        <f>(1-C16/100)^2+J77</f>
        <v>0.25249999999999995</v>
      </c>
      <c r="L79" s="5">
        <f t="shared" si="17"/>
        <v>24.504645113340764</v>
      </c>
      <c r="M79">
        <f t="shared" si="20"/>
        <v>400</v>
      </c>
    </row>
    <row r="80" spans="1:27" x14ac:dyDescent="0.25">
      <c r="E80">
        <v>5</v>
      </c>
      <c r="F80" s="53">
        <f t="shared" si="18"/>
        <v>1</v>
      </c>
      <c r="G80" s="53">
        <f t="shared" si="19"/>
        <v>1</v>
      </c>
      <c r="L80" s="5">
        <f t="shared" si="17"/>
        <v>29.171311780007429</v>
      </c>
      <c r="M80">
        <f t="shared" si="20"/>
        <v>500</v>
      </c>
    </row>
    <row r="81" spans="5:13" x14ac:dyDescent="0.25">
      <c r="E81">
        <v>6</v>
      </c>
      <c r="F81" s="53" t="str">
        <f t="shared" si="18"/>
        <v>-</v>
      </c>
      <c r="G81" s="53" t="str">
        <f t="shared" si="19"/>
        <v>-</v>
      </c>
      <c r="I81" s="34" t="s">
        <v>130</v>
      </c>
      <c r="J81" s="34">
        <f>C20/100*((1-C16/100)^2+J82)+C21/100*((1-C17/100)^2+J83)</f>
        <v>0.25249999999999995</v>
      </c>
      <c r="L81" s="5">
        <f t="shared" si="17"/>
        <v>29.171311780007429</v>
      </c>
      <c r="M81" t="str">
        <f t="shared" si="20"/>
        <v>-</v>
      </c>
    </row>
    <row r="82" spans="5:13" x14ac:dyDescent="0.25">
      <c r="E82">
        <v>7</v>
      </c>
      <c r="F82" s="53" t="str">
        <f t="shared" si="18"/>
        <v>-</v>
      </c>
      <c r="G82" s="53" t="str">
        <f t="shared" si="19"/>
        <v>-</v>
      </c>
      <c r="I82" s="34" t="s">
        <v>131</v>
      </c>
      <c r="J82" s="34">
        <f>IF(C16&gt;20,0.05,0.25*(C16/100))</f>
        <v>0.05</v>
      </c>
      <c r="L82" s="5">
        <f t="shared" si="17"/>
        <v>29.171311780007429</v>
      </c>
      <c r="M82" t="str">
        <f t="shared" si="20"/>
        <v>-</v>
      </c>
    </row>
    <row r="83" spans="5:13" x14ac:dyDescent="0.25">
      <c r="E83">
        <v>8</v>
      </c>
      <c r="F83" s="53" t="str">
        <f t="shared" si="18"/>
        <v>-</v>
      </c>
      <c r="G83" s="53" t="str">
        <f t="shared" si="19"/>
        <v>-</v>
      </c>
      <c r="I83" s="34" t="s">
        <v>132</v>
      </c>
      <c r="J83" s="34">
        <f>IF(C17&gt;20,0.05,0.25*(C17/100))</f>
        <v>0.05</v>
      </c>
      <c r="L83" s="5">
        <f t="shared" si="17"/>
        <v>29.171311780007429</v>
      </c>
      <c r="M83" t="str">
        <f t="shared" si="20"/>
        <v>-</v>
      </c>
    </row>
    <row r="84" spans="5:13" x14ac:dyDescent="0.25">
      <c r="E84">
        <v>9</v>
      </c>
      <c r="F84" s="53" t="str">
        <f t="shared" si="18"/>
        <v>-</v>
      </c>
      <c r="G84" s="53" t="str">
        <f t="shared" si="19"/>
        <v>-</v>
      </c>
      <c r="L84" s="5">
        <f t="shared" si="17"/>
        <v>29.171311780007429</v>
      </c>
      <c r="M84" t="str">
        <f t="shared" si="20"/>
        <v>-</v>
      </c>
    </row>
    <row r="85" spans="5:13" x14ac:dyDescent="0.25">
      <c r="E85">
        <v>10</v>
      </c>
      <c r="F85" s="53" t="str">
        <f t="shared" si="18"/>
        <v>-</v>
      </c>
      <c r="G85" s="53" t="str">
        <f t="shared" si="19"/>
        <v>-</v>
      </c>
      <c r="L85" s="5">
        <f t="shared" si="17"/>
        <v>29.171311780007429</v>
      </c>
      <c r="M85" t="str">
        <f t="shared" si="20"/>
        <v>-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29.171311780007429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29.171311780007429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29.171311780007429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29.171311780007429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29.171311780007429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29.171311780007429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29.171311780007429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29.171311780007429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29.171311780007429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29.171311780007429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29.171311780007429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29.171311780007429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29.171311780007429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29.171311780007429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29.171311780007429</v>
      </c>
      <c r="M100" t="str">
        <f t="shared" si="20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3.2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22 C18:C19">
      <formula1>$AK$23:$AK$58</formula1>
    </dataValidation>
  </dataValidations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4"/>
  <sheetViews>
    <sheetView zoomScale="50" zoomScaleNormal="50" workbookViewId="0">
      <selection activeCell="B15" sqref="B15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  <col min="34" max="34" width="10" style="64" bestFit="1" customWidth="1"/>
    <col min="35" max="35" width="16.28515625" style="64" customWidth="1"/>
    <col min="39" max="39" width="13.85546875" style="64" bestFit="1" customWidth="1"/>
    <col min="40" max="40" width="10.140625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</row>
    <row r="4" spans="1:36" ht="18" customHeight="1" x14ac:dyDescent="0.25">
      <c r="A4" s="6"/>
      <c r="B4" s="24" t="s">
        <v>23</v>
      </c>
      <c r="C4" s="39">
        <v>900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5</v>
      </c>
      <c r="J4" s="41">
        <f>C5</f>
        <v>3</v>
      </c>
      <c r="K4" s="29">
        <f>L4</f>
        <v>15</v>
      </c>
      <c r="L4" s="29">
        <f>C22</f>
        <v>15</v>
      </c>
      <c r="M4" s="41" t="str">
        <f>C21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I4" t="s">
        <v>27</v>
      </c>
      <c r="AJ4" s="5">
        <f>SUM(K7:K31)</f>
        <v>77.679091294865344</v>
      </c>
    </row>
    <row r="5" spans="1:36" ht="18" customHeight="1" x14ac:dyDescent="0.25">
      <c r="A5" s="6"/>
      <c r="B5" s="24" t="s">
        <v>28</v>
      </c>
      <c r="C5" s="39">
        <v>3</v>
      </c>
      <c r="D5" s="6"/>
      <c r="E5" s="12" t="str">
        <f>IF(C14=0,"",C11)</f>
        <v/>
      </c>
      <c r="F5" s="62" t="str">
        <f>IF(E5="","",SUMIF(M5:M31,C11,L5:L31))</f>
        <v/>
      </c>
      <c r="G5" s="6"/>
      <c r="H5" s="20" t="str">
        <f>IF(I5="-","-","Буфер")</f>
        <v>Буфер</v>
      </c>
      <c r="I5" s="9">
        <f t="shared" ref="I5:I31" si="0">IFERROR(K5/J5,"-")</f>
        <v>3.3291039126370858</v>
      </c>
      <c r="J5" s="43">
        <f t="shared" ref="J5:J31" si="1">IF(K5="-","-",$C$5)</f>
        <v>3</v>
      </c>
      <c r="K5" s="9">
        <f>IFERROR(J74, "-")</f>
        <v>9.9873117379112575</v>
      </c>
      <c r="L5" s="9">
        <f>IFERROR(K5,0)</f>
        <v>9.9873117379112575</v>
      </c>
      <c r="M5" s="43" t="str">
        <f>IF(L5="-","-",$C$17)</f>
        <v>LG24</v>
      </c>
      <c r="N5" s="43"/>
      <c r="O5" s="43"/>
      <c r="P5" s="43"/>
      <c r="Q5" s="9"/>
      <c r="R5" s="9">
        <f>IF(L5="-","-",L5)</f>
        <v>9.9873117379112575</v>
      </c>
      <c r="S5" s="9"/>
      <c r="T5" s="21">
        <f>IF(K5="-","-",K5)</f>
        <v>9.9873117379112575</v>
      </c>
      <c r="U5" s="6"/>
      <c r="V5" s="6"/>
      <c r="W5" s="6"/>
      <c r="X5" s="6"/>
      <c r="Y5" s="6"/>
      <c r="Z5" s="6"/>
      <c r="AA5" s="6"/>
      <c r="AI5" t="s">
        <v>29</v>
      </c>
      <c r="AJ5">
        <f>AJ4/(1-$C$16/100)</f>
        <v>110.97013042123621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SUMIF(M5:M31,C12,L5:L31)</f>
        <v>37.037037037037038</v>
      </c>
      <c r="G6" s="6"/>
      <c r="H6" s="20" t="str">
        <f>IF(I6="-","-","Буфер")</f>
        <v>Буфер</v>
      </c>
      <c r="I6" s="9">
        <f t="shared" si="0"/>
        <v>7.7679091294865357</v>
      </c>
      <c r="J6" s="43">
        <f t="shared" si="1"/>
        <v>3</v>
      </c>
      <c r="K6" s="9">
        <f>IFERROR(J75, "-")</f>
        <v>23.303727388459606</v>
      </c>
      <c r="L6" s="9">
        <f>IFERROR(K6,0)</f>
        <v>23.303727388459606</v>
      </c>
      <c r="M6" s="43" t="str">
        <f>IF(L6="-","-",$C$18)</f>
        <v>DX26</v>
      </c>
      <c r="N6" s="43"/>
      <c r="O6" s="43"/>
      <c r="P6" s="43"/>
      <c r="Q6" s="9"/>
      <c r="R6" s="9">
        <f>IF(L6="-","-",R5+L6)</f>
        <v>33.291039126370862</v>
      </c>
      <c r="S6" s="9"/>
      <c r="T6" s="21">
        <f>IF(K6="-","-",K6+T5)</f>
        <v>33.291039126370862</v>
      </c>
      <c r="U6" s="6"/>
      <c r="V6" s="6"/>
      <c r="W6" s="6"/>
      <c r="X6" s="6"/>
      <c r="Y6" s="6"/>
      <c r="Z6" s="6"/>
      <c r="AA6" s="6"/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DX28</v>
      </c>
      <c r="F7" s="62">
        <f>SUMIF(M5:M31,C13,L5:L31)</f>
        <v>29.62962962962963</v>
      </c>
      <c r="G7" s="6"/>
      <c r="H7" s="20" t="str">
        <f t="shared" ref="H7:H31" si="2">IF(I7="-","-","Пропант")</f>
        <v>Пропант</v>
      </c>
      <c r="I7" s="9">
        <f t="shared" si="0"/>
        <v>2.5135447197797314</v>
      </c>
      <c r="J7" s="43">
        <f t="shared" si="1"/>
        <v>3</v>
      </c>
      <c r="K7" s="9">
        <f t="shared" ref="K7:K31" si="3">IFERROR(L7+Q7/(IF(N7=$C$8,$G$103,$G$104)*1000),"-")</f>
        <v>7.5406341593391941</v>
      </c>
      <c r="L7" s="9">
        <f t="shared" ref="L7:L31" si="4">IFERROR(Q7/(P7-($C$6/2)),"-")</f>
        <v>7.4074074074074066</v>
      </c>
      <c r="M7" s="43" t="str">
        <f t="shared" ref="M7:M31" si="5">IF(L7="-","-",IF(O7&lt;$C$14,$C$11,IF(P7&gt;$C$15,$C$13,$C$12)))</f>
        <v>LG28</v>
      </c>
      <c r="N7" s="43" t="str">
        <f t="shared" ref="N7:N31" si="6">IF(O7="-","-",IF(O7&lt;$C$10,$C$8,$C$9))</f>
        <v>20/40 Новатэк</v>
      </c>
      <c r="O7" s="43">
        <f t="shared" ref="O7:O31" si="7">IFERROR(P7-$C$6,"-")</f>
        <v>0</v>
      </c>
      <c r="P7" s="43">
        <f>IFERROR(O6+($C$4-O6)/($J$77-D5),"-")</f>
        <v>100</v>
      </c>
      <c r="Q7" s="9">
        <f>IF(S7="-","-",S7)</f>
        <v>370.37037037037032</v>
      </c>
      <c r="R7" s="9">
        <f t="shared" ref="R7:R31" si="8">IFERROR(IF(L7="-","-",R6+L7),"-")</f>
        <v>40.698446533778267</v>
      </c>
      <c r="S7" s="9">
        <f t="shared" ref="S7:S31" si="9">IF(G76="-","-",G76*$C$3*1000)</f>
        <v>370.37037037037032</v>
      </c>
      <c r="T7" s="21">
        <f t="shared" ref="T7:T31" si="10">IFERROR(IF(K7="-","-",T6+K7),"-")</f>
        <v>40.831673285710053</v>
      </c>
      <c r="U7" s="6"/>
      <c r="V7" s="6"/>
      <c r="W7" s="6"/>
      <c r="X7" s="6"/>
      <c r="Y7" s="6"/>
      <c r="Z7" s="6"/>
      <c r="AA7" s="6"/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SUM(L5:L31)</f>
        <v>99.957705793037519</v>
      </c>
      <c r="G8" s="6"/>
      <c r="H8" s="20" t="str">
        <f t="shared" si="2"/>
        <v>Пропант</v>
      </c>
      <c r="I8" s="9">
        <f t="shared" si="0"/>
        <v>2.6023625544009232</v>
      </c>
      <c r="J8" s="43">
        <f t="shared" si="1"/>
        <v>3</v>
      </c>
      <c r="K8" s="9">
        <f t="shared" si="3"/>
        <v>7.8070876632027693</v>
      </c>
      <c r="L8" s="9">
        <f t="shared" si="4"/>
        <v>7.4074074074074057</v>
      </c>
      <c r="M8" s="43" t="str">
        <f t="shared" si="5"/>
        <v>LG28</v>
      </c>
      <c r="N8" s="43" t="str">
        <f t="shared" si="6"/>
        <v>20/40 Новатэк</v>
      </c>
      <c r="O8" s="43">
        <f t="shared" si="7"/>
        <v>100</v>
      </c>
      <c r="P8" s="43">
        <f t="shared" ref="P8:P31" si="11">IFERROR(P7+($C$4-P7)/($J$77-E76),"-")</f>
        <v>200</v>
      </c>
      <c r="Q8" s="9">
        <f t="shared" ref="Q8:Q31" si="12">IF(S8="-","-",S8-S7)</f>
        <v>1111.1111111111109</v>
      </c>
      <c r="R8" s="9">
        <f t="shared" si="8"/>
        <v>48.105853941185671</v>
      </c>
      <c r="S8" s="9">
        <f t="shared" si="9"/>
        <v>1481.4814814814813</v>
      </c>
      <c r="T8" s="21">
        <f t="shared" si="10"/>
        <v>48.638760948912825</v>
      </c>
      <c r="U8" s="6"/>
      <c r="V8" s="6"/>
      <c r="W8" s="6"/>
      <c r="X8" s="6"/>
      <c r="Y8" s="6"/>
      <c r="Z8" s="6"/>
      <c r="AA8" s="6"/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0"/>
        <v>2.6911803890221151</v>
      </c>
      <c r="J9" s="43">
        <f t="shared" si="1"/>
        <v>3</v>
      </c>
      <c r="K9" s="9">
        <f t="shared" si="3"/>
        <v>8.0735411670663453</v>
      </c>
      <c r="L9" s="9">
        <f t="shared" si="4"/>
        <v>7.4074074074074066</v>
      </c>
      <c r="M9" s="43" t="str">
        <f t="shared" si="5"/>
        <v>LG28</v>
      </c>
      <c r="N9" s="43" t="str">
        <f t="shared" si="6"/>
        <v>20/40 Новатэк</v>
      </c>
      <c r="O9" s="43">
        <f t="shared" si="7"/>
        <v>200</v>
      </c>
      <c r="P9" s="43">
        <f t="shared" si="11"/>
        <v>300</v>
      </c>
      <c r="Q9" s="9">
        <f t="shared" si="12"/>
        <v>1851.8518518518517</v>
      </c>
      <c r="R9" s="9">
        <f t="shared" si="8"/>
        <v>55.513261348593076</v>
      </c>
      <c r="S9" s="9">
        <f t="shared" si="9"/>
        <v>3333.333333333333</v>
      </c>
      <c r="T9" s="21">
        <f t="shared" si="10"/>
        <v>56.71230211597917</v>
      </c>
      <c r="U9" s="6"/>
      <c r="V9" s="6"/>
      <c r="W9" s="6"/>
      <c r="X9" s="6"/>
      <c r="Y9" s="6"/>
      <c r="Z9" s="6"/>
      <c r="AA9" s="6"/>
      <c r="AH9" s="78" t="s">
        <v>136</v>
      </c>
      <c r="AI9" s="80"/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0"/>
        <v>2.7799982236433074</v>
      </c>
      <c r="J10" s="43">
        <f t="shared" si="1"/>
        <v>3</v>
      </c>
      <c r="K10" s="9">
        <f t="shared" si="3"/>
        <v>8.3399946709299222</v>
      </c>
      <c r="L10" s="9">
        <f t="shared" si="4"/>
        <v>7.4074074074074066</v>
      </c>
      <c r="M10" s="43" t="str">
        <f t="shared" si="5"/>
        <v>LG28</v>
      </c>
      <c r="N10" s="43" t="str">
        <f t="shared" si="6"/>
        <v>20/40 Новатэк</v>
      </c>
      <c r="O10" s="43">
        <f t="shared" si="7"/>
        <v>300</v>
      </c>
      <c r="P10" s="43">
        <f t="shared" si="11"/>
        <v>400</v>
      </c>
      <c r="Q10" s="9">
        <f t="shared" si="12"/>
        <v>2592.5925925925922</v>
      </c>
      <c r="R10" s="9">
        <f t="shared" si="8"/>
        <v>62.920668756000481</v>
      </c>
      <c r="S10" s="9">
        <f t="shared" si="9"/>
        <v>5925.9259259259252</v>
      </c>
      <c r="T10" s="21">
        <f t="shared" si="10"/>
        <v>65.052296786909096</v>
      </c>
      <c r="U10" s="6"/>
      <c r="V10" s="6"/>
      <c r="W10" s="6"/>
      <c r="X10" s="6"/>
      <c r="Y10" s="6"/>
      <c r="Z10" s="6"/>
      <c r="AA10" s="6"/>
      <c r="AH10" s="34">
        <v>-3</v>
      </c>
      <c r="AI10" s="34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IF(E11="","",SUMIF(N5:N31,C8,Q5:Q31)/1000)</f>
        <v>9.2592592592592595</v>
      </c>
      <c r="G11" s="6"/>
      <c r="H11" s="20" t="str">
        <f t="shared" si="2"/>
        <v>Пропант</v>
      </c>
      <c r="I11" s="9">
        <f t="shared" si="0"/>
        <v>2.8688160582644997</v>
      </c>
      <c r="J11" s="43">
        <f t="shared" si="1"/>
        <v>3</v>
      </c>
      <c r="K11" s="9">
        <f t="shared" si="3"/>
        <v>8.6064481747934991</v>
      </c>
      <c r="L11" s="9">
        <f t="shared" si="4"/>
        <v>7.4074074074074083</v>
      </c>
      <c r="M11" s="43" t="str">
        <f t="shared" si="5"/>
        <v>LG28</v>
      </c>
      <c r="N11" s="43" t="str">
        <f t="shared" si="6"/>
        <v>20/40 Новатэк</v>
      </c>
      <c r="O11" s="43">
        <f t="shared" si="7"/>
        <v>400</v>
      </c>
      <c r="P11" s="43">
        <f t="shared" si="11"/>
        <v>500</v>
      </c>
      <c r="Q11" s="9">
        <f t="shared" si="12"/>
        <v>3333.3333333333339</v>
      </c>
      <c r="R11" s="9">
        <f t="shared" si="8"/>
        <v>70.328076163407886</v>
      </c>
      <c r="S11" s="9">
        <f t="shared" si="9"/>
        <v>9259.2592592592591</v>
      </c>
      <c r="T11" s="21">
        <f t="shared" si="10"/>
        <v>73.658744961702595</v>
      </c>
      <c r="U11" s="6"/>
      <c r="V11" s="6"/>
      <c r="W11" s="6"/>
      <c r="X11" s="6"/>
      <c r="Y11" s="6"/>
      <c r="Z11" s="6"/>
      <c r="AA11" s="6"/>
      <c r="AH11" s="34">
        <v>-2</v>
      </c>
      <c r="AI11" s="34">
        <v>1.4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SUMIF(N5:N31,C9,Q5:Q31)/1000</f>
        <v>20.74074074074074</v>
      </c>
      <c r="G12" s="6"/>
      <c r="H12" s="20" t="str">
        <f t="shared" si="2"/>
        <v>Пропант</v>
      </c>
      <c r="I12" s="9">
        <f t="shared" si="0"/>
        <v>2.9721079103795147</v>
      </c>
      <c r="J12" s="43">
        <f t="shared" si="1"/>
        <v>3</v>
      </c>
      <c r="K12" s="9">
        <f t="shared" si="3"/>
        <v>8.9163237311385437</v>
      </c>
      <c r="L12" s="9">
        <f t="shared" si="4"/>
        <v>7.4074074074074057</v>
      </c>
      <c r="M12" s="43" t="str">
        <f t="shared" si="5"/>
        <v>DX28</v>
      </c>
      <c r="N12" s="43" t="str">
        <f t="shared" si="6"/>
        <v>16/20 Новатэк</v>
      </c>
      <c r="O12" s="43">
        <f t="shared" si="7"/>
        <v>500</v>
      </c>
      <c r="P12" s="43">
        <f t="shared" si="11"/>
        <v>600</v>
      </c>
      <c r="Q12" s="9">
        <f t="shared" si="12"/>
        <v>4074.074074074073</v>
      </c>
      <c r="R12" s="9">
        <f t="shared" si="8"/>
        <v>77.73548357081529</v>
      </c>
      <c r="S12" s="9">
        <f t="shared" si="9"/>
        <v>13333.333333333332</v>
      </c>
      <c r="T12" s="21">
        <f t="shared" si="10"/>
        <v>82.575068692841143</v>
      </c>
      <c r="U12" s="6"/>
      <c r="V12" s="6"/>
      <c r="W12" s="6"/>
      <c r="X12" s="6"/>
      <c r="Y12" s="6"/>
      <c r="Z12" s="6"/>
      <c r="AA12" s="6"/>
      <c r="AH12" s="34">
        <v>-1</v>
      </c>
      <c r="AI12" s="34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0"/>
        <v>3.0635573845450406</v>
      </c>
      <c r="J13" s="43">
        <f t="shared" si="1"/>
        <v>3</v>
      </c>
      <c r="K13" s="9">
        <f t="shared" si="3"/>
        <v>9.1906721536351217</v>
      </c>
      <c r="L13" s="9">
        <f t="shared" si="4"/>
        <v>7.4074074074074119</v>
      </c>
      <c r="M13" s="43" t="str">
        <f t="shared" si="5"/>
        <v>DX28</v>
      </c>
      <c r="N13" s="43" t="str">
        <f t="shared" si="6"/>
        <v>16/20 Новатэк</v>
      </c>
      <c r="O13" s="43">
        <f t="shared" si="7"/>
        <v>600</v>
      </c>
      <c r="P13" s="43">
        <f t="shared" si="11"/>
        <v>700</v>
      </c>
      <c r="Q13" s="9">
        <f t="shared" si="12"/>
        <v>4814.8148148148175</v>
      </c>
      <c r="R13" s="9">
        <f t="shared" si="8"/>
        <v>85.142890978222709</v>
      </c>
      <c r="S13" s="9">
        <f t="shared" si="9"/>
        <v>18148.14814814815</v>
      </c>
      <c r="T13" s="21">
        <f t="shared" si="10"/>
        <v>91.765740846476263</v>
      </c>
      <c r="U13" s="6"/>
      <c r="V13" s="6"/>
      <c r="W13" s="6"/>
      <c r="X13" s="6"/>
      <c r="Y13" s="6"/>
      <c r="Z13" s="6"/>
      <c r="AA13" s="6"/>
      <c r="AH13" s="34">
        <v>0</v>
      </c>
      <c r="AI13" s="34">
        <v>2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Пропант</v>
      </c>
      <c r="I14" s="9">
        <f t="shared" si="0"/>
        <v>3.1550068587105593</v>
      </c>
      <c r="J14" s="43">
        <f t="shared" si="1"/>
        <v>3</v>
      </c>
      <c r="K14" s="9">
        <f t="shared" si="3"/>
        <v>9.4650205761316784</v>
      </c>
      <c r="L14" s="9">
        <f t="shared" si="4"/>
        <v>7.4074074074074012</v>
      </c>
      <c r="M14" s="43" t="str">
        <f t="shared" si="5"/>
        <v>DX28</v>
      </c>
      <c r="N14" s="43" t="str">
        <f t="shared" si="6"/>
        <v>16/20 Новатэк</v>
      </c>
      <c r="O14" s="43">
        <f t="shared" si="7"/>
        <v>700</v>
      </c>
      <c r="P14" s="43">
        <f t="shared" si="11"/>
        <v>800</v>
      </c>
      <c r="Q14" s="9">
        <f t="shared" si="12"/>
        <v>5555.5555555555511</v>
      </c>
      <c r="R14" s="9">
        <f t="shared" si="8"/>
        <v>92.550298385630114</v>
      </c>
      <c r="S14" s="9">
        <f t="shared" si="9"/>
        <v>23703.703703703701</v>
      </c>
      <c r="T14" s="21">
        <f t="shared" si="10"/>
        <v>101.23076142260794</v>
      </c>
      <c r="U14" s="6"/>
      <c r="V14" s="6"/>
      <c r="W14" s="6"/>
      <c r="X14" s="6"/>
      <c r="Y14" s="6"/>
      <c r="Z14" s="6"/>
      <c r="AA14" s="6"/>
      <c r="AH14" s="34">
        <v>1</v>
      </c>
      <c r="AI14" s="34">
        <v>2.2000000000000002</v>
      </c>
    </row>
    <row r="15" spans="1:36" ht="18" customHeight="1" x14ac:dyDescent="0.25">
      <c r="A15" s="6"/>
      <c r="B15" s="24" t="s">
        <v>46</v>
      </c>
      <c r="C15" s="39">
        <v>500</v>
      </c>
      <c r="D15" s="6"/>
      <c r="E15" s="10"/>
      <c r="F15" s="11"/>
      <c r="G15" s="6"/>
      <c r="H15" s="20" t="str">
        <f t="shared" si="2"/>
        <v>Пропант</v>
      </c>
      <c r="I15" s="9">
        <f t="shared" si="0"/>
        <v>3.2464563328760874</v>
      </c>
      <c r="J15" s="43">
        <f t="shared" si="1"/>
        <v>3</v>
      </c>
      <c r="K15" s="9">
        <f t="shared" si="3"/>
        <v>9.7393689986282617</v>
      </c>
      <c r="L15" s="9">
        <f t="shared" si="4"/>
        <v>7.407407407407411</v>
      </c>
      <c r="M15" s="43" t="str">
        <f t="shared" si="5"/>
        <v>DX28</v>
      </c>
      <c r="N15" s="43" t="str">
        <f t="shared" si="6"/>
        <v>16/20 Новатэк</v>
      </c>
      <c r="O15" s="43">
        <f t="shared" si="7"/>
        <v>800</v>
      </c>
      <c r="P15" s="43">
        <f t="shared" si="11"/>
        <v>900</v>
      </c>
      <c r="Q15" s="9">
        <f t="shared" si="12"/>
        <v>6296.2962962962993</v>
      </c>
      <c r="R15" s="9">
        <f t="shared" si="8"/>
        <v>99.957705793037519</v>
      </c>
      <c r="S15" s="9">
        <f t="shared" si="9"/>
        <v>30000</v>
      </c>
      <c r="T15" s="21">
        <f t="shared" si="10"/>
        <v>110.97013042123621</v>
      </c>
      <c r="U15" s="6"/>
      <c r="V15" s="6"/>
      <c r="W15" s="6"/>
      <c r="X15" s="6"/>
      <c r="Y15" s="6"/>
      <c r="Z15" s="6"/>
      <c r="AA15" s="6"/>
      <c r="AH15" s="34">
        <v>2</v>
      </c>
      <c r="AI15" s="34">
        <v>2.4</v>
      </c>
    </row>
    <row r="16" spans="1:36" ht="15.75" customHeight="1" x14ac:dyDescent="0.25">
      <c r="A16" s="6"/>
      <c r="B16" s="35" t="s">
        <v>135</v>
      </c>
      <c r="C16" s="39">
        <v>30</v>
      </c>
      <c r="D16" s="6"/>
      <c r="E16" s="10"/>
      <c r="F16" s="11"/>
      <c r="G16" s="6"/>
      <c r="H16" s="20" t="str">
        <f t="shared" si="2"/>
        <v>-</v>
      </c>
      <c r="I16" s="9" t="str">
        <f t="shared" si="0"/>
        <v>-</v>
      </c>
      <c r="J16" s="43" t="str">
        <f t="shared" si="1"/>
        <v>-</v>
      </c>
      <c r="K16" s="9" t="str">
        <f t="shared" si="3"/>
        <v>-</v>
      </c>
      <c r="L16" s="9" t="str">
        <f t="shared" si="4"/>
        <v>-</v>
      </c>
      <c r="M16" s="43" t="str">
        <f t="shared" si="5"/>
        <v>-</v>
      </c>
      <c r="N16" s="43" t="str">
        <f t="shared" si="6"/>
        <v>-</v>
      </c>
      <c r="O16" s="43" t="str">
        <f t="shared" si="7"/>
        <v>-</v>
      </c>
      <c r="P16" s="43" t="str">
        <f t="shared" si="11"/>
        <v>-</v>
      </c>
      <c r="Q16" s="9" t="str">
        <f t="shared" si="12"/>
        <v>-</v>
      </c>
      <c r="R16" s="9" t="str">
        <f t="shared" si="8"/>
        <v>-</v>
      </c>
      <c r="S16" s="9" t="str">
        <f t="shared" si="9"/>
        <v>-</v>
      </c>
      <c r="T16" s="21" t="str">
        <f t="shared" si="10"/>
        <v>-</v>
      </c>
      <c r="U16" s="6"/>
      <c r="V16" s="6"/>
      <c r="W16" s="6"/>
      <c r="X16" s="6"/>
      <c r="Y16" s="6"/>
      <c r="Z16" s="6"/>
      <c r="AA16" s="6"/>
      <c r="AH16" s="34">
        <v>3</v>
      </c>
      <c r="AI16" s="34">
        <v>2.6</v>
      </c>
    </row>
    <row r="17" spans="1:40" ht="19.5" customHeight="1" x14ac:dyDescent="0.25">
      <c r="A17" s="6"/>
      <c r="B17" s="24" t="s">
        <v>50</v>
      </c>
      <c r="C17" s="39" t="s">
        <v>51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0"/>
        <v>-</v>
      </c>
      <c r="J17" s="43" t="str">
        <f t="shared" si="1"/>
        <v>-</v>
      </c>
      <c r="K17" s="9" t="str">
        <f t="shared" si="3"/>
        <v>-</v>
      </c>
      <c r="L17" s="9" t="str">
        <f t="shared" si="4"/>
        <v>-</v>
      </c>
      <c r="M17" s="43" t="str">
        <f t="shared" si="5"/>
        <v>-</v>
      </c>
      <c r="N17" s="43" t="str">
        <f t="shared" si="6"/>
        <v>-</v>
      </c>
      <c r="O17" s="43" t="str">
        <f t="shared" si="7"/>
        <v>-</v>
      </c>
      <c r="P17" s="43" t="str">
        <f t="shared" si="11"/>
        <v>-</v>
      </c>
      <c r="Q17" s="9" t="str">
        <f t="shared" si="12"/>
        <v>-</v>
      </c>
      <c r="R17" s="9" t="str">
        <f t="shared" si="8"/>
        <v>-</v>
      </c>
      <c r="S17" s="9" t="str">
        <f t="shared" si="9"/>
        <v>-</v>
      </c>
      <c r="T17" s="21" t="str">
        <f t="shared" si="10"/>
        <v>-</v>
      </c>
      <c r="U17" s="6"/>
      <c r="V17" s="6"/>
      <c r="W17" s="6"/>
      <c r="X17" s="6"/>
      <c r="Y17" s="6"/>
      <c r="Z17" s="6"/>
      <c r="AA17" s="6"/>
      <c r="AH17" s="81" t="s">
        <v>137</v>
      </c>
      <c r="AI17" s="79"/>
    </row>
    <row r="18" spans="1:40" ht="15.75" customHeight="1" x14ac:dyDescent="0.25">
      <c r="A18" s="6"/>
      <c r="B18" s="24" t="s">
        <v>53</v>
      </c>
      <c r="C18" s="39" t="s">
        <v>54</v>
      </c>
      <c r="D18" s="6"/>
      <c r="E18" s="65">
        <f>IFERROR(C3/SUM(L5:L31), "-")</f>
        <v>0.30012693630759207</v>
      </c>
      <c r="F18" s="66"/>
      <c r="G18" s="6"/>
      <c r="H18" s="20" t="str">
        <f t="shared" si="2"/>
        <v>-</v>
      </c>
      <c r="I18" s="9" t="str">
        <f t="shared" si="0"/>
        <v>-</v>
      </c>
      <c r="J18" s="43" t="str">
        <f t="shared" si="1"/>
        <v>-</v>
      </c>
      <c r="K18" s="9" t="str">
        <f t="shared" si="3"/>
        <v>-</v>
      </c>
      <c r="L18" s="9" t="str">
        <f t="shared" si="4"/>
        <v>-</v>
      </c>
      <c r="M18" s="43" t="str">
        <f t="shared" si="5"/>
        <v>-</v>
      </c>
      <c r="N18" s="43" t="str">
        <f t="shared" si="6"/>
        <v>-</v>
      </c>
      <c r="O18" s="43" t="str">
        <f t="shared" si="7"/>
        <v>-</v>
      </c>
      <c r="P18" s="43" t="str">
        <f t="shared" si="11"/>
        <v>-</v>
      </c>
      <c r="Q18" s="9" t="str">
        <f t="shared" si="12"/>
        <v>-</v>
      </c>
      <c r="R18" s="9" t="str">
        <f t="shared" si="8"/>
        <v>-</v>
      </c>
      <c r="S18" s="9" t="str">
        <f t="shared" si="9"/>
        <v>-</v>
      </c>
      <c r="T18" s="21" t="str">
        <f t="shared" si="10"/>
        <v>-</v>
      </c>
      <c r="U18" s="6"/>
      <c r="V18" s="6"/>
      <c r="W18" s="6"/>
      <c r="X18" s="6"/>
      <c r="Y18" s="6"/>
      <c r="Z18" s="6"/>
      <c r="AA18" s="6"/>
      <c r="AH18" s="44" t="s">
        <v>52</v>
      </c>
      <c r="AI18" s="2">
        <f>IF(C7=-3,AI10,IF(C7=-2,AI11,IF(C7=-1,AI12,IF(C7=0,AI13,IF(C7=1,AI14,IF(C7=2,AI15,IF(C7=3,AI16)))))))</f>
        <v>2</v>
      </c>
    </row>
    <row r="19" spans="1:40" ht="15.75" customHeight="1" x14ac:dyDescent="0.25">
      <c r="A19" s="6"/>
      <c r="B19" s="24" t="s">
        <v>55</v>
      </c>
      <c r="C19" s="39">
        <v>30</v>
      </c>
      <c r="D19" s="6"/>
      <c r="E19" s="10"/>
      <c r="F19" s="11"/>
      <c r="G19" s="6"/>
      <c r="H19" s="20" t="str">
        <f t="shared" si="2"/>
        <v>-</v>
      </c>
      <c r="I19" s="9" t="str">
        <f t="shared" si="0"/>
        <v>-</v>
      </c>
      <c r="J19" s="43" t="str">
        <f t="shared" si="1"/>
        <v>-</v>
      </c>
      <c r="K19" s="9" t="str">
        <f t="shared" si="3"/>
        <v>-</v>
      </c>
      <c r="L19" s="9" t="str">
        <f t="shared" si="4"/>
        <v>-</v>
      </c>
      <c r="M19" s="43" t="str">
        <f t="shared" si="5"/>
        <v>-</v>
      </c>
      <c r="N19" s="43" t="str">
        <f t="shared" si="6"/>
        <v>-</v>
      </c>
      <c r="O19" s="43" t="str">
        <f t="shared" si="7"/>
        <v>-</v>
      </c>
      <c r="P19" s="43" t="str">
        <f t="shared" si="11"/>
        <v>-</v>
      </c>
      <c r="Q19" s="9" t="str">
        <f t="shared" si="12"/>
        <v>-</v>
      </c>
      <c r="R19" s="9" t="str">
        <f t="shared" si="8"/>
        <v>-</v>
      </c>
      <c r="S19" s="9" t="str">
        <f t="shared" si="9"/>
        <v>-</v>
      </c>
      <c r="T19" s="21" t="str">
        <f t="shared" si="10"/>
        <v>-</v>
      </c>
      <c r="U19" s="6"/>
      <c r="V19" s="6"/>
      <c r="W19" s="6"/>
      <c r="X19" s="6"/>
      <c r="Y19" s="6"/>
      <c r="Z19" s="6"/>
      <c r="AA19" s="6"/>
    </row>
    <row r="20" spans="1:40" ht="16.5" customHeight="1" thickBot="1" x14ac:dyDescent="0.3">
      <c r="A20" s="6"/>
      <c r="B20" s="33" t="s">
        <v>56</v>
      </c>
      <c r="C20" s="56">
        <v>70</v>
      </c>
      <c r="D20" s="6"/>
      <c r="E20" s="17"/>
      <c r="F20" s="18"/>
      <c r="G20" s="6"/>
      <c r="H20" s="20" t="str">
        <f t="shared" si="2"/>
        <v>-</v>
      </c>
      <c r="I20" s="9" t="str">
        <f t="shared" si="0"/>
        <v>-</v>
      </c>
      <c r="J20" s="43" t="str">
        <f t="shared" si="1"/>
        <v>-</v>
      </c>
      <c r="K20" s="9" t="str">
        <f t="shared" si="3"/>
        <v>-</v>
      </c>
      <c r="L20" s="9" t="str">
        <f t="shared" si="4"/>
        <v>-</v>
      </c>
      <c r="M20" s="43" t="str">
        <f t="shared" si="5"/>
        <v>-</v>
      </c>
      <c r="N20" s="43" t="str">
        <f t="shared" si="6"/>
        <v>-</v>
      </c>
      <c r="O20" s="43" t="str">
        <f t="shared" si="7"/>
        <v>-</v>
      </c>
      <c r="P20" s="43" t="str">
        <f t="shared" si="11"/>
        <v>-</v>
      </c>
      <c r="Q20" s="9" t="str">
        <f t="shared" si="12"/>
        <v>-</v>
      </c>
      <c r="R20" s="9" t="str">
        <f t="shared" si="8"/>
        <v>-</v>
      </c>
      <c r="S20" s="9" t="str">
        <f t="shared" si="9"/>
        <v>-</v>
      </c>
      <c r="T20" s="21" t="str">
        <f t="shared" si="10"/>
        <v>-</v>
      </c>
      <c r="U20" s="6"/>
      <c r="V20" s="6"/>
      <c r="W20" s="6"/>
      <c r="X20" s="6"/>
      <c r="Y20" s="6"/>
      <c r="Z20" s="6"/>
      <c r="AA20" s="6"/>
      <c r="AH20" s="67" t="s">
        <v>138</v>
      </c>
      <c r="AI20" s="68"/>
      <c r="AJ20" s="68"/>
      <c r="AK20" s="68"/>
      <c r="AL20" s="68"/>
      <c r="AM20" s="68"/>
      <c r="AN20" s="68"/>
    </row>
    <row r="21" spans="1:40" ht="15.75" customHeight="1" x14ac:dyDescent="0.25">
      <c r="A21" s="6"/>
      <c r="B21" s="24" t="s">
        <v>58</v>
      </c>
      <c r="C21" s="39" t="s">
        <v>59</v>
      </c>
      <c r="D21" s="6"/>
      <c r="E21" s="6"/>
      <c r="F21" s="6"/>
      <c r="G21" s="6"/>
      <c r="H21" s="20" t="str">
        <f t="shared" si="2"/>
        <v>-</v>
      </c>
      <c r="I21" s="9" t="str">
        <f t="shared" si="0"/>
        <v>-</v>
      </c>
      <c r="J21" s="43" t="str">
        <f t="shared" si="1"/>
        <v>-</v>
      </c>
      <c r="K21" s="9" t="str">
        <f t="shared" si="3"/>
        <v>-</v>
      </c>
      <c r="L21" s="9" t="str">
        <f t="shared" si="4"/>
        <v>-</v>
      </c>
      <c r="M21" s="43" t="str">
        <f t="shared" si="5"/>
        <v>-</v>
      </c>
      <c r="N21" s="43" t="str">
        <f t="shared" si="6"/>
        <v>-</v>
      </c>
      <c r="O21" s="43" t="str">
        <f t="shared" si="7"/>
        <v>-</v>
      </c>
      <c r="P21" s="43" t="str">
        <f t="shared" si="11"/>
        <v>-</v>
      </c>
      <c r="Q21" s="9" t="str">
        <f t="shared" si="12"/>
        <v>-</v>
      </c>
      <c r="R21" s="9" t="str">
        <f t="shared" si="8"/>
        <v>-</v>
      </c>
      <c r="S21" s="9" t="str">
        <f t="shared" si="9"/>
        <v>-</v>
      </c>
      <c r="T21" s="21" t="str">
        <f t="shared" si="10"/>
        <v>-</v>
      </c>
      <c r="U21" s="6"/>
      <c r="V21" s="6"/>
      <c r="W21" s="6"/>
      <c r="X21" s="6"/>
      <c r="Y21" s="6"/>
      <c r="Z21" s="6"/>
      <c r="AA21" s="6"/>
      <c r="AH21" s="78" t="s">
        <v>57</v>
      </c>
      <c r="AI21" s="79"/>
      <c r="AJ21" s="79"/>
      <c r="AK21" s="80"/>
      <c r="AM21" s="78" t="s">
        <v>64</v>
      </c>
      <c r="AN21" s="80"/>
    </row>
    <row r="22" spans="1:40" ht="18.75" customHeight="1" thickBot="1" x14ac:dyDescent="0.3">
      <c r="A22" s="6"/>
      <c r="B22" s="27" t="s">
        <v>65</v>
      </c>
      <c r="C22" s="47">
        <v>15</v>
      </c>
      <c r="D22" s="6"/>
      <c r="E22" s="6"/>
      <c r="F22" s="6"/>
      <c r="G22" s="6"/>
      <c r="H22" s="20" t="str">
        <f t="shared" si="2"/>
        <v>-</v>
      </c>
      <c r="I22" s="9" t="str">
        <f t="shared" si="0"/>
        <v>-</v>
      </c>
      <c r="J22" s="43" t="str">
        <f t="shared" si="1"/>
        <v>-</v>
      </c>
      <c r="K22" s="9" t="str">
        <f t="shared" si="3"/>
        <v>-</v>
      </c>
      <c r="L22" s="9" t="str">
        <f t="shared" si="4"/>
        <v>-</v>
      </c>
      <c r="M22" s="43" t="str">
        <f t="shared" si="5"/>
        <v>-</v>
      </c>
      <c r="N22" s="43" t="str">
        <f t="shared" si="6"/>
        <v>-</v>
      </c>
      <c r="O22" s="43" t="str">
        <f t="shared" si="7"/>
        <v>-</v>
      </c>
      <c r="P22" s="43" t="str">
        <f t="shared" si="11"/>
        <v>-</v>
      </c>
      <c r="Q22" s="9" t="str">
        <f t="shared" si="12"/>
        <v>-</v>
      </c>
      <c r="R22" s="9" t="str">
        <f t="shared" si="8"/>
        <v>-</v>
      </c>
      <c r="S22" s="9" t="str">
        <f t="shared" si="9"/>
        <v>-</v>
      </c>
      <c r="T22" s="21" t="str">
        <f t="shared" si="10"/>
        <v>-</v>
      </c>
      <c r="U22" s="6"/>
      <c r="V22" s="6"/>
      <c r="W22" s="6"/>
      <c r="X22" s="6"/>
      <c r="Y22" s="6"/>
      <c r="Z22" s="6"/>
      <c r="AA22" s="6"/>
      <c r="AH22" s="38" t="s">
        <v>60</v>
      </c>
      <c r="AI22" s="38" t="s">
        <v>61</v>
      </c>
      <c r="AJ22" s="38" t="s">
        <v>62</v>
      </c>
      <c r="AK22" s="38" t="s">
        <v>63</v>
      </c>
      <c r="AM22" s="34" t="s">
        <v>68</v>
      </c>
      <c r="AN22" s="34" t="s">
        <v>69</v>
      </c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0"/>
        <v>-</v>
      </c>
      <c r="J23" s="43" t="str">
        <f t="shared" si="1"/>
        <v>-</v>
      </c>
      <c r="K23" s="9" t="str">
        <f t="shared" si="3"/>
        <v>-</v>
      </c>
      <c r="L23" s="9" t="str">
        <f t="shared" si="4"/>
        <v>-</v>
      </c>
      <c r="M23" s="43" t="str">
        <f t="shared" si="5"/>
        <v>-</v>
      </c>
      <c r="N23" s="43" t="str">
        <f t="shared" si="6"/>
        <v>-</v>
      </c>
      <c r="O23" s="43" t="str">
        <f t="shared" si="7"/>
        <v>-</v>
      </c>
      <c r="P23" s="43" t="str">
        <f t="shared" si="11"/>
        <v>-</v>
      </c>
      <c r="Q23" s="9" t="str">
        <f t="shared" si="12"/>
        <v>-</v>
      </c>
      <c r="R23" s="9" t="str">
        <f t="shared" si="8"/>
        <v>-</v>
      </c>
      <c r="S23" s="9" t="str">
        <f t="shared" si="9"/>
        <v>-</v>
      </c>
      <c r="T23" s="21" t="str">
        <f t="shared" si="10"/>
        <v>-</v>
      </c>
      <c r="U23" s="6"/>
      <c r="V23" s="6"/>
      <c r="W23" s="6"/>
      <c r="X23" s="6"/>
      <c r="Y23" s="6"/>
      <c r="Z23" s="6"/>
      <c r="AA23" s="6"/>
      <c r="AH23" s="34" t="s">
        <v>40</v>
      </c>
      <c r="AI23" s="34" t="s">
        <v>66</v>
      </c>
      <c r="AJ23" s="34" t="s">
        <v>67</v>
      </c>
      <c r="AK23" s="34" t="s">
        <v>59</v>
      </c>
      <c r="AM23" s="34" t="s">
        <v>72</v>
      </c>
      <c r="AN23" s="34">
        <v>3.11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0"/>
        <v>-</v>
      </c>
      <c r="J24" s="43" t="str">
        <f t="shared" si="1"/>
        <v>-</v>
      </c>
      <c r="K24" s="9" t="str">
        <f t="shared" si="3"/>
        <v>-</v>
      </c>
      <c r="L24" s="9" t="str">
        <f t="shared" si="4"/>
        <v>-</v>
      </c>
      <c r="M24" s="43" t="str">
        <f t="shared" si="5"/>
        <v>-</v>
      </c>
      <c r="N24" s="43" t="str">
        <f t="shared" si="6"/>
        <v>-</v>
      </c>
      <c r="O24" s="43" t="str">
        <f t="shared" si="7"/>
        <v>-</v>
      </c>
      <c r="P24" s="43" t="str">
        <f t="shared" si="11"/>
        <v>-</v>
      </c>
      <c r="Q24" s="9" t="str">
        <f t="shared" si="12"/>
        <v>-</v>
      </c>
      <c r="R24" s="9" t="str">
        <f t="shared" si="8"/>
        <v>-</v>
      </c>
      <c r="S24" s="9" t="str">
        <f t="shared" si="9"/>
        <v>-</v>
      </c>
      <c r="T24" s="21" t="str">
        <f t="shared" si="10"/>
        <v>-</v>
      </c>
      <c r="U24" s="6"/>
      <c r="V24" s="6"/>
      <c r="W24" s="6"/>
      <c r="X24" s="6"/>
      <c r="Y24" s="6"/>
      <c r="Z24" s="6"/>
      <c r="AA24" s="6"/>
      <c r="AH24" s="34"/>
      <c r="AI24" s="34" t="s">
        <v>70</v>
      </c>
      <c r="AJ24" s="34" t="s">
        <v>71</v>
      </c>
      <c r="AK24" s="34" t="s">
        <v>40</v>
      </c>
      <c r="AM24" s="34" t="s">
        <v>75</v>
      </c>
      <c r="AN24" s="34">
        <v>2.95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0"/>
        <v>-</v>
      </c>
      <c r="J25" s="43" t="str">
        <f t="shared" si="1"/>
        <v>-</v>
      </c>
      <c r="K25" s="9" t="str">
        <f t="shared" si="3"/>
        <v>-</v>
      </c>
      <c r="L25" s="9" t="str">
        <f t="shared" si="4"/>
        <v>-</v>
      </c>
      <c r="M25" s="43" t="str">
        <f t="shared" si="5"/>
        <v>-</v>
      </c>
      <c r="N25" s="43" t="str">
        <f t="shared" si="6"/>
        <v>-</v>
      </c>
      <c r="O25" s="43" t="str">
        <f t="shared" si="7"/>
        <v>-</v>
      </c>
      <c r="P25" s="43" t="str">
        <f t="shared" si="11"/>
        <v>-</v>
      </c>
      <c r="Q25" s="9" t="str">
        <f t="shared" si="12"/>
        <v>-</v>
      </c>
      <c r="R25" s="9" t="str">
        <f t="shared" si="8"/>
        <v>-</v>
      </c>
      <c r="S25" s="9" t="str">
        <f t="shared" si="9"/>
        <v>-</v>
      </c>
      <c r="T25" s="21" t="str">
        <f t="shared" si="10"/>
        <v>-</v>
      </c>
      <c r="U25" s="6"/>
      <c r="V25" s="6"/>
      <c r="W25" s="6"/>
      <c r="X25" s="6"/>
      <c r="Y25" s="6"/>
      <c r="Z25" s="6"/>
      <c r="AA25" s="6"/>
      <c r="AH25" s="34"/>
      <c r="AI25" s="34" t="s">
        <v>73</v>
      </c>
      <c r="AJ25" s="34" t="s">
        <v>74</v>
      </c>
      <c r="AK25" s="34" t="s">
        <v>66</v>
      </c>
      <c r="AM25" s="34" t="s">
        <v>36</v>
      </c>
      <c r="AN25" s="34">
        <v>2.7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0"/>
        <v>-</v>
      </c>
      <c r="J26" s="43" t="str">
        <f t="shared" si="1"/>
        <v>-</v>
      </c>
      <c r="K26" s="9" t="str">
        <f t="shared" si="3"/>
        <v>-</v>
      </c>
      <c r="L26" s="9" t="str">
        <f t="shared" si="4"/>
        <v>-</v>
      </c>
      <c r="M26" s="43" t="str">
        <f t="shared" si="5"/>
        <v>-</v>
      </c>
      <c r="N26" s="43" t="str">
        <f t="shared" si="6"/>
        <v>-</v>
      </c>
      <c r="O26" s="43" t="str">
        <f t="shared" si="7"/>
        <v>-</v>
      </c>
      <c r="P26" s="43" t="str">
        <f t="shared" si="11"/>
        <v>-</v>
      </c>
      <c r="Q26" s="9" t="str">
        <f t="shared" si="12"/>
        <v>-</v>
      </c>
      <c r="R26" s="9" t="str">
        <f t="shared" si="8"/>
        <v>-</v>
      </c>
      <c r="S26" s="9" t="str">
        <f t="shared" si="9"/>
        <v>-</v>
      </c>
      <c r="T26" s="21" t="str">
        <f t="shared" si="10"/>
        <v>-</v>
      </c>
      <c r="U26" s="6"/>
      <c r="V26" s="6"/>
      <c r="W26" s="6"/>
      <c r="X26" s="6"/>
      <c r="Y26" s="6"/>
      <c r="Z26" s="6"/>
      <c r="AA26" s="6"/>
      <c r="AH26" s="34"/>
      <c r="AI26" s="34" t="s">
        <v>76</v>
      </c>
      <c r="AJ26" s="34" t="s">
        <v>77</v>
      </c>
      <c r="AK26" s="34" t="s">
        <v>70</v>
      </c>
      <c r="AM26" s="34" t="s">
        <v>80</v>
      </c>
      <c r="AN26" s="34">
        <v>3.2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0"/>
        <v>-</v>
      </c>
      <c r="J27" s="43" t="str">
        <f t="shared" si="1"/>
        <v>-</v>
      </c>
      <c r="K27" s="9" t="str">
        <f t="shared" si="3"/>
        <v>-</v>
      </c>
      <c r="L27" s="9" t="str">
        <f t="shared" si="4"/>
        <v>-</v>
      </c>
      <c r="M27" s="43" t="str">
        <f t="shared" si="5"/>
        <v>-</v>
      </c>
      <c r="N27" s="43" t="str">
        <f t="shared" si="6"/>
        <v>-</v>
      </c>
      <c r="O27" s="43" t="str">
        <f t="shared" si="7"/>
        <v>-</v>
      </c>
      <c r="P27" s="43" t="str">
        <f t="shared" si="11"/>
        <v>-</v>
      </c>
      <c r="Q27" s="9" t="str">
        <f t="shared" si="12"/>
        <v>-</v>
      </c>
      <c r="R27" s="9" t="str">
        <f t="shared" si="8"/>
        <v>-</v>
      </c>
      <c r="S27" s="9" t="str">
        <f t="shared" si="9"/>
        <v>-</v>
      </c>
      <c r="T27" s="21" t="str">
        <f t="shared" si="10"/>
        <v>-</v>
      </c>
      <c r="U27" s="6"/>
      <c r="V27" s="6"/>
      <c r="W27" s="6"/>
      <c r="X27" s="6"/>
      <c r="Y27" s="6"/>
      <c r="Z27" s="6"/>
      <c r="AA27" s="6"/>
      <c r="AH27" s="34"/>
      <c r="AI27" s="34" t="s">
        <v>78</v>
      </c>
      <c r="AJ27" s="34" t="s">
        <v>79</v>
      </c>
      <c r="AK27" s="34" t="s">
        <v>73</v>
      </c>
      <c r="AM27" s="34" t="s">
        <v>33</v>
      </c>
      <c r="AN27" s="34">
        <v>2.78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0"/>
        <v>-</v>
      </c>
      <c r="J28" s="43" t="str">
        <f t="shared" si="1"/>
        <v>-</v>
      </c>
      <c r="K28" s="9" t="str">
        <f t="shared" si="3"/>
        <v>-</v>
      </c>
      <c r="L28" s="9" t="str">
        <f t="shared" si="4"/>
        <v>-</v>
      </c>
      <c r="M28" s="43" t="str">
        <f t="shared" si="5"/>
        <v>-</v>
      </c>
      <c r="N28" s="43" t="str">
        <f t="shared" si="6"/>
        <v>-</v>
      </c>
      <c r="O28" s="43" t="str">
        <f t="shared" si="7"/>
        <v>-</v>
      </c>
      <c r="P28" s="43" t="str">
        <f t="shared" si="11"/>
        <v>-</v>
      </c>
      <c r="Q28" s="9" t="str">
        <f t="shared" si="12"/>
        <v>-</v>
      </c>
      <c r="R28" s="9" t="str">
        <f t="shared" si="8"/>
        <v>-</v>
      </c>
      <c r="S28" s="9" t="str">
        <f t="shared" si="9"/>
        <v>-</v>
      </c>
      <c r="T28" s="21" t="str">
        <f t="shared" si="10"/>
        <v>-</v>
      </c>
      <c r="U28" s="6"/>
      <c r="V28" s="6"/>
      <c r="W28" s="6"/>
      <c r="X28" s="6"/>
      <c r="Y28" s="6"/>
      <c r="Z28" s="6"/>
      <c r="AA28" s="6"/>
      <c r="AH28" s="34"/>
      <c r="AI28" s="34" t="s">
        <v>51</v>
      </c>
      <c r="AJ28" s="34" t="s">
        <v>81</v>
      </c>
      <c r="AK28" s="34" t="s">
        <v>76</v>
      </c>
      <c r="AM28" s="34" t="s">
        <v>83</v>
      </c>
      <c r="AN28" s="34">
        <v>3.15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0"/>
        <v>-</v>
      </c>
      <c r="J29" s="43" t="str">
        <f t="shared" si="1"/>
        <v>-</v>
      </c>
      <c r="K29" s="9" t="str">
        <f t="shared" si="3"/>
        <v>-</v>
      </c>
      <c r="L29" s="9" t="str">
        <f t="shared" si="4"/>
        <v>-</v>
      </c>
      <c r="M29" s="43" t="str">
        <f t="shared" si="5"/>
        <v>-</v>
      </c>
      <c r="N29" s="43" t="str">
        <f t="shared" si="6"/>
        <v>-</v>
      </c>
      <c r="O29" s="43" t="str">
        <f t="shared" si="7"/>
        <v>-</v>
      </c>
      <c r="P29" s="43" t="str">
        <f t="shared" si="11"/>
        <v>-</v>
      </c>
      <c r="Q29" s="9" t="str">
        <f t="shared" si="12"/>
        <v>-</v>
      </c>
      <c r="R29" s="9" t="str">
        <f t="shared" si="8"/>
        <v>-</v>
      </c>
      <c r="S29" s="9" t="str">
        <f t="shared" si="9"/>
        <v>-</v>
      </c>
      <c r="T29" s="21" t="str">
        <f t="shared" si="10"/>
        <v>-</v>
      </c>
      <c r="U29" s="6"/>
      <c r="V29" s="6"/>
      <c r="W29" s="6"/>
      <c r="X29" s="6"/>
      <c r="Y29" s="6"/>
      <c r="Z29" s="6"/>
      <c r="AA29" s="6"/>
      <c r="AH29" s="34"/>
      <c r="AI29" s="34" t="s">
        <v>82</v>
      </c>
      <c r="AJ29" s="34" t="s">
        <v>54</v>
      </c>
      <c r="AK29" s="34" t="s">
        <v>78</v>
      </c>
      <c r="AM29" s="34" t="s">
        <v>84</v>
      </c>
      <c r="AN29" s="34">
        <v>3.11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0"/>
        <v>-</v>
      </c>
      <c r="J30" s="43" t="str">
        <f t="shared" si="1"/>
        <v>-</v>
      </c>
      <c r="K30" s="9" t="str">
        <f t="shared" si="3"/>
        <v>-</v>
      </c>
      <c r="L30" s="9" t="str">
        <f t="shared" si="4"/>
        <v>-</v>
      </c>
      <c r="M30" s="43" t="str">
        <f t="shared" si="5"/>
        <v>-</v>
      </c>
      <c r="N30" s="43" t="str">
        <f t="shared" si="6"/>
        <v>-</v>
      </c>
      <c r="O30" s="43" t="str">
        <f t="shared" si="7"/>
        <v>-</v>
      </c>
      <c r="P30" s="43" t="str">
        <f t="shared" si="11"/>
        <v>-</v>
      </c>
      <c r="Q30" s="9" t="str">
        <f t="shared" si="12"/>
        <v>-</v>
      </c>
      <c r="R30" s="9" t="str">
        <f t="shared" si="8"/>
        <v>-</v>
      </c>
      <c r="S30" s="9" t="str">
        <f t="shared" si="9"/>
        <v>-</v>
      </c>
      <c r="T30" s="21" t="str">
        <f t="shared" si="10"/>
        <v>-</v>
      </c>
      <c r="U30" s="6"/>
      <c r="V30" s="6"/>
      <c r="W30" s="6"/>
      <c r="X30" s="6"/>
      <c r="Y30" s="6"/>
      <c r="Z30" s="6"/>
      <c r="AA30" s="6"/>
      <c r="AH30" s="34"/>
      <c r="AI30" s="34" t="s">
        <v>42</v>
      </c>
      <c r="AJ30" s="34" t="s">
        <v>44</v>
      </c>
      <c r="AK30" s="34" t="s">
        <v>51</v>
      </c>
      <c r="AM30" s="34" t="s">
        <v>87</v>
      </c>
      <c r="AN30" s="34">
        <v>2.78</v>
      </c>
    </row>
    <row r="31" spans="1:40" ht="16.5" customHeight="1" thickBot="1" x14ac:dyDescent="0.3">
      <c r="A31" s="6"/>
      <c r="B31" s="6"/>
      <c r="C31" s="6"/>
      <c r="D31" s="6"/>
      <c r="E31" s="6"/>
      <c r="F31" s="6"/>
      <c r="G31" s="6"/>
      <c r="H31" s="22" t="str">
        <f t="shared" si="2"/>
        <v>-</v>
      </c>
      <c r="I31" s="23" t="str">
        <f t="shared" si="0"/>
        <v>-</v>
      </c>
      <c r="J31" s="48" t="str">
        <f t="shared" si="1"/>
        <v>-</v>
      </c>
      <c r="K31" s="23" t="str">
        <f t="shared" si="3"/>
        <v>-</v>
      </c>
      <c r="L31" s="23" t="str">
        <f t="shared" si="4"/>
        <v>-</v>
      </c>
      <c r="M31" s="43" t="str">
        <f t="shared" si="5"/>
        <v>-</v>
      </c>
      <c r="N31" s="43" t="str">
        <f t="shared" si="6"/>
        <v>-</v>
      </c>
      <c r="O31" s="48" t="str">
        <f t="shared" si="7"/>
        <v>-</v>
      </c>
      <c r="P31" s="48" t="str">
        <f t="shared" si="11"/>
        <v>-</v>
      </c>
      <c r="Q31" s="23" t="str">
        <f t="shared" si="12"/>
        <v>-</v>
      </c>
      <c r="R31" s="23" t="str">
        <f t="shared" si="8"/>
        <v>-</v>
      </c>
      <c r="S31" s="23" t="str">
        <f t="shared" si="9"/>
        <v>-</v>
      </c>
      <c r="T31" s="36" t="str">
        <f t="shared" si="10"/>
        <v>-</v>
      </c>
      <c r="U31" s="6"/>
      <c r="V31" s="6"/>
      <c r="W31" s="6"/>
      <c r="X31" s="6"/>
      <c r="Y31" s="6"/>
      <c r="Z31" s="6"/>
      <c r="AA31" s="6"/>
      <c r="AH31" s="34"/>
      <c r="AI31" s="34" t="s">
        <v>85</v>
      </c>
      <c r="AJ31" s="34" t="s">
        <v>86</v>
      </c>
      <c r="AK31" s="34" t="s">
        <v>82</v>
      </c>
      <c r="AM31" s="34" t="s">
        <v>90</v>
      </c>
      <c r="AN31" s="34">
        <v>3.2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H32" s="34"/>
      <c r="AI32" s="34" t="s">
        <v>88</v>
      </c>
      <c r="AJ32" s="34" t="s">
        <v>89</v>
      </c>
      <c r="AK32" s="34" t="s">
        <v>42</v>
      </c>
      <c r="AM32" s="34" t="s">
        <v>93</v>
      </c>
      <c r="AN32" s="34">
        <v>3.08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H33" s="34"/>
      <c r="AI33" s="34" t="s">
        <v>91</v>
      </c>
      <c r="AJ33" s="34" t="s">
        <v>92</v>
      </c>
      <c r="AK33" s="34" t="s">
        <v>85</v>
      </c>
      <c r="AM33" s="34" t="s">
        <v>96</v>
      </c>
      <c r="AN33" s="34">
        <v>3.07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H34" s="34"/>
      <c r="AI34" s="34" t="s">
        <v>94</v>
      </c>
      <c r="AJ34" s="34" t="s">
        <v>95</v>
      </c>
      <c r="AK34" s="34" t="s">
        <v>88</v>
      </c>
      <c r="AM34" s="34" t="s">
        <v>99</v>
      </c>
      <c r="AN34" s="34">
        <v>3.7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H35" s="34"/>
      <c r="AI35" s="34" t="s">
        <v>97</v>
      </c>
      <c r="AJ35" s="34" t="s">
        <v>98</v>
      </c>
      <c r="AK35" s="34" t="s">
        <v>91</v>
      </c>
      <c r="AM35" s="34" t="s">
        <v>102</v>
      </c>
      <c r="AN35" s="34">
        <v>3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H36" s="34"/>
      <c r="AI36" s="34" t="s">
        <v>100</v>
      </c>
      <c r="AJ36" s="34" t="s">
        <v>101</v>
      </c>
      <c r="AK36" s="34" t="s">
        <v>94</v>
      </c>
      <c r="AM36" s="34" t="s">
        <v>105</v>
      </c>
      <c r="AN36" s="34">
        <v>3.09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H37" s="34"/>
      <c r="AI37" s="34" t="s">
        <v>103</v>
      </c>
      <c r="AJ37" s="34" t="s">
        <v>104</v>
      </c>
      <c r="AK37" s="34" t="s">
        <v>97</v>
      </c>
      <c r="AM37" s="34" t="s">
        <v>108</v>
      </c>
      <c r="AN37" s="34">
        <v>3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H38" s="34"/>
      <c r="AI38" s="34" t="s">
        <v>106</v>
      </c>
      <c r="AJ38" s="34" t="s">
        <v>107</v>
      </c>
      <c r="AK38" s="34" t="s">
        <v>100</v>
      </c>
      <c r="AM38" s="34" t="s">
        <v>110</v>
      </c>
      <c r="AN38" s="34">
        <v>3.1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H39" s="34"/>
      <c r="AI39" s="34" t="s">
        <v>109</v>
      </c>
      <c r="AJ39" s="34"/>
      <c r="AK39" s="34" t="s">
        <v>103</v>
      </c>
      <c r="AM39" s="34" t="s">
        <v>112</v>
      </c>
      <c r="AN39" s="34">
        <v>2.9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H40" s="34"/>
      <c r="AI40" s="34" t="s">
        <v>111</v>
      </c>
      <c r="AJ40" s="34"/>
      <c r="AK40" s="34" t="s">
        <v>106</v>
      </c>
      <c r="AM40" s="34" t="s">
        <v>113</v>
      </c>
      <c r="AN40" s="34">
        <v>2.88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H41" s="34"/>
      <c r="AI41" s="34"/>
      <c r="AJ41" s="34"/>
      <c r="AK41" s="34" t="s">
        <v>109</v>
      </c>
      <c r="AM41" s="34" t="s">
        <v>114</v>
      </c>
      <c r="AN41" s="34">
        <v>2.96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H42" s="34"/>
      <c r="AI42" s="34"/>
      <c r="AJ42" s="34"/>
      <c r="AK42" s="34" t="s">
        <v>111</v>
      </c>
      <c r="AM42" s="34" t="s">
        <v>75</v>
      </c>
      <c r="AN42" s="34">
        <v>2.95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H43" s="34"/>
      <c r="AI43" s="34"/>
      <c r="AJ43" s="34"/>
      <c r="AK43" s="34" t="s">
        <v>67</v>
      </c>
      <c r="AM43" s="34" t="s">
        <v>115</v>
      </c>
      <c r="AN43" s="34">
        <v>3.06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H44" s="34"/>
      <c r="AI44" s="34"/>
      <c r="AJ44" s="34"/>
      <c r="AK44" s="34" t="s">
        <v>71</v>
      </c>
      <c r="AM44" s="34" t="s">
        <v>116</v>
      </c>
      <c r="AN44" s="34">
        <v>3.12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H45" s="34"/>
      <c r="AI45" s="34"/>
      <c r="AJ45" s="34"/>
      <c r="AK45" s="34" t="s">
        <v>74</v>
      </c>
      <c r="AM45" s="34" t="s">
        <v>117</v>
      </c>
      <c r="AN45" s="34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H46" s="34"/>
      <c r="AI46" s="34"/>
      <c r="AJ46" s="34"/>
      <c r="AK46" s="34" t="s">
        <v>77</v>
      </c>
      <c r="AM46" s="34" t="s">
        <v>83</v>
      </c>
      <c r="AN46" s="34">
        <v>3.15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H47" s="34"/>
      <c r="AI47" s="34"/>
      <c r="AJ47" s="34"/>
      <c r="AK47" s="34" t="s">
        <v>79</v>
      </c>
      <c r="AM47" s="34" t="s">
        <v>118</v>
      </c>
      <c r="AN47" s="34">
        <v>2.89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H48" s="34"/>
      <c r="AI48" s="34"/>
      <c r="AJ48" s="34"/>
      <c r="AK48" s="34" t="s">
        <v>81</v>
      </c>
      <c r="AM48" s="34" t="s">
        <v>119</v>
      </c>
      <c r="AN48" s="34">
        <v>2.92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H49" s="34"/>
      <c r="AI49" s="34"/>
      <c r="AJ49" s="34"/>
      <c r="AK49" s="34" t="s">
        <v>54</v>
      </c>
      <c r="AM49" s="34" t="s">
        <v>120</v>
      </c>
      <c r="AN49" s="34">
        <v>2.95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H50" s="34"/>
      <c r="AI50" s="34"/>
      <c r="AJ50" s="34"/>
      <c r="AK50" s="34" t="s">
        <v>44</v>
      </c>
      <c r="AM50" s="34" t="s">
        <v>121</v>
      </c>
      <c r="AN50" s="34">
        <v>2.9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H51" s="34"/>
      <c r="AI51" s="34"/>
      <c r="AJ51" s="34"/>
      <c r="AK51" s="34" t="s">
        <v>86</v>
      </c>
      <c r="AM51" s="34"/>
      <c r="AN51" s="34"/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H52" s="34"/>
      <c r="AI52" s="34"/>
      <c r="AJ52" s="34"/>
      <c r="AK52" s="34" t="s">
        <v>89</v>
      </c>
      <c r="AM52" s="34"/>
      <c r="AN52" s="34"/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H53" s="34"/>
      <c r="AI53" s="34"/>
      <c r="AJ53" s="34"/>
      <c r="AK53" s="34" t="s">
        <v>92</v>
      </c>
      <c r="AM53" s="34"/>
      <c r="AN53" s="34"/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H54" s="34"/>
      <c r="AI54" s="34"/>
      <c r="AJ54" s="34"/>
      <c r="AK54" s="34" t="s">
        <v>95</v>
      </c>
      <c r="AM54" s="34"/>
      <c r="AN54" s="34"/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H55" s="34"/>
      <c r="AI55" s="34"/>
      <c r="AJ55" s="34"/>
      <c r="AK55" s="34" t="s">
        <v>98</v>
      </c>
      <c r="AM55" s="34"/>
      <c r="AN55" s="34"/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H56" s="34"/>
      <c r="AI56" s="34"/>
      <c r="AJ56" s="34"/>
      <c r="AK56" s="34" t="s">
        <v>101</v>
      </c>
      <c r="AM56" s="34"/>
      <c r="AN56" s="34"/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H57" s="34"/>
      <c r="AI57" s="34"/>
      <c r="AJ57" s="34"/>
      <c r="AK57" s="34" t="s">
        <v>104</v>
      </c>
      <c r="AM57" s="34"/>
      <c r="AN57" s="34"/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H58" s="34"/>
      <c r="AI58" s="34"/>
      <c r="AJ58" s="34"/>
      <c r="AK58" s="34" t="s">
        <v>107</v>
      </c>
      <c r="AM58" s="34"/>
      <c r="AN58" s="34"/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H59" s="34"/>
      <c r="AI59" s="34"/>
      <c r="AJ59" s="34"/>
      <c r="AK59" s="34"/>
      <c r="AM59" s="34"/>
      <c r="AN59" s="34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H60" s="34"/>
      <c r="AI60" s="34"/>
      <c r="AJ60" s="34"/>
      <c r="AK60" s="34"/>
      <c r="AM60" s="34"/>
      <c r="AN60" s="34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H61" s="34"/>
      <c r="AI61" s="34"/>
      <c r="AJ61" s="34"/>
      <c r="AK61" s="34"/>
      <c r="AM61" s="34"/>
      <c r="AN61" s="34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H62" s="34"/>
      <c r="AI62" s="34"/>
      <c r="AJ62" s="34"/>
      <c r="AK62" s="34"/>
      <c r="AM62" s="34"/>
      <c r="AN62" s="34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H63" s="34"/>
      <c r="AI63" s="34"/>
      <c r="AJ63" s="34"/>
      <c r="AK63" s="34"/>
      <c r="AM63" s="34"/>
      <c r="AN63" s="34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H64" s="34"/>
      <c r="AI64" s="34"/>
      <c r="AJ64" s="34"/>
      <c r="AK64" s="34"/>
      <c r="AM64" s="34"/>
      <c r="AN64" s="34"/>
    </row>
    <row r="65" spans="1:40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H65" s="34"/>
      <c r="AI65" s="34"/>
      <c r="AJ65" s="34"/>
      <c r="AK65" s="34"/>
      <c r="AM65" s="34"/>
      <c r="AN65" s="34"/>
    </row>
    <row r="66" spans="1:40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40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40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40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40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40" x14ac:dyDescent="0.25">
      <c r="F73" s="3" t="s">
        <v>122</v>
      </c>
      <c r="G73" s="3" t="s">
        <v>123</v>
      </c>
      <c r="I73" s="54" t="s">
        <v>124</v>
      </c>
      <c r="J73" s="54">
        <f>($C$16/100)*AJ5</f>
        <v>33.291039126370862</v>
      </c>
      <c r="L73">
        <v>0</v>
      </c>
      <c r="M73">
        <v>0</v>
      </c>
      <c r="O73" t="s">
        <v>19</v>
      </c>
      <c r="P73" t="s">
        <v>20</v>
      </c>
      <c r="Q73" t="s">
        <v>21</v>
      </c>
      <c r="R73" t="s">
        <v>22</v>
      </c>
    </row>
    <row r="74" spans="1:40" x14ac:dyDescent="0.25">
      <c r="F74" s="52"/>
      <c r="G74" s="52"/>
      <c r="I74" s="54" t="s">
        <v>125</v>
      </c>
      <c r="J74" s="54">
        <f>C19/100*J73</f>
        <v>9.9873117379112575</v>
      </c>
      <c r="L74" s="5">
        <f t="shared" ref="L74:L100" si="13">IFERROR(L73+I5,L73)</f>
        <v>3.3291039126370858</v>
      </c>
      <c r="M74">
        <v>0</v>
      </c>
      <c r="O74">
        <v>0</v>
      </c>
      <c r="P74">
        <v>0</v>
      </c>
      <c r="Q74">
        <f>O5</f>
        <v>0</v>
      </c>
      <c r="R74">
        <f t="shared" ref="R74:R105" si="14">$C$5</f>
        <v>3</v>
      </c>
    </row>
    <row r="75" spans="1:40" x14ac:dyDescent="0.25">
      <c r="F75" s="52"/>
      <c r="G75" s="52"/>
      <c r="I75" s="54" t="s">
        <v>126</v>
      </c>
      <c r="J75" s="54">
        <f>J73-J74</f>
        <v>23.303727388459606</v>
      </c>
      <c r="L75" s="5">
        <f t="shared" si="13"/>
        <v>11.097013042123621</v>
      </c>
      <c r="M75">
        <v>0</v>
      </c>
      <c r="O75">
        <f>O74+I5+I6</f>
        <v>11.097013042123621</v>
      </c>
      <c r="P75">
        <f>O75</f>
        <v>11.097013042123621</v>
      </c>
      <c r="Q75">
        <f>P5</f>
        <v>0</v>
      </c>
      <c r="R75">
        <f t="shared" si="14"/>
        <v>3</v>
      </c>
    </row>
    <row r="76" spans="1:40" x14ac:dyDescent="0.25">
      <c r="E76">
        <v>1</v>
      </c>
      <c r="F76" s="53">
        <f t="shared" ref="F76:F100" si="15">IF(P7="-","-",P7/$C$4)</f>
        <v>0.1111111111111111</v>
      </c>
      <c r="G76" s="53">
        <f t="shared" ref="G76:G100" si="16">IF(F76="-","-",F76^$AI$18)</f>
        <v>1.2345679012345678E-2</v>
      </c>
      <c r="L76" s="5">
        <f t="shared" si="13"/>
        <v>13.610557761903351</v>
      </c>
      <c r="M76">
        <f t="shared" ref="M76:M100" si="17">P7</f>
        <v>100</v>
      </c>
      <c r="O76" s="5">
        <f t="shared" ref="O76:O100" si="18">O75+I7</f>
        <v>13.610557761903351</v>
      </c>
      <c r="P76">
        <f>P75</f>
        <v>11.097013042123621</v>
      </c>
      <c r="Q76">
        <f>P7</f>
        <v>100</v>
      </c>
      <c r="R76">
        <f t="shared" si="14"/>
        <v>3</v>
      </c>
    </row>
    <row r="77" spans="1:40" x14ac:dyDescent="0.25">
      <c r="E77">
        <v>2</v>
      </c>
      <c r="F77" s="53">
        <f t="shared" si="15"/>
        <v>0.22222222222222221</v>
      </c>
      <c r="G77" s="53">
        <f t="shared" si="16"/>
        <v>4.9382716049382713E-2</v>
      </c>
      <c r="I77" s="54" t="s">
        <v>128</v>
      </c>
      <c r="J77" s="54">
        <f>C4/C6</f>
        <v>9</v>
      </c>
      <c r="L77" s="5">
        <f t="shared" si="13"/>
        <v>16.212920316304274</v>
      </c>
      <c r="M77">
        <f t="shared" si="17"/>
        <v>200</v>
      </c>
      <c r="O77" s="5">
        <f t="shared" si="18"/>
        <v>16.212920316304274</v>
      </c>
      <c r="P77" s="5">
        <f>O76</f>
        <v>13.610557761903351</v>
      </c>
      <c r="Q77" t="e">
        <f>#REF!</f>
        <v>#REF!</v>
      </c>
      <c r="R77">
        <f t="shared" si="14"/>
        <v>3</v>
      </c>
    </row>
    <row r="78" spans="1:40" x14ac:dyDescent="0.25">
      <c r="E78">
        <v>3</v>
      </c>
      <c r="F78" s="53">
        <f t="shared" si="15"/>
        <v>0.33333333333333331</v>
      </c>
      <c r="G78" s="53">
        <f t="shared" si="16"/>
        <v>0.1111111111111111</v>
      </c>
      <c r="L78" s="5">
        <f t="shared" si="13"/>
        <v>18.904100705326389</v>
      </c>
      <c r="M78">
        <f t="shared" si="17"/>
        <v>300</v>
      </c>
      <c r="O78">
        <f t="shared" si="18"/>
        <v>18.904100705326389</v>
      </c>
      <c r="P78" s="5">
        <f>P77</f>
        <v>13.610557761903351</v>
      </c>
      <c r="Q78">
        <f>P8</f>
        <v>200</v>
      </c>
      <c r="R78">
        <f t="shared" si="14"/>
        <v>3</v>
      </c>
    </row>
    <row r="79" spans="1:40" x14ac:dyDescent="0.25">
      <c r="E79">
        <v>4</v>
      </c>
      <c r="F79" s="53">
        <f t="shared" si="15"/>
        <v>0.44444444444444442</v>
      </c>
      <c r="G79" s="53">
        <f t="shared" si="16"/>
        <v>0.19753086419753085</v>
      </c>
      <c r="L79" s="5">
        <f t="shared" si="13"/>
        <v>21.684098928969696</v>
      </c>
      <c r="M79">
        <f t="shared" si="17"/>
        <v>400</v>
      </c>
      <c r="O79">
        <f t="shared" si="18"/>
        <v>21.684098928969696</v>
      </c>
      <c r="P79">
        <f>O77</f>
        <v>16.212920316304274</v>
      </c>
      <c r="Q79" t="e">
        <f>#REF!</f>
        <v>#REF!</v>
      </c>
      <c r="R79">
        <f t="shared" si="14"/>
        <v>3</v>
      </c>
    </row>
    <row r="80" spans="1:40" x14ac:dyDescent="0.25">
      <c r="E80">
        <v>5</v>
      </c>
      <c r="F80" s="53">
        <f t="shared" si="15"/>
        <v>0.55555555555555558</v>
      </c>
      <c r="G80" s="53">
        <f t="shared" si="16"/>
        <v>0.30864197530864201</v>
      </c>
      <c r="L80" s="5">
        <f t="shared" si="13"/>
        <v>24.552914987234196</v>
      </c>
      <c r="M80">
        <f t="shared" si="17"/>
        <v>500</v>
      </c>
      <c r="O80">
        <f t="shared" si="18"/>
        <v>24.552914987234196</v>
      </c>
      <c r="P80">
        <f>P79</f>
        <v>16.212920316304274</v>
      </c>
      <c r="Q80">
        <f>P9</f>
        <v>300</v>
      </c>
      <c r="R80">
        <f t="shared" si="14"/>
        <v>3</v>
      </c>
    </row>
    <row r="81" spans="5:18" x14ac:dyDescent="0.25">
      <c r="E81">
        <v>6</v>
      </c>
      <c r="F81" s="53">
        <f t="shared" si="15"/>
        <v>0.66666666666666663</v>
      </c>
      <c r="G81" s="53">
        <f t="shared" si="16"/>
        <v>0.44444444444444442</v>
      </c>
      <c r="L81" s="5">
        <f t="shared" si="13"/>
        <v>27.525022897613709</v>
      </c>
      <c r="M81">
        <f t="shared" si="17"/>
        <v>600</v>
      </c>
      <c r="O81">
        <f t="shared" si="18"/>
        <v>27.525022897613709</v>
      </c>
      <c r="P81">
        <f>O78</f>
        <v>18.904100705326389</v>
      </c>
      <c r="Q81" t="e">
        <f>#REF!</f>
        <v>#REF!</v>
      </c>
      <c r="R81">
        <f t="shared" si="14"/>
        <v>3</v>
      </c>
    </row>
    <row r="82" spans="5:18" x14ac:dyDescent="0.25">
      <c r="E82">
        <v>7</v>
      </c>
      <c r="F82" s="53">
        <f t="shared" si="15"/>
        <v>0.77777777777777779</v>
      </c>
      <c r="G82" s="53">
        <f t="shared" si="16"/>
        <v>0.60493827160493829</v>
      </c>
      <c r="L82" s="5">
        <f t="shared" si="13"/>
        <v>30.588580282158752</v>
      </c>
      <c r="M82">
        <f t="shared" si="17"/>
        <v>700</v>
      </c>
      <c r="O82">
        <f t="shared" si="18"/>
        <v>30.588580282158752</v>
      </c>
      <c r="P82">
        <f>P81</f>
        <v>18.904100705326389</v>
      </c>
      <c r="Q82">
        <f>P10</f>
        <v>400</v>
      </c>
      <c r="R82">
        <f t="shared" si="14"/>
        <v>3</v>
      </c>
    </row>
    <row r="83" spans="5:18" x14ac:dyDescent="0.25">
      <c r="E83">
        <v>8</v>
      </c>
      <c r="F83" s="53">
        <f t="shared" si="15"/>
        <v>0.88888888888888884</v>
      </c>
      <c r="G83" s="53">
        <f t="shared" si="16"/>
        <v>0.79012345679012341</v>
      </c>
      <c r="L83" s="5">
        <f t="shared" si="13"/>
        <v>33.743587140869309</v>
      </c>
      <c r="M83">
        <f t="shared" si="17"/>
        <v>800</v>
      </c>
      <c r="O83">
        <f t="shared" si="18"/>
        <v>33.743587140869309</v>
      </c>
      <c r="P83">
        <f>O79</f>
        <v>21.684098928969696</v>
      </c>
      <c r="Q83" t="e">
        <f>#REF!</f>
        <v>#REF!</v>
      </c>
      <c r="R83">
        <f t="shared" si="14"/>
        <v>3</v>
      </c>
    </row>
    <row r="84" spans="5:18" x14ac:dyDescent="0.25">
      <c r="E84">
        <v>9</v>
      </c>
      <c r="F84" s="53">
        <f t="shared" si="15"/>
        <v>1</v>
      </c>
      <c r="G84" s="53">
        <f t="shared" si="16"/>
        <v>1</v>
      </c>
      <c r="L84" s="5">
        <f t="shared" si="13"/>
        <v>36.990043473745395</v>
      </c>
      <c r="M84">
        <f t="shared" si="17"/>
        <v>900</v>
      </c>
      <c r="O84" s="5">
        <f t="shared" si="18"/>
        <v>36.990043473745395</v>
      </c>
      <c r="P84">
        <f>P83</f>
        <v>21.684098928969696</v>
      </c>
      <c r="Q84">
        <f>P11</f>
        <v>500</v>
      </c>
      <c r="R84">
        <f t="shared" si="14"/>
        <v>3</v>
      </c>
    </row>
    <row r="85" spans="5:18" x14ac:dyDescent="0.25">
      <c r="E85">
        <v>10</v>
      </c>
      <c r="F85" s="53" t="str">
        <f t="shared" si="15"/>
        <v>-</v>
      </c>
      <c r="G85" s="53" t="str">
        <f t="shared" si="16"/>
        <v>-</v>
      </c>
      <c r="L85" s="5">
        <f t="shared" si="13"/>
        <v>36.990043473745395</v>
      </c>
      <c r="M85" t="str">
        <f t="shared" si="17"/>
        <v>-</v>
      </c>
      <c r="O85" t="e">
        <f t="shared" si="18"/>
        <v>#VALUE!</v>
      </c>
      <c r="P85">
        <f>O80</f>
        <v>24.552914987234196</v>
      </c>
      <c r="Q85" t="e">
        <f>#REF!</f>
        <v>#REF!</v>
      </c>
      <c r="R85">
        <f t="shared" si="14"/>
        <v>3</v>
      </c>
    </row>
    <row r="86" spans="5:18" x14ac:dyDescent="0.25">
      <c r="E86">
        <v>11</v>
      </c>
      <c r="F86" s="53" t="str">
        <f t="shared" si="15"/>
        <v>-</v>
      </c>
      <c r="G86" s="53" t="str">
        <f t="shared" si="16"/>
        <v>-</v>
      </c>
      <c r="L86" s="5">
        <f t="shared" si="13"/>
        <v>36.990043473745395</v>
      </c>
      <c r="M86" t="str">
        <f t="shared" si="17"/>
        <v>-</v>
      </c>
      <c r="O86" t="e">
        <f t="shared" si="18"/>
        <v>#VALUE!</v>
      </c>
      <c r="P86">
        <f>P85</f>
        <v>24.552914987234196</v>
      </c>
      <c r="Q86">
        <f>P12</f>
        <v>600</v>
      </c>
      <c r="R86">
        <f t="shared" si="14"/>
        <v>3</v>
      </c>
    </row>
    <row r="87" spans="5:18" x14ac:dyDescent="0.25">
      <c r="E87">
        <v>12</v>
      </c>
      <c r="F87" s="53" t="str">
        <f t="shared" si="15"/>
        <v>-</v>
      </c>
      <c r="G87" s="53" t="str">
        <f t="shared" si="16"/>
        <v>-</v>
      </c>
      <c r="L87" s="5">
        <f t="shared" si="13"/>
        <v>36.990043473745395</v>
      </c>
      <c r="M87" t="str">
        <f t="shared" si="17"/>
        <v>-</v>
      </c>
      <c r="O87" t="e">
        <f t="shared" si="18"/>
        <v>#VALUE!</v>
      </c>
      <c r="P87">
        <f>O81</f>
        <v>27.525022897613709</v>
      </c>
      <c r="Q87" t="e">
        <f>#REF!</f>
        <v>#REF!</v>
      </c>
      <c r="R87">
        <f t="shared" si="14"/>
        <v>3</v>
      </c>
    </row>
    <row r="88" spans="5:18" x14ac:dyDescent="0.25">
      <c r="E88">
        <v>13</v>
      </c>
      <c r="F88" s="53" t="str">
        <f t="shared" si="15"/>
        <v>-</v>
      </c>
      <c r="G88" s="53" t="str">
        <f t="shared" si="16"/>
        <v>-</v>
      </c>
      <c r="L88" s="5">
        <f t="shared" si="13"/>
        <v>36.990043473745395</v>
      </c>
      <c r="M88" t="str">
        <f t="shared" si="17"/>
        <v>-</v>
      </c>
      <c r="O88" t="e">
        <f t="shared" si="18"/>
        <v>#VALUE!</v>
      </c>
      <c r="P88">
        <f>P87</f>
        <v>27.525022897613709</v>
      </c>
      <c r="Q88">
        <f>P13</f>
        <v>700</v>
      </c>
      <c r="R88">
        <f t="shared" si="14"/>
        <v>3</v>
      </c>
    </row>
    <row r="89" spans="5:18" x14ac:dyDescent="0.25">
      <c r="E89">
        <v>14</v>
      </c>
      <c r="F89" s="53" t="str">
        <f t="shared" si="15"/>
        <v>-</v>
      </c>
      <c r="G89" s="53" t="str">
        <f t="shared" si="16"/>
        <v>-</v>
      </c>
      <c r="L89" s="5">
        <f t="shared" si="13"/>
        <v>36.990043473745395</v>
      </c>
      <c r="M89" t="str">
        <f t="shared" si="17"/>
        <v>-</v>
      </c>
      <c r="O89" t="e">
        <f t="shared" si="18"/>
        <v>#VALUE!</v>
      </c>
      <c r="P89">
        <f>O82</f>
        <v>30.588580282158752</v>
      </c>
      <c r="Q89" t="e">
        <f>#REF!</f>
        <v>#REF!</v>
      </c>
      <c r="R89">
        <f t="shared" si="14"/>
        <v>3</v>
      </c>
    </row>
    <row r="90" spans="5:18" x14ac:dyDescent="0.25">
      <c r="E90">
        <v>15</v>
      </c>
      <c r="F90" s="53" t="str">
        <f t="shared" si="15"/>
        <v>-</v>
      </c>
      <c r="G90" s="53" t="str">
        <f t="shared" si="16"/>
        <v>-</v>
      </c>
      <c r="L90" s="5">
        <f t="shared" si="13"/>
        <v>36.990043473745395</v>
      </c>
      <c r="M90" t="str">
        <f t="shared" si="17"/>
        <v>-</v>
      </c>
      <c r="O90" s="5" t="e">
        <f t="shared" si="18"/>
        <v>#VALUE!</v>
      </c>
      <c r="P90">
        <f>P89</f>
        <v>30.588580282158752</v>
      </c>
      <c r="Q90">
        <f>P14</f>
        <v>800</v>
      </c>
      <c r="R90">
        <f t="shared" si="14"/>
        <v>3</v>
      </c>
    </row>
    <row r="91" spans="5:18" x14ac:dyDescent="0.25">
      <c r="E91">
        <v>16</v>
      </c>
      <c r="F91" s="53" t="str">
        <f t="shared" si="15"/>
        <v>-</v>
      </c>
      <c r="G91" s="53" t="str">
        <f t="shared" si="16"/>
        <v>-</v>
      </c>
      <c r="L91" s="5">
        <f t="shared" si="13"/>
        <v>36.990043473745395</v>
      </c>
      <c r="M91" t="str">
        <f t="shared" si="17"/>
        <v>-</v>
      </c>
      <c r="O91" s="5" t="e">
        <f t="shared" si="18"/>
        <v>#VALUE!</v>
      </c>
      <c r="P91">
        <f>O83</f>
        <v>33.743587140869309</v>
      </c>
      <c r="Q91" t="e">
        <f>#REF!</f>
        <v>#REF!</v>
      </c>
      <c r="R91">
        <f t="shared" si="14"/>
        <v>3</v>
      </c>
    </row>
    <row r="92" spans="5:18" x14ac:dyDescent="0.25">
      <c r="E92">
        <v>17</v>
      </c>
      <c r="F92" s="53" t="str">
        <f t="shared" si="15"/>
        <v>-</v>
      </c>
      <c r="G92" s="53" t="str">
        <f t="shared" si="16"/>
        <v>-</v>
      </c>
      <c r="L92" s="5">
        <f t="shared" si="13"/>
        <v>36.990043473745395</v>
      </c>
      <c r="M92" t="str">
        <f t="shared" si="17"/>
        <v>-</v>
      </c>
      <c r="O92" s="5" t="e">
        <f t="shared" si="18"/>
        <v>#VALUE!</v>
      </c>
      <c r="P92">
        <f>P91</f>
        <v>33.743587140869309</v>
      </c>
      <c r="Q92">
        <f>P15</f>
        <v>900</v>
      </c>
      <c r="R92">
        <f t="shared" si="14"/>
        <v>3</v>
      </c>
    </row>
    <row r="93" spans="5:18" x14ac:dyDescent="0.25">
      <c r="E93">
        <v>18</v>
      </c>
      <c r="F93" s="53" t="str">
        <f t="shared" si="15"/>
        <v>-</v>
      </c>
      <c r="G93" s="53" t="str">
        <f t="shared" si="16"/>
        <v>-</v>
      </c>
      <c r="L93" s="5">
        <f t="shared" si="13"/>
        <v>36.990043473745395</v>
      </c>
      <c r="M93" t="str">
        <f t="shared" si="17"/>
        <v>-</v>
      </c>
      <c r="O93" s="5" t="e">
        <f t="shared" si="18"/>
        <v>#VALUE!</v>
      </c>
      <c r="P93">
        <f>O84</f>
        <v>36.990043473745395</v>
      </c>
      <c r="Q93" t="e">
        <f>#REF!</f>
        <v>#REF!</v>
      </c>
      <c r="R93">
        <f t="shared" si="14"/>
        <v>3</v>
      </c>
    </row>
    <row r="94" spans="5:18" x14ac:dyDescent="0.25">
      <c r="E94">
        <v>19</v>
      </c>
      <c r="F94" s="53" t="str">
        <f t="shared" si="15"/>
        <v>-</v>
      </c>
      <c r="G94" s="53" t="str">
        <f t="shared" si="16"/>
        <v>-</v>
      </c>
      <c r="L94" s="5">
        <f t="shared" si="13"/>
        <v>36.990043473745395</v>
      </c>
      <c r="M94" t="str">
        <f t="shared" si="17"/>
        <v>-</v>
      </c>
      <c r="O94" s="5" t="e">
        <f t="shared" si="18"/>
        <v>#VALUE!</v>
      </c>
      <c r="P94">
        <f>P93</f>
        <v>36.990043473745395</v>
      </c>
      <c r="Q94" t="str">
        <f>P16</f>
        <v>-</v>
      </c>
      <c r="R94">
        <f t="shared" si="14"/>
        <v>3</v>
      </c>
    </row>
    <row r="95" spans="5:18" x14ac:dyDescent="0.25">
      <c r="E95">
        <v>20</v>
      </c>
      <c r="F95" s="53" t="str">
        <f t="shared" si="15"/>
        <v>-</v>
      </c>
      <c r="G95" s="53" t="str">
        <f t="shared" si="16"/>
        <v>-</v>
      </c>
      <c r="L95" s="5">
        <f t="shared" si="13"/>
        <v>36.990043473745395</v>
      </c>
      <c r="M95" t="str">
        <f t="shared" si="17"/>
        <v>-</v>
      </c>
      <c r="O95" s="5" t="e">
        <f t="shared" si="18"/>
        <v>#VALUE!</v>
      </c>
      <c r="P95" t="e">
        <f>O85</f>
        <v>#VALUE!</v>
      </c>
      <c r="Q95" t="e">
        <f>#REF!</f>
        <v>#REF!</v>
      </c>
      <c r="R95">
        <f t="shared" si="14"/>
        <v>3</v>
      </c>
    </row>
    <row r="96" spans="5:18" x14ac:dyDescent="0.25">
      <c r="E96">
        <v>21</v>
      </c>
      <c r="F96" s="53" t="str">
        <f t="shared" si="15"/>
        <v>-</v>
      </c>
      <c r="G96" s="53" t="str">
        <f t="shared" si="16"/>
        <v>-</v>
      </c>
      <c r="L96" s="5">
        <f t="shared" si="13"/>
        <v>36.990043473745395</v>
      </c>
      <c r="M96" t="str">
        <f t="shared" si="17"/>
        <v>-</v>
      </c>
      <c r="O96" s="5" t="e">
        <f t="shared" si="18"/>
        <v>#VALUE!</v>
      </c>
      <c r="P96" t="e">
        <f>P95</f>
        <v>#VALUE!</v>
      </c>
      <c r="Q96" t="str">
        <f>P17</f>
        <v>-</v>
      </c>
      <c r="R96">
        <f t="shared" si="14"/>
        <v>3</v>
      </c>
    </row>
    <row r="97" spans="5:18" x14ac:dyDescent="0.25">
      <c r="E97">
        <v>22</v>
      </c>
      <c r="F97" s="53" t="str">
        <f t="shared" si="15"/>
        <v>-</v>
      </c>
      <c r="G97" s="53" t="str">
        <f t="shared" si="16"/>
        <v>-</v>
      </c>
      <c r="L97" s="5">
        <f t="shared" si="13"/>
        <v>36.990043473745395</v>
      </c>
      <c r="M97" t="str">
        <f t="shared" si="17"/>
        <v>-</v>
      </c>
      <c r="O97" s="5" t="e">
        <f t="shared" si="18"/>
        <v>#VALUE!</v>
      </c>
      <c r="P97" t="e">
        <f>O86</f>
        <v>#VALUE!</v>
      </c>
      <c r="Q97" t="e">
        <f>#REF!</f>
        <v>#REF!</v>
      </c>
      <c r="R97">
        <f t="shared" si="14"/>
        <v>3</v>
      </c>
    </row>
    <row r="98" spans="5:18" x14ac:dyDescent="0.25">
      <c r="E98">
        <v>23</v>
      </c>
      <c r="F98" s="53" t="str">
        <f t="shared" si="15"/>
        <v>-</v>
      </c>
      <c r="G98" s="53" t="str">
        <f t="shared" si="16"/>
        <v>-</v>
      </c>
      <c r="L98" s="5">
        <f t="shared" si="13"/>
        <v>36.990043473745395</v>
      </c>
      <c r="M98" t="str">
        <f t="shared" si="17"/>
        <v>-</v>
      </c>
      <c r="O98" s="5" t="e">
        <f t="shared" si="18"/>
        <v>#VALUE!</v>
      </c>
      <c r="P98" t="e">
        <f>P97</f>
        <v>#VALUE!</v>
      </c>
      <c r="Q98" t="str">
        <f>P18</f>
        <v>-</v>
      </c>
      <c r="R98">
        <f t="shared" si="14"/>
        <v>3</v>
      </c>
    </row>
    <row r="99" spans="5:18" x14ac:dyDescent="0.25">
      <c r="E99">
        <v>24</v>
      </c>
      <c r="F99" s="53" t="str">
        <f t="shared" si="15"/>
        <v>-</v>
      </c>
      <c r="G99" s="53" t="str">
        <f t="shared" si="16"/>
        <v>-</v>
      </c>
      <c r="L99" s="5">
        <f t="shared" si="13"/>
        <v>36.990043473745395</v>
      </c>
      <c r="M99" t="str">
        <f t="shared" si="17"/>
        <v>-</v>
      </c>
      <c r="O99" s="5" t="e">
        <f t="shared" si="18"/>
        <v>#VALUE!</v>
      </c>
      <c r="P99" t="e">
        <f>O87</f>
        <v>#VALUE!</v>
      </c>
      <c r="Q99" t="e">
        <f>#REF!</f>
        <v>#REF!</v>
      </c>
      <c r="R99">
        <f t="shared" si="14"/>
        <v>3</v>
      </c>
    </row>
    <row r="100" spans="5:18" x14ac:dyDescent="0.25">
      <c r="E100">
        <v>25</v>
      </c>
      <c r="F100" s="53" t="str">
        <f t="shared" si="15"/>
        <v>-</v>
      </c>
      <c r="G100" s="53" t="str">
        <f t="shared" si="16"/>
        <v>-</v>
      </c>
      <c r="L100" s="5">
        <f t="shared" si="13"/>
        <v>36.990043473745395</v>
      </c>
      <c r="M100" t="str">
        <f t="shared" si="17"/>
        <v>-</v>
      </c>
      <c r="O100" s="5" t="e">
        <f t="shared" si="18"/>
        <v>#VALUE!</v>
      </c>
      <c r="P100" t="e">
        <f>P99</f>
        <v>#VALUE!</v>
      </c>
      <c r="Q100" t="str">
        <f>P19</f>
        <v>-</v>
      </c>
      <c r="R100">
        <f t="shared" si="14"/>
        <v>3</v>
      </c>
    </row>
    <row r="101" spans="5:18" x14ac:dyDescent="0.25">
      <c r="O101" s="5" t="e">
        <f t="shared" ref="O101:O106" si="19">O100+F31</f>
        <v>#VALUE!</v>
      </c>
      <c r="P101" t="e">
        <f>O88</f>
        <v>#VALUE!</v>
      </c>
      <c r="Q101" t="e">
        <f>#REF!</f>
        <v>#REF!</v>
      </c>
      <c r="R101">
        <f t="shared" si="14"/>
        <v>3</v>
      </c>
    </row>
    <row r="102" spans="5:18" x14ac:dyDescent="0.25">
      <c r="O102" s="5" t="e">
        <f t="shared" si="19"/>
        <v>#VALUE!</v>
      </c>
      <c r="P102" t="e">
        <f>P101</f>
        <v>#VALUE!</v>
      </c>
      <c r="Q102" t="str">
        <f>P20</f>
        <v>-</v>
      </c>
      <c r="R102">
        <f t="shared" si="14"/>
        <v>3</v>
      </c>
    </row>
    <row r="103" spans="5:18" x14ac:dyDescent="0.25">
      <c r="F103" s="7" t="s">
        <v>133</v>
      </c>
      <c r="G103" s="7">
        <f>IF(C8=AM23,AN23,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"?"))))))))))))))))))))))))))))</f>
        <v>2.78</v>
      </c>
      <c r="O103" s="5" t="e">
        <f t="shared" si="19"/>
        <v>#VALUE!</v>
      </c>
      <c r="P103" t="e">
        <f>O89</f>
        <v>#VALUE!</v>
      </c>
      <c r="Q103" t="e">
        <f>#REF!</f>
        <v>#REF!</v>
      </c>
      <c r="R103">
        <f t="shared" si="14"/>
        <v>3</v>
      </c>
    </row>
    <row r="104" spans="5:18" x14ac:dyDescent="0.25">
      <c r="F104" s="7" t="s">
        <v>134</v>
      </c>
      <c r="G104" s="7">
        <f>IF(C9=AM23,AN23,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"?"))))))))))))))))))))))))))))</f>
        <v>2.7</v>
      </c>
      <c r="O104" s="5" t="e">
        <f t="shared" si="19"/>
        <v>#VALUE!</v>
      </c>
      <c r="P104" t="e">
        <f>P103</f>
        <v>#VALUE!</v>
      </c>
      <c r="Q104" t="str">
        <f>P21</f>
        <v>-</v>
      </c>
      <c r="R104">
        <f t="shared" si="14"/>
        <v>3</v>
      </c>
    </row>
    <row r="105" spans="5:18" x14ac:dyDescent="0.25">
      <c r="O105" s="5" t="e">
        <f t="shared" si="19"/>
        <v>#VALUE!</v>
      </c>
      <c r="P105" s="5" t="e">
        <f>O90</f>
        <v>#VALUE!</v>
      </c>
      <c r="Q105" t="e">
        <f>#REF!</f>
        <v>#REF!</v>
      </c>
      <c r="R105">
        <f t="shared" si="14"/>
        <v>3</v>
      </c>
    </row>
    <row r="106" spans="5:18" x14ac:dyDescent="0.25">
      <c r="O106" s="5" t="e">
        <f t="shared" si="19"/>
        <v>#VALUE!</v>
      </c>
      <c r="P106" s="5" t="e">
        <f>P105</f>
        <v>#VALUE!</v>
      </c>
      <c r="Q106" t="str">
        <f>P22</f>
        <v>-</v>
      </c>
      <c r="R106">
        <f t="shared" ref="R106:R124" si="20">$C$5</f>
        <v>3</v>
      </c>
    </row>
    <row r="107" spans="5:18" x14ac:dyDescent="0.25">
      <c r="P107" s="5" t="e">
        <f>O91</f>
        <v>#VALUE!</v>
      </c>
      <c r="Q107" t="e">
        <f>#REF!</f>
        <v>#REF!</v>
      </c>
      <c r="R107">
        <f t="shared" si="20"/>
        <v>3</v>
      </c>
    </row>
    <row r="108" spans="5:18" x14ac:dyDescent="0.25">
      <c r="P108" s="5" t="e">
        <f>P107</f>
        <v>#VALUE!</v>
      </c>
      <c r="Q108" t="str">
        <f>P23</f>
        <v>-</v>
      </c>
      <c r="R108">
        <f t="shared" si="20"/>
        <v>3</v>
      </c>
    </row>
    <row r="109" spans="5:18" x14ac:dyDescent="0.25">
      <c r="P109" s="5" t="e">
        <f>O92</f>
        <v>#VALUE!</v>
      </c>
      <c r="Q109" t="e">
        <f>#REF!</f>
        <v>#REF!</v>
      </c>
      <c r="R109">
        <f t="shared" si="20"/>
        <v>3</v>
      </c>
    </row>
    <row r="110" spans="5:18" x14ac:dyDescent="0.25">
      <c r="P110" s="5" t="e">
        <f>P109</f>
        <v>#VALUE!</v>
      </c>
      <c r="Q110" t="str">
        <f>P24</f>
        <v>-</v>
      </c>
      <c r="R110">
        <f t="shared" si="20"/>
        <v>3</v>
      </c>
    </row>
    <row r="111" spans="5:18" x14ac:dyDescent="0.25">
      <c r="P111" s="5" t="e">
        <f>O93</f>
        <v>#VALUE!</v>
      </c>
      <c r="Q111" t="e">
        <f>#REF!</f>
        <v>#REF!</v>
      </c>
      <c r="R111">
        <f t="shared" si="20"/>
        <v>3</v>
      </c>
    </row>
    <row r="112" spans="5:18" x14ac:dyDescent="0.25">
      <c r="P112" s="5" t="e">
        <f>P111</f>
        <v>#VALUE!</v>
      </c>
      <c r="Q112" t="str">
        <f>P25</f>
        <v>-</v>
      </c>
      <c r="R112">
        <f t="shared" si="20"/>
        <v>3</v>
      </c>
    </row>
    <row r="113" spans="16:18" x14ac:dyDescent="0.25">
      <c r="P113" s="5" t="e">
        <f>O94</f>
        <v>#VALUE!</v>
      </c>
      <c r="Q113" t="e">
        <f>#REF!</f>
        <v>#REF!</v>
      </c>
      <c r="R113">
        <f t="shared" si="20"/>
        <v>3</v>
      </c>
    </row>
    <row r="114" spans="16:18" x14ac:dyDescent="0.25">
      <c r="P114" s="5" t="e">
        <f>P113</f>
        <v>#VALUE!</v>
      </c>
      <c r="Q114" t="str">
        <f>P26</f>
        <v>-</v>
      </c>
      <c r="R114">
        <f t="shared" si="20"/>
        <v>3</v>
      </c>
    </row>
    <row r="115" spans="16:18" x14ac:dyDescent="0.25">
      <c r="P115" s="5" t="e">
        <f>O95</f>
        <v>#VALUE!</v>
      </c>
      <c r="Q115" t="e">
        <f>#REF!</f>
        <v>#REF!</v>
      </c>
      <c r="R115">
        <f t="shared" si="20"/>
        <v>3</v>
      </c>
    </row>
    <row r="116" spans="16:18" x14ac:dyDescent="0.25">
      <c r="P116" s="5" t="e">
        <f>P115</f>
        <v>#VALUE!</v>
      </c>
      <c r="Q116" t="str">
        <f>P27</f>
        <v>-</v>
      </c>
      <c r="R116">
        <f t="shared" si="20"/>
        <v>3</v>
      </c>
    </row>
    <row r="117" spans="16:18" x14ac:dyDescent="0.25">
      <c r="P117" s="5" t="e">
        <f>O96</f>
        <v>#VALUE!</v>
      </c>
      <c r="Q117" t="e">
        <f>#REF!</f>
        <v>#REF!</v>
      </c>
      <c r="R117">
        <f t="shared" si="20"/>
        <v>3</v>
      </c>
    </row>
    <row r="118" spans="16:18" x14ac:dyDescent="0.25">
      <c r="P118" s="5" t="e">
        <f>O96</f>
        <v>#VALUE!</v>
      </c>
      <c r="Q118" t="str">
        <f>P28</f>
        <v>-</v>
      </c>
      <c r="R118">
        <f t="shared" si="20"/>
        <v>3</v>
      </c>
    </row>
    <row r="119" spans="16:18" x14ac:dyDescent="0.25">
      <c r="P119" s="5" t="e">
        <f>O97</f>
        <v>#VALUE!</v>
      </c>
      <c r="Q119" t="e">
        <f>#REF!</f>
        <v>#REF!</v>
      </c>
      <c r="R119">
        <f t="shared" si="20"/>
        <v>3</v>
      </c>
    </row>
    <row r="120" spans="16:18" x14ac:dyDescent="0.25">
      <c r="P120" s="5" t="e">
        <f>P119</f>
        <v>#VALUE!</v>
      </c>
      <c r="Q120" t="str">
        <f>P29</f>
        <v>-</v>
      </c>
      <c r="R120">
        <f t="shared" si="20"/>
        <v>3</v>
      </c>
    </row>
    <row r="121" spans="16:18" x14ac:dyDescent="0.25">
      <c r="P121" s="5" t="e">
        <f>O98</f>
        <v>#VALUE!</v>
      </c>
      <c r="Q121" t="e">
        <f>#REF!</f>
        <v>#REF!</v>
      </c>
      <c r="R121">
        <f t="shared" si="20"/>
        <v>3</v>
      </c>
    </row>
    <row r="122" spans="16:18" x14ac:dyDescent="0.25">
      <c r="P122" s="5" t="e">
        <f>P121</f>
        <v>#VALUE!</v>
      </c>
      <c r="Q122" t="str">
        <f>P30</f>
        <v>-</v>
      </c>
      <c r="R122">
        <f t="shared" si="20"/>
        <v>3</v>
      </c>
    </row>
    <row r="123" spans="16:18" x14ac:dyDescent="0.25">
      <c r="P123" s="5" t="e">
        <f>O99</f>
        <v>#VALUE!</v>
      </c>
      <c r="Q123" t="e">
        <f>#REF!</f>
        <v>#REF!</v>
      </c>
      <c r="R123">
        <f t="shared" si="20"/>
        <v>3</v>
      </c>
    </row>
    <row r="124" spans="16:18" x14ac:dyDescent="0.25">
      <c r="P124" s="5" t="e">
        <f>P123</f>
        <v>#VALUE!</v>
      </c>
      <c r="Q124" t="str">
        <f>P31</f>
        <v>-</v>
      </c>
      <c r="R124">
        <f t="shared" si="20"/>
        <v>3</v>
      </c>
    </row>
  </sheetData>
  <mergeCells count="12">
    <mergeCell ref="E18:F18"/>
    <mergeCell ref="AH21:AK21"/>
    <mergeCell ref="AM21:AN21"/>
    <mergeCell ref="AH20:AN20"/>
    <mergeCell ref="AH9:AI9"/>
    <mergeCell ref="AH17:AI17"/>
    <mergeCell ref="E17:F17"/>
    <mergeCell ref="B1:C1"/>
    <mergeCell ref="E1:T1"/>
    <mergeCell ref="B2:C2"/>
    <mergeCell ref="E2:F2"/>
    <mergeCell ref="H2:T2"/>
  </mergeCells>
  <dataValidations count="5">
    <dataValidation type="list" showInputMessage="1" showErrorMessage="1" sqref="C21 C17:C18">
      <formula1>$AK$23:$AK$58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  <dataValidation type="list" showInputMessage="1" showErrorMessage="1" sqref="C8:C9">
      <formula1>$AM$23:$AM$50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abSelected="1" zoomScale="70" zoomScaleNormal="70" workbookViewId="0">
      <selection activeCell="U26" sqref="U26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15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800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2.7084321867532184</v>
      </c>
      <c r="J4" s="43">
        <f t="shared" ref="J4:J30" si="0">IF(K4="-","-",$C$5)</f>
        <v>4</v>
      </c>
      <c r="K4" s="9">
        <f>IFERROR(J74, "-")</f>
        <v>10.833728747012874</v>
      </c>
      <c r="L4" s="9">
        <f>IFERROR(K4,0)</f>
        <v>10.833728747012874</v>
      </c>
      <c r="M4" s="43" t="str">
        <f>IF(L4="-","-",$C$18)</f>
        <v>LG32</v>
      </c>
      <c r="N4" s="43"/>
      <c r="O4" s="43"/>
      <c r="P4" s="43"/>
      <c r="Q4" s="9"/>
      <c r="R4" s="9">
        <f>IF(L4="-","-",L4)</f>
        <v>10.833728747012874</v>
      </c>
      <c r="S4" s="9"/>
      <c r="T4" s="21">
        <f>IF(K4="-","-",K4)</f>
        <v>10.833728747012874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4</v>
      </c>
      <c r="AI4" t="s">
        <v>27</v>
      </c>
      <c r="AJ4" s="5">
        <f>SUM(K6:K30)-$C$23</f>
        <v>39.367634038441153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IF(E5="","",SUMIF(M4:M30,C11,L4:L30))</f>
        <v/>
      </c>
      <c r="G5" s="6"/>
      <c r="H5" s="20" t="str">
        <f>IF(I5="-","-","Буфер")</f>
        <v>Буфер</v>
      </c>
      <c r="I5" s="9">
        <f>IFERROR(K5/J5,"-")</f>
        <v>2.7084321867532184</v>
      </c>
      <c r="J5" s="43">
        <f t="shared" si="0"/>
        <v>4</v>
      </c>
      <c r="K5" s="9">
        <f>IFERROR(J75, "-")</f>
        <v>10.833728747012874</v>
      </c>
      <c r="L5" s="9">
        <f>IFERROR(K5,0)</f>
        <v>10.833728747012874</v>
      </c>
      <c r="M5" s="43" t="str">
        <f>IF(L5="-","-",$C$19)</f>
        <v>DX32</v>
      </c>
      <c r="N5" s="43"/>
      <c r="O5" s="43"/>
      <c r="P5" s="43"/>
      <c r="Q5" s="9"/>
      <c r="R5" s="9">
        <f>IF(L5="-","-",R4+L5)</f>
        <v>21.667457494025747</v>
      </c>
      <c r="S5" s="9"/>
      <c r="T5" s="21">
        <f>IF(K5="-","-",K5+T4)</f>
        <v>21.667457494025747</v>
      </c>
      <c r="U5" s="6"/>
      <c r="V5" s="6"/>
      <c r="W5" s="6"/>
      <c r="X5" s="6"/>
      <c r="Y5" s="6"/>
      <c r="Z5" s="6"/>
      <c r="AA5" s="6"/>
      <c r="AC5">
        <f>AC4+I4+I5</f>
        <v>5.4168643735064368</v>
      </c>
      <c r="AD5">
        <f>AC5</f>
        <v>5.4168643735064368</v>
      </c>
      <c r="AE5">
        <f>P4</f>
        <v>0</v>
      </c>
      <c r="AF5">
        <f t="shared" si="1"/>
        <v>4</v>
      </c>
      <c r="AI5" t="s">
        <v>29</v>
      </c>
      <c r="AJ5">
        <f>AJ4/(1-J81)</f>
        <v>61.0350915324669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LG32</v>
      </c>
      <c r="F6" s="63">
        <f>SUMIF(M4:M30,C12,L4:L30)</f>
        <v>39.290002186335421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1.1281090857494886</v>
      </c>
      <c r="J6" s="43">
        <f t="shared" si="0"/>
        <v>4</v>
      </c>
      <c r="K6" s="9">
        <f t="shared" ref="K6:K30" si="4">IF(S5=$C$3*1000,$C$23,IFERROR(L6+Q6/(IF(N6=$C$8,$G$103,$G$104)*1000),"-"))</f>
        <v>4.5124363429979546</v>
      </c>
      <c r="L6" s="9">
        <f t="shared" ref="L6:L30" si="5">IF(S5=$C$3*1000,$C$23,IFERROR(Q6/O6,"-"))</f>
        <v>4.3735921478287869</v>
      </c>
      <c r="M6" s="43" t="str">
        <f t="shared" ref="M6:M30" si="6">IF(H6="Продавка",$C$22, IF(L6="-","-",IF(P6&lt;=$C$14,$C$11,IF(P6&gt;$C$15,$C$13,$C$12))))</f>
        <v>LG32</v>
      </c>
      <c r="N6" s="43" t="str">
        <f t="shared" ref="N6:N30" si="7">IF(P6="-","-",IF(P6&lt;$C$10,$C$8,$C$9))</f>
        <v>BP_3060</v>
      </c>
      <c r="O6" s="43">
        <f>IFERROR(O5+($C$4-O5)/($J$78-D5),"-")</f>
        <v>100</v>
      </c>
      <c r="P6" s="43">
        <f t="shared" ref="P6:P30" si="8">O6</f>
        <v>100</v>
      </c>
      <c r="Q6" s="9">
        <f>IF(S6="-","-",S6)</f>
        <v>437.35921478287872</v>
      </c>
      <c r="R6" s="9">
        <f t="shared" ref="R6:R30" si="9">IFERROR(IF(L6="-","-",R5+L6),"-")</f>
        <v>26.041049641854535</v>
      </c>
      <c r="S6" s="9">
        <f t="shared" ref="S6:S30" si="10">IF(G76="-","-",G76*$C$3*1000)</f>
        <v>437.35921478287872</v>
      </c>
      <c r="T6" s="21">
        <f t="shared" ref="T6:T30" si="11">IFERROR(IF(K6="-","-",T5+K6),"-")</f>
        <v>26.179893837023702</v>
      </c>
      <c r="U6" s="6"/>
      <c r="V6" s="6"/>
      <c r="W6" s="6"/>
      <c r="X6" s="6"/>
      <c r="Y6" s="6"/>
      <c r="Z6" s="6"/>
      <c r="AA6" s="6"/>
      <c r="AC6" s="5">
        <f t="shared" ref="AC6:AC30" si="12">AC5+I6</f>
        <v>6.5449734592559254</v>
      </c>
      <c r="AD6">
        <f>AD5</f>
        <v>5.4168643735064368</v>
      </c>
      <c r="AE6">
        <f>O6</f>
        <v>100</v>
      </c>
      <c r="AF6">
        <f t="shared" si="1"/>
        <v>4</v>
      </c>
    </row>
    <row r="7" spans="1:36" ht="15.75" customHeight="1" x14ac:dyDescent="0.25">
      <c r="A7" s="6"/>
      <c r="B7" s="24" t="s">
        <v>31</v>
      </c>
      <c r="C7" s="39">
        <v>0</v>
      </c>
      <c r="D7" s="6"/>
      <c r="E7" s="12" t="str">
        <f>C13</f>
        <v>DX32</v>
      </c>
      <c r="F7" s="62">
        <f>SUMIF(M4:M30,C13,L4:L30)</f>
        <v>26.923636504445639</v>
      </c>
      <c r="G7" s="6"/>
      <c r="H7" s="20" t="str">
        <f t="shared" si="2"/>
        <v>Пропант</v>
      </c>
      <c r="I7" s="9">
        <f t="shared" si="3"/>
        <v>1.3075968143547916</v>
      </c>
      <c r="J7" s="43">
        <f t="shared" si="0"/>
        <v>4</v>
      </c>
      <c r="K7" s="9">
        <f t="shared" si="4"/>
        <v>5.2303872574191663</v>
      </c>
      <c r="L7" s="9">
        <f t="shared" si="5"/>
        <v>4.9181253316030968</v>
      </c>
      <c r="M7" s="43" t="str">
        <f t="shared" si="6"/>
        <v>LG32</v>
      </c>
      <c r="N7" s="43" t="str">
        <f t="shared" si="7"/>
        <v>BP_3060</v>
      </c>
      <c r="O7" s="43">
        <f t="shared" ref="O7:O30" si="13">IFERROR(O6+($C$4-O6)/($J$78-E76),"-")</f>
        <v>200</v>
      </c>
      <c r="P7" s="43">
        <f t="shared" si="8"/>
        <v>200</v>
      </c>
      <c r="Q7" s="9">
        <f t="shared" ref="Q7:Q30" si="14">IF(S7="-","-",S7-S6)</f>
        <v>983.62506632061945</v>
      </c>
      <c r="R7" s="9">
        <f t="shared" si="9"/>
        <v>30.959174973457632</v>
      </c>
      <c r="S7" s="9">
        <f t="shared" si="10"/>
        <v>1420.9842811034982</v>
      </c>
      <c r="T7" s="21">
        <f t="shared" si="11"/>
        <v>31.410281094442869</v>
      </c>
      <c r="U7" s="6"/>
      <c r="V7" s="6"/>
      <c r="W7" s="6"/>
      <c r="X7" s="6"/>
      <c r="Y7" s="6"/>
      <c r="Z7" s="6"/>
      <c r="AA7" s="6"/>
      <c r="AC7" s="5">
        <f t="shared" si="12"/>
        <v>7.8525702736107172</v>
      </c>
      <c r="AD7" s="5">
        <f>AC6</f>
        <v>6.5449734592559254</v>
      </c>
      <c r="AE7">
        <f>P6</f>
        <v>100</v>
      </c>
      <c r="AF7">
        <f t="shared" si="1"/>
        <v>4</v>
      </c>
    </row>
    <row r="8" spans="1:36" ht="15.75" customHeight="1" x14ac:dyDescent="0.25">
      <c r="A8" s="6"/>
      <c r="B8" s="24" t="s">
        <v>32</v>
      </c>
      <c r="C8" s="39" t="s">
        <v>83</v>
      </c>
      <c r="D8" s="6"/>
      <c r="E8" s="13" t="s">
        <v>34</v>
      </c>
      <c r="F8" s="14">
        <f>SUM(L4:L30)</f>
        <v>66.213638690781053</v>
      </c>
      <c r="G8" s="6"/>
      <c r="H8" s="20" t="str">
        <f t="shared" si="2"/>
        <v>Пропант</v>
      </c>
      <c r="I8" s="9">
        <f t="shared" si="3"/>
        <v>1.2869461482589921</v>
      </c>
      <c r="J8" s="43">
        <f t="shared" si="0"/>
        <v>4</v>
      </c>
      <c r="K8" s="9">
        <f t="shared" si="4"/>
        <v>5.1477845930359685</v>
      </c>
      <c r="L8" s="9">
        <f t="shared" si="5"/>
        <v>4.7001511501632756</v>
      </c>
      <c r="M8" s="43" t="str">
        <f t="shared" si="6"/>
        <v>LG32</v>
      </c>
      <c r="N8" s="43" t="str">
        <f t="shared" si="7"/>
        <v>BP_3060</v>
      </c>
      <c r="O8" s="43">
        <f t="shared" si="13"/>
        <v>300</v>
      </c>
      <c r="P8" s="43">
        <f t="shared" si="8"/>
        <v>300</v>
      </c>
      <c r="Q8" s="9">
        <f t="shared" si="14"/>
        <v>1410.0453450489827</v>
      </c>
      <c r="R8" s="9">
        <f t="shared" si="9"/>
        <v>35.659326123620907</v>
      </c>
      <c r="S8" s="9">
        <f t="shared" si="10"/>
        <v>2831.0296261524809</v>
      </c>
      <c r="T8" s="21">
        <f t="shared" si="11"/>
        <v>36.558065687478837</v>
      </c>
      <c r="U8" s="6"/>
      <c r="V8" s="6"/>
      <c r="W8" s="6"/>
      <c r="X8" s="6"/>
      <c r="Y8" s="6"/>
      <c r="Z8" s="6"/>
      <c r="AA8" s="6"/>
      <c r="AC8">
        <f t="shared" si="12"/>
        <v>9.1395164218697094</v>
      </c>
      <c r="AD8" s="5">
        <f>AD7</f>
        <v>6.5449734592559254</v>
      </c>
      <c r="AE8">
        <f>O7</f>
        <v>200</v>
      </c>
      <c r="AF8">
        <f t="shared" si="1"/>
        <v>4</v>
      </c>
      <c r="AI8">
        <f>C3/AJ4</f>
        <v>0.38102365982555647</v>
      </c>
    </row>
    <row r="9" spans="1:36" ht="15.75" customHeight="1" x14ac:dyDescent="0.25">
      <c r="A9" s="6"/>
      <c r="B9" s="24" t="s">
        <v>35</v>
      </c>
      <c r="C9" s="39" t="s">
        <v>93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1.2578283392485892</v>
      </c>
      <c r="J9" s="43">
        <f t="shared" si="0"/>
        <v>4</v>
      </c>
      <c r="K9" s="9">
        <f t="shared" si="4"/>
        <v>5.0313133569943567</v>
      </c>
      <c r="L9" s="9">
        <f t="shared" si="5"/>
        <v>4.4644048097273865</v>
      </c>
      <c r="M9" s="43" t="str">
        <f t="shared" si="6"/>
        <v>LG32</v>
      </c>
      <c r="N9" s="43" t="str">
        <f t="shared" si="7"/>
        <v>BP_3060</v>
      </c>
      <c r="O9" s="43">
        <f t="shared" si="13"/>
        <v>400</v>
      </c>
      <c r="P9" s="43">
        <f t="shared" si="8"/>
        <v>400</v>
      </c>
      <c r="Q9" s="9">
        <f t="shared" si="14"/>
        <v>1785.7619238909547</v>
      </c>
      <c r="R9" s="9">
        <f t="shared" si="9"/>
        <v>40.123730933348291</v>
      </c>
      <c r="S9" s="9">
        <f t="shared" si="10"/>
        <v>4616.7915500434356</v>
      </c>
      <c r="T9" s="21">
        <f t="shared" si="11"/>
        <v>41.589379044473191</v>
      </c>
      <c r="U9" s="6"/>
      <c r="V9" s="6"/>
      <c r="W9" s="6"/>
      <c r="X9" s="6"/>
      <c r="Y9" s="6"/>
      <c r="Z9" s="6"/>
      <c r="AA9" s="6"/>
      <c r="AC9">
        <f t="shared" si="12"/>
        <v>10.397344761118298</v>
      </c>
      <c r="AD9">
        <f>AC7</f>
        <v>7.8525702736107172</v>
      </c>
      <c r="AE9">
        <f>P7</f>
        <v>200</v>
      </c>
      <c r="AF9">
        <f t="shared" si="1"/>
        <v>4</v>
      </c>
    </row>
    <row r="10" spans="1:36" ht="18" customHeight="1" x14ac:dyDescent="0.25">
      <c r="A10" s="6"/>
      <c r="B10" s="24" t="s">
        <v>37</v>
      </c>
      <c r="C10" s="39">
        <v>600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1.2339575812521957</v>
      </c>
      <c r="J10" s="43">
        <f t="shared" si="0"/>
        <v>4</v>
      </c>
      <c r="K10" s="9">
        <f t="shared" si="4"/>
        <v>4.9358303250087827</v>
      </c>
      <c r="L10" s="9">
        <f t="shared" si="5"/>
        <v>4.2596891845966205</v>
      </c>
      <c r="M10" s="43" t="str">
        <f t="shared" si="6"/>
        <v>DX32</v>
      </c>
      <c r="N10" s="43" t="str">
        <f t="shared" si="7"/>
        <v>BP_3060</v>
      </c>
      <c r="O10" s="43">
        <f t="shared" si="13"/>
        <v>500</v>
      </c>
      <c r="P10" s="43">
        <f t="shared" si="8"/>
        <v>500</v>
      </c>
      <c r="Q10" s="9">
        <f t="shared" si="14"/>
        <v>2129.8445922983101</v>
      </c>
      <c r="R10" s="9">
        <f t="shared" si="9"/>
        <v>44.383420117944908</v>
      </c>
      <c r="S10" s="9">
        <f t="shared" si="10"/>
        <v>6746.6361423417457</v>
      </c>
      <c r="T10" s="21">
        <f t="shared" si="11"/>
        <v>46.525209369481971</v>
      </c>
      <c r="U10" s="6"/>
      <c r="V10" s="6"/>
      <c r="W10" s="6"/>
      <c r="X10" s="6"/>
      <c r="Y10" s="6"/>
      <c r="Z10" s="6"/>
      <c r="AA10" s="6"/>
      <c r="AC10">
        <f t="shared" si="12"/>
        <v>11.631302342370493</v>
      </c>
      <c r="AD10">
        <f>AD9</f>
        <v>7.8525702736107172</v>
      </c>
      <c r="AE10">
        <f>O8</f>
        <v>300</v>
      </c>
      <c r="AF10">
        <f t="shared" si="1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BP_3060</v>
      </c>
      <c r="F11" s="62">
        <f>IF(E11="","",SUMIF(N4:N30,C8,Q4:Q30)/1000)</f>
        <v>6.746636142341746</v>
      </c>
      <c r="G11" s="6"/>
      <c r="H11" s="20" t="str">
        <f t="shared" si="2"/>
        <v>Пропант</v>
      </c>
      <c r="I11" s="9">
        <f t="shared" si="3"/>
        <v>1.2203970506913868</v>
      </c>
      <c r="J11" s="43">
        <f t="shared" si="0"/>
        <v>4</v>
      </c>
      <c r="K11" s="9">
        <f t="shared" si="4"/>
        <v>4.8815882027655473</v>
      </c>
      <c r="L11" s="9">
        <f t="shared" si="5"/>
        <v>4.0856770827494255</v>
      </c>
      <c r="M11" s="43" t="str">
        <f t="shared" si="6"/>
        <v>DX32</v>
      </c>
      <c r="N11" s="43" t="str">
        <f t="shared" si="7"/>
        <v>BP1218_</v>
      </c>
      <c r="O11" s="43">
        <f t="shared" si="13"/>
        <v>600</v>
      </c>
      <c r="P11" s="43">
        <f t="shared" si="8"/>
        <v>600</v>
      </c>
      <c r="Q11" s="9">
        <f t="shared" si="14"/>
        <v>2451.4062496496554</v>
      </c>
      <c r="R11" s="9">
        <f t="shared" si="9"/>
        <v>48.469097200694335</v>
      </c>
      <c r="S11" s="9">
        <f t="shared" si="10"/>
        <v>9198.042391991401</v>
      </c>
      <c r="T11" s="21">
        <f t="shared" si="11"/>
        <v>51.40679757224752</v>
      </c>
      <c r="U11" s="6"/>
      <c r="V11" s="6"/>
      <c r="W11" s="6"/>
      <c r="X11" s="6"/>
      <c r="Y11" s="6"/>
      <c r="Z11" s="6"/>
      <c r="AA11" s="6"/>
      <c r="AC11">
        <f t="shared" si="12"/>
        <v>12.85169939306188</v>
      </c>
      <c r="AD11">
        <f>AC8</f>
        <v>9.1395164218697094</v>
      </c>
      <c r="AE11">
        <f>P8</f>
        <v>300</v>
      </c>
      <c r="AF11">
        <f t="shared" si="1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88</v>
      </c>
      <c r="D12" s="6"/>
      <c r="E12" s="12" t="str">
        <f>C9</f>
        <v>BP1218_</v>
      </c>
      <c r="F12" s="62">
        <f>SUMIF(N4:N30,C9,Q4:Q30)/1000</f>
        <v>8.253363857658254</v>
      </c>
      <c r="G12" s="6"/>
      <c r="H12" s="20" t="str">
        <f t="shared" si="2"/>
        <v>Пропант</v>
      </c>
      <c r="I12" s="9">
        <f t="shared" si="3"/>
        <v>1.2078682692773772</v>
      </c>
      <c r="J12" s="43">
        <f t="shared" si="0"/>
        <v>4</v>
      </c>
      <c r="K12" s="9">
        <f t="shared" si="4"/>
        <v>4.8314730771095089</v>
      </c>
      <c r="L12" s="9">
        <f t="shared" si="5"/>
        <v>3.9367558406077476</v>
      </c>
      <c r="M12" s="43" t="str">
        <f t="shared" si="6"/>
        <v>DX32</v>
      </c>
      <c r="N12" s="43" t="str">
        <f t="shared" si="7"/>
        <v>BP1218_</v>
      </c>
      <c r="O12" s="43">
        <f t="shared" si="13"/>
        <v>700</v>
      </c>
      <c r="P12" s="43">
        <f t="shared" si="8"/>
        <v>700</v>
      </c>
      <c r="Q12" s="9">
        <f t="shared" si="14"/>
        <v>2755.7290884254235</v>
      </c>
      <c r="R12" s="9">
        <f t="shared" si="9"/>
        <v>52.40585304130208</v>
      </c>
      <c r="S12" s="9">
        <f t="shared" si="10"/>
        <v>11953.771480416824</v>
      </c>
      <c r="T12" s="21">
        <f t="shared" si="11"/>
        <v>56.238270649357027</v>
      </c>
      <c r="U12" s="6"/>
      <c r="V12" s="6"/>
      <c r="W12" s="6"/>
      <c r="X12" s="6"/>
      <c r="Y12" s="6"/>
      <c r="Z12" s="6"/>
      <c r="AA12" s="6"/>
      <c r="AC12">
        <f t="shared" si="12"/>
        <v>14.059567662339257</v>
      </c>
      <c r="AD12">
        <f>AD11</f>
        <v>9.1395164218697094</v>
      </c>
      <c r="AE12">
        <f>O9</f>
        <v>400</v>
      </c>
      <c r="AF12">
        <f t="shared" si="1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89</v>
      </c>
      <c r="D13" s="6"/>
      <c r="E13" s="13" t="s">
        <v>34</v>
      </c>
      <c r="F13" s="14">
        <f>C3</f>
        <v>15</v>
      </c>
      <c r="G13" s="6"/>
      <c r="H13" s="20" t="str">
        <f t="shared" si="2"/>
        <v>Пропант</v>
      </c>
      <c r="I13" s="9">
        <f t="shared" si="3"/>
        <v>1.1992052207774675</v>
      </c>
      <c r="J13" s="43">
        <f t="shared" si="0"/>
        <v>4</v>
      </c>
      <c r="K13" s="9">
        <f t="shared" si="4"/>
        <v>4.79682088310987</v>
      </c>
      <c r="L13" s="9">
        <f t="shared" si="5"/>
        <v>3.8077856494789692</v>
      </c>
      <c r="M13" s="43" t="str">
        <f t="shared" si="6"/>
        <v>DX32</v>
      </c>
      <c r="N13" s="43" t="str">
        <f t="shared" si="7"/>
        <v>BP1218_</v>
      </c>
      <c r="O13" s="43">
        <f t="shared" si="13"/>
        <v>800</v>
      </c>
      <c r="P13" s="43">
        <f t="shared" si="8"/>
        <v>800</v>
      </c>
      <c r="Q13" s="9">
        <f t="shared" si="14"/>
        <v>3046.2285195831755</v>
      </c>
      <c r="R13" s="9">
        <f t="shared" si="9"/>
        <v>56.213638690781053</v>
      </c>
      <c r="S13" s="9">
        <f t="shared" si="10"/>
        <v>15000</v>
      </c>
      <c r="T13" s="21">
        <f t="shared" si="11"/>
        <v>61.035091532466893</v>
      </c>
      <c r="U13" s="6"/>
      <c r="V13" s="6"/>
      <c r="W13" s="6"/>
      <c r="X13" s="6"/>
      <c r="Y13" s="6"/>
      <c r="Z13" s="6"/>
      <c r="AA13" s="6"/>
      <c r="AC13">
        <f t="shared" si="12"/>
        <v>15.258772883116723</v>
      </c>
      <c r="AD13">
        <f>AC9</f>
        <v>10.397344761118298</v>
      </c>
      <c r="AE13">
        <f>P9</f>
        <v>400</v>
      </c>
      <c r="AF13">
        <f t="shared" si="1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Продавка</v>
      </c>
      <c r="I14" s="9">
        <f t="shared" si="3"/>
        <v>2.5</v>
      </c>
      <c r="J14" s="43">
        <f t="shared" si="0"/>
        <v>4</v>
      </c>
      <c r="K14" s="9">
        <f t="shared" si="4"/>
        <v>10</v>
      </c>
      <c r="L14" s="9">
        <f t="shared" si="5"/>
        <v>10</v>
      </c>
      <c r="M14" s="43" t="str">
        <f t="shared" si="6"/>
        <v>LG32</v>
      </c>
      <c r="N14" s="43" t="str">
        <f t="shared" si="7"/>
        <v>-</v>
      </c>
      <c r="O14" s="43" t="str">
        <f t="shared" si="13"/>
        <v>-</v>
      </c>
      <c r="P14" s="43" t="str">
        <f t="shared" si="8"/>
        <v>-</v>
      </c>
      <c r="Q14" s="9" t="str">
        <f t="shared" si="14"/>
        <v>-</v>
      </c>
      <c r="R14" s="9">
        <f t="shared" si="9"/>
        <v>66.213638690781053</v>
      </c>
      <c r="S14" s="9" t="str">
        <f t="shared" si="10"/>
        <v>-</v>
      </c>
      <c r="T14" s="21">
        <f t="shared" si="11"/>
        <v>71.035091532466893</v>
      </c>
      <c r="U14" s="6"/>
      <c r="V14" s="6"/>
      <c r="W14" s="6"/>
      <c r="X14" s="6"/>
      <c r="Y14" s="6"/>
      <c r="Z14" s="6"/>
      <c r="AA14" s="6"/>
      <c r="AC14" s="5">
        <f t="shared" si="12"/>
        <v>17.758772883116723</v>
      </c>
      <c r="AD14">
        <f>AD13</f>
        <v>10.397344761118298</v>
      </c>
      <c r="AE14">
        <f>O10</f>
        <v>500</v>
      </c>
      <c r="AF14">
        <f t="shared" si="1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450</v>
      </c>
      <c r="D15" s="6"/>
      <c r="E15" s="10"/>
      <c r="F15" s="11"/>
      <c r="G15" s="6"/>
      <c r="H15" s="20" t="str">
        <f t="shared" si="2"/>
        <v>Остановка</v>
      </c>
      <c r="I15" s="9">
        <f t="shared" si="3"/>
        <v>120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13"/>
        <v>-</v>
      </c>
      <c r="P15" s="43" t="str">
        <f t="shared" si="8"/>
        <v>-</v>
      </c>
      <c r="Q15" s="9" t="str">
        <f t="shared" si="14"/>
        <v>-</v>
      </c>
      <c r="R15" s="9" t="str">
        <f t="shared" si="9"/>
        <v>-</v>
      </c>
      <c r="S15" s="9" t="str">
        <f t="shared" si="10"/>
        <v>-</v>
      </c>
      <c r="T15" s="21" t="str">
        <f t="shared" si="11"/>
        <v>-</v>
      </c>
      <c r="U15" s="6"/>
      <c r="V15" s="6"/>
      <c r="W15" s="6"/>
      <c r="X15" s="6"/>
      <c r="Y15" s="6"/>
      <c r="Z15" s="6"/>
      <c r="AA15" s="6"/>
      <c r="AC15">
        <f t="shared" si="12"/>
        <v>137.75877288311673</v>
      </c>
      <c r="AD15">
        <f>AC10</f>
        <v>11.631302342370493</v>
      </c>
      <c r="AE15">
        <f>P10</f>
        <v>500</v>
      </c>
      <c r="AF15">
        <f t="shared" si="1"/>
        <v>4</v>
      </c>
      <c r="AH15">
        <v>2</v>
      </c>
      <c r="AI15">
        <v>2.15</v>
      </c>
    </row>
    <row r="16" spans="1:36" ht="15.75" customHeight="1" x14ac:dyDescent="0.25">
      <c r="A16" s="6"/>
      <c r="B16" s="35" t="s">
        <v>47</v>
      </c>
      <c r="C16" s="39">
        <v>40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13"/>
        <v>-</v>
      </c>
      <c r="P16" s="43" t="str">
        <f t="shared" si="8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 t="e">
        <f t="shared" si="12"/>
        <v>#VALUE!</v>
      </c>
      <c r="AD16">
        <f>AD15</f>
        <v>11.631302342370493</v>
      </c>
      <c r="AE16">
        <f>O11</f>
        <v>600</v>
      </c>
      <c r="AF16">
        <f t="shared" si="1"/>
        <v>4</v>
      </c>
      <c r="AH16">
        <v>3</v>
      </c>
      <c r="AI16">
        <v>2.2999999999999998</v>
      </c>
    </row>
    <row r="17" spans="1:40" ht="16.149999999999999" customHeight="1" x14ac:dyDescent="0.25">
      <c r="A17" s="6"/>
      <c r="B17" s="35" t="s">
        <v>48</v>
      </c>
      <c r="C17" s="39">
        <v>50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13"/>
        <v>-</v>
      </c>
      <c r="P17" s="43" t="str">
        <f t="shared" si="8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 t="e">
        <f t="shared" si="12"/>
        <v>#VALUE!</v>
      </c>
      <c r="AD17">
        <f>AC11</f>
        <v>12.85169939306188</v>
      </c>
      <c r="AE17">
        <f>P11</f>
        <v>600</v>
      </c>
      <c r="AF17">
        <f t="shared" si="1"/>
        <v>4</v>
      </c>
    </row>
    <row r="18" spans="1:40" ht="15.75" customHeight="1" x14ac:dyDescent="0.25">
      <c r="A18" s="6"/>
      <c r="B18" s="24" t="s">
        <v>50</v>
      </c>
      <c r="C18" s="39" t="s">
        <v>88</v>
      </c>
      <c r="D18" s="6"/>
      <c r="E18" s="65">
        <f>IFERROR(C3/SUM(L4:L30), "-")</f>
        <v>0.2265394304948303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13"/>
        <v>-</v>
      </c>
      <c r="P18" s="43" t="str">
        <f t="shared" si="8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12.85169939306188</v>
      </c>
      <c r="AE18">
        <f>O12</f>
        <v>700</v>
      </c>
      <c r="AF18">
        <f t="shared" si="1"/>
        <v>4</v>
      </c>
      <c r="AH18" s="44" t="s">
        <v>52</v>
      </c>
      <c r="AI18" s="2">
        <f>IF(C7=-3,AI10,IF(C7=-2,AI11,IF(C7=-1,AI12,IF(C7=0,AI13,IF(C7=1,AI14,IF(C7=2,AI15,IF(C7=3,AI16)))))))</f>
        <v>1.7</v>
      </c>
    </row>
    <row r="19" spans="1:40" ht="15.75" customHeight="1" x14ac:dyDescent="0.25">
      <c r="A19" s="6"/>
      <c r="B19" s="24" t="s">
        <v>53</v>
      </c>
      <c r="C19" s="39" t="s">
        <v>89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13"/>
        <v>-</v>
      </c>
      <c r="P19" s="43" t="str">
        <f t="shared" si="8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14.059567662339257</v>
      </c>
      <c r="AE19">
        <f>P12</f>
        <v>700</v>
      </c>
      <c r="AF19">
        <f t="shared" si="1"/>
        <v>4</v>
      </c>
    </row>
    <row r="20" spans="1:40" ht="16.5" customHeight="1" thickBot="1" x14ac:dyDescent="0.3">
      <c r="A20" s="6"/>
      <c r="B20" s="24" t="s">
        <v>55</v>
      </c>
      <c r="C20" s="39">
        <v>50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13"/>
        <v>-</v>
      </c>
      <c r="P20" s="43" t="str">
        <f t="shared" si="8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14.059567662339257</v>
      </c>
      <c r="AE20">
        <f>O13</f>
        <v>800</v>
      </c>
      <c r="AF20">
        <f t="shared" si="1"/>
        <v>4</v>
      </c>
    </row>
    <row r="21" spans="1:40" ht="15.75" customHeight="1" x14ac:dyDescent="0.25">
      <c r="A21" s="6"/>
      <c r="B21" s="33" t="s">
        <v>56</v>
      </c>
      <c r="C21" s="56">
        <v>50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13"/>
        <v>-</v>
      </c>
      <c r="P21" s="43" t="str">
        <f t="shared" si="8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15.258772883116723</v>
      </c>
      <c r="AE21">
        <f>P13</f>
        <v>800</v>
      </c>
      <c r="AF21">
        <f t="shared" si="1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35" t="s">
        <v>139</v>
      </c>
      <c r="C22" s="39" t="s">
        <v>88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13"/>
        <v>-</v>
      </c>
      <c r="P22" s="43" t="str">
        <f t="shared" si="8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15.258772883116723</v>
      </c>
      <c r="AE22" t="str">
        <f>O14</f>
        <v>-</v>
      </c>
      <c r="AF22">
        <f t="shared" si="1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8.75" customHeight="1" thickBot="1" x14ac:dyDescent="0.3">
      <c r="A23" s="6"/>
      <c r="B23" s="37" t="s">
        <v>140</v>
      </c>
      <c r="C23" s="47">
        <v>10</v>
      </c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13"/>
        <v>-</v>
      </c>
      <c r="P23" s="43" t="str">
        <f t="shared" si="8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17.758772883116723</v>
      </c>
      <c r="AE23" t="str">
        <f>P14</f>
        <v>-</v>
      </c>
      <c r="AF23">
        <f t="shared" si="1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13"/>
        <v>-</v>
      </c>
      <c r="P24" s="43" t="str">
        <f t="shared" si="8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17.758772883116723</v>
      </c>
      <c r="AE24" t="str">
        <f>O15</f>
        <v>-</v>
      </c>
      <c r="AF24">
        <f t="shared" si="1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13"/>
        <v>-</v>
      </c>
      <c r="P25" s="43" t="str">
        <f t="shared" si="8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137.75877288311673</v>
      </c>
      <c r="AE25" t="str">
        <f>P15</f>
        <v>-</v>
      </c>
      <c r="AF25">
        <f t="shared" si="1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13"/>
        <v>-</v>
      </c>
      <c r="P26" s="43" t="str">
        <f t="shared" si="8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137.75877288311673</v>
      </c>
      <c r="AE26" t="str">
        <f>O16</f>
        <v>-</v>
      </c>
      <c r="AF26">
        <f t="shared" si="1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13"/>
        <v>-</v>
      </c>
      <c r="P27" s="43" t="str">
        <f t="shared" si="8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 t="e">
        <f>AC16</f>
        <v>#VALUE!</v>
      </c>
      <c r="AE27" t="str">
        <f>P16</f>
        <v>-</v>
      </c>
      <c r="AF27">
        <f t="shared" si="1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13"/>
        <v>-</v>
      </c>
      <c r="P28" s="43" t="str">
        <f t="shared" si="8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 t="e">
        <f>AD27</f>
        <v>#VALUE!</v>
      </c>
      <c r="AE28" t="str">
        <f>O17</f>
        <v>-</v>
      </c>
      <c r="AF28">
        <f t="shared" si="1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13"/>
        <v>-</v>
      </c>
      <c r="P29" s="43" t="str">
        <f t="shared" si="8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 t="e">
        <f>AC17</f>
        <v>#VALUE!</v>
      </c>
      <c r="AE29" t="str">
        <f>P17</f>
        <v>-</v>
      </c>
      <c r="AF29">
        <f t="shared" si="1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13"/>
        <v>-</v>
      </c>
      <c r="P30" s="48" t="str">
        <f t="shared" si="8"/>
        <v>-</v>
      </c>
      <c r="Q30" s="23" t="str">
        <f t="shared" si="14"/>
        <v>-</v>
      </c>
      <c r="R30" s="23" t="str">
        <f t="shared" si="9"/>
        <v>-</v>
      </c>
      <c r="S30" s="23" t="str">
        <f t="shared" si="10"/>
        <v>-</v>
      </c>
      <c r="T30" s="36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 t="e">
        <f>AD29</f>
        <v>#VALUE!</v>
      </c>
      <c r="AE30" t="str">
        <f>O18</f>
        <v>-</v>
      </c>
      <c r="AF30">
        <f t="shared" si="1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P18</f>
        <v>-</v>
      </c>
      <c r="AF31">
        <f t="shared" si="1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O19</f>
        <v>-</v>
      </c>
      <c r="AF32">
        <f t="shared" si="1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P19</f>
        <v>-</v>
      </c>
      <c r="AF33">
        <f t="shared" si="1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O20</f>
        <v>-</v>
      </c>
      <c r="AF34">
        <f t="shared" si="1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P20</f>
        <v>-</v>
      </c>
      <c r="AF35">
        <f t="shared" si="1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O21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P21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P22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P23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P24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P25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P26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P27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P28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P29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21.667457494025747</v>
      </c>
    </row>
    <row r="74" spans="1:27" x14ac:dyDescent="0.25">
      <c r="F74" s="52"/>
      <c r="G74" s="52"/>
      <c r="I74" s="54" t="s">
        <v>125</v>
      </c>
      <c r="J74" s="54">
        <f>C20/100*J73</f>
        <v>10.833728747012874</v>
      </c>
    </row>
    <row r="75" spans="1:27" x14ac:dyDescent="0.25">
      <c r="F75" s="52"/>
      <c r="G75" s="52"/>
      <c r="I75" s="54" t="s">
        <v>126</v>
      </c>
      <c r="J75" s="54">
        <f>J73-J74</f>
        <v>10.833728747012874</v>
      </c>
    </row>
    <row r="76" spans="1:27" x14ac:dyDescent="0.25">
      <c r="E76">
        <v>1</v>
      </c>
      <c r="F76" s="53">
        <f t="shared" ref="F76:F100" si="17">IF(O6="-","-",O6/$C$4)</f>
        <v>0.125</v>
      </c>
      <c r="G76" s="53">
        <f t="shared" ref="G76:G100" si="18">IF(F76="-","-",F76^$AI$18)</f>
        <v>2.9157280985525245E-2</v>
      </c>
    </row>
    <row r="77" spans="1:27" x14ac:dyDescent="0.25">
      <c r="E77">
        <v>2</v>
      </c>
      <c r="F77" s="53">
        <f t="shared" si="17"/>
        <v>0.25</v>
      </c>
      <c r="G77" s="53">
        <f t="shared" si="18"/>
        <v>9.4732285406899888E-2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0.375</v>
      </c>
      <c r="G78" s="53">
        <f t="shared" si="18"/>
        <v>0.18873530841016539</v>
      </c>
      <c r="I78" s="54" t="s">
        <v>128</v>
      </c>
      <c r="J78" s="54">
        <f>C4/C6</f>
        <v>8</v>
      </c>
    </row>
    <row r="79" spans="1:27" x14ac:dyDescent="0.25">
      <c r="E79">
        <v>4</v>
      </c>
      <c r="F79" s="53">
        <f t="shared" si="17"/>
        <v>0.5</v>
      </c>
      <c r="G79" s="53">
        <f t="shared" si="18"/>
        <v>0.30778610333622908</v>
      </c>
      <c r="I79" s="54" t="s">
        <v>129</v>
      </c>
      <c r="J79" s="54">
        <f>(1-C16/100)^2+J77</f>
        <v>0.41</v>
      </c>
    </row>
    <row r="80" spans="1:27" x14ac:dyDescent="0.25">
      <c r="E80">
        <v>5</v>
      </c>
      <c r="F80" s="53">
        <f t="shared" si="17"/>
        <v>0.625</v>
      </c>
      <c r="G80" s="53">
        <f t="shared" si="18"/>
        <v>0.44977574282278304</v>
      </c>
    </row>
    <row r="81" spans="5:10" x14ac:dyDescent="0.25">
      <c r="E81">
        <v>6</v>
      </c>
      <c r="F81" s="53">
        <f t="shared" si="17"/>
        <v>0.75</v>
      </c>
      <c r="G81" s="53">
        <f t="shared" si="18"/>
        <v>0.61320282613276</v>
      </c>
      <c r="I81" s="34" t="s">
        <v>130</v>
      </c>
      <c r="J81" s="34">
        <f>C20/100*((1-C16/100)^2+J82)+C21/100*((1-C17/100)^2+J83)</f>
        <v>0.35499999999999998</v>
      </c>
    </row>
    <row r="82" spans="5:10" x14ac:dyDescent="0.25">
      <c r="E82">
        <v>7</v>
      </c>
      <c r="F82" s="53">
        <f t="shared" si="17"/>
        <v>0.875</v>
      </c>
      <c r="G82" s="53">
        <f t="shared" si="18"/>
        <v>0.79691809869445496</v>
      </c>
      <c r="I82" s="34" t="s">
        <v>131</v>
      </c>
      <c r="J82" s="34">
        <f>IF(C16&gt;20,0.05,0.25*(C16/100))</f>
        <v>0.05</v>
      </c>
    </row>
    <row r="83" spans="5:10" x14ac:dyDescent="0.25">
      <c r="E83">
        <v>8</v>
      </c>
      <c r="F83" s="53">
        <f t="shared" si="17"/>
        <v>1</v>
      </c>
      <c r="G83" s="53">
        <f t="shared" si="18"/>
        <v>1</v>
      </c>
      <c r="I83" s="34" t="s">
        <v>132</v>
      </c>
      <c r="J83" s="34">
        <f>IF(C17&gt;20,0.05,0.25*(C17/100))</f>
        <v>0.05</v>
      </c>
    </row>
    <row r="84" spans="5:10" x14ac:dyDescent="0.25">
      <c r="E84">
        <v>9</v>
      </c>
      <c r="F84" s="53" t="str">
        <f t="shared" si="17"/>
        <v>-</v>
      </c>
      <c r="G84" s="53" t="str">
        <f t="shared" si="18"/>
        <v>-</v>
      </c>
    </row>
    <row r="85" spans="5:10" x14ac:dyDescent="0.25">
      <c r="E85">
        <v>10</v>
      </c>
      <c r="F85" s="53" t="str">
        <f t="shared" si="17"/>
        <v>-</v>
      </c>
      <c r="G85" s="53" t="str">
        <f t="shared" si="18"/>
        <v>-</v>
      </c>
    </row>
    <row r="86" spans="5:10" x14ac:dyDescent="0.25">
      <c r="E86">
        <v>11</v>
      </c>
      <c r="F86" s="53" t="str">
        <f t="shared" si="17"/>
        <v>-</v>
      </c>
      <c r="G86" s="53" t="str">
        <f t="shared" si="18"/>
        <v>-</v>
      </c>
    </row>
    <row r="87" spans="5:10" x14ac:dyDescent="0.25">
      <c r="E87">
        <v>12</v>
      </c>
      <c r="F87" s="53" t="str">
        <f t="shared" si="17"/>
        <v>-</v>
      </c>
      <c r="G87" s="53" t="str">
        <f t="shared" si="18"/>
        <v>-</v>
      </c>
    </row>
    <row r="88" spans="5:10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10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10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10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10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10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10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10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10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3.15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3.08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22 C18:C19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K21" sqref="K21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3.2323410887771242</v>
      </c>
      <c r="J4" s="43">
        <f t="shared" ref="J4:J30" si="0">IF(K4="-","-",$C$5)</f>
        <v>3</v>
      </c>
      <c r="K4" s="9">
        <f>IFERROR(J74, "-")</f>
        <v>9.6970232663313727</v>
      </c>
      <c r="L4" s="9">
        <f>IFERROR(K4,0)</f>
        <v>9.6970232663313727</v>
      </c>
      <c r="M4" s="43" t="str">
        <f>IF(L4="-","-",$C$17)</f>
        <v>LG28</v>
      </c>
      <c r="N4" s="43"/>
      <c r="O4" s="43"/>
      <c r="P4" s="43"/>
      <c r="Q4" s="9"/>
      <c r="R4" s="9">
        <f>IF(L4="-","-",L4)</f>
        <v>9.6970232663313727</v>
      </c>
      <c r="S4" s="9"/>
      <c r="T4" s="21">
        <f>IF(K4="-","-",K4)</f>
        <v>9.6970232663313727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3</v>
      </c>
      <c r="AI4" t="s">
        <v>27</v>
      </c>
      <c r="AJ4" s="5">
        <f>SUM(K6:K30)-$C$22</f>
        <v>60.029191648718026</v>
      </c>
    </row>
    <row r="5" spans="1:36" ht="18" customHeight="1" x14ac:dyDescent="0.25">
      <c r="A5" s="6"/>
      <c r="B5" s="24" t="s">
        <v>28</v>
      </c>
      <c r="C5" s="39">
        <v>3</v>
      </c>
      <c r="D5" s="6"/>
      <c r="E5" s="12" t="str">
        <f>IF(C14=0,"",C11)</f>
        <v/>
      </c>
      <c r="F5" s="62" t="str">
        <f>IF(E5="","",SUMIF(M4:M30,C11,L4:L30))</f>
        <v/>
      </c>
      <c r="G5" s="6"/>
      <c r="H5" s="20" t="str">
        <f>IF(I5="-","-","Буфер")</f>
        <v>Буфер</v>
      </c>
      <c r="I5" s="9">
        <f>IFERROR(K5/J5,"-")</f>
        <v>7.5421292071466253</v>
      </c>
      <c r="J5" s="43">
        <f t="shared" si="0"/>
        <v>3</v>
      </c>
      <c r="K5" s="9">
        <f>IFERROR(J75, "-")</f>
        <v>22.626387621439875</v>
      </c>
      <c r="L5" s="9">
        <f>IFERROR(K5,0)</f>
        <v>22.626387621439875</v>
      </c>
      <c r="M5" s="43" t="str">
        <f>IF(L5="-","-",$C$18)</f>
        <v>DX26</v>
      </c>
      <c r="N5" s="43"/>
      <c r="O5" s="43"/>
      <c r="P5" s="43"/>
      <c r="Q5" s="9"/>
      <c r="R5" s="9">
        <f>IF(L5="-","-",R4+L5)</f>
        <v>32.323410887771246</v>
      </c>
      <c r="S5" s="9"/>
      <c r="T5" s="21">
        <f>IF(K5="-","-",K5+T4)</f>
        <v>32.323410887771246</v>
      </c>
      <c r="U5" s="6"/>
      <c r="V5" s="6"/>
      <c r="W5" s="6"/>
      <c r="X5" s="6"/>
      <c r="Y5" s="6"/>
      <c r="Z5" s="6"/>
      <c r="AA5" s="6"/>
      <c r="AC5">
        <f>AC4+I4+I5</f>
        <v>10.774470295923749</v>
      </c>
      <c r="AD5">
        <f>AC5</f>
        <v>10.774470295923749</v>
      </c>
      <c r="AE5">
        <f>P4</f>
        <v>0</v>
      </c>
      <c r="AF5">
        <f t="shared" si="1"/>
        <v>3</v>
      </c>
      <c r="AI5" t="s">
        <v>29</v>
      </c>
      <c r="AJ5">
        <f>AJ4/(1-$C$16/100)</f>
        <v>92.352602536489272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SUMIF(M4:M30,C12,L4:L30)</f>
        <v>50.225424488544547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0.73341146008141</v>
      </c>
      <c r="J6" s="43">
        <f t="shared" si="0"/>
        <v>3</v>
      </c>
      <c r="K6" s="9">
        <f t="shared" ref="K6:K30" si="4">IF(S5=$C$3*1000,$C$22,IFERROR(L6+Q6/(IF(N6=$C$8,$G$103,$G$104)*1000),"-"))</f>
        <v>2.2002343802442299</v>
      </c>
      <c r="L6" s="9">
        <f t="shared" ref="L6:L30" si="5">IF(S5=$C$3*1000,$C$22,IFERROR(Q6/O6,"-"))</f>
        <v>2.1238373531524162</v>
      </c>
      <c r="M6" s="43" t="str">
        <f t="shared" ref="M6:M30" si="6">IF(H6="Продавка",$C$21, IF(L6="-","-",IF(P6&lt;=$C$14,$C$11,IF(P6&gt;$C$15,$C$13,$C$12))))</f>
        <v>LG28</v>
      </c>
      <c r="N6" s="43" t="str">
        <f t="shared" ref="N6:N30" si="7">IF(P6="-","-",IF(P6&lt;$C$10,$C$8,$C$9))</f>
        <v>20/40 Новатэк</v>
      </c>
      <c r="O6" s="43">
        <f>IFERROR(O5+($C$4-O5)/($J$78-D5),"-")</f>
        <v>100</v>
      </c>
      <c r="P6" s="43">
        <f t="shared" ref="P6:P30" si="8">O6</f>
        <v>100</v>
      </c>
      <c r="Q6" s="9">
        <f>IF(S6="-","-",S6)</f>
        <v>212.38373531524161</v>
      </c>
      <c r="R6" s="9">
        <f t="shared" ref="R6:R30" si="9">IFERROR(IF(L6="-","-",R5+L6),"-")</f>
        <v>34.447248240923663</v>
      </c>
      <c r="S6" s="9">
        <f t="shared" ref="S6:S30" si="10">IF(G76="-","-",G76*$C$3*1000)</f>
        <v>212.38373531524161</v>
      </c>
      <c r="T6" s="21">
        <f t="shared" ref="T6:T30" si="11">IFERROR(IF(K6="-","-",T5+K6),"-")</f>
        <v>34.523645268015478</v>
      </c>
      <c r="U6" s="6"/>
      <c r="V6" s="6"/>
      <c r="W6" s="6"/>
      <c r="X6" s="6"/>
      <c r="Y6" s="6"/>
      <c r="Z6" s="6"/>
      <c r="AA6" s="6"/>
      <c r="AC6" s="5">
        <f t="shared" ref="AC6:AC30" si="12">AC5+I6</f>
        <v>11.507881756005158</v>
      </c>
      <c r="AD6">
        <f>AD5</f>
        <v>10.774470295923749</v>
      </c>
      <c r="AE6">
        <f>O6</f>
        <v>100</v>
      </c>
      <c r="AF6">
        <f t="shared" si="1"/>
        <v>3</v>
      </c>
    </row>
    <row r="7" spans="1:36" ht="15.75" customHeight="1" x14ac:dyDescent="0.25">
      <c r="A7" s="6"/>
      <c r="B7" s="24" t="s">
        <v>31</v>
      </c>
      <c r="C7" s="39">
        <v>2</v>
      </c>
      <c r="D7" s="6"/>
      <c r="E7" s="12" t="str">
        <f>C13</f>
        <v>DX28</v>
      </c>
      <c r="F7" s="62">
        <f>SUMIF(M4:M30,C13,L4:L30)</f>
        <v>23.434268718937574</v>
      </c>
      <c r="G7" s="6"/>
      <c r="H7" s="20" t="str">
        <f t="shared" si="2"/>
        <v>Пропант</v>
      </c>
      <c r="I7" s="9">
        <f t="shared" si="3"/>
        <v>1.3046152379312768</v>
      </c>
      <c r="J7" s="43">
        <f t="shared" si="0"/>
        <v>3</v>
      </c>
      <c r="K7" s="9">
        <f t="shared" si="4"/>
        <v>3.9138457137938305</v>
      </c>
      <c r="L7" s="9">
        <f t="shared" si="5"/>
        <v>3.6511715048143789</v>
      </c>
      <c r="M7" s="43" t="str">
        <f t="shared" si="6"/>
        <v>LG28</v>
      </c>
      <c r="N7" s="43" t="str">
        <f t="shared" si="7"/>
        <v>20/40 Новатэк</v>
      </c>
      <c r="O7" s="43">
        <f t="shared" ref="O7:O30" si="13">IFERROR(O6+($C$4-O6)/($J$78-E76),"-")</f>
        <v>200</v>
      </c>
      <c r="P7" s="43">
        <f t="shared" si="8"/>
        <v>200</v>
      </c>
      <c r="Q7" s="9">
        <f t="shared" ref="Q7:Q30" si="14">IF(S7="-","-",S7-S6)</f>
        <v>730.23430096287575</v>
      </c>
      <c r="R7" s="9">
        <f t="shared" si="9"/>
        <v>38.098419745738042</v>
      </c>
      <c r="S7" s="9">
        <f t="shared" si="10"/>
        <v>942.6180362781173</v>
      </c>
      <c r="T7" s="21">
        <f t="shared" si="11"/>
        <v>38.437490981809312</v>
      </c>
      <c r="U7" s="6"/>
      <c r="V7" s="6"/>
      <c r="W7" s="6"/>
      <c r="X7" s="6"/>
      <c r="Y7" s="6"/>
      <c r="Z7" s="6"/>
      <c r="AA7" s="6"/>
      <c r="AC7" s="5">
        <f t="shared" si="12"/>
        <v>12.812496993936435</v>
      </c>
      <c r="AD7" s="5">
        <f>AC6</f>
        <v>11.507881756005158</v>
      </c>
      <c r="AE7">
        <f>P6</f>
        <v>100</v>
      </c>
      <c r="AF7">
        <f t="shared" si="1"/>
        <v>3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SUM(L4:L30)</f>
        <v>96.286080828921996</v>
      </c>
      <c r="G8" s="6"/>
      <c r="H8" s="20" t="str">
        <f t="shared" si="2"/>
        <v>Пропант</v>
      </c>
      <c r="I8" s="9">
        <f t="shared" si="3"/>
        <v>1.6141908196774739</v>
      </c>
      <c r="J8" s="43">
        <f t="shared" si="0"/>
        <v>3</v>
      </c>
      <c r="K8" s="9">
        <f t="shared" si="4"/>
        <v>4.8425724590324215</v>
      </c>
      <c r="L8" s="9">
        <f t="shared" si="5"/>
        <v>4.3708933234123801</v>
      </c>
      <c r="M8" s="43" t="str">
        <f t="shared" si="6"/>
        <v>LG28</v>
      </c>
      <c r="N8" s="43" t="str">
        <f t="shared" si="7"/>
        <v>20/40 Новатэк</v>
      </c>
      <c r="O8" s="43">
        <f t="shared" si="13"/>
        <v>300</v>
      </c>
      <c r="P8" s="43">
        <f t="shared" si="8"/>
        <v>300</v>
      </c>
      <c r="Q8" s="9">
        <f t="shared" si="14"/>
        <v>1311.2679970237141</v>
      </c>
      <c r="R8" s="9">
        <f t="shared" si="9"/>
        <v>42.469313069150424</v>
      </c>
      <c r="S8" s="9">
        <f t="shared" si="10"/>
        <v>2253.8860333018315</v>
      </c>
      <c r="T8" s="21">
        <f t="shared" si="11"/>
        <v>43.28006344084173</v>
      </c>
      <c r="U8" s="6"/>
      <c r="V8" s="6"/>
      <c r="W8" s="6"/>
      <c r="X8" s="6"/>
      <c r="Y8" s="6"/>
      <c r="Z8" s="6"/>
      <c r="AA8" s="6"/>
      <c r="AC8">
        <f t="shared" si="12"/>
        <v>14.426687813613908</v>
      </c>
      <c r="AD8" s="5">
        <f>AD7</f>
        <v>11.507881756005158</v>
      </c>
      <c r="AE8">
        <f>O7</f>
        <v>200</v>
      </c>
      <c r="AF8">
        <f t="shared" si="1"/>
        <v>3</v>
      </c>
      <c r="AI8">
        <f>C3/AJ4</f>
        <v>0.49975685455762214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1.8394762944684839</v>
      </c>
      <c r="J9" s="43">
        <f t="shared" si="0"/>
        <v>3</v>
      </c>
      <c r="K9" s="9">
        <f t="shared" si="4"/>
        <v>5.518428883405452</v>
      </c>
      <c r="L9" s="9">
        <f t="shared" si="5"/>
        <v>4.8242868854928167</v>
      </c>
      <c r="M9" s="43" t="str">
        <f t="shared" si="6"/>
        <v>LG28</v>
      </c>
      <c r="N9" s="43" t="str">
        <f t="shared" si="7"/>
        <v>20/40 Новатэк</v>
      </c>
      <c r="O9" s="43">
        <f t="shared" si="13"/>
        <v>400</v>
      </c>
      <c r="P9" s="43">
        <f t="shared" si="8"/>
        <v>400</v>
      </c>
      <c r="Q9" s="9">
        <f t="shared" si="14"/>
        <v>1929.7147541971267</v>
      </c>
      <c r="R9" s="9">
        <f t="shared" si="9"/>
        <v>47.293599954643241</v>
      </c>
      <c r="S9" s="9">
        <f t="shared" si="10"/>
        <v>4183.6007874989582</v>
      </c>
      <c r="T9" s="21">
        <f t="shared" si="11"/>
        <v>48.798492324247178</v>
      </c>
      <c r="U9" s="6"/>
      <c r="V9" s="6"/>
      <c r="W9" s="6"/>
      <c r="X9" s="6"/>
      <c r="Y9" s="6"/>
      <c r="Z9" s="6"/>
      <c r="AA9" s="6"/>
      <c r="AC9">
        <f t="shared" si="12"/>
        <v>16.266164108082393</v>
      </c>
      <c r="AD9">
        <f>AC7</f>
        <v>12.812496993936435</v>
      </c>
      <c r="AE9">
        <f>P7</f>
        <v>200</v>
      </c>
      <c r="AF9">
        <f t="shared" si="1"/>
        <v>3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2.0351823660896944</v>
      </c>
      <c r="J10" s="43">
        <f t="shared" si="0"/>
        <v>3</v>
      </c>
      <c r="K10" s="9">
        <f t="shared" si="4"/>
        <v>6.1055470982690832</v>
      </c>
      <c r="L10" s="9">
        <f t="shared" si="5"/>
        <v>5.1515553641645386</v>
      </c>
      <c r="M10" s="43" t="str">
        <f t="shared" si="6"/>
        <v>LG28</v>
      </c>
      <c r="N10" s="43" t="str">
        <f t="shared" si="7"/>
        <v>16/20 Новатэк</v>
      </c>
      <c r="O10" s="43">
        <f t="shared" si="13"/>
        <v>500</v>
      </c>
      <c r="P10" s="43">
        <f t="shared" si="8"/>
        <v>500</v>
      </c>
      <c r="Q10" s="9">
        <f t="shared" si="14"/>
        <v>2575.7776820822692</v>
      </c>
      <c r="R10" s="9">
        <f t="shared" si="9"/>
        <v>52.445155318807778</v>
      </c>
      <c r="S10" s="9">
        <f t="shared" si="10"/>
        <v>6759.3784695812274</v>
      </c>
      <c r="T10" s="21">
        <f t="shared" si="11"/>
        <v>54.904039422516263</v>
      </c>
      <c r="U10" s="6"/>
      <c r="V10" s="6"/>
      <c r="W10" s="6"/>
      <c r="X10" s="6"/>
      <c r="Y10" s="6"/>
      <c r="Z10" s="6"/>
      <c r="AA10" s="6"/>
      <c r="AC10">
        <f t="shared" si="12"/>
        <v>18.301346474172085</v>
      </c>
      <c r="AD10">
        <f>AD9</f>
        <v>12.812496993936435</v>
      </c>
      <c r="AE10">
        <f>O8</f>
        <v>300</v>
      </c>
      <c r="AF10">
        <f t="shared" si="1"/>
        <v>3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IF(E11="","",SUMIF(N4:N30,C8,Q4:Q30)/1000)</f>
        <v>4.1836007874989578</v>
      </c>
      <c r="G11" s="6"/>
      <c r="H11" s="20" t="str">
        <f t="shared" si="2"/>
        <v>Пропант</v>
      </c>
      <c r="I11" s="9">
        <f t="shared" si="3"/>
        <v>2.2027120260349284</v>
      </c>
      <c r="J11" s="43">
        <f t="shared" si="0"/>
        <v>3</v>
      </c>
      <c r="K11" s="9">
        <f t="shared" si="4"/>
        <v>6.6081360781047849</v>
      </c>
      <c r="L11" s="9">
        <f t="shared" si="5"/>
        <v>5.4066567911766423</v>
      </c>
      <c r="M11" s="43" t="str">
        <f t="shared" si="6"/>
        <v>LG28</v>
      </c>
      <c r="N11" s="43" t="str">
        <f t="shared" si="7"/>
        <v>16/20 Новатэк</v>
      </c>
      <c r="O11" s="43">
        <f t="shared" si="13"/>
        <v>600</v>
      </c>
      <c r="P11" s="43">
        <f t="shared" si="8"/>
        <v>600</v>
      </c>
      <c r="Q11" s="9">
        <f t="shared" si="14"/>
        <v>3243.9940747059854</v>
      </c>
      <c r="R11" s="9">
        <f t="shared" si="9"/>
        <v>57.851812109984422</v>
      </c>
      <c r="S11" s="9">
        <f t="shared" si="10"/>
        <v>10003.372544287213</v>
      </c>
      <c r="T11" s="21">
        <f t="shared" si="11"/>
        <v>61.512175500621048</v>
      </c>
      <c r="U11" s="6"/>
      <c r="V11" s="6"/>
      <c r="W11" s="6"/>
      <c r="X11" s="6"/>
      <c r="Y11" s="6"/>
      <c r="Z11" s="6"/>
      <c r="AA11" s="6"/>
      <c r="AC11">
        <f t="shared" si="12"/>
        <v>20.504058500207012</v>
      </c>
      <c r="AD11">
        <f>AC8</f>
        <v>14.426687813613908</v>
      </c>
      <c r="AE11">
        <f>P8</f>
        <v>300</v>
      </c>
      <c r="AF11">
        <f t="shared" si="1"/>
        <v>3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SUMIF(N4:N30,C9,Q4:Q30)/1000</f>
        <v>25.81639921250104</v>
      </c>
      <c r="G12" s="6"/>
      <c r="H12" s="20" t="str">
        <f t="shared" si="2"/>
        <v>Пропант</v>
      </c>
      <c r="I12" s="9">
        <f t="shared" si="3"/>
        <v>2.3571099574608545</v>
      </c>
      <c r="J12" s="43">
        <f t="shared" si="0"/>
        <v>3</v>
      </c>
      <c r="K12" s="9">
        <f t="shared" si="4"/>
        <v>7.0713298723825639</v>
      </c>
      <c r="L12" s="9">
        <f t="shared" si="5"/>
        <v>5.6154678398332125</v>
      </c>
      <c r="M12" s="43" t="str">
        <f t="shared" si="6"/>
        <v>DX28</v>
      </c>
      <c r="N12" s="43" t="str">
        <f t="shared" si="7"/>
        <v>16/20 Новатэк</v>
      </c>
      <c r="O12" s="43">
        <f t="shared" si="13"/>
        <v>700</v>
      </c>
      <c r="P12" s="43">
        <f t="shared" si="8"/>
        <v>700</v>
      </c>
      <c r="Q12" s="9">
        <f t="shared" si="14"/>
        <v>3930.827487883249</v>
      </c>
      <c r="R12" s="9">
        <f t="shared" si="9"/>
        <v>63.467279949817637</v>
      </c>
      <c r="S12" s="9">
        <f t="shared" si="10"/>
        <v>13934.200032170462</v>
      </c>
      <c r="T12" s="21">
        <f t="shared" si="11"/>
        <v>68.583505373003618</v>
      </c>
      <c r="U12" s="6"/>
      <c r="V12" s="6"/>
      <c r="W12" s="6"/>
      <c r="X12" s="6"/>
      <c r="Y12" s="6"/>
      <c r="Z12" s="6"/>
      <c r="AA12" s="6"/>
      <c r="AC12">
        <f t="shared" si="12"/>
        <v>22.861168457667866</v>
      </c>
      <c r="AD12">
        <f>AD11</f>
        <v>14.426687813613908</v>
      </c>
      <c r="AE12">
        <f>O9</f>
        <v>400</v>
      </c>
      <c r="AF12">
        <f t="shared" si="1"/>
        <v>3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3"/>
        <v>2.5028148035791853</v>
      </c>
      <c r="J13" s="43">
        <f t="shared" si="0"/>
        <v>3</v>
      </c>
      <c r="K13" s="9">
        <f t="shared" si="4"/>
        <v>7.5084444107375559</v>
      </c>
      <c r="L13" s="9">
        <f t="shared" si="5"/>
        <v>5.7922285454261146</v>
      </c>
      <c r="M13" s="43" t="str">
        <f t="shared" si="6"/>
        <v>DX28</v>
      </c>
      <c r="N13" s="43" t="str">
        <f t="shared" si="7"/>
        <v>16/20 Новатэк</v>
      </c>
      <c r="O13" s="43">
        <f t="shared" si="13"/>
        <v>800</v>
      </c>
      <c r="P13" s="43">
        <f t="shared" si="8"/>
        <v>800</v>
      </c>
      <c r="Q13" s="9">
        <f t="shared" si="14"/>
        <v>4633.7828363408917</v>
      </c>
      <c r="R13" s="9">
        <f t="shared" si="9"/>
        <v>69.25950849524375</v>
      </c>
      <c r="S13" s="9">
        <f t="shared" si="10"/>
        <v>18567.982868511353</v>
      </c>
      <c r="T13" s="21">
        <f t="shared" si="11"/>
        <v>76.091949783741171</v>
      </c>
      <c r="U13" s="6"/>
      <c r="V13" s="6"/>
      <c r="W13" s="6"/>
      <c r="X13" s="6"/>
      <c r="Y13" s="6"/>
      <c r="Z13" s="6"/>
      <c r="AA13" s="6"/>
      <c r="AC13">
        <f t="shared" si="12"/>
        <v>25.36398326124705</v>
      </c>
      <c r="AD13">
        <f>AC9</f>
        <v>16.266164108082393</v>
      </c>
      <c r="AE13">
        <f>P9</f>
        <v>400</v>
      </c>
      <c r="AF13">
        <f t="shared" si="1"/>
        <v>3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Пропант</v>
      </c>
      <c r="I14" s="9">
        <f t="shared" si="3"/>
        <v>2.642467565287097</v>
      </c>
      <c r="J14" s="43">
        <f t="shared" si="0"/>
        <v>3</v>
      </c>
      <c r="K14" s="9">
        <f t="shared" si="4"/>
        <v>7.9274026958612911</v>
      </c>
      <c r="L14" s="9">
        <f t="shared" si="5"/>
        <v>5.9455520218959688</v>
      </c>
      <c r="M14" s="43" t="str">
        <f t="shared" si="6"/>
        <v>DX28</v>
      </c>
      <c r="N14" s="43" t="str">
        <f t="shared" si="7"/>
        <v>16/20 Новатэк</v>
      </c>
      <c r="O14" s="43">
        <f t="shared" si="13"/>
        <v>900</v>
      </c>
      <c r="P14" s="43">
        <f t="shared" si="8"/>
        <v>900</v>
      </c>
      <c r="Q14" s="9">
        <f t="shared" si="14"/>
        <v>5350.9968197063718</v>
      </c>
      <c r="R14" s="9">
        <f t="shared" si="9"/>
        <v>75.205060517139714</v>
      </c>
      <c r="S14" s="9">
        <f t="shared" si="10"/>
        <v>23918.979688217725</v>
      </c>
      <c r="T14" s="21">
        <f t="shared" si="11"/>
        <v>84.01935247960246</v>
      </c>
      <c r="U14" s="6"/>
      <c r="V14" s="6"/>
      <c r="W14" s="6"/>
      <c r="X14" s="6"/>
      <c r="Y14" s="6"/>
      <c r="Z14" s="6"/>
      <c r="AA14" s="6"/>
      <c r="AC14" s="5">
        <f t="shared" si="12"/>
        <v>28.006450826534149</v>
      </c>
      <c r="AD14">
        <f>AD13</f>
        <v>16.266164108082393</v>
      </c>
      <c r="AE14">
        <f>O10</f>
        <v>500</v>
      </c>
      <c r="AF14">
        <f t="shared" si="1"/>
        <v>3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2"/>
        <v>Пропант</v>
      </c>
      <c r="I15" s="9">
        <f t="shared" si="3"/>
        <v>2.7777500189622741</v>
      </c>
      <c r="J15" s="43">
        <f t="shared" si="0"/>
        <v>3</v>
      </c>
      <c r="K15" s="9">
        <f t="shared" si="4"/>
        <v>8.333250056886822</v>
      </c>
      <c r="L15" s="9">
        <f t="shared" si="5"/>
        <v>6.0810203117822752</v>
      </c>
      <c r="M15" s="43" t="str">
        <f t="shared" si="6"/>
        <v>DX28</v>
      </c>
      <c r="N15" s="43" t="str">
        <f t="shared" si="7"/>
        <v>16/20 Новатэк</v>
      </c>
      <c r="O15" s="43">
        <f t="shared" si="13"/>
        <v>1000</v>
      </c>
      <c r="P15" s="43">
        <f t="shared" si="8"/>
        <v>1000</v>
      </c>
      <c r="Q15" s="9">
        <f t="shared" si="14"/>
        <v>6081.0203117822748</v>
      </c>
      <c r="R15" s="9">
        <f t="shared" si="9"/>
        <v>81.286080828921996</v>
      </c>
      <c r="S15" s="9">
        <f t="shared" si="10"/>
        <v>30000</v>
      </c>
      <c r="T15" s="21">
        <f t="shared" si="11"/>
        <v>92.352602536489286</v>
      </c>
      <c r="U15" s="6"/>
      <c r="V15" s="6"/>
      <c r="W15" s="6"/>
      <c r="X15" s="6"/>
      <c r="Y15" s="6"/>
      <c r="Z15" s="6"/>
      <c r="AA15" s="6"/>
      <c r="AC15">
        <f t="shared" si="12"/>
        <v>30.784200845496422</v>
      </c>
      <c r="AD15">
        <f>AC10</f>
        <v>18.301346474172085</v>
      </c>
      <c r="AE15">
        <f>P10</f>
        <v>500</v>
      </c>
      <c r="AF15">
        <f t="shared" si="1"/>
        <v>3</v>
      </c>
      <c r="AH15">
        <v>2</v>
      </c>
      <c r="AI15">
        <v>2.15</v>
      </c>
    </row>
    <row r="16" spans="1:36" ht="15.75" customHeight="1" x14ac:dyDescent="0.25">
      <c r="A16" s="6"/>
      <c r="B16" s="35" t="s">
        <v>135</v>
      </c>
      <c r="C16" s="39">
        <v>35</v>
      </c>
      <c r="D16" s="6"/>
      <c r="E16" s="10"/>
      <c r="F16" s="11"/>
      <c r="G16" s="6"/>
      <c r="H16" s="20" t="str">
        <f t="shared" si="2"/>
        <v>Продавка</v>
      </c>
      <c r="I16" s="9">
        <f t="shared" si="3"/>
        <v>5</v>
      </c>
      <c r="J16" s="43">
        <f t="shared" si="0"/>
        <v>3</v>
      </c>
      <c r="K16" s="9">
        <f t="shared" si="4"/>
        <v>15</v>
      </c>
      <c r="L16" s="9">
        <f t="shared" si="5"/>
        <v>15</v>
      </c>
      <c r="M16" s="43" t="str">
        <f t="shared" si="6"/>
        <v>LG28</v>
      </c>
      <c r="N16" s="43" t="str">
        <f t="shared" si="7"/>
        <v>-</v>
      </c>
      <c r="O16" s="43" t="str">
        <f t="shared" si="13"/>
        <v>-</v>
      </c>
      <c r="P16" s="43" t="str">
        <f t="shared" si="8"/>
        <v>-</v>
      </c>
      <c r="Q16" s="9" t="str">
        <f t="shared" si="14"/>
        <v>-</v>
      </c>
      <c r="R16" s="9">
        <f t="shared" si="9"/>
        <v>96.286080828921996</v>
      </c>
      <c r="S16" s="9" t="str">
        <f t="shared" si="10"/>
        <v>-</v>
      </c>
      <c r="T16" s="21">
        <f t="shared" si="11"/>
        <v>107.35260253648929</v>
      </c>
      <c r="U16" s="6"/>
      <c r="V16" s="6"/>
      <c r="W16" s="6"/>
      <c r="X16" s="6"/>
      <c r="Y16" s="6"/>
      <c r="Z16" s="6"/>
      <c r="AA16" s="6"/>
      <c r="AC16">
        <f t="shared" si="12"/>
        <v>35.784200845496422</v>
      </c>
      <c r="AD16">
        <f>AD15</f>
        <v>18.301346474172085</v>
      </c>
      <c r="AE16">
        <f>O11</f>
        <v>600</v>
      </c>
      <c r="AF16">
        <f t="shared" si="1"/>
        <v>3</v>
      </c>
      <c r="AH16">
        <v>3</v>
      </c>
      <c r="AI16">
        <v>2.2999999999999998</v>
      </c>
    </row>
    <row r="17" spans="1:40" ht="16.149999999999999" customHeight="1" x14ac:dyDescent="0.25">
      <c r="A17" s="6"/>
      <c r="B17" s="24" t="s">
        <v>50</v>
      </c>
      <c r="C17" s="39" t="s">
        <v>42</v>
      </c>
      <c r="D17" s="6"/>
      <c r="E17" s="77" t="s">
        <v>49</v>
      </c>
      <c r="F17" s="66"/>
      <c r="G17" s="6"/>
      <c r="H17" s="20" t="str">
        <f t="shared" si="2"/>
        <v>Остановка</v>
      </c>
      <c r="I17" s="9">
        <f t="shared" si="3"/>
        <v>120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13"/>
        <v>-</v>
      </c>
      <c r="P17" s="43" t="str">
        <f t="shared" si="8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>
        <f t="shared" si="12"/>
        <v>155.78420084549643</v>
      </c>
      <c r="AD17">
        <f>AC11</f>
        <v>20.504058500207012</v>
      </c>
      <c r="AE17">
        <f>P11</f>
        <v>600</v>
      </c>
      <c r="AF17">
        <f t="shared" si="1"/>
        <v>3</v>
      </c>
    </row>
    <row r="18" spans="1:40" ht="15.75" customHeight="1" x14ac:dyDescent="0.25">
      <c r="A18" s="6"/>
      <c r="B18" s="24" t="s">
        <v>53</v>
      </c>
      <c r="C18" s="39" t="s">
        <v>54</v>
      </c>
      <c r="D18" s="6"/>
      <c r="E18" s="65">
        <f>IFERROR(C3/SUM(L4:L30), "-")</f>
        <v>0.31157151419739509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13"/>
        <v>-</v>
      </c>
      <c r="P18" s="43" t="str">
        <f t="shared" si="8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20.504058500207012</v>
      </c>
      <c r="AE18">
        <f>O12</f>
        <v>700</v>
      </c>
      <c r="AF18">
        <f t="shared" si="1"/>
        <v>3</v>
      </c>
      <c r="AH18" s="44" t="s">
        <v>52</v>
      </c>
      <c r="AI18" s="2">
        <f>IF(C7=-3,AI10,IF(C7=-2,AI11,IF(C7=-1,AI12,IF(C7=0,AI13,IF(C7=1,AI14,IF(C7=2,AI15,IF(C7=3,AI16)))))))</f>
        <v>2.15</v>
      </c>
    </row>
    <row r="19" spans="1:40" ht="15.75" customHeight="1" x14ac:dyDescent="0.25">
      <c r="A19" s="6"/>
      <c r="B19" s="24" t="s">
        <v>55</v>
      </c>
      <c r="C19" s="39">
        <v>30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13"/>
        <v>-</v>
      </c>
      <c r="P19" s="43" t="str">
        <f t="shared" si="8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22.861168457667866</v>
      </c>
      <c r="AE19">
        <f>P12</f>
        <v>700</v>
      </c>
      <c r="AF19">
        <f t="shared" si="1"/>
        <v>3</v>
      </c>
    </row>
    <row r="20" spans="1:40" ht="16.5" customHeight="1" thickBot="1" x14ac:dyDescent="0.3">
      <c r="A20" s="6"/>
      <c r="B20" s="33" t="s">
        <v>56</v>
      </c>
      <c r="C20" s="56">
        <f>100-C19</f>
        <v>70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13"/>
        <v>-</v>
      </c>
      <c r="P20" s="43" t="str">
        <f t="shared" si="8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22.861168457667866</v>
      </c>
      <c r="AE20">
        <f>O13</f>
        <v>800</v>
      </c>
      <c r="AF20">
        <f t="shared" si="1"/>
        <v>3</v>
      </c>
    </row>
    <row r="21" spans="1:40" ht="15.75" customHeight="1" x14ac:dyDescent="0.25">
      <c r="A21" s="6"/>
      <c r="B21" s="35" t="s">
        <v>139</v>
      </c>
      <c r="C21" s="39" t="s">
        <v>42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13"/>
        <v>-</v>
      </c>
      <c r="P21" s="43" t="str">
        <f t="shared" si="8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25.36398326124705</v>
      </c>
      <c r="AE21">
        <f>P13</f>
        <v>800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8.75" customHeight="1" thickBot="1" x14ac:dyDescent="0.3">
      <c r="A22" s="6"/>
      <c r="B22" s="37" t="s">
        <v>140</v>
      </c>
      <c r="C22" s="47">
        <v>15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13"/>
        <v>-</v>
      </c>
      <c r="P22" s="43" t="str">
        <f t="shared" si="8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25.36398326124705</v>
      </c>
      <c r="AE22">
        <f>O14</f>
        <v>900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13"/>
        <v>-</v>
      </c>
      <c r="P23" s="43" t="str">
        <f t="shared" si="8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28.006450826534149</v>
      </c>
      <c r="AE23">
        <f>P14</f>
        <v>900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13"/>
        <v>-</v>
      </c>
      <c r="P24" s="43" t="str">
        <f t="shared" si="8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28.006450826534149</v>
      </c>
      <c r="AE24">
        <f>O15</f>
        <v>1000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13"/>
        <v>-</v>
      </c>
      <c r="P25" s="43" t="str">
        <f t="shared" si="8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30.784200845496422</v>
      </c>
      <c r="AE25">
        <f>P15</f>
        <v>1000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13"/>
        <v>-</v>
      </c>
      <c r="P26" s="43" t="str">
        <f t="shared" si="8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30.784200845496422</v>
      </c>
      <c r="AE26" t="str">
        <f>O16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13"/>
        <v>-</v>
      </c>
      <c r="P27" s="43" t="str">
        <f t="shared" si="8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>
        <f>AC16</f>
        <v>35.784200845496422</v>
      </c>
      <c r="AE27" t="str">
        <f>P16</f>
        <v>-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13"/>
        <v>-</v>
      </c>
      <c r="P28" s="43" t="str">
        <f t="shared" si="8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>
        <f>AD27</f>
        <v>35.784200845496422</v>
      </c>
      <c r="AE28" t="str">
        <f>O17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13"/>
        <v>-</v>
      </c>
      <c r="P29" s="43" t="str">
        <f t="shared" si="8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>
        <f>AC17</f>
        <v>155.78420084549643</v>
      </c>
      <c r="AE29" t="str">
        <f>P17</f>
        <v>-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13"/>
        <v>-</v>
      </c>
      <c r="P30" s="48" t="str">
        <f t="shared" si="8"/>
        <v>-</v>
      </c>
      <c r="Q30" s="23" t="str">
        <f t="shared" si="14"/>
        <v>-</v>
      </c>
      <c r="R30" s="23" t="str">
        <f t="shared" si="9"/>
        <v>-</v>
      </c>
      <c r="S30" s="23" t="str">
        <f t="shared" si="10"/>
        <v>-</v>
      </c>
      <c r="T30" s="36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>
        <f>AD29</f>
        <v>155.78420084549643</v>
      </c>
      <c r="AE30" t="str">
        <f>O18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P18</f>
        <v>-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O19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P19</f>
        <v>-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O20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P20</f>
        <v>-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O21</f>
        <v>-</v>
      </c>
      <c r="AF36">
        <f t="shared" ref="AF36:AF54" si="16">$C$5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P21</f>
        <v>-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O22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P22</f>
        <v>-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O23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P23</f>
        <v>-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O24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P24</f>
        <v>-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O25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P25</f>
        <v>-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O26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P26</f>
        <v>-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O27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P27</f>
        <v>-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O28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P28</f>
        <v>-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O29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P29</f>
        <v>-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O30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32.323410887771246</v>
      </c>
    </row>
    <row r="74" spans="1:27" x14ac:dyDescent="0.25">
      <c r="F74" s="52"/>
      <c r="G74" s="52"/>
      <c r="I74" s="54" t="s">
        <v>125</v>
      </c>
      <c r="J74" s="54">
        <f>C19/100*J73</f>
        <v>9.6970232663313727</v>
      </c>
    </row>
    <row r="75" spans="1:27" x14ac:dyDescent="0.25">
      <c r="F75" s="52"/>
      <c r="G75" s="52"/>
      <c r="I75" s="54" t="s">
        <v>126</v>
      </c>
      <c r="J75" s="54">
        <f>J73-J74</f>
        <v>22.626387621439875</v>
      </c>
    </row>
    <row r="76" spans="1:27" x14ac:dyDescent="0.25">
      <c r="E76">
        <v>1</v>
      </c>
      <c r="F76" s="53">
        <f t="shared" ref="F76:F100" si="17">IF(O6="-","-",O6/$C$4)</f>
        <v>0.1</v>
      </c>
      <c r="G76" s="53">
        <f t="shared" ref="G76:G100" si="18">IF(F76="-","-",F76^$AI$18)</f>
        <v>7.0794578438413865E-3</v>
      </c>
    </row>
    <row r="77" spans="1:27" x14ac:dyDescent="0.25">
      <c r="E77">
        <v>2</v>
      </c>
      <c r="F77" s="53">
        <f t="shared" si="17"/>
        <v>0.2</v>
      </c>
      <c r="G77" s="53">
        <f t="shared" si="18"/>
        <v>3.1420601209270579E-2</v>
      </c>
      <c r="I77" s="4" t="s">
        <v>127</v>
      </c>
      <c r="J77" s="4">
        <f>IF(C16&gt;20,0.05,0.25*(C16/100))</f>
        <v>0.05</v>
      </c>
    </row>
    <row r="78" spans="1:27" x14ac:dyDescent="0.25">
      <c r="E78">
        <v>3</v>
      </c>
      <c r="F78" s="53">
        <f t="shared" si="17"/>
        <v>0.3</v>
      </c>
      <c r="G78" s="53">
        <f t="shared" si="18"/>
        <v>7.5129534443394388E-2</v>
      </c>
      <c r="I78" s="54" t="s">
        <v>128</v>
      </c>
      <c r="J78" s="54">
        <f>C4/C6</f>
        <v>10</v>
      </c>
    </row>
    <row r="79" spans="1:27" x14ac:dyDescent="0.25">
      <c r="E79">
        <v>4</v>
      </c>
      <c r="F79" s="53">
        <f t="shared" si="17"/>
        <v>0.4</v>
      </c>
      <c r="G79" s="53">
        <f t="shared" si="18"/>
        <v>0.1394533595832986</v>
      </c>
      <c r="I79" s="54" t="s">
        <v>129</v>
      </c>
      <c r="J79" s="54">
        <f>(1-C16/100)^2+J77</f>
        <v>0.47250000000000003</v>
      </c>
    </row>
    <row r="80" spans="1:27" x14ac:dyDescent="0.25">
      <c r="E80">
        <v>5</v>
      </c>
      <c r="F80" s="53">
        <f t="shared" si="17"/>
        <v>0.5</v>
      </c>
      <c r="G80" s="53">
        <f t="shared" si="18"/>
        <v>0.22531261565270758</v>
      </c>
    </row>
    <row r="81" spans="5:10" x14ac:dyDescent="0.25">
      <c r="E81">
        <v>6</v>
      </c>
      <c r="F81" s="53">
        <f t="shared" si="17"/>
        <v>0.6</v>
      </c>
      <c r="G81" s="53">
        <f t="shared" si="18"/>
        <v>0.33344575147624045</v>
      </c>
      <c r="I81" s="34" t="s">
        <v>130</v>
      </c>
      <c r="J81" s="34" t="e">
        <f>C19/100*((1-C16/100)^2+J82)+C20/100*((1-#REF!/100)^2+J83)</f>
        <v>#REF!</v>
      </c>
    </row>
    <row r="82" spans="5:10" x14ac:dyDescent="0.25">
      <c r="E82">
        <v>7</v>
      </c>
      <c r="F82" s="53">
        <f t="shared" si="17"/>
        <v>0.7</v>
      </c>
      <c r="G82" s="53">
        <f t="shared" si="18"/>
        <v>0.46447333440568206</v>
      </c>
      <c r="I82" s="34" t="s">
        <v>131</v>
      </c>
      <c r="J82" s="34">
        <f>IF(C16&gt;20,0.05,0.25*(C16/100))</f>
        <v>0.05</v>
      </c>
    </row>
    <row r="83" spans="5:10" x14ac:dyDescent="0.25">
      <c r="E83">
        <v>8</v>
      </c>
      <c r="F83" s="53">
        <f t="shared" si="17"/>
        <v>0.8</v>
      </c>
      <c r="G83" s="53">
        <f t="shared" si="18"/>
        <v>0.61893276228371186</v>
      </c>
      <c r="I83" s="34" t="s">
        <v>132</v>
      </c>
      <c r="J83" s="34" t="e">
        <f>IF(#REF!&gt;20,0.05,0.25*(#REF!/100))</f>
        <v>#REF!</v>
      </c>
    </row>
    <row r="84" spans="5:10" x14ac:dyDescent="0.25">
      <c r="E84">
        <v>9</v>
      </c>
      <c r="F84" s="53">
        <f t="shared" si="17"/>
        <v>0.9</v>
      </c>
      <c r="G84" s="53">
        <f t="shared" si="18"/>
        <v>0.7972993229405908</v>
      </c>
    </row>
    <row r="85" spans="5:10" x14ac:dyDescent="0.25">
      <c r="E85">
        <v>10</v>
      </c>
      <c r="F85" s="53">
        <f t="shared" si="17"/>
        <v>1</v>
      </c>
      <c r="G85" s="53">
        <f t="shared" si="18"/>
        <v>1</v>
      </c>
    </row>
    <row r="86" spans="5:10" x14ac:dyDescent="0.25">
      <c r="E86">
        <v>11</v>
      </c>
      <c r="F86" s="53" t="str">
        <f t="shared" si="17"/>
        <v>-</v>
      </c>
      <c r="G86" s="53" t="str">
        <f t="shared" si="18"/>
        <v>-</v>
      </c>
    </row>
    <row r="87" spans="5:10" x14ac:dyDescent="0.25">
      <c r="E87">
        <v>12</v>
      </c>
      <c r="F87" s="53" t="str">
        <f t="shared" si="17"/>
        <v>-</v>
      </c>
      <c r="G87" s="53" t="str">
        <f t="shared" si="18"/>
        <v>-</v>
      </c>
    </row>
    <row r="88" spans="5:10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10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10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10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10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10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10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10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10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21 C17:C18">
      <formula1>$AK$23:$AK$58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L22" sqref="L22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  <col min="35" max="35" width="8.7109375" style="64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20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700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0</v>
      </c>
      <c r="J4" s="43">
        <f t="shared" ref="J4:J30" si="0">IF(K4="-","-",$C$5)</f>
        <v>4</v>
      </c>
      <c r="K4" s="9">
        <f>IFERROR(J74, "-")</f>
        <v>0</v>
      </c>
      <c r="L4" s="9">
        <f>IFERROR(K4,0)</f>
        <v>0</v>
      </c>
      <c r="M4" s="43" t="str">
        <f>IF(L4="-","-",$C$18)</f>
        <v>LG32</v>
      </c>
      <c r="N4" s="43"/>
      <c r="O4" s="43"/>
      <c r="P4" s="43"/>
      <c r="Q4" s="9"/>
      <c r="R4" s="9">
        <f>IF(L4="-","-",L4)</f>
        <v>0</v>
      </c>
      <c r="S4" s="9"/>
      <c r="T4" s="21">
        <f>IF(K4="-","-",K4)</f>
        <v>0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4</v>
      </c>
      <c r="AI4" t="s">
        <v>27</v>
      </c>
      <c r="AJ4" s="5">
        <f>SUM(K6:K30)-$C$23</f>
        <v>53.531033181482741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IF(E5="","",SUMIF(M4:M30,C11,L4:L30))</f>
        <v/>
      </c>
      <c r="G5" s="6"/>
      <c r="H5" s="20" t="str">
        <f>IF(I5="-","-","Буфер")</f>
        <v>Буфер</v>
      </c>
      <c r="I5" s="9">
        <f>IFERROR(K5/J5,"-")</f>
        <v>4.520597283720531</v>
      </c>
      <c r="J5" s="43">
        <f t="shared" si="0"/>
        <v>4</v>
      </c>
      <c r="K5" s="9">
        <f>IFERROR(J75, "-")</f>
        <v>18.082389134882124</v>
      </c>
      <c r="L5" s="9">
        <f>IFERROR(K5,0)</f>
        <v>18.082389134882124</v>
      </c>
      <c r="M5" s="43" t="str">
        <f>IF(L5="-","-",$C$19)</f>
        <v>DX32</v>
      </c>
      <c r="N5" s="43"/>
      <c r="O5" s="43"/>
      <c r="P5" s="43"/>
      <c r="Q5" s="9"/>
      <c r="R5" s="9">
        <f>IF(L5="-","-",R4+L5)</f>
        <v>18.082389134882124</v>
      </c>
      <c r="S5" s="9"/>
      <c r="T5" s="21">
        <f>IF(K5="-","-",K5+T4)</f>
        <v>18.082389134882124</v>
      </c>
      <c r="U5" s="6"/>
      <c r="V5" s="6"/>
      <c r="W5" s="6"/>
      <c r="X5" s="6"/>
      <c r="Y5" s="6"/>
      <c r="Z5" s="6"/>
      <c r="AA5" s="6"/>
      <c r="AC5">
        <f>AC4+I4+I5</f>
        <v>4.520597283720531</v>
      </c>
      <c r="AD5">
        <f>AC5</f>
        <v>4.520597283720531</v>
      </c>
      <c r="AE5">
        <f>P4</f>
        <v>0</v>
      </c>
      <c r="AF5">
        <f t="shared" si="1"/>
        <v>4</v>
      </c>
      <c r="AI5" t="s">
        <v>29</v>
      </c>
      <c r="AJ5">
        <f>AJ4/(1-J81)</f>
        <v>71.613422316364861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LG32</v>
      </c>
      <c r="F6" s="62">
        <f>SUMIF(M4:M30,C12,L4:L30)</f>
        <v>44.765700978674417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0.645133752486582</v>
      </c>
      <c r="J6" s="43">
        <f t="shared" si="0"/>
        <v>4</v>
      </c>
      <c r="K6" s="9">
        <f t="shared" ref="K6:K30" si="4">IF(S5=$C$3*1000,$C$23,IFERROR(L6+Q6/(IF(N6=$C$8,$G$103,$G$104)*1000),"-"))</f>
        <v>2.580535009946328</v>
      </c>
      <c r="L6" s="9">
        <f t="shared" ref="L6:L30" si="5">IF(S5=$C$3*1000,$C$23,IFERROR(Q6/(P6-($C$6/2)),"-"))</f>
        <v>2.5398325649944931</v>
      </c>
      <c r="M6" s="43" t="str">
        <f t="shared" ref="M6:M30" si="6">IF(S5=$C$3*1000,$C$22,IF(L6="-","-",IF(O6&lt;$C$14,$C$11,IF(P6&gt;$C$15,$C$13,$C$12))))</f>
        <v>LG32</v>
      </c>
      <c r="N6" s="43" t="str">
        <f t="shared" ref="N6:N30" si="7">IF(O6="-","-",IF(O6&lt;$C$10,$C$8,$C$9))</f>
        <v>BP_2040</v>
      </c>
      <c r="O6" s="43">
        <f t="shared" ref="O6:O30" si="8">IFERROR(P6-$C$6,"-")</f>
        <v>0</v>
      </c>
      <c r="P6" s="43">
        <f>IFERROR(O5+($C$4-O5)/($J$78-D5),"-")</f>
        <v>100</v>
      </c>
      <c r="Q6" s="9">
        <f>IF(S6="-","-",S6)</f>
        <v>126.99162824972466</v>
      </c>
      <c r="R6" s="9">
        <f t="shared" ref="R6:R30" si="9">IFERROR(IF(L6="-","-",R5+L6),"-")</f>
        <v>20.622221699876619</v>
      </c>
      <c r="S6" s="9">
        <f t="shared" ref="S6:S30" si="10">IF(G76="-","-",G76*$C$3*1000)</f>
        <v>126.99162824972466</v>
      </c>
      <c r="T6" s="21">
        <f t="shared" ref="T6:T30" si="11">IFERROR(IF(K6="-","-",T5+K6),"-")</f>
        <v>20.662924144828452</v>
      </c>
      <c r="U6" s="6"/>
      <c r="V6" s="6"/>
      <c r="W6" s="6"/>
      <c r="X6" s="6"/>
      <c r="Y6" s="6"/>
      <c r="Z6" s="6"/>
      <c r="AA6" s="6"/>
      <c r="AC6" s="5">
        <f t="shared" ref="AC6:AC30" si="12">AC5+I6</f>
        <v>5.1657310362071129</v>
      </c>
      <c r="AD6">
        <f>AD5</f>
        <v>4.520597283720531</v>
      </c>
      <c r="AE6">
        <f>P6</f>
        <v>100</v>
      </c>
      <c r="AF6">
        <f t="shared" si="1"/>
        <v>4</v>
      </c>
    </row>
    <row r="7" spans="1:36" ht="15.75" customHeight="1" x14ac:dyDescent="0.25">
      <c r="A7" s="6"/>
      <c r="B7" s="24" t="s">
        <v>31</v>
      </c>
      <c r="C7" s="39">
        <v>3</v>
      </c>
      <c r="D7" s="6"/>
      <c r="E7" s="12" t="str">
        <f>C13</f>
        <v>DX32</v>
      </c>
      <c r="F7" s="62">
        <f>SUMIF(M4:M30,C13,L4:L30)</f>
        <v>37.437464927434029</v>
      </c>
      <c r="G7" s="6"/>
      <c r="H7" s="20" t="str">
        <f t="shared" si="2"/>
        <v>Пропант</v>
      </c>
      <c r="I7" s="9">
        <f t="shared" si="3"/>
        <v>1.1230871434317251</v>
      </c>
      <c r="J7" s="43">
        <f t="shared" si="0"/>
        <v>4</v>
      </c>
      <c r="K7" s="9">
        <f t="shared" si="4"/>
        <v>4.4923485737269004</v>
      </c>
      <c r="L7" s="9">
        <f t="shared" si="5"/>
        <v>4.2862775382348408</v>
      </c>
      <c r="M7" s="43" t="str">
        <f t="shared" si="6"/>
        <v>LG32</v>
      </c>
      <c r="N7" s="43" t="str">
        <f t="shared" si="7"/>
        <v>BP_2040</v>
      </c>
      <c r="O7" s="43">
        <f t="shared" si="8"/>
        <v>100</v>
      </c>
      <c r="P7" s="43">
        <f t="shared" ref="P7:P30" si="13">IFERROR(P6+($C$4-P6)/($J$78-E76),"-")</f>
        <v>200</v>
      </c>
      <c r="Q7" s="9">
        <f t="shared" ref="Q7:Q30" si="14">IF(S7="-","-",S7-S6)</f>
        <v>642.94163073522611</v>
      </c>
      <c r="R7" s="9">
        <f t="shared" si="9"/>
        <v>24.90849923811146</v>
      </c>
      <c r="S7" s="9">
        <f t="shared" si="10"/>
        <v>769.93325898495073</v>
      </c>
      <c r="T7" s="21">
        <f t="shared" si="11"/>
        <v>25.155272718555352</v>
      </c>
      <c r="U7" s="6"/>
      <c r="V7" s="6"/>
      <c r="W7" s="6"/>
      <c r="X7" s="6"/>
      <c r="Y7" s="6"/>
      <c r="Z7" s="6"/>
      <c r="AA7" s="6"/>
      <c r="AC7" s="5">
        <f t="shared" si="12"/>
        <v>6.288818179638838</v>
      </c>
      <c r="AD7" s="5">
        <f>AC6</f>
        <v>5.1657310362071129</v>
      </c>
      <c r="AE7" t="e">
        <f>#REF!</f>
        <v>#REF!</v>
      </c>
      <c r="AF7">
        <f t="shared" si="1"/>
        <v>4</v>
      </c>
    </row>
    <row r="8" spans="1:36" ht="15.75" customHeight="1" x14ac:dyDescent="0.25">
      <c r="A8" s="6"/>
      <c r="B8" s="24" t="s">
        <v>32</v>
      </c>
      <c r="C8" s="39" t="s">
        <v>117</v>
      </c>
      <c r="D8" s="6"/>
      <c r="E8" s="13" t="s">
        <v>34</v>
      </c>
      <c r="F8" s="14">
        <f>SUM(L4:L30)</f>
        <v>82.203165906108438</v>
      </c>
      <c r="G8" s="6"/>
      <c r="H8" s="20" t="str">
        <f t="shared" si="2"/>
        <v>Пропант</v>
      </c>
      <c r="I8" s="9">
        <f t="shared" si="3"/>
        <v>1.5548965716780783</v>
      </c>
      <c r="J8" s="43">
        <f t="shared" si="0"/>
        <v>4</v>
      </c>
      <c r="K8" s="9">
        <f t="shared" si="4"/>
        <v>6.2195862867123131</v>
      </c>
      <c r="L8" s="9">
        <f t="shared" si="5"/>
        <v>5.7581926452648124</v>
      </c>
      <c r="M8" s="43" t="str">
        <f t="shared" si="6"/>
        <v>LG32</v>
      </c>
      <c r="N8" s="43" t="str">
        <f t="shared" si="7"/>
        <v>BP_2040</v>
      </c>
      <c r="O8" s="43">
        <f t="shared" si="8"/>
        <v>200</v>
      </c>
      <c r="P8" s="43">
        <f t="shared" si="13"/>
        <v>300</v>
      </c>
      <c r="Q8" s="9">
        <f t="shared" si="14"/>
        <v>1439.548161316203</v>
      </c>
      <c r="R8" s="9">
        <f t="shared" si="9"/>
        <v>30.666691883376274</v>
      </c>
      <c r="S8" s="9">
        <f t="shared" si="10"/>
        <v>2209.4814203011538</v>
      </c>
      <c r="T8" s="21">
        <f t="shared" si="11"/>
        <v>31.374859005267666</v>
      </c>
      <c r="U8" s="6"/>
      <c r="V8" s="6"/>
      <c r="W8" s="6"/>
      <c r="X8" s="6"/>
      <c r="Y8" s="6"/>
      <c r="Z8" s="6"/>
      <c r="AA8" s="6"/>
      <c r="AC8">
        <f t="shared" si="12"/>
        <v>7.8437147513169165</v>
      </c>
      <c r="AD8" s="5">
        <f>AD7</f>
        <v>5.1657310362071129</v>
      </c>
      <c r="AE8">
        <f>P7</f>
        <v>200</v>
      </c>
      <c r="AF8">
        <f t="shared" si="1"/>
        <v>4</v>
      </c>
      <c r="AI8">
        <f>C3/AJ4</f>
        <v>0.37361505675026513</v>
      </c>
    </row>
    <row r="9" spans="1:36" ht="15.75" customHeight="1" x14ac:dyDescent="0.25">
      <c r="A9" s="6"/>
      <c r="B9" s="24" t="s">
        <v>35</v>
      </c>
      <c r="C9" s="39" t="s">
        <v>116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1.9530832739415116</v>
      </c>
      <c r="J9" s="43">
        <f t="shared" si="0"/>
        <v>4</v>
      </c>
      <c r="K9" s="9">
        <f t="shared" si="4"/>
        <v>7.8123330957660464</v>
      </c>
      <c r="L9" s="9">
        <f t="shared" si="5"/>
        <v>7.0243456077204796</v>
      </c>
      <c r="M9" s="43" t="str">
        <f t="shared" si="6"/>
        <v>LG32</v>
      </c>
      <c r="N9" s="43" t="str">
        <f t="shared" si="7"/>
        <v>BP_2040</v>
      </c>
      <c r="O9" s="43">
        <f t="shared" si="8"/>
        <v>300</v>
      </c>
      <c r="P9" s="43">
        <f t="shared" si="13"/>
        <v>400</v>
      </c>
      <c r="Q9" s="9">
        <f t="shared" si="14"/>
        <v>2458.5209627021677</v>
      </c>
      <c r="R9" s="9">
        <f t="shared" si="9"/>
        <v>37.691037491096751</v>
      </c>
      <c r="S9" s="9">
        <f t="shared" si="10"/>
        <v>4668.0023830033215</v>
      </c>
      <c r="T9" s="21">
        <f t="shared" si="11"/>
        <v>39.187192101033716</v>
      </c>
      <c r="U9" s="6"/>
      <c r="V9" s="6"/>
      <c r="W9" s="6"/>
      <c r="X9" s="6"/>
      <c r="Y9" s="6"/>
      <c r="Z9" s="6"/>
      <c r="AA9" s="6"/>
      <c r="AC9">
        <f t="shared" si="12"/>
        <v>9.796798025258429</v>
      </c>
      <c r="AD9">
        <f>AC7</f>
        <v>6.288818179638838</v>
      </c>
      <c r="AE9" t="e">
        <f>#REF!</f>
        <v>#REF!</v>
      </c>
      <c r="AF9">
        <f t="shared" si="1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2.333387649213257</v>
      </c>
      <c r="J10" s="43">
        <f t="shared" si="0"/>
        <v>4</v>
      </c>
      <c r="K10" s="9">
        <f t="shared" si="4"/>
        <v>9.3335505968530281</v>
      </c>
      <c r="L10" s="9">
        <f t="shared" si="5"/>
        <v>8.1570526224597888</v>
      </c>
      <c r="M10" s="43" t="str">
        <f t="shared" si="6"/>
        <v>LG32</v>
      </c>
      <c r="N10" s="43" t="str">
        <f t="shared" si="7"/>
        <v>BP_2040</v>
      </c>
      <c r="O10" s="43">
        <f t="shared" si="8"/>
        <v>400</v>
      </c>
      <c r="P10" s="43">
        <f t="shared" si="13"/>
        <v>500</v>
      </c>
      <c r="Q10" s="9">
        <f t="shared" si="14"/>
        <v>3670.6736801069046</v>
      </c>
      <c r="R10" s="9">
        <f t="shared" si="9"/>
        <v>45.848090113556538</v>
      </c>
      <c r="S10" s="9">
        <f t="shared" si="10"/>
        <v>8338.6760631102261</v>
      </c>
      <c r="T10" s="21">
        <f t="shared" si="11"/>
        <v>48.520742697886746</v>
      </c>
      <c r="U10" s="6"/>
      <c r="V10" s="6"/>
      <c r="W10" s="6"/>
      <c r="X10" s="6"/>
      <c r="Y10" s="6"/>
      <c r="Z10" s="6"/>
      <c r="AA10" s="6"/>
      <c r="AC10">
        <f t="shared" si="12"/>
        <v>12.130185674471686</v>
      </c>
      <c r="AD10">
        <f>AD9</f>
        <v>6.288818179638838</v>
      </c>
      <c r="AE10">
        <f>P8</f>
        <v>300</v>
      </c>
      <c r="AF10">
        <f t="shared" si="1"/>
        <v>4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BP_2040</v>
      </c>
      <c r="F11" s="62">
        <f>IF(E11="","",SUMIF(N4:N30,C8,Q4:Q30)/1000)</f>
        <v>8.3386760631102259</v>
      </c>
      <c r="G11" s="6"/>
      <c r="H11" s="20" t="str">
        <f t="shared" si="2"/>
        <v>Пропант</v>
      </c>
      <c r="I11" s="9">
        <f t="shared" si="3"/>
        <v>2.7039058130986375</v>
      </c>
      <c r="J11" s="43">
        <f t="shared" si="0"/>
        <v>4</v>
      </c>
      <c r="K11" s="9">
        <f t="shared" si="4"/>
        <v>10.81562325239455</v>
      </c>
      <c r="L11" s="9">
        <f t="shared" si="5"/>
        <v>9.1947532826896445</v>
      </c>
      <c r="M11" s="43" t="str">
        <f t="shared" si="6"/>
        <v>DX32</v>
      </c>
      <c r="N11" s="43" t="str">
        <f t="shared" si="7"/>
        <v>BP_1630</v>
      </c>
      <c r="O11" s="43">
        <f t="shared" si="8"/>
        <v>500</v>
      </c>
      <c r="P11" s="43">
        <f t="shared" si="13"/>
        <v>600</v>
      </c>
      <c r="Q11" s="9">
        <f t="shared" si="14"/>
        <v>5057.1143054793047</v>
      </c>
      <c r="R11" s="9">
        <f t="shared" si="9"/>
        <v>55.042843396246184</v>
      </c>
      <c r="S11" s="9">
        <f t="shared" si="10"/>
        <v>13395.790368589531</v>
      </c>
      <c r="T11" s="21">
        <f t="shared" si="11"/>
        <v>59.336365950281298</v>
      </c>
      <c r="U11" s="6"/>
      <c r="V11" s="6"/>
      <c r="W11" s="6"/>
      <c r="X11" s="6"/>
      <c r="Y11" s="6"/>
      <c r="Z11" s="6"/>
      <c r="AA11" s="6"/>
      <c r="AC11">
        <f t="shared" si="12"/>
        <v>14.834091487570324</v>
      </c>
      <c r="AD11">
        <f>AC8</f>
        <v>7.8437147513169165</v>
      </c>
      <c r="AE11" t="e">
        <f>#REF!</f>
        <v>#REF!</v>
      </c>
      <c r="AF11">
        <f t="shared" si="1"/>
        <v>4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88</v>
      </c>
      <c r="D12" s="6"/>
      <c r="E12" s="12" t="str">
        <f>C9</f>
        <v>BP_1630</v>
      </c>
      <c r="F12" s="62">
        <f>SUMIF(N4:N30,C9,Q4:Q30)/1000</f>
        <v>11.661323936889774</v>
      </c>
      <c r="G12" s="6"/>
      <c r="H12" s="20" t="str">
        <f t="shared" si="2"/>
        <v>Пропант</v>
      </c>
      <c r="I12" s="9">
        <f t="shared" si="3"/>
        <v>3.0692640915208909</v>
      </c>
      <c r="J12" s="43">
        <f t="shared" si="0"/>
        <v>4</v>
      </c>
      <c r="K12" s="9">
        <f t="shared" si="4"/>
        <v>12.277056366083563</v>
      </c>
      <c r="L12" s="9">
        <f t="shared" si="5"/>
        <v>10.16032250986226</v>
      </c>
      <c r="M12" s="43" t="str">
        <f t="shared" si="6"/>
        <v>DX32</v>
      </c>
      <c r="N12" s="43" t="str">
        <f t="shared" si="7"/>
        <v>BP_1630</v>
      </c>
      <c r="O12" s="43">
        <f t="shared" si="8"/>
        <v>600</v>
      </c>
      <c r="P12" s="43">
        <f t="shared" si="13"/>
        <v>700</v>
      </c>
      <c r="Q12" s="9">
        <f t="shared" si="14"/>
        <v>6604.2096314104692</v>
      </c>
      <c r="R12" s="9">
        <f t="shared" si="9"/>
        <v>65.203165906108438</v>
      </c>
      <c r="S12" s="9">
        <f t="shared" si="10"/>
        <v>20000</v>
      </c>
      <c r="T12" s="21">
        <f t="shared" si="11"/>
        <v>71.613422316364861</v>
      </c>
      <c r="U12" s="6"/>
      <c r="V12" s="6"/>
      <c r="W12" s="6"/>
      <c r="X12" s="6"/>
      <c r="Y12" s="6"/>
      <c r="Z12" s="6"/>
      <c r="AA12" s="6"/>
      <c r="AC12">
        <f t="shared" si="12"/>
        <v>17.903355579091215</v>
      </c>
      <c r="AD12">
        <f>AD11</f>
        <v>7.8437147513169165</v>
      </c>
      <c r="AE12">
        <f>P9</f>
        <v>400</v>
      </c>
      <c r="AF12">
        <f t="shared" si="1"/>
        <v>4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89</v>
      </c>
      <c r="D13" s="6"/>
      <c r="E13" s="13" t="s">
        <v>34</v>
      </c>
      <c r="F13" s="14">
        <f>C3</f>
        <v>20</v>
      </c>
      <c r="G13" s="6"/>
      <c r="H13" s="20" t="str">
        <f t="shared" si="2"/>
        <v>Продавка</v>
      </c>
      <c r="I13" s="9">
        <f t="shared" si="3"/>
        <v>4.25</v>
      </c>
      <c r="J13" s="43">
        <f t="shared" si="0"/>
        <v>4</v>
      </c>
      <c r="K13" s="9">
        <f t="shared" si="4"/>
        <v>17</v>
      </c>
      <c r="L13" s="9">
        <f t="shared" si="5"/>
        <v>17</v>
      </c>
      <c r="M13" s="43" t="str">
        <f t="shared" si="6"/>
        <v>LG32</v>
      </c>
      <c r="N13" s="43" t="str">
        <f t="shared" si="7"/>
        <v>-</v>
      </c>
      <c r="O13" s="43" t="str">
        <f t="shared" si="8"/>
        <v>-</v>
      </c>
      <c r="P13" s="43" t="str">
        <f t="shared" si="13"/>
        <v>-</v>
      </c>
      <c r="Q13" s="9" t="str">
        <f t="shared" si="14"/>
        <v>-</v>
      </c>
      <c r="R13" s="9">
        <f t="shared" si="9"/>
        <v>82.203165906108438</v>
      </c>
      <c r="S13" s="9" t="str">
        <f t="shared" si="10"/>
        <v>-</v>
      </c>
      <c r="T13" s="21">
        <f t="shared" si="11"/>
        <v>88.613422316364861</v>
      </c>
      <c r="U13" s="6"/>
      <c r="V13" s="6"/>
      <c r="W13" s="6"/>
      <c r="X13" s="6"/>
      <c r="Y13" s="6"/>
      <c r="Z13" s="6"/>
      <c r="AA13" s="6"/>
      <c r="AC13">
        <f t="shared" si="12"/>
        <v>22.153355579091215</v>
      </c>
      <c r="AD13">
        <f>AC9</f>
        <v>9.796798025258429</v>
      </c>
      <c r="AE13" t="e">
        <f>#REF!</f>
        <v>#REF!</v>
      </c>
      <c r="AF13">
        <f t="shared" si="1"/>
        <v>4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2"/>
        <v>Остановка</v>
      </c>
      <c r="I14" s="9">
        <f t="shared" si="3"/>
        <v>120</v>
      </c>
      <c r="J14" s="43" t="str">
        <f t="shared" si="0"/>
        <v>-</v>
      </c>
      <c r="K14" s="9" t="str">
        <f t="shared" si="4"/>
        <v>-</v>
      </c>
      <c r="L14" s="9" t="str">
        <f t="shared" si="5"/>
        <v>-</v>
      </c>
      <c r="M14" s="43" t="str">
        <f t="shared" si="6"/>
        <v>-</v>
      </c>
      <c r="N14" s="43" t="str">
        <f t="shared" si="7"/>
        <v>-</v>
      </c>
      <c r="O14" s="43" t="str">
        <f t="shared" si="8"/>
        <v>-</v>
      </c>
      <c r="P14" s="43" t="str">
        <f t="shared" si="13"/>
        <v>-</v>
      </c>
      <c r="Q14" s="9" t="str">
        <f t="shared" si="14"/>
        <v>-</v>
      </c>
      <c r="R14" s="9" t="str">
        <f t="shared" si="9"/>
        <v>-</v>
      </c>
      <c r="S14" s="9" t="str">
        <f t="shared" si="10"/>
        <v>-</v>
      </c>
      <c r="T14" s="21" t="str">
        <f t="shared" si="11"/>
        <v>-</v>
      </c>
      <c r="U14" s="6"/>
      <c r="V14" s="6"/>
      <c r="W14" s="6"/>
      <c r="X14" s="6"/>
      <c r="Y14" s="6"/>
      <c r="Z14" s="6"/>
      <c r="AA14" s="6"/>
      <c r="AC14" s="5">
        <f t="shared" si="12"/>
        <v>142.15335557909123</v>
      </c>
      <c r="AD14">
        <f>AD13</f>
        <v>9.796798025258429</v>
      </c>
      <c r="AE14">
        <f>P10</f>
        <v>500</v>
      </c>
      <c r="AF14">
        <f t="shared" si="1"/>
        <v>4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500</v>
      </c>
      <c r="D15" s="6"/>
      <c r="E15" s="10"/>
      <c r="F15" s="11"/>
      <c r="G15" s="6"/>
      <c r="H15" s="20" t="str">
        <f t="shared" si="2"/>
        <v>-</v>
      </c>
      <c r="I15" s="9" t="str">
        <f t="shared" si="3"/>
        <v>-</v>
      </c>
      <c r="J15" s="43" t="str">
        <f t="shared" si="0"/>
        <v>-</v>
      </c>
      <c r="K15" s="9" t="str">
        <f t="shared" si="4"/>
        <v>-</v>
      </c>
      <c r="L15" s="9" t="str">
        <f t="shared" si="5"/>
        <v>-</v>
      </c>
      <c r="M15" s="43" t="str">
        <f t="shared" si="6"/>
        <v>-</v>
      </c>
      <c r="N15" s="43" t="str">
        <f t="shared" si="7"/>
        <v>-</v>
      </c>
      <c r="O15" s="43" t="str">
        <f t="shared" si="8"/>
        <v>-</v>
      </c>
      <c r="P15" s="43" t="str">
        <f t="shared" si="13"/>
        <v>-</v>
      </c>
      <c r="Q15" s="9" t="str">
        <f t="shared" si="14"/>
        <v>-</v>
      </c>
      <c r="R15" s="9" t="str">
        <f t="shared" si="9"/>
        <v>-</v>
      </c>
      <c r="S15" s="9" t="str">
        <f t="shared" si="10"/>
        <v>-</v>
      </c>
      <c r="T15" s="21" t="str">
        <f t="shared" si="11"/>
        <v>-</v>
      </c>
      <c r="U15" s="6"/>
      <c r="V15" s="6"/>
      <c r="W15" s="6"/>
      <c r="X15" s="6"/>
      <c r="Y15" s="6"/>
      <c r="Z15" s="6"/>
      <c r="AA15" s="6"/>
      <c r="AC15" t="e">
        <f t="shared" si="12"/>
        <v>#VALUE!</v>
      </c>
      <c r="AD15">
        <f>AC10</f>
        <v>12.130185674471686</v>
      </c>
      <c r="AE15" t="e">
        <f>#REF!</f>
        <v>#REF!</v>
      </c>
      <c r="AF15">
        <f t="shared" si="1"/>
        <v>4</v>
      </c>
      <c r="AH15">
        <v>2</v>
      </c>
      <c r="AI15">
        <v>2.4</v>
      </c>
    </row>
    <row r="16" spans="1:36" ht="15.75" customHeight="1" x14ac:dyDescent="0.25">
      <c r="A16" s="6"/>
      <c r="B16" s="35" t="s">
        <v>47</v>
      </c>
      <c r="C16" s="39">
        <v>25</v>
      </c>
      <c r="D16" s="6"/>
      <c r="E16" s="10"/>
      <c r="F16" s="11"/>
      <c r="G16" s="6"/>
      <c r="H16" s="20" t="str">
        <f t="shared" si="2"/>
        <v>-</v>
      </c>
      <c r="I16" s="9" t="str">
        <f t="shared" si="3"/>
        <v>-</v>
      </c>
      <c r="J16" s="43" t="str">
        <f t="shared" si="0"/>
        <v>-</v>
      </c>
      <c r="K16" s="9" t="str">
        <f t="shared" si="4"/>
        <v>-</v>
      </c>
      <c r="L16" s="9" t="str">
        <f t="shared" si="5"/>
        <v>-</v>
      </c>
      <c r="M16" s="43" t="str">
        <f t="shared" si="6"/>
        <v>-</v>
      </c>
      <c r="N16" s="43" t="str">
        <f t="shared" si="7"/>
        <v>-</v>
      </c>
      <c r="O16" s="43" t="str">
        <f t="shared" si="8"/>
        <v>-</v>
      </c>
      <c r="P16" s="43" t="str">
        <f t="shared" si="13"/>
        <v>-</v>
      </c>
      <c r="Q16" s="9" t="str">
        <f t="shared" si="14"/>
        <v>-</v>
      </c>
      <c r="R16" s="9" t="str">
        <f t="shared" si="9"/>
        <v>-</v>
      </c>
      <c r="S16" s="9" t="str">
        <f t="shared" si="10"/>
        <v>-</v>
      </c>
      <c r="T16" s="21" t="str">
        <f t="shared" si="11"/>
        <v>-</v>
      </c>
      <c r="U16" s="6"/>
      <c r="V16" s="6"/>
      <c r="W16" s="6"/>
      <c r="X16" s="6"/>
      <c r="Y16" s="6"/>
      <c r="Z16" s="6"/>
      <c r="AA16" s="6"/>
      <c r="AC16" t="e">
        <f t="shared" si="12"/>
        <v>#VALUE!</v>
      </c>
      <c r="AD16">
        <f>AD15</f>
        <v>12.130185674471686</v>
      </c>
      <c r="AE16">
        <f>P11</f>
        <v>600</v>
      </c>
      <c r="AF16">
        <f t="shared" si="1"/>
        <v>4</v>
      </c>
      <c r="AH16">
        <v>3</v>
      </c>
      <c r="AI16">
        <v>2.6</v>
      </c>
    </row>
    <row r="17" spans="1:40" ht="19.5" customHeight="1" x14ac:dyDescent="0.25">
      <c r="A17" s="6"/>
      <c r="B17" s="35" t="s">
        <v>48</v>
      </c>
      <c r="C17" s="39">
        <v>55</v>
      </c>
      <c r="D17" s="6"/>
      <c r="E17" s="77" t="s">
        <v>49</v>
      </c>
      <c r="F17" s="66"/>
      <c r="G17" s="6"/>
      <c r="H17" s="20" t="str">
        <f t="shared" si="2"/>
        <v>-</v>
      </c>
      <c r="I17" s="9" t="str">
        <f t="shared" si="3"/>
        <v>-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13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 t="e">
        <f t="shared" si="12"/>
        <v>#VALUE!</v>
      </c>
      <c r="AD17">
        <f>AC11</f>
        <v>14.834091487570324</v>
      </c>
      <c r="AE17" t="e">
        <f>#REF!</f>
        <v>#REF!</v>
      </c>
      <c r="AF17">
        <f t="shared" si="1"/>
        <v>4</v>
      </c>
    </row>
    <row r="18" spans="1:40" ht="15.75" customHeight="1" x14ac:dyDescent="0.25">
      <c r="A18" s="6"/>
      <c r="B18" s="24" t="s">
        <v>50</v>
      </c>
      <c r="C18" s="39" t="s">
        <v>88</v>
      </c>
      <c r="D18" s="6"/>
      <c r="E18" s="65">
        <f>IFERROR(C3/SUM(L4:L30), "-")</f>
        <v>0.24329963182736516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13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14.834091487570324</v>
      </c>
      <c r="AE18">
        <f>P12</f>
        <v>700</v>
      </c>
      <c r="AF18">
        <f t="shared" si="1"/>
        <v>4</v>
      </c>
      <c r="AH18" s="44" t="s">
        <v>52</v>
      </c>
      <c r="AI18" s="2">
        <f>IF(C7=-3,AI10,IF(C7=-2,AI11,IF(C7=-1,AI12,IF(C7=0,AI13,IF(C7=1,AI14,IF(C7=2,AI15,IF(C7=3,AI16)))))))</f>
        <v>2.6</v>
      </c>
    </row>
    <row r="19" spans="1:40" ht="15.75" customHeight="1" x14ac:dyDescent="0.25">
      <c r="A19" s="6"/>
      <c r="B19" s="24" t="s">
        <v>53</v>
      </c>
      <c r="C19" s="39" t="s">
        <v>89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13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17.903355579091215</v>
      </c>
      <c r="AE19" t="e">
        <f>#REF!</f>
        <v>#REF!</v>
      </c>
      <c r="AF19">
        <f t="shared" si="1"/>
        <v>4</v>
      </c>
    </row>
    <row r="20" spans="1:40" ht="16.5" customHeight="1" thickBot="1" x14ac:dyDescent="0.3">
      <c r="A20" s="6"/>
      <c r="B20" s="24" t="s">
        <v>55</v>
      </c>
      <c r="C20" s="39">
        <v>0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13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17.903355579091215</v>
      </c>
      <c r="AE20" t="str">
        <f>P13</f>
        <v>-</v>
      </c>
      <c r="AF20">
        <f t="shared" si="1"/>
        <v>4</v>
      </c>
    </row>
    <row r="21" spans="1:40" ht="15.75" customHeight="1" x14ac:dyDescent="0.25">
      <c r="A21" s="6"/>
      <c r="B21" s="33" t="s">
        <v>56</v>
      </c>
      <c r="C21" s="56">
        <v>100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13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22.153355579091215</v>
      </c>
      <c r="AE21" t="e">
        <f>#REF!</f>
        <v>#REF!</v>
      </c>
      <c r="AF21">
        <f t="shared" si="1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35" t="s">
        <v>139</v>
      </c>
      <c r="C22" s="39" t="s">
        <v>88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13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22.153355579091215</v>
      </c>
      <c r="AE22" t="str">
        <f>P14</f>
        <v>-</v>
      </c>
      <c r="AF22">
        <f t="shared" si="1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8.75" customHeight="1" thickBot="1" x14ac:dyDescent="0.3">
      <c r="A23" s="6"/>
      <c r="B23" s="37" t="s">
        <v>140</v>
      </c>
      <c r="C23" s="47">
        <v>17</v>
      </c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13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142.15335557909123</v>
      </c>
      <c r="AE23" t="e">
        <f>#REF!</f>
        <v>#REF!</v>
      </c>
      <c r="AF23">
        <f t="shared" si="1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13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142.15335557909123</v>
      </c>
      <c r="AE24" t="str">
        <f>P15</f>
        <v>-</v>
      </c>
      <c r="AF24">
        <f t="shared" si="1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13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 t="e">
        <f>AC15</f>
        <v>#VALUE!</v>
      </c>
      <c r="AE25" t="e">
        <f>#REF!</f>
        <v>#REF!</v>
      </c>
      <c r="AF25">
        <f t="shared" si="1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13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 t="e">
        <f>AD25</f>
        <v>#VALUE!</v>
      </c>
      <c r="AE26" t="str">
        <f>P16</f>
        <v>-</v>
      </c>
      <c r="AF26">
        <f t="shared" si="1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13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 t="e">
        <f>AC16</f>
        <v>#VALUE!</v>
      </c>
      <c r="AE27" t="e">
        <f>#REF!</f>
        <v>#REF!</v>
      </c>
      <c r="AF27">
        <f t="shared" si="1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13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 t="e">
        <f>AD27</f>
        <v>#VALUE!</v>
      </c>
      <c r="AE28" t="str">
        <f>P17</f>
        <v>-</v>
      </c>
      <c r="AF28">
        <f t="shared" si="1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13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 t="e">
        <f>AC17</f>
        <v>#VALUE!</v>
      </c>
      <c r="AE29" t="e">
        <f>#REF!</f>
        <v>#REF!</v>
      </c>
      <c r="AF29">
        <f t="shared" si="1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13"/>
        <v>-</v>
      </c>
      <c r="Q30" s="23" t="str">
        <f t="shared" si="14"/>
        <v>-</v>
      </c>
      <c r="R30" s="23" t="str">
        <f t="shared" si="9"/>
        <v>-</v>
      </c>
      <c r="S30" s="23" t="str">
        <f t="shared" si="10"/>
        <v>-</v>
      </c>
      <c r="T30" s="36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 t="e">
        <f>AD29</f>
        <v>#VALUE!</v>
      </c>
      <c r="AE30" t="str">
        <f>P18</f>
        <v>-</v>
      </c>
      <c r="AF30">
        <f t="shared" si="1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1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1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J81*AJ5</f>
        <v>18.082389134882124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C20/100*J73</f>
        <v>0</v>
      </c>
      <c r="L74" s="5">
        <f t="shared" ref="L74:L100" si="17">IF(L73=SUM($I$4:$I$30)-($C$23/$C$5),L73,IFERROR(L73+I4,L73))</f>
        <v>0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18.082389134882124</v>
      </c>
      <c r="L75" s="5">
        <f t="shared" si="17"/>
        <v>4.520597283720531</v>
      </c>
      <c r="M75">
        <v>0</v>
      </c>
    </row>
    <row r="76" spans="1:27" x14ac:dyDescent="0.25">
      <c r="E76">
        <v>1</v>
      </c>
      <c r="F76" s="53">
        <f t="shared" ref="F76:F100" si="18">IF(P6="-","-",P6/$C$4)</f>
        <v>0.14285714285714285</v>
      </c>
      <c r="G76" s="53">
        <f t="shared" ref="G76:G100" si="19">IF(F76="-","-",F76^$AI$18)</f>
        <v>6.3495814124862326E-3</v>
      </c>
      <c r="L76" s="5">
        <f t="shared" si="17"/>
        <v>5.1657310362071129</v>
      </c>
      <c r="M76">
        <f t="shared" ref="M76:M100" si="20">P6</f>
        <v>100</v>
      </c>
    </row>
    <row r="77" spans="1:27" x14ac:dyDescent="0.25">
      <c r="E77">
        <v>2</v>
      </c>
      <c r="F77" s="53">
        <f t="shared" si="18"/>
        <v>0.2857142857142857</v>
      </c>
      <c r="G77" s="53">
        <f t="shared" si="19"/>
        <v>3.8496662949247536E-2</v>
      </c>
      <c r="I77" s="4" t="s">
        <v>127</v>
      </c>
      <c r="J77" s="4">
        <f>IF(C16&gt;20,0.05,0.25*(C16/100))</f>
        <v>0.05</v>
      </c>
      <c r="L77" s="5">
        <f t="shared" si="17"/>
        <v>6.288818179638838</v>
      </c>
      <c r="M77">
        <f t="shared" si="20"/>
        <v>200</v>
      </c>
    </row>
    <row r="78" spans="1:27" x14ac:dyDescent="0.25">
      <c r="E78">
        <v>3</v>
      </c>
      <c r="F78" s="53">
        <f t="shared" si="18"/>
        <v>0.42857142857142855</v>
      </c>
      <c r="G78" s="53">
        <f t="shared" si="19"/>
        <v>0.11047407101505768</v>
      </c>
      <c r="I78" s="54" t="s">
        <v>128</v>
      </c>
      <c r="J78" s="54">
        <f>C4/C6</f>
        <v>7</v>
      </c>
      <c r="L78" s="5">
        <f t="shared" si="17"/>
        <v>7.8437147513169165</v>
      </c>
      <c r="M78">
        <f t="shared" si="20"/>
        <v>300</v>
      </c>
    </row>
    <row r="79" spans="1:27" x14ac:dyDescent="0.25">
      <c r="E79">
        <v>4</v>
      </c>
      <c r="F79" s="53">
        <f t="shared" si="18"/>
        <v>0.5714285714285714</v>
      </c>
      <c r="G79" s="53">
        <f t="shared" si="19"/>
        <v>0.23340011915016609</v>
      </c>
      <c r="I79" s="54" t="s">
        <v>129</v>
      </c>
      <c r="J79" s="54">
        <f>(1-C16/100)^2+J77</f>
        <v>0.61250000000000004</v>
      </c>
      <c r="L79" s="5">
        <f t="shared" si="17"/>
        <v>9.796798025258429</v>
      </c>
      <c r="M79">
        <f t="shared" si="20"/>
        <v>400</v>
      </c>
    </row>
    <row r="80" spans="1:27" x14ac:dyDescent="0.25">
      <c r="E80">
        <v>5</v>
      </c>
      <c r="F80" s="53">
        <f t="shared" si="18"/>
        <v>0.7142857142857143</v>
      </c>
      <c r="G80" s="53">
        <f t="shared" si="19"/>
        <v>0.41693380315551132</v>
      </c>
      <c r="L80" s="5">
        <f t="shared" si="17"/>
        <v>12.130185674471686</v>
      </c>
      <c r="M80">
        <f t="shared" si="20"/>
        <v>500</v>
      </c>
    </row>
    <row r="81" spans="5:13" x14ac:dyDescent="0.25">
      <c r="E81">
        <v>6</v>
      </c>
      <c r="F81" s="53">
        <f t="shared" si="18"/>
        <v>0.8571428571428571</v>
      </c>
      <c r="G81" s="53">
        <f t="shared" si="19"/>
        <v>0.66978951842947654</v>
      </c>
      <c r="I81" s="34" t="s">
        <v>130</v>
      </c>
      <c r="J81" s="34">
        <f>C20/100*((1-C16/100)^2+J82)+C21/100*((1-C17/100)^2+J83)</f>
        <v>0.25249999999999995</v>
      </c>
      <c r="L81" s="5">
        <f t="shared" si="17"/>
        <v>14.834091487570324</v>
      </c>
      <c r="M81">
        <f t="shared" si="20"/>
        <v>600</v>
      </c>
    </row>
    <row r="82" spans="5:13" x14ac:dyDescent="0.25">
      <c r="E82">
        <v>7</v>
      </c>
      <c r="F82" s="53">
        <f t="shared" si="18"/>
        <v>1</v>
      </c>
      <c r="G82" s="53">
        <f t="shared" si="19"/>
        <v>1</v>
      </c>
      <c r="I82" s="34" t="s">
        <v>131</v>
      </c>
      <c r="J82" s="34">
        <f>IF(C16&gt;20,0.05,0.25*(C16/100))</f>
        <v>0.05</v>
      </c>
      <c r="L82" s="5">
        <f t="shared" si="17"/>
        <v>17.903355579091215</v>
      </c>
      <c r="M82">
        <f t="shared" si="20"/>
        <v>700</v>
      </c>
    </row>
    <row r="83" spans="5:13" x14ac:dyDescent="0.25">
      <c r="E83">
        <v>8</v>
      </c>
      <c r="F83" s="53" t="str">
        <f t="shared" si="18"/>
        <v>-</v>
      </c>
      <c r="G83" s="53" t="str">
        <f t="shared" si="19"/>
        <v>-</v>
      </c>
      <c r="I83" s="34" t="s">
        <v>132</v>
      </c>
      <c r="J83" s="34">
        <f>IF(C17&gt;20,0.05,0.25*(C17/100))</f>
        <v>0.05</v>
      </c>
      <c r="L83" s="5">
        <f t="shared" si="17"/>
        <v>22.153355579091215</v>
      </c>
      <c r="M83" t="str">
        <f t="shared" si="20"/>
        <v>-</v>
      </c>
    </row>
    <row r="84" spans="5:13" x14ac:dyDescent="0.25">
      <c r="E84">
        <v>9</v>
      </c>
      <c r="F84" s="53" t="str">
        <f t="shared" si="18"/>
        <v>-</v>
      </c>
      <c r="G84" s="53" t="str">
        <f t="shared" si="19"/>
        <v>-</v>
      </c>
      <c r="L84" s="5">
        <f t="shared" si="17"/>
        <v>142.15335557909123</v>
      </c>
      <c r="M84" t="str">
        <f t="shared" si="20"/>
        <v>-</v>
      </c>
    </row>
    <row r="85" spans="5:13" x14ac:dyDescent="0.25">
      <c r="E85">
        <v>10</v>
      </c>
      <c r="F85" s="53" t="str">
        <f t="shared" si="18"/>
        <v>-</v>
      </c>
      <c r="G85" s="53" t="str">
        <f t="shared" si="19"/>
        <v>-</v>
      </c>
      <c r="L85" s="5">
        <f t="shared" si="17"/>
        <v>142.15335557909123</v>
      </c>
      <c r="M85" t="str">
        <f t="shared" si="20"/>
        <v>-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142.15335557909123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142.15335557909123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142.15335557909123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142.15335557909123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142.15335557909123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142.15335557909123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142.15335557909123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142.15335557909123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142.15335557909123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142.15335557909123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142.15335557909123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142.15335557909123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142.15335557909123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142.15335557909123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142.15335557909123</v>
      </c>
      <c r="M100" t="str">
        <f t="shared" si="20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3.12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3.12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22 C18:C19">
      <formula1>$AK$23:$AK$58</formula1>
    </dataValidation>
    <dataValidation type="list" showInputMessage="1" showErrorMessage="1" sqref="C8:C9">
      <formula1>$AM$24:$AM$51</formula1>
    </dataValidation>
    <dataValidation type="list" showInputMessage="1" showErrorMessage="1" sqref="C11">
      <formula1>$AH$23</formula1>
    </dataValidation>
    <dataValidation type="list" showInputMessage="1" showErrorMessage="1" sqref="C12">
      <formula1>$AI$23:$AI$40</formula1>
    </dataValidation>
    <dataValidation type="list" showInputMessage="1" showErrorMessage="1" sqref="C13">
      <formula1>$AJ$23:$AJ$38</formula1>
    </dataValidation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5" zoomScaleNormal="65" workbookViewId="0">
      <selection activeCell="K18" sqref="K18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30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1000</v>
      </c>
      <c r="D4" s="6"/>
      <c r="E4" s="12" t="s">
        <v>24</v>
      </c>
      <c r="F4" s="63" t="s">
        <v>25</v>
      </c>
      <c r="G4" s="6"/>
      <c r="H4" s="20" t="str">
        <f>IF(I4="-","-","Буфер")</f>
        <v>Буфер</v>
      </c>
      <c r="I4" s="9">
        <f>IFERROR(K4/J4,"-")</f>
        <v>3.2433719407546859</v>
      </c>
      <c r="J4" s="43">
        <f t="shared" ref="J4:J30" si="0">IF(K4="-","-",$C$5)</f>
        <v>3</v>
      </c>
      <c r="K4" s="9">
        <f>IFERROR(J74, "-")</f>
        <v>9.7301158222640574</v>
      </c>
      <c r="L4" s="9">
        <f>IFERROR(K4,0)</f>
        <v>9.7301158222640574</v>
      </c>
      <c r="M4" s="43" t="str">
        <f>IF(L4="-","-",$C$17)</f>
        <v>LG24</v>
      </c>
      <c r="N4" s="43"/>
      <c r="O4" s="43"/>
      <c r="P4" s="43"/>
      <c r="Q4" s="9"/>
      <c r="R4" s="9">
        <f>IF(L4="-","-",L4)</f>
        <v>9.7301158222640574</v>
      </c>
      <c r="S4" s="9"/>
      <c r="T4" s="21">
        <f>IF(K4="-","-",K4)</f>
        <v>9.7301158222640574</v>
      </c>
      <c r="U4" s="6"/>
      <c r="V4" s="6"/>
      <c r="W4" s="6"/>
      <c r="X4" s="6"/>
      <c r="Y4" s="6"/>
      <c r="Z4" s="6"/>
      <c r="AA4" s="6"/>
      <c r="AC4">
        <v>0</v>
      </c>
      <c r="AD4">
        <v>0</v>
      </c>
      <c r="AE4">
        <f>O4</f>
        <v>0</v>
      </c>
      <c r="AF4">
        <f t="shared" ref="AF4:AF35" si="1">$C$5</f>
        <v>3</v>
      </c>
      <c r="AI4" t="s">
        <v>27</v>
      </c>
      <c r="AJ4" s="5">
        <f>SUM(K6:K30)-$C$22</f>
        <v>60.234050328301308</v>
      </c>
    </row>
    <row r="5" spans="1:36" ht="18" customHeight="1" x14ac:dyDescent="0.25">
      <c r="A5" s="6"/>
      <c r="B5" s="24" t="s">
        <v>28</v>
      </c>
      <c r="C5" s="39">
        <v>3</v>
      </c>
      <c r="D5" s="6"/>
      <c r="E5" s="12" t="str">
        <f>IF(C14=0,"",C11)</f>
        <v>FR01</v>
      </c>
      <c r="F5" s="62">
        <f>IF(E5="","",SUMIF(M4:M30,C11,L4:L30))</f>
        <v>4.0506008745492386</v>
      </c>
      <c r="G5" s="6"/>
      <c r="H5" s="20" t="str">
        <f>IF(I5="-","-","Буфер")</f>
        <v>Буфер</v>
      </c>
      <c r="I5" s="9">
        <f>IFERROR(K5/J5,"-")</f>
        <v>7.5678678617609343</v>
      </c>
      <c r="J5" s="43">
        <f t="shared" si="0"/>
        <v>3</v>
      </c>
      <c r="K5" s="9">
        <f>IFERROR(J75, "-")</f>
        <v>22.703603585282803</v>
      </c>
      <c r="L5" s="9">
        <f>IFERROR(K5,0)</f>
        <v>22.703603585282803</v>
      </c>
      <c r="M5" s="43" t="str">
        <f>IF(L5="-","-",$C$18)</f>
        <v>DX26</v>
      </c>
      <c r="N5" s="43"/>
      <c r="O5" s="43"/>
      <c r="P5" s="43"/>
      <c r="Q5" s="9"/>
      <c r="R5" s="9">
        <f>IF(L5="-","-",R4+L5)</f>
        <v>32.43371940754686</v>
      </c>
      <c r="S5" s="9"/>
      <c r="T5" s="21">
        <f>IF(K5="-","-",K5+T4)</f>
        <v>32.43371940754686</v>
      </c>
      <c r="U5" s="6"/>
      <c r="V5" s="6"/>
      <c r="W5" s="6"/>
      <c r="X5" s="6"/>
      <c r="Y5" s="6"/>
      <c r="Z5" s="6"/>
      <c r="AA5" s="6"/>
      <c r="AC5">
        <f>AC4+I4+I5</f>
        <v>10.811239802515621</v>
      </c>
      <c r="AD5">
        <f>AC5</f>
        <v>10.811239802515621</v>
      </c>
      <c r="AE5">
        <f>P4</f>
        <v>0</v>
      </c>
      <c r="AF5">
        <f t="shared" si="1"/>
        <v>3</v>
      </c>
      <c r="AI5" t="s">
        <v>29</v>
      </c>
      <c r="AJ5">
        <f>AJ4/(1-$C$16/100)</f>
        <v>92.667769735848168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SUMIF(M4:M30,C12,L4:L30)</f>
        <v>17.881663048939444</v>
      </c>
      <c r="G6" s="6"/>
      <c r="H6" s="20" t="str">
        <f t="shared" ref="H6:H30" si="2">IF(H5="Продавка","Остановка",IF(S5=$C$3*1000,"Продавка",IF(I6="-","-","Пропант")))</f>
        <v>Пропант</v>
      </c>
      <c r="I6" s="9">
        <f t="shared" ref="I6:I30" si="3">IF(H5="Продавка",120,IFERROR(K6/J6,"-"))</f>
        <v>0.5114128490051878</v>
      </c>
      <c r="J6" s="43">
        <f t="shared" si="0"/>
        <v>3</v>
      </c>
      <c r="K6" s="9">
        <f t="shared" ref="K6:K30" si="4">IF(S5=$C$3*1000,$C$22,IFERROR(L6+Q6/(IF(N6=$C$8,$G$103,$G$104)*1000),"-"))</f>
        <v>1.5342385470155635</v>
      </c>
      <c r="L6" s="9">
        <f t="shared" ref="L6:L30" si="5">IF(S5=$C$3*1000,$C$22,IFERROR(Q6/(P6-($C$6/2)),"-"))</f>
        <v>1.5071318589057479</v>
      </c>
      <c r="M6" s="43" t="str">
        <f t="shared" ref="M6:M30" si="6">IF(S5=$C$3*1000,$C$21,IF(L6="-","-",IF(O6&lt;$C$14,$C$11,IF(P6&gt;$C$15,$C$13,$C$12))))</f>
        <v>FR01</v>
      </c>
      <c r="N6" s="43" t="str">
        <f t="shared" ref="N6:N30" si="7">IF(O6="-","-",IF(O6&lt;$C$10,$C$8,$C$9))</f>
        <v>20/40 Новатэк</v>
      </c>
      <c r="O6" s="43">
        <f t="shared" ref="O6:O30" si="8">IFERROR(P6-$C$6,"-")</f>
        <v>0</v>
      </c>
      <c r="P6" s="43">
        <f>IFERROR(O5+($C$4-O5)/($J$77-D5),"-")</f>
        <v>100</v>
      </c>
      <c r="Q6" s="9">
        <f>IF(S6="-","-",S6)</f>
        <v>75.356592945287389</v>
      </c>
      <c r="R6" s="9">
        <f t="shared" ref="R6:R30" si="9">IFERROR(IF(L6="-","-",R5+L6),"-")</f>
        <v>33.940851266452611</v>
      </c>
      <c r="S6" s="9">
        <f t="shared" ref="S6:S30" si="10">IF(G76="-","-",G76*$C$3*1000)</f>
        <v>75.356592945287389</v>
      </c>
      <c r="T6" s="21">
        <f t="shared" ref="T6:T30" si="11">IFERROR(IF(K6="-","-",T5+K6),"-")</f>
        <v>33.967957954562422</v>
      </c>
      <c r="U6" s="6"/>
      <c r="V6" s="6"/>
      <c r="W6" s="6"/>
      <c r="X6" s="6"/>
      <c r="Y6" s="6"/>
      <c r="Z6" s="6"/>
      <c r="AA6" s="6"/>
      <c r="AC6" s="5">
        <f t="shared" ref="AC6:AC30" si="12">AC5+I6</f>
        <v>11.322652651520809</v>
      </c>
      <c r="AD6">
        <f>AD5</f>
        <v>10.811239802515621</v>
      </c>
      <c r="AE6">
        <f>P6</f>
        <v>100</v>
      </c>
      <c r="AF6">
        <f t="shared" si="1"/>
        <v>3</v>
      </c>
    </row>
    <row r="7" spans="1:36" ht="15.75" customHeight="1" x14ac:dyDescent="0.25">
      <c r="A7" s="6"/>
      <c r="B7" s="24" t="s">
        <v>31</v>
      </c>
      <c r="C7" s="39">
        <v>3</v>
      </c>
      <c r="D7" s="6"/>
      <c r="E7" s="12" t="str">
        <f>C13</f>
        <v>DX28</v>
      </c>
      <c r="F7" s="62">
        <f>SUMIF(M4:M30,C13,L4:L30)</f>
        <v>27.243413419631683</v>
      </c>
      <c r="G7" s="6"/>
      <c r="H7" s="20" t="str">
        <f t="shared" si="2"/>
        <v>Пропант</v>
      </c>
      <c r="I7" s="9">
        <f t="shared" si="3"/>
        <v>0.89356885081959547</v>
      </c>
      <c r="J7" s="43">
        <f t="shared" si="0"/>
        <v>3</v>
      </c>
      <c r="K7" s="9">
        <f t="shared" si="4"/>
        <v>2.6807065524587865</v>
      </c>
      <c r="L7" s="9">
        <f t="shared" si="5"/>
        <v>2.5434690156434905</v>
      </c>
      <c r="M7" s="43" t="str">
        <f t="shared" si="6"/>
        <v>FR01</v>
      </c>
      <c r="N7" s="43" t="str">
        <f t="shared" si="7"/>
        <v>20/40 Новатэк</v>
      </c>
      <c r="O7" s="43">
        <f t="shared" si="8"/>
        <v>100</v>
      </c>
      <c r="P7" s="43">
        <f t="shared" ref="P7:P30" si="13">IFERROR(P6+($C$4-P6)/($J$77-E76),"-")</f>
        <v>200</v>
      </c>
      <c r="Q7" s="9">
        <f t="shared" ref="Q7:Q30" si="14">IF(S7="-","-",S7-S6)</f>
        <v>381.52035234652357</v>
      </c>
      <c r="R7" s="9">
        <f t="shared" si="9"/>
        <v>36.4843202820961</v>
      </c>
      <c r="S7" s="9">
        <f t="shared" si="10"/>
        <v>456.87694529181096</v>
      </c>
      <c r="T7" s="21">
        <f t="shared" si="11"/>
        <v>36.648664507021209</v>
      </c>
      <c r="U7" s="6"/>
      <c r="V7" s="6"/>
      <c r="W7" s="6"/>
      <c r="X7" s="6"/>
      <c r="Y7" s="6"/>
      <c r="Z7" s="6"/>
      <c r="AA7" s="6"/>
      <c r="AC7" s="5">
        <f t="shared" si="12"/>
        <v>12.216221502340405</v>
      </c>
      <c r="AD7" s="5">
        <f>AC6</f>
        <v>11.322652651520809</v>
      </c>
      <c r="AE7" t="e">
        <f>#REF!</f>
        <v>#REF!</v>
      </c>
      <c r="AF7">
        <f t="shared" si="1"/>
        <v>3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SUM(L4:L30)</f>
        <v>96.60939675066723</v>
      </c>
      <c r="G8" s="6"/>
      <c r="H8" s="20" t="str">
        <f t="shared" si="2"/>
        <v>Пропант</v>
      </c>
      <c r="I8" s="9">
        <f t="shared" si="3"/>
        <v>1.2413919689456636</v>
      </c>
      <c r="J8" s="43">
        <f t="shared" si="0"/>
        <v>3</v>
      </c>
      <c r="K8" s="9">
        <f t="shared" si="4"/>
        <v>3.7241759068369911</v>
      </c>
      <c r="L8" s="9">
        <f t="shared" si="5"/>
        <v>3.4169006669989557</v>
      </c>
      <c r="M8" s="43" t="str">
        <f t="shared" si="6"/>
        <v>LG28</v>
      </c>
      <c r="N8" s="43" t="str">
        <f t="shared" si="7"/>
        <v>20/40 Новатэк</v>
      </c>
      <c r="O8" s="43">
        <f t="shared" si="8"/>
        <v>200</v>
      </c>
      <c r="P8" s="43">
        <f t="shared" si="13"/>
        <v>300</v>
      </c>
      <c r="Q8" s="9">
        <f t="shared" si="14"/>
        <v>854.22516674973895</v>
      </c>
      <c r="R8" s="9">
        <f t="shared" si="9"/>
        <v>39.901220949095055</v>
      </c>
      <c r="S8" s="9">
        <f t="shared" si="10"/>
        <v>1311.1021120415498</v>
      </c>
      <c r="T8" s="21">
        <f t="shared" si="11"/>
        <v>40.372840413858199</v>
      </c>
      <c r="U8" s="6"/>
      <c r="V8" s="6"/>
      <c r="W8" s="6"/>
      <c r="X8" s="6"/>
      <c r="Y8" s="6"/>
      <c r="Z8" s="6"/>
      <c r="AA8" s="6"/>
      <c r="AC8">
        <f t="shared" si="12"/>
        <v>13.457613471286068</v>
      </c>
      <c r="AD8" s="5">
        <f>AD7</f>
        <v>11.322652651520809</v>
      </c>
      <c r="AE8">
        <f>P7</f>
        <v>200</v>
      </c>
      <c r="AF8">
        <f t="shared" si="1"/>
        <v>3</v>
      </c>
      <c r="AI8">
        <f>C3/AJ4</f>
        <v>0.49805715930586075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2"/>
        <v>Пропант</v>
      </c>
      <c r="I9" s="9">
        <f t="shared" si="3"/>
        <v>1.5643370139944983</v>
      </c>
      <c r="J9" s="43">
        <f t="shared" si="0"/>
        <v>3</v>
      </c>
      <c r="K9" s="9">
        <f t="shared" si="4"/>
        <v>4.6930110419834952</v>
      </c>
      <c r="L9" s="9">
        <f t="shared" si="5"/>
        <v>4.1682334494294304</v>
      </c>
      <c r="M9" s="43" t="str">
        <f t="shared" si="6"/>
        <v>LG28</v>
      </c>
      <c r="N9" s="43" t="str">
        <f t="shared" si="7"/>
        <v>20/40 Новатэк</v>
      </c>
      <c r="O9" s="43">
        <f t="shared" si="8"/>
        <v>300</v>
      </c>
      <c r="P9" s="43">
        <f t="shared" si="13"/>
        <v>400</v>
      </c>
      <c r="Q9" s="9">
        <f t="shared" si="14"/>
        <v>1458.8817073003006</v>
      </c>
      <c r="R9" s="9">
        <f t="shared" si="9"/>
        <v>44.069454398524485</v>
      </c>
      <c r="S9" s="9">
        <f t="shared" si="10"/>
        <v>2769.9838193418504</v>
      </c>
      <c r="T9" s="21">
        <f t="shared" si="11"/>
        <v>45.065851455841695</v>
      </c>
      <c r="U9" s="6"/>
      <c r="V9" s="6"/>
      <c r="W9" s="6"/>
      <c r="X9" s="6"/>
      <c r="Y9" s="6"/>
      <c r="Z9" s="6"/>
      <c r="AA9" s="6"/>
      <c r="AC9">
        <f t="shared" si="12"/>
        <v>15.021950485280566</v>
      </c>
      <c r="AD9">
        <f>AC7</f>
        <v>12.216221502340405</v>
      </c>
      <c r="AE9" t="e">
        <f>#REF!</f>
        <v>#REF!</v>
      </c>
      <c r="AF9">
        <f t="shared" si="1"/>
        <v>3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2"/>
        <v>Пропант</v>
      </c>
      <c r="I10" s="9">
        <f t="shared" si="3"/>
        <v>1.8746314502431398</v>
      </c>
      <c r="J10" s="43">
        <f t="shared" si="0"/>
        <v>3</v>
      </c>
      <c r="K10" s="9">
        <f t="shared" si="4"/>
        <v>5.6238943507294197</v>
      </c>
      <c r="L10" s="9">
        <f t="shared" si="5"/>
        <v>4.8403796579033393</v>
      </c>
      <c r="M10" s="43" t="str">
        <f t="shared" si="6"/>
        <v>LG28</v>
      </c>
      <c r="N10" s="43" t="str">
        <f t="shared" si="7"/>
        <v>20/40 Новатэк</v>
      </c>
      <c r="O10" s="43">
        <f t="shared" si="8"/>
        <v>400</v>
      </c>
      <c r="P10" s="43">
        <f t="shared" si="13"/>
        <v>500</v>
      </c>
      <c r="Q10" s="9">
        <f t="shared" si="14"/>
        <v>2178.1708460565028</v>
      </c>
      <c r="R10" s="9">
        <f t="shared" si="9"/>
        <v>48.909834056427826</v>
      </c>
      <c r="S10" s="9">
        <f t="shared" si="10"/>
        <v>4948.1546653983532</v>
      </c>
      <c r="T10" s="21">
        <f t="shared" si="11"/>
        <v>50.689745806571118</v>
      </c>
      <c r="U10" s="6"/>
      <c r="V10" s="6"/>
      <c r="W10" s="6"/>
      <c r="X10" s="6"/>
      <c r="Y10" s="6"/>
      <c r="Z10" s="6"/>
      <c r="AA10" s="6"/>
      <c r="AC10">
        <f t="shared" si="12"/>
        <v>16.896581935523706</v>
      </c>
      <c r="AD10">
        <f>AD9</f>
        <v>12.216221502340405</v>
      </c>
      <c r="AE10">
        <f>P8</f>
        <v>300</v>
      </c>
      <c r="AF10">
        <f t="shared" si="1"/>
        <v>3</v>
      </c>
      <c r="AH10">
        <v>-3</v>
      </c>
      <c r="AI10">
        <v>1.3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IF(E11="","",SUMIF(N4:N30,C8,Q4:Q30)/1000)</f>
        <v>4.948154665398353</v>
      </c>
      <c r="G11" s="6"/>
      <c r="H11" s="20" t="str">
        <f t="shared" si="2"/>
        <v>Пропант</v>
      </c>
      <c r="I11" s="9">
        <f t="shared" si="3"/>
        <v>2.1891956966018626</v>
      </c>
      <c r="J11" s="43">
        <f t="shared" si="0"/>
        <v>3</v>
      </c>
      <c r="K11" s="9">
        <f t="shared" si="4"/>
        <v>6.5675870898055875</v>
      </c>
      <c r="L11" s="9">
        <f t="shared" si="5"/>
        <v>5.4561492746077187</v>
      </c>
      <c r="M11" s="43" t="str">
        <f t="shared" si="6"/>
        <v>LG28</v>
      </c>
      <c r="N11" s="43" t="str">
        <f t="shared" si="7"/>
        <v>16/20 Новатэк</v>
      </c>
      <c r="O11" s="43">
        <f t="shared" si="8"/>
        <v>500</v>
      </c>
      <c r="P11" s="43">
        <f t="shared" si="13"/>
        <v>600</v>
      </c>
      <c r="Q11" s="9">
        <f t="shared" si="14"/>
        <v>3000.8821010342454</v>
      </c>
      <c r="R11" s="9">
        <f t="shared" si="9"/>
        <v>54.365983331035544</v>
      </c>
      <c r="S11" s="9">
        <f t="shared" si="10"/>
        <v>7949.0367664325986</v>
      </c>
      <c r="T11" s="21">
        <f t="shared" si="11"/>
        <v>57.257332896376703</v>
      </c>
      <c r="U11" s="6"/>
      <c r="V11" s="6"/>
      <c r="W11" s="6"/>
      <c r="X11" s="6"/>
      <c r="Y11" s="6"/>
      <c r="Z11" s="6"/>
      <c r="AA11" s="6"/>
      <c r="AC11">
        <f t="shared" si="12"/>
        <v>19.08577763212557</v>
      </c>
      <c r="AD11">
        <f>AC8</f>
        <v>13.457613471286068</v>
      </c>
      <c r="AE11" t="e">
        <f>#REF!</f>
        <v>#REF!</v>
      </c>
      <c r="AF11">
        <f t="shared" si="1"/>
        <v>3</v>
      </c>
      <c r="AH11">
        <v>-2</v>
      </c>
      <c r="AI11">
        <v>1.4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SUMIF(N4:N30,C9,Q4:Q30)/1000</f>
        <v>25.051845334601648</v>
      </c>
      <c r="G12" s="6"/>
      <c r="H12" s="20" t="str">
        <f t="shared" si="2"/>
        <v>Пропант</v>
      </c>
      <c r="I12" s="9">
        <f t="shared" si="3"/>
        <v>2.4935233810736821</v>
      </c>
      <c r="J12" s="43">
        <f t="shared" si="0"/>
        <v>3</v>
      </c>
      <c r="K12" s="9">
        <f t="shared" si="4"/>
        <v>7.4805701432210467</v>
      </c>
      <c r="L12" s="9">
        <f t="shared" si="5"/>
        <v>6.0291162348348735</v>
      </c>
      <c r="M12" s="43" t="str">
        <f t="shared" si="6"/>
        <v>DX28</v>
      </c>
      <c r="N12" s="43" t="str">
        <f t="shared" si="7"/>
        <v>16/20 Новатэк</v>
      </c>
      <c r="O12" s="43">
        <f t="shared" si="8"/>
        <v>600</v>
      </c>
      <c r="P12" s="43">
        <f t="shared" si="13"/>
        <v>700</v>
      </c>
      <c r="Q12" s="9">
        <f t="shared" si="14"/>
        <v>3918.9255526426678</v>
      </c>
      <c r="R12" s="9">
        <f t="shared" si="9"/>
        <v>60.395099565870417</v>
      </c>
      <c r="S12" s="9">
        <f t="shared" si="10"/>
        <v>11867.962319075266</v>
      </c>
      <c r="T12" s="21">
        <f t="shared" si="11"/>
        <v>64.737903039597754</v>
      </c>
      <c r="U12" s="6"/>
      <c r="V12" s="6"/>
      <c r="W12" s="6"/>
      <c r="X12" s="6"/>
      <c r="Y12" s="6"/>
      <c r="Z12" s="6"/>
      <c r="AA12" s="6"/>
      <c r="AC12">
        <f t="shared" si="12"/>
        <v>21.579301013199252</v>
      </c>
      <c r="AD12">
        <f>AD11</f>
        <v>13.457613471286068</v>
      </c>
      <c r="AE12">
        <f>P9</f>
        <v>400</v>
      </c>
      <c r="AF12">
        <f t="shared" si="1"/>
        <v>3</v>
      </c>
      <c r="AH12">
        <v>-1</v>
      </c>
      <c r="AI12">
        <v>1.6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30</v>
      </c>
      <c r="G13" s="6"/>
      <c r="H13" s="20" t="str">
        <f t="shared" si="2"/>
        <v>Пропант</v>
      </c>
      <c r="I13" s="9">
        <f t="shared" si="3"/>
        <v>2.7975264233074113</v>
      </c>
      <c r="J13" s="43">
        <f t="shared" si="0"/>
        <v>3</v>
      </c>
      <c r="K13" s="9">
        <f t="shared" si="4"/>
        <v>8.3925792699222335</v>
      </c>
      <c r="L13" s="9">
        <f t="shared" si="5"/>
        <v>6.5681055155913128</v>
      </c>
      <c r="M13" s="43" t="str">
        <f t="shared" si="6"/>
        <v>DX28</v>
      </c>
      <c r="N13" s="43" t="str">
        <f t="shared" si="7"/>
        <v>16/20 Новатэк</v>
      </c>
      <c r="O13" s="43">
        <f t="shared" si="8"/>
        <v>700</v>
      </c>
      <c r="P13" s="43">
        <f t="shared" si="13"/>
        <v>800</v>
      </c>
      <c r="Q13" s="9">
        <f t="shared" si="14"/>
        <v>4926.0791366934845</v>
      </c>
      <c r="R13" s="9">
        <f t="shared" si="9"/>
        <v>66.963205081461723</v>
      </c>
      <c r="S13" s="9">
        <f t="shared" si="10"/>
        <v>16794.041455768751</v>
      </c>
      <c r="T13" s="21">
        <f t="shared" si="11"/>
        <v>73.130482309519991</v>
      </c>
      <c r="U13" s="6"/>
      <c r="V13" s="6"/>
      <c r="W13" s="6"/>
      <c r="X13" s="6"/>
      <c r="Y13" s="6"/>
      <c r="Z13" s="6"/>
      <c r="AA13" s="6"/>
      <c r="AC13">
        <f t="shared" si="12"/>
        <v>24.376827436506662</v>
      </c>
      <c r="AD13">
        <f>AC9</f>
        <v>15.021950485280566</v>
      </c>
      <c r="AE13" t="e">
        <f>#REF!</f>
        <v>#REF!</v>
      </c>
      <c r="AF13">
        <f t="shared" si="1"/>
        <v>3</v>
      </c>
      <c r="AH13">
        <v>0</v>
      </c>
      <c r="AI13">
        <v>2</v>
      </c>
    </row>
    <row r="14" spans="1:36" ht="18" customHeight="1" x14ac:dyDescent="0.25">
      <c r="A14" s="6"/>
      <c r="B14" s="24" t="s">
        <v>45</v>
      </c>
      <c r="C14" s="39">
        <v>200</v>
      </c>
      <c r="D14" s="6"/>
      <c r="E14" s="10"/>
      <c r="F14" s="11"/>
      <c r="G14" s="6"/>
      <c r="H14" s="20" t="str">
        <f t="shared" si="2"/>
        <v>Пропант</v>
      </c>
      <c r="I14" s="9">
        <f t="shared" si="3"/>
        <v>3.1026278671291472</v>
      </c>
      <c r="J14" s="43">
        <f t="shared" si="0"/>
        <v>3</v>
      </c>
      <c r="K14" s="9">
        <f t="shared" si="4"/>
        <v>9.3078836013874415</v>
      </c>
      <c r="L14" s="9">
        <f t="shared" si="5"/>
        <v>7.0792354151397436</v>
      </c>
      <c r="M14" s="43" t="str">
        <f t="shared" si="6"/>
        <v>DX28</v>
      </c>
      <c r="N14" s="43" t="str">
        <f t="shared" si="7"/>
        <v>16/20 Новатэк</v>
      </c>
      <c r="O14" s="43">
        <f t="shared" si="8"/>
        <v>800</v>
      </c>
      <c r="P14" s="43">
        <f t="shared" si="13"/>
        <v>900</v>
      </c>
      <c r="Q14" s="9">
        <f t="shared" si="14"/>
        <v>6017.3501028687824</v>
      </c>
      <c r="R14" s="9">
        <f t="shared" si="9"/>
        <v>74.042440496601472</v>
      </c>
      <c r="S14" s="9">
        <f t="shared" si="10"/>
        <v>22811.391558637533</v>
      </c>
      <c r="T14" s="21">
        <f t="shared" si="11"/>
        <v>82.438365910907436</v>
      </c>
      <c r="U14" s="6"/>
      <c r="V14" s="6"/>
      <c r="W14" s="6"/>
      <c r="X14" s="6"/>
      <c r="Y14" s="6"/>
      <c r="Z14" s="6"/>
      <c r="AA14" s="6"/>
      <c r="AC14" s="5">
        <f t="shared" si="12"/>
        <v>27.47945530363581</v>
      </c>
      <c r="AD14">
        <f>AD13</f>
        <v>15.021950485280566</v>
      </c>
      <c r="AE14">
        <f>P10</f>
        <v>500</v>
      </c>
      <c r="AF14">
        <f t="shared" si="1"/>
        <v>3</v>
      </c>
      <c r="AH14">
        <v>1</v>
      </c>
      <c r="AI14">
        <v>2.2000000000000002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2"/>
        <v>Пропант</v>
      </c>
      <c r="I15" s="9">
        <f t="shared" si="3"/>
        <v>3.4098012749802478</v>
      </c>
      <c r="J15" s="43">
        <f t="shared" si="0"/>
        <v>3</v>
      </c>
      <c r="K15" s="9">
        <f t="shared" si="4"/>
        <v>10.229403824940743</v>
      </c>
      <c r="L15" s="9">
        <f t="shared" si="5"/>
        <v>7.5669562540657545</v>
      </c>
      <c r="M15" s="43" t="str">
        <f t="shared" si="6"/>
        <v>DX28</v>
      </c>
      <c r="N15" s="43" t="str">
        <f t="shared" si="7"/>
        <v>16/20 Новатэк</v>
      </c>
      <c r="O15" s="43">
        <f t="shared" si="8"/>
        <v>900</v>
      </c>
      <c r="P15" s="43">
        <f t="shared" si="13"/>
        <v>1000</v>
      </c>
      <c r="Q15" s="9">
        <f t="shared" si="14"/>
        <v>7188.6084413624667</v>
      </c>
      <c r="R15" s="9">
        <f t="shared" si="9"/>
        <v>81.60939675066723</v>
      </c>
      <c r="S15" s="9">
        <f t="shared" si="10"/>
        <v>30000</v>
      </c>
      <c r="T15" s="21">
        <f t="shared" si="11"/>
        <v>92.667769735848182</v>
      </c>
      <c r="U15" s="6"/>
      <c r="V15" s="6"/>
      <c r="W15" s="6"/>
      <c r="X15" s="6"/>
      <c r="Y15" s="6"/>
      <c r="Z15" s="6"/>
      <c r="AA15" s="6"/>
      <c r="AC15">
        <f t="shared" si="12"/>
        <v>30.889256578616056</v>
      </c>
      <c r="AD15">
        <f>AC10</f>
        <v>16.896581935523706</v>
      </c>
      <c r="AE15" t="e">
        <f>#REF!</f>
        <v>#REF!</v>
      </c>
      <c r="AF15">
        <f t="shared" si="1"/>
        <v>3</v>
      </c>
      <c r="AH15">
        <v>2</v>
      </c>
      <c r="AI15">
        <v>2.4</v>
      </c>
    </row>
    <row r="16" spans="1:36" ht="15.75" customHeight="1" x14ac:dyDescent="0.25">
      <c r="A16" s="6"/>
      <c r="B16" s="35" t="s">
        <v>135</v>
      </c>
      <c r="C16" s="39">
        <v>35</v>
      </c>
      <c r="D16" s="6"/>
      <c r="E16" s="10"/>
      <c r="F16" s="11"/>
      <c r="G16" s="6"/>
      <c r="H16" s="20" t="str">
        <f t="shared" si="2"/>
        <v>Продавка</v>
      </c>
      <c r="I16" s="9">
        <f t="shared" si="3"/>
        <v>5</v>
      </c>
      <c r="J16" s="43">
        <f t="shared" si="0"/>
        <v>3</v>
      </c>
      <c r="K16" s="9">
        <f t="shared" si="4"/>
        <v>15</v>
      </c>
      <c r="L16" s="9">
        <f t="shared" si="5"/>
        <v>15</v>
      </c>
      <c r="M16" s="43" t="str">
        <f t="shared" si="6"/>
        <v>H2O1</v>
      </c>
      <c r="N16" s="43" t="str">
        <f t="shared" si="7"/>
        <v>-</v>
      </c>
      <c r="O16" s="43" t="str">
        <f t="shared" si="8"/>
        <v>-</v>
      </c>
      <c r="P16" s="43" t="str">
        <f t="shared" si="13"/>
        <v>-</v>
      </c>
      <c r="Q16" s="9" t="str">
        <f t="shared" si="14"/>
        <v>-</v>
      </c>
      <c r="R16" s="9">
        <f t="shared" si="9"/>
        <v>96.60939675066723</v>
      </c>
      <c r="S16" s="9" t="str">
        <f t="shared" si="10"/>
        <v>-</v>
      </c>
      <c r="T16" s="21">
        <f t="shared" si="11"/>
        <v>107.66776973584818</v>
      </c>
      <c r="U16" s="6"/>
      <c r="V16" s="6"/>
      <c r="W16" s="6"/>
      <c r="X16" s="6"/>
      <c r="Y16" s="6"/>
      <c r="Z16" s="6"/>
      <c r="AA16" s="6"/>
      <c r="AC16">
        <f t="shared" si="12"/>
        <v>35.889256578616056</v>
      </c>
      <c r="AD16">
        <f>AD15</f>
        <v>16.896581935523706</v>
      </c>
      <c r="AE16">
        <f>P11</f>
        <v>600</v>
      </c>
      <c r="AF16">
        <f t="shared" si="1"/>
        <v>3</v>
      </c>
      <c r="AH16">
        <v>3</v>
      </c>
      <c r="AI16">
        <v>2.6</v>
      </c>
    </row>
    <row r="17" spans="1:40" ht="19.5" customHeight="1" x14ac:dyDescent="0.25">
      <c r="A17" s="6"/>
      <c r="B17" s="24" t="s">
        <v>50</v>
      </c>
      <c r="C17" s="39" t="s">
        <v>51</v>
      </c>
      <c r="D17" s="6"/>
      <c r="E17" s="77" t="s">
        <v>49</v>
      </c>
      <c r="F17" s="66"/>
      <c r="G17" s="6"/>
      <c r="H17" s="20" t="str">
        <f t="shared" si="2"/>
        <v>Остановка</v>
      </c>
      <c r="I17" s="9">
        <f t="shared" si="3"/>
        <v>120</v>
      </c>
      <c r="J17" s="43" t="str">
        <f t="shared" si="0"/>
        <v>-</v>
      </c>
      <c r="K17" s="9" t="str">
        <f t="shared" si="4"/>
        <v>-</v>
      </c>
      <c r="L17" s="9" t="str">
        <f t="shared" si="5"/>
        <v>-</v>
      </c>
      <c r="M17" s="43" t="str">
        <f t="shared" si="6"/>
        <v>-</v>
      </c>
      <c r="N17" s="43" t="str">
        <f t="shared" si="7"/>
        <v>-</v>
      </c>
      <c r="O17" s="43" t="str">
        <f t="shared" si="8"/>
        <v>-</v>
      </c>
      <c r="P17" s="43" t="str">
        <f t="shared" si="13"/>
        <v>-</v>
      </c>
      <c r="Q17" s="9" t="str">
        <f t="shared" si="14"/>
        <v>-</v>
      </c>
      <c r="R17" s="9" t="str">
        <f t="shared" si="9"/>
        <v>-</v>
      </c>
      <c r="S17" s="9" t="str">
        <f t="shared" si="10"/>
        <v>-</v>
      </c>
      <c r="T17" s="21" t="str">
        <f t="shared" si="11"/>
        <v>-</v>
      </c>
      <c r="U17" s="6"/>
      <c r="V17" s="6"/>
      <c r="W17" s="6"/>
      <c r="X17" s="6"/>
      <c r="Y17" s="6"/>
      <c r="Z17" s="6"/>
      <c r="AA17" s="6"/>
      <c r="AC17">
        <f t="shared" si="12"/>
        <v>155.88925657861606</v>
      </c>
      <c r="AD17">
        <f>AC11</f>
        <v>19.08577763212557</v>
      </c>
      <c r="AE17" t="e">
        <f>#REF!</f>
        <v>#REF!</v>
      </c>
      <c r="AF17">
        <f t="shared" si="1"/>
        <v>3</v>
      </c>
    </row>
    <row r="18" spans="1:40" ht="15.75" customHeight="1" x14ac:dyDescent="0.25">
      <c r="A18" s="6"/>
      <c r="B18" s="24" t="s">
        <v>53</v>
      </c>
      <c r="C18" s="39" t="s">
        <v>54</v>
      </c>
      <c r="D18" s="6"/>
      <c r="E18" s="65">
        <f>IFERROR(C3/SUM(L4:L30), "-")</f>
        <v>0.310528799568276</v>
      </c>
      <c r="F18" s="66"/>
      <c r="G18" s="6"/>
      <c r="H18" s="20" t="str">
        <f t="shared" si="2"/>
        <v>-</v>
      </c>
      <c r="I18" s="9" t="str">
        <f t="shared" si="3"/>
        <v>-</v>
      </c>
      <c r="J18" s="43" t="str">
        <f t="shared" si="0"/>
        <v>-</v>
      </c>
      <c r="K18" s="9" t="str">
        <f t="shared" si="4"/>
        <v>-</v>
      </c>
      <c r="L18" s="9" t="str">
        <f t="shared" si="5"/>
        <v>-</v>
      </c>
      <c r="M18" s="43" t="str">
        <f t="shared" si="6"/>
        <v>-</v>
      </c>
      <c r="N18" s="43" t="str">
        <f t="shared" si="7"/>
        <v>-</v>
      </c>
      <c r="O18" s="43" t="str">
        <f t="shared" si="8"/>
        <v>-</v>
      </c>
      <c r="P18" s="43" t="str">
        <f t="shared" si="13"/>
        <v>-</v>
      </c>
      <c r="Q18" s="9" t="str">
        <f t="shared" si="14"/>
        <v>-</v>
      </c>
      <c r="R18" s="9" t="str">
        <f t="shared" si="9"/>
        <v>-</v>
      </c>
      <c r="S18" s="9" t="str">
        <f t="shared" si="10"/>
        <v>-</v>
      </c>
      <c r="T18" s="21" t="str">
        <f t="shared" si="11"/>
        <v>-</v>
      </c>
      <c r="U18" s="6"/>
      <c r="V18" s="6"/>
      <c r="W18" s="6"/>
      <c r="X18" s="6"/>
      <c r="Y18" s="6"/>
      <c r="Z18" s="6"/>
      <c r="AA18" s="6"/>
      <c r="AC18" t="e">
        <f t="shared" si="12"/>
        <v>#VALUE!</v>
      </c>
      <c r="AD18">
        <f>AD17</f>
        <v>19.08577763212557</v>
      </c>
      <c r="AE18">
        <f>P12</f>
        <v>700</v>
      </c>
      <c r="AF18">
        <f t="shared" si="1"/>
        <v>3</v>
      </c>
      <c r="AH18" s="44" t="s">
        <v>52</v>
      </c>
      <c r="AI18" s="2">
        <f>IF(C7=-3,AI10,IF(C7=-2,AI11,IF(C7=-1,AI12,IF(C7=0,AI13,IF(C7=1,AI14,IF(C7=2,AI15,IF(C7=3,AI16)))))))</f>
        <v>2.6</v>
      </c>
    </row>
    <row r="19" spans="1:40" ht="15.75" customHeight="1" x14ac:dyDescent="0.25">
      <c r="A19" s="6"/>
      <c r="B19" s="24" t="s">
        <v>55</v>
      </c>
      <c r="C19" s="39">
        <v>30</v>
      </c>
      <c r="D19" s="6"/>
      <c r="E19" s="10"/>
      <c r="F19" s="11"/>
      <c r="G19" s="6"/>
      <c r="H19" s="20" t="str">
        <f t="shared" si="2"/>
        <v>-</v>
      </c>
      <c r="I19" s="9" t="str">
        <f t="shared" si="3"/>
        <v>-</v>
      </c>
      <c r="J19" s="43" t="str">
        <f t="shared" si="0"/>
        <v>-</v>
      </c>
      <c r="K19" s="9" t="str">
        <f t="shared" si="4"/>
        <v>-</v>
      </c>
      <c r="L19" s="9" t="str">
        <f t="shared" si="5"/>
        <v>-</v>
      </c>
      <c r="M19" s="43" t="str">
        <f t="shared" si="6"/>
        <v>-</v>
      </c>
      <c r="N19" s="43" t="str">
        <f t="shared" si="7"/>
        <v>-</v>
      </c>
      <c r="O19" s="43" t="str">
        <f t="shared" si="8"/>
        <v>-</v>
      </c>
      <c r="P19" s="43" t="str">
        <f t="shared" si="13"/>
        <v>-</v>
      </c>
      <c r="Q19" s="9" t="str">
        <f t="shared" si="14"/>
        <v>-</v>
      </c>
      <c r="R19" s="9" t="str">
        <f t="shared" si="9"/>
        <v>-</v>
      </c>
      <c r="S19" s="9" t="str">
        <f t="shared" si="10"/>
        <v>-</v>
      </c>
      <c r="T19" s="21" t="str">
        <f t="shared" si="11"/>
        <v>-</v>
      </c>
      <c r="U19" s="6"/>
      <c r="V19" s="6"/>
      <c r="W19" s="6"/>
      <c r="X19" s="6"/>
      <c r="Y19" s="6"/>
      <c r="Z19" s="6"/>
      <c r="AA19" s="6"/>
      <c r="AC19" t="e">
        <f t="shared" si="12"/>
        <v>#VALUE!</v>
      </c>
      <c r="AD19">
        <f>AC12</f>
        <v>21.579301013199252</v>
      </c>
      <c r="AE19" t="e">
        <f>#REF!</f>
        <v>#REF!</v>
      </c>
      <c r="AF19">
        <f t="shared" si="1"/>
        <v>3</v>
      </c>
    </row>
    <row r="20" spans="1:40" ht="16.5" customHeight="1" thickBot="1" x14ac:dyDescent="0.3">
      <c r="A20" s="6"/>
      <c r="B20" s="33" t="s">
        <v>56</v>
      </c>
      <c r="C20" s="56">
        <f>100-C19</f>
        <v>70</v>
      </c>
      <c r="D20" s="6"/>
      <c r="E20" s="17"/>
      <c r="F20" s="18"/>
      <c r="G20" s="6"/>
      <c r="H20" s="20" t="str">
        <f t="shared" si="2"/>
        <v>-</v>
      </c>
      <c r="I20" s="9" t="str">
        <f t="shared" si="3"/>
        <v>-</v>
      </c>
      <c r="J20" s="43" t="str">
        <f t="shared" si="0"/>
        <v>-</v>
      </c>
      <c r="K20" s="9" t="str">
        <f t="shared" si="4"/>
        <v>-</v>
      </c>
      <c r="L20" s="9" t="str">
        <f t="shared" si="5"/>
        <v>-</v>
      </c>
      <c r="M20" s="43" t="str">
        <f t="shared" si="6"/>
        <v>-</v>
      </c>
      <c r="N20" s="43" t="str">
        <f t="shared" si="7"/>
        <v>-</v>
      </c>
      <c r="O20" s="43" t="str">
        <f t="shared" si="8"/>
        <v>-</v>
      </c>
      <c r="P20" s="43" t="str">
        <f t="shared" si="13"/>
        <v>-</v>
      </c>
      <c r="Q20" s="9" t="str">
        <f t="shared" si="14"/>
        <v>-</v>
      </c>
      <c r="R20" s="9" t="str">
        <f t="shared" si="9"/>
        <v>-</v>
      </c>
      <c r="S20" s="9" t="str">
        <f t="shared" si="10"/>
        <v>-</v>
      </c>
      <c r="T20" s="21" t="str">
        <f t="shared" si="11"/>
        <v>-</v>
      </c>
      <c r="U20" s="6"/>
      <c r="V20" s="6"/>
      <c r="W20" s="6"/>
      <c r="X20" s="6"/>
      <c r="Y20" s="6"/>
      <c r="Z20" s="6"/>
      <c r="AA20" s="6"/>
      <c r="AC20" s="5" t="e">
        <f t="shared" si="12"/>
        <v>#VALUE!</v>
      </c>
      <c r="AD20">
        <f>AD19</f>
        <v>21.579301013199252</v>
      </c>
      <c r="AE20">
        <f>P13</f>
        <v>800</v>
      </c>
      <c r="AF20">
        <f t="shared" si="1"/>
        <v>3</v>
      </c>
    </row>
    <row r="21" spans="1:40" ht="15.75" customHeight="1" x14ac:dyDescent="0.25">
      <c r="A21" s="6"/>
      <c r="B21" s="35" t="s">
        <v>139</v>
      </c>
      <c r="C21" s="39" t="s">
        <v>59</v>
      </c>
      <c r="D21" s="6"/>
      <c r="E21" s="6"/>
      <c r="F21" s="6"/>
      <c r="G21" s="6"/>
      <c r="H21" s="20" t="str">
        <f t="shared" si="2"/>
        <v>-</v>
      </c>
      <c r="I21" s="9" t="str">
        <f t="shared" si="3"/>
        <v>-</v>
      </c>
      <c r="J21" s="43" t="str">
        <f t="shared" si="0"/>
        <v>-</v>
      </c>
      <c r="K21" s="9" t="str">
        <f t="shared" si="4"/>
        <v>-</v>
      </c>
      <c r="L21" s="9" t="str">
        <f t="shared" si="5"/>
        <v>-</v>
      </c>
      <c r="M21" s="43" t="str">
        <f t="shared" si="6"/>
        <v>-</v>
      </c>
      <c r="N21" s="43" t="str">
        <f t="shared" si="7"/>
        <v>-</v>
      </c>
      <c r="O21" s="43" t="str">
        <f t="shared" si="8"/>
        <v>-</v>
      </c>
      <c r="P21" s="43" t="str">
        <f t="shared" si="13"/>
        <v>-</v>
      </c>
      <c r="Q21" s="9" t="str">
        <f t="shared" si="14"/>
        <v>-</v>
      </c>
      <c r="R21" s="9" t="str">
        <f t="shared" si="9"/>
        <v>-</v>
      </c>
      <c r="S21" s="9" t="str">
        <f t="shared" si="10"/>
        <v>-</v>
      </c>
      <c r="T21" s="21" t="str">
        <f t="shared" si="11"/>
        <v>-</v>
      </c>
      <c r="U21" s="6"/>
      <c r="V21" s="6"/>
      <c r="W21" s="6"/>
      <c r="X21" s="6"/>
      <c r="Y21" s="6"/>
      <c r="Z21" s="6"/>
      <c r="AA21" s="6"/>
      <c r="AC21" s="5" t="e">
        <f t="shared" si="12"/>
        <v>#VALUE!</v>
      </c>
      <c r="AD21">
        <f>AC13</f>
        <v>24.376827436506662</v>
      </c>
      <c r="AE21" t="e">
        <f>#REF!</f>
        <v>#REF!</v>
      </c>
      <c r="AF21">
        <f t="shared" si="1"/>
        <v>3</v>
      </c>
      <c r="AH21" s="67" t="s">
        <v>57</v>
      </c>
      <c r="AI21" s="68"/>
      <c r="AJ21" s="68"/>
      <c r="AK21" s="68"/>
    </row>
    <row r="22" spans="1:40" ht="18.75" customHeight="1" thickBot="1" x14ac:dyDescent="0.3">
      <c r="A22" s="6"/>
      <c r="B22" s="37" t="s">
        <v>140</v>
      </c>
      <c r="C22" s="47">
        <v>15</v>
      </c>
      <c r="D22" s="6"/>
      <c r="E22" s="6"/>
      <c r="F22" s="6"/>
      <c r="G22" s="6"/>
      <c r="H22" s="20" t="str">
        <f t="shared" si="2"/>
        <v>-</v>
      </c>
      <c r="I22" s="9" t="str">
        <f t="shared" si="3"/>
        <v>-</v>
      </c>
      <c r="J22" s="43" t="str">
        <f t="shared" si="0"/>
        <v>-</v>
      </c>
      <c r="K22" s="9" t="str">
        <f t="shared" si="4"/>
        <v>-</v>
      </c>
      <c r="L22" s="9" t="str">
        <f t="shared" si="5"/>
        <v>-</v>
      </c>
      <c r="M22" s="43" t="str">
        <f t="shared" si="6"/>
        <v>-</v>
      </c>
      <c r="N22" s="43" t="str">
        <f t="shared" si="7"/>
        <v>-</v>
      </c>
      <c r="O22" s="43" t="str">
        <f t="shared" si="8"/>
        <v>-</v>
      </c>
      <c r="P22" s="43" t="str">
        <f t="shared" si="13"/>
        <v>-</v>
      </c>
      <c r="Q22" s="9" t="str">
        <f t="shared" si="14"/>
        <v>-</v>
      </c>
      <c r="R22" s="9" t="str">
        <f t="shared" si="9"/>
        <v>-</v>
      </c>
      <c r="S22" s="9" t="str">
        <f t="shared" si="10"/>
        <v>-</v>
      </c>
      <c r="T22" s="21" t="str">
        <f t="shared" si="11"/>
        <v>-</v>
      </c>
      <c r="U22" s="6"/>
      <c r="V22" s="6"/>
      <c r="W22" s="6"/>
      <c r="X22" s="6"/>
      <c r="Y22" s="6"/>
      <c r="Z22" s="6"/>
      <c r="AA22" s="6"/>
      <c r="AC22" s="5" t="e">
        <f t="shared" si="12"/>
        <v>#VALUE!</v>
      </c>
      <c r="AD22">
        <f>AD21</f>
        <v>24.376827436506662</v>
      </c>
      <c r="AE22">
        <f>P14</f>
        <v>900</v>
      </c>
      <c r="AF22">
        <f t="shared" si="1"/>
        <v>3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2"/>
        <v>-</v>
      </c>
      <c r="I23" s="9" t="str">
        <f t="shared" si="3"/>
        <v>-</v>
      </c>
      <c r="J23" s="43" t="str">
        <f t="shared" si="0"/>
        <v>-</v>
      </c>
      <c r="K23" s="9" t="str">
        <f t="shared" si="4"/>
        <v>-</v>
      </c>
      <c r="L23" s="9" t="str">
        <f t="shared" si="5"/>
        <v>-</v>
      </c>
      <c r="M23" s="43" t="str">
        <f t="shared" si="6"/>
        <v>-</v>
      </c>
      <c r="N23" s="43" t="str">
        <f t="shared" si="7"/>
        <v>-</v>
      </c>
      <c r="O23" s="43" t="str">
        <f t="shared" si="8"/>
        <v>-</v>
      </c>
      <c r="P23" s="43" t="str">
        <f t="shared" si="13"/>
        <v>-</v>
      </c>
      <c r="Q23" s="9" t="str">
        <f t="shared" si="14"/>
        <v>-</v>
      </c>
      <c r="R23" s="9" t="str">
        <f t="shared" si="9"/>
        <v>-</v>
      </c>
      <c r="S23" s="9" t="str">
        <f t="shared" si="10"/>
        <v>-</v>
      </c>
      <c r="T23" s="21" t="str">
        <f t="shared" si="11"/>
        <v>-</v>
      </c>
      <c r="U23" s="6"/>
      <c r="V23" s="6"/>
      <c r="W23" s="6"/>
      <c r="X23" s="6"/>
      <c r="Y23" s="6"/>
      <c r="Z23" s="6"/>
      <c r="AA23" s="6"/>
      <c r="AC23" s="5" t="e">
        <f t="shared" si="12"/>
        <v>#VALUE!</v>
      </c>
      <c r="AD23">
        <f>AC14</f>
        <v>27.47945530363581</v>
      </c>
      <c r="AE23" t="e">
        <f>#REF!</f>
        <v>#REF!</v>
      </c>
      <c r="AF23">
        <f t="shared" si="1"/>
        <v>3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2"/>
        <v>-</v>
      </c>
      <c r="I24" s="9" t="str">
        <f t="shared" si="3"/>
        <v>-</v>
      </c>
      <c r="J24" s="43" t="str">
        <f t="shared" si="0"/>
        <v>-</v>
      </c>
      <c r="K24" s="9" t="str">
        <f t="shared" si="4"/>
        <v>-</v>
      </c>
      <c r="L24" s="9" t="str">
        <f t="shared" si="5"/>
        <v>-</v>
      </c>
      <c r="M24" s="43" t="str">
        <f t="shared" si="6"/>
        <v>-</v>
      </c>
      <c r="N24" s="43" t="str">
        <f t="shared" si="7"/>
        <v>-</v>
      </c>
      <c r="O24" s="43" t="str">
        <f t="shared" si="8"/>
        <v>-</v>
      </c>
      <c r="P24" s="43" t="str">
        <f t="shared" si="13"/>
        <v>-</v>
      </c>
      <c r="Q24" s="9" t="str">
        <f t="shared" si="14"/>
        <v>-</v>
      </c>
      <c r="R24" s="9" t="str">
        <f t="shared" si="9"/>
        <v>-</v>
      </c>
      <c r="S24" s="9" t="str">
        <f t="shared" si="10"/>
        <v>-</v>
      </c>
      <c r="T24" s="21" t="str">
        <f t="shared" si="11"/>
        <v>-</v>
      </c>
      <c r="U24" s="6"/>
      <c r="V24" s="6"/>
      <c r="W24" s="6"/>
      <c r="X24" s="6"/>
      <c r="Y24" s="6"/>
      <c r="Z24" s="6"/>
      <c r="AA24" s="6"/>
      <c r="AC24" s="5" t="e">
        <f t="shared" si="12"/>
        <v>#VALUE!</v>
      </c>
      <c r="AD24">
        <f>AD23</f>
        <v>27.47945530363581</v>
      </c>
      <c r="AE24">
        <f>P15</f>
        <v>1000</v>
      </c>
      <c r="AF24">
        <f t="shared" si="1"/>
        <v>3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2"/>
        <v>-</v>
      </c>
      <c r="I25" s="9" t="str">
        <f t="shared" si="3"/>
        <v>-</v>
      </c>
      <c r="J25" s="43" t="str">
        <f t="shared" si="0"/>
        <v>-</v>
      </c>
      <c r="K25" s="9" t="str">
        <f t="shared" si="4"/>
        <v>-</v>
      </c>
      <c r="L25" s="9" t="str">
        <f t="shared" si="5"/>
        <v>-</v>
      </c>
      <c r="M25" s="43" t="str">
        <f t="shared" si="6"/>
        <v>-</v>
      </c>
      <c r="N25" s="43" t="str">
        <f t="shared" si="7"/>
        <v>-</v>
      </c>
      <c r="O25" s="43" t="str">
        <f t="shared" si="8"/>
        <v>-</v>
      </c>
      <c r="P25" s="43" t="str">
        <f t="shared" si="13"/>
        <v>-</v>
      </c>
      <c r="Q25" s="9" t="str">
        <f t="shared" si="14"/>
        <v>-</v>
      </c>
      <c r="R25" s="9" t="str">
        <f t="shared" si="9"/>
        <v>-</v>
      </c>
      <c r="S25" s="9" t="str">
        <f t="shared" si="10"/>
        <v>-</v>
      </c>
      <c r="T25" s="21" t="str">
        <f t="shared" si="11"/>
        <v>-</v>
      </c>
      <c r="U25" s="6"/>
      <c r="V25" s="6"/>
      <c r="W25" s="6"/>
      <c r="X25" s="6"/>
      <c r="Y25" s="6"/>
      <c r="Z25" s="6"/>
      <c r="AA25" s="6"/>
      <c r="AC25" s="5" t="e">
        <f t="shared" si="12"/>
        <v>#VALUE!</v>
      </c>
      <c r="AD25">
        <f>AC15</f>
        <v>30.889256578616056</v>
      </c>
      <c r="AE25" t="e">
        <f>#REF!</f>
        <v>#REF!</v>
      </c>
      <c r="AF25">
        <f t="shared" si="1"/>
        <v>3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2"/>
        <v>-</v>
      </c>
      <c r="I26" s="9" t="str">
        <f t="shared" si="3"/>
        <v>-</v>
      </c>
      <c r="J26" s="43" t="str">
        <f t="shared" si="0"/>
        <v>-</v>
      </c>
      <c r="K26" s="9" t="str">
        <f t="shared" si="4"/>
        <v>-</v>
      </c>
      <c r="L26" s="9" t="str">
        <f t="shared" si="5"/>
        <v>-</v>
      </c>
      <c r="M26" s="43" t="str">
        <f t="shared" si="6"/>
        <v>-</v>
      </c>
      <c r="N26" s="43" t="str">
        <f t="shared" si="7"/>
        <v>-</v>
      </c>
      <c r="O26" s="43" t="str">
        <f t="shared" si="8"/>
        <v>-</v>
      </c>
      <c r="P26" s="43" t="str">
        <f t="shared" si="13"/>
        <v>-</v>
      </c>
      <c r="Q26" s="9" t="str">
        <f t="shared" si="14"/>
        <v>-</v>
      </c>
      <c r="R26" s="9" t="str">
        <f t="shared" si="9"/>
        <v>-</v>
      </c>
      <c r="S26" s="9" t="str">
        <f t="shared" si="10"/>
        <v>-</v>
      </c>
      <c r="T26" s="21" t="str">
        <f t="shared" si="11"/>
        <v>-</v>
      </c>
      <c r="U26" s="6"/>
      <c r="V26" s="6"/>
      <c r="W26" s="6"/>
      <c r="X26" s="6"/>
      <c r="Y26" s="6"/>
      <c r="Z26" s="6"/>
      <c r="AA26" s="6"/>
      <c r="AC26" s="5" t="e">
        <f t="shared" si="12"/>
        <v>#VALUE!</v>
      </c>
      <c r="AD26">
        <f>AD25</f>
        <v>30.889256578616056</v>
      </c>
      <c r="AE26" t="str">
        <f>P16</f>
        <v>-</v>
      </c>
      <c r="AF26">
        <f t="shared" si="1"/>
        <v>3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2"/>
        <v>-</v>
      </c>
      <c r="I27" s="9" t="str">
        <f t="shared" si="3"/>
        <v>-</v>
      </c>
      <c r="J27" s="43" t="str">
        <f t="shared" si="0"/>
        <v>-</v>
      </c>
      <c r="K27" s="9" t="str">
        <f t="shared" si="4"/>
        <v>-</v>
      </c>
      <c r="L27" s="9" t="str">
        <f t="shared" si="5"/>
        <v>-</v>
      </c>
      <c r="M27" s="43" t="str">
        <f t="shared" si="6"/>
        <v>-</v>
      </c>
      <c r="N27" s="43" t="str">
        <f t="shared" si="7"/>
        <v>-</v>
      </c>
      <c r="O27" s="43" t="str">
        <f t="shared" si="8"/>
        <v>-</v>
      </c>
      <c r="P27" s="43" t="str">
        <f t="shared" si="13"/>
        <v>-</v>
      </c>
      <c r="Q27" s="9" t="str">
        <f t="shared" si="14"/>
        <v>-</v>
      </c>
      <c r="R27" s="9" t="str">
        <f t="shared" si="9"/>
        <v>-</v>
      </c>
      <c r="S27" s="9" t="str">
        <f t="shared" si="10"/>
        <v>-</v>
      </c>
      <c r="T27" s="21" t="str">
        <f t="shared" si="11"/>
        <v>-</v>
      </c>
      <c r="U27" s="6"/>
      <c r="V27" s="6"/>
      <c r="W27" s="6"/>
      <c r="X27" s="6"/>
      <c r="Y27" s="6"/>
      <c r="Z27" s="6"/>
      <c r="AA27" s="6"/>
      <c r="AC27" s="5" t="e">
        <f t="shared" si="12"/>
        <v>#VALUE!</v>
      </c>
      <c r="AD27">
        <f>AC16</f>
        <v>35.889256578616056</v>
      </c>
      <c r="AE27" t="e">
        <f>#REF!</f>
        <v>#REF!</v>
      </c>
      <c r="AF27">
        <f t="shared" si="1"/>
        <v>3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2"/>
        <v>-</v>
      </c>
      <c r="I28" s="9" t="str">
        <f t="shared" si="3"/>
        <v>-</v>
      </c>
      <c r="J28" s="43" t="str">
        <f t="shared" si="0"/>
        <v>-</v>
      </c>
      <c r="K28" s="9" t="str">
        <f t="shared" si="4"/>
        <v>-</v>
      </c>
      <c r="L28" s="9" t="str">
        <f t="shared" si="5"/>
        <v>-</v>
      </c>
      <c r="M28" s="43" t="str">
        <f t="shared" si="6"/>
        <v>-</v>
      </c>
      <c r="N28" s="43" t="str">
        <f t="shared" si="7"/>
        <v>-</v>
      </c>
      <c r="O28" s="43" t="str">
        <f t="shared" si="8"/>
        <v>-</v>
      </c>
      <c r="P28" s="43" t="str">
        <f t="shared" si="13"/>
        <v>-</v>
      </c>
      <c r="Q28" s="9" t="str">
        <f t="shared" si="14"/>
        <v>-</v>
      </c>
      <c r="R28" s="9" t="str">
        <f t="shared" si="9"/>
        <v>-</v>
      </c>
      <c r="S28" s="9" t="str">
        <f t="shared" si="10"/>
        <v>-</v>
      </c>
      <c r="T28" s="21" t="str">
        <f t="shared" si="11"/>
        <v>-</v>
      </c>
      <c r="U28" s="6"/>
      <c r="V28" s="6"/>
      <c r="W28" s="6"/>
      <c r="X28" s="6"/>
      <c r="Y28" s="6"/>
      <c r="Z28" s="6"/>
      <c r="AA28" s="6"/>
      <c r="AC28" s="5" t="e">
        <f t="shared" si="12"/>
        <v>#VALUE!</v>
      </c>
      <c r="AD28">
        <f>AD27</f>
        <v>35.889256578616056</v>
      </c>
      <c r="AE28" t="str">
        <f>P17</f>
        <v>-</v>
      </c>
      <c r="AF28">
        <f t="shared" si="1"/>
        <v>3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2"/>
        <v>-</v>
      </c>
      <c r="I29" s="9" t="str">
        <f t="shared" si="3"/>
        <v>-</v>
      </c>
      <c r="J29" s="43" t="str">
        <f t="shared" si="0"/>
        <v>-</v>
      </c>
      <c r="K29" s="9" t="str">
        <f t="shared" si="4"/>
        <v>-</v>
      </c>
      <c r="L29" s="9" t="str">
        <f t="shared" si="5"/>
        <v>-</v>
      </c>
      <c r="M29" s="43" t="str">
        <f t="shared" si="6"/>
        <v>-</v>
      </c>
      <c r="N29" s="43" t="str">
        <f t="shared" si="7"/>
        <v>-</v>
      </c>
      <c r="O29" s="43" t="str">
        <f t="shared" si="8"/>
        <v>-</v>
      </c>
      <c r="P29" s="43" t="str">
        <f t="shared" si="13"/>
        <v>-</v>
      </c>
      <c r="Q29" s="9" t="str">
        <f t="shared" si="14"/>
        <v>-</v>
      </c>
      <c r="R29" s="9" t="str">
        <f t="shared" si="9"/>
        <v>-</v>
      </c>
      <c r="S29" s="9" t="str">
        <f t="shared" si="10"/>
        <v>-</v>
      </c>
      <c r="T29" s="21" t="str">
        <f t="shared" si="11"/>
        <v>-</v>
      </c>
      <c r="U29" s="6"/>
      <c r="V29" s="6"/>
      <c r="W29" s="6"/>
      <c r="X29" s="6"/>
      <c r="Y29" s="6"/>
      <c r="Z29" s="6"/>
      <c r="AA29" s="6"/>
      <c r="AC29" s="5" t="e">
        <f t="shared" si="12"/>
        <v>#VALUE!</v>
      </c>
      <c r="AD29">
        <f>AC17</f>
        <v>155.88925657861606</v>
      </c>
      <c r="AE29" t="e">
        <f>#REF!</f>
        <v>#REF!</v>
      </c>
      <c r="AF29">
        <f t="shared" si="1"/>
        <v>3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6.5" customHeight="1" thickBot="1" x14ac:dyDescent="0.3">
      <c r="A30" s="6"/>
      <c r="B30" s="6"/>
      <c r="C30" s="6"/>
      <c r="D30" s="6"/>
      <c r="E30" s="6"/>
      <c r="F30" s="6"/>
      <c r="G30" s="6"/>
      <c r="H30" s="20" t="str">
        <f t="shared" si="2"/>
        <v>-</v>
      </c>
      <c r="I30" s="9" t="str">
        <f t="shared" si="3"/>
        <v>-</v>
      </c>
      <c r="J30" s="48" t="str">
        <f t="shared" si="0"/>
        <v>-</v>
      </c>
      <c r="K30" s="23" t="str">
        <f t="shared" si="4"/>
        <v>-</v>
      </c>
      <c r="L30" s="23" t="str">
        <f t="shared" si="5"/>
        <v>-</v>
      </c>
      <c r="M30" s="48" t="str">
        <f t="shared" si="6"/>
        <v>-</v>
      </c>
      <c r="N30" s="48" t="str">
        <f t="shared" si="7"/>
        <v>-</v>
      </c>
      <c r="O30" s="48" t="str">
        <f t="shared" si="8"/>
        <v>-</v>
      </c>
      <c r="P30" s="48" t="str">
        <f t="shared" si="13"/>
        <v>-</v>
      </c>
      <c r="Q30" s="23" t="str">
        <f t="shared" si="14"/>
        <v>-</v>
      </c>
      <c r="R30" s="23" t="str">
        <f t="shared" si="9"/>
        <v>-</v>
      </c>
      <c r="S30" s="23" t="str">
        <f t="shared" si="10"/>
        <v>-</v>
      </c>
      <c r="T30" s="36" t="str">
        <f t="shared" si="11"/>
        <v>-</v>
      </c>
      <c r="U30" s="6"/>
      <c r="V30" s="6"/>
      <c r="W30" s="6"/>
      <c r="X30" s="6"/>
      <c r="Y30" s="6"/>
      <c r="Z30" s="6"/>
      <c r="AA30" s="6"/>
      <c r="AC30" s="5" t="e">
        <f t="shared" si="12"/>
        <v>#VALUE!</v>
      </c>
      <c r="AD30">
        <f>AD29</f>
        <v>155.88925657861606</v>
      </c>
      <c r="AE30" t="str">
        <f>P18</f>
        <v>-</v>
      </c>
      <c r="AF30">
        <f t="shared" si="1"/>
        <v>3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7.2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8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e">
        <f>#REF!</f>
        <v>#REF!</v>
      </c>
      <c r="AF31">
        <f t="shared" si="1"/>
        <v>3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P19</f>
        <v>-</v>
      </c>
      <c r="AF32">
        <f t="shared" si="1"/>
        <v>3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e">
        <f>#REF!</f>
        <v>#REF!</v>
      </c>
      <c r="AF33">
        <f t="shared" si="1"/>
        <v>3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P20</f>
        <v>-</v>
      </c>
      <c r="AF34">
        <f t="shared" si="1"/>
        <v>3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e">
        <f>#REF!</f>
        <v>#REF!</v>
      </c>
      <c r="AF35">
        <f t="shared" si="1"/>
        <v>3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P21</f>
        <v>-</v>
      </c>
      <c r="AF36">
        <f t="shared" ref="AF36:AF54" si="16">$C$5</f>
        <v>3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e">
        <f>#REF!</f>
        <v>#REF!</v>
      </c>
      <c r="AF37">
        <f t="shared" si="16"/>
        <v>3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P22</f>
        <v>-</v>
      </c>
      <c r="AF38">
        <f t="shared" si="16"/>
        <v>3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e">
        <f>#REF!</f>
        <v>#REF!</v>
      </c>
      <c r="AF39">
        <f t="shared" si="16"/>
        <v>3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P23</f>
        <v>-</v>
      </c>
      <c r="AF40">
        <f t="shared" si="16"/>
        <v>3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e">
        <f>#REF!</f>
        <v>#REF!</v>
      </c>
      <c r="AF41">
        <f t="shared" si="16"/>
        <v>3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P24</f>
        <v>-</v>
      </c>
      <c r="AF42">
        <f t="shared" si="16"/>
        <v>3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e">
        <f>#REF!</f>
        <v>#REF!</v>
      </c>
      <c r="AF43">
        <f t="shared" si="16"/>
        <v>3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P25</f>
        <v>-</v>
      </c>
      <c r="AF44">
        <f t="shared" si="16"/>
        <v>3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e">
        <f>#REF!</f>
        <v>#REF!</v>
      </c>
      <c r="AF45">
        <f t="shared" si="16"/>
        <v>3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P26</f>
        <v>-</v>
      </c>
      <c r="AF46">
        <f t="shared" si="16"/>
        <v>3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e">
        <f>#REF!</f>
        <v>#REF!</v>
      </c>
      <c r="AF47">
        <f t="shared" si="16"/>
        <v>3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P27</f>
        <v>-</v>
      </c>
      <c r="AF48">
        <f t="shared" si="16"/>
        <v>3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e">
        <f>#REF!</f>
        <v>#REF!</v>
      </c>
      <c r="AF49">
        <f t="shared" si="16"/>
        <v>3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P28</f>
        <v>-</v>
      </c>
      <c r="AF50">
        <f t="shared" si="16"/>
        <v>3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e">
        <f>#REF!</f>
        <v>#REF!</v>
      </c>
      <c r="AF51">
        <f t="shared" si="16"/>
        <v>3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P29</f>
        <v>-</v>
      </c>
      <c r="AF52">
        <f t="shared" si="16"/>
        <v>3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e">
        <f>#REF!</f>
        <v>#REF!</v>
      </c>
      <c r="AF53">
        <f t="shared" si="16"/>
        <v>3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P30</f>
        <v>-</v>
      </c>
      <c r="AF54">
        <f t="shared" si="16"/>
        <v>3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(C16/100)*AJ5</f>
        <v>32.43371940754686</v>
      </c>
      <c r="L73">
        <v>0</v>
      </c>
      <c r="M73">
        <v>0</v>
      </c>
    </row>
    <row r="74" spans="1:27" x14ac:dyDescent="0.25">
      <c r="F74" s="52"/>
      <c r="G74" s="52"/>
      <c r="I74" s="54" t="s">
        <v>125</v>
      </c>
      <c r="J74" s="54">
        <f>C19/100*J73</f>
        <v>9.7301158222640574</v>
      </c>
      <c r="L74" s="5">
        <f t="shared" ref="L74:L100" si="17">IF(L73=SUM($I$4:$I$30)-($C$22/$C$5),L73,IFERROR(L73+I4,L73))</f>
        <v>3.2433719407546859</v>
      </c>
      <c r="M74">
        <v>0</v>
      </c>
    </row>
    <row r="75" spans="1:27" x14ac:dyDescent="0.25">
      <c r="F75" s="52"/>
      <c r="G75" s="52"/>
      <c r="I75" s="54" t="s">
        <v>126</v>
      </c>
      <c r="J75" s="54">
        <f>J73-J74</f>
        <v>22.703603585282803</v>
      </c>
      <c r="L75" s="5">
        <f t="shared" si="17"/>
        <v>10.811239802515621</v>
      </c>
      <c r="M75">
        <v>0</v>
      </c>
    </row>
    <row r="76" spans="1:27" x14ac:dyDescent="0.25">
      <c r="E76">
        <v>1</v>
      </c>
      <c r="F76" s="53">
        <f t="shared" ref="F76:F100" si="18">IF(P6="-","-",P6/$C$4)</f>
        <v>0.1</v>
      </c>
      <c r="G76" s="53">
        <f t="shared" ref="G76:G100" si="19">IF(F76="-","-",F76^$AI$18)</f>
        <v>2.5118864315095799E-3</v>
      </c>
      <c r="L76" s="5">
        <f t="shared" si="17"/>
        <v>11.322652651520809</v>
      </c>
      <c r="M76">
        <f t="shared" ref="M76:M100" si="20">P6</f>
        <v>100</v>
      </c>
    </row>
    <row r="77" spans="1:27" x14ac:dyDescent="0.25">
      <c r="E77">
        <v>2</v>
      </c>
      <c r="F77" s="53">
        <f t="shared" si="18"/>
        <v>0.2</v>
      </c>
      <c r="G77" s="53">
        <f t="shared" si="19"/>
        <v>1.5229231509727031E-2</v>
      </c>
      <c r="I77" s="54" t="s">
        <v>128</v>
      </c>
      <c r="J77" s="54">
        <f>C4/C6</f>
        <v>10</v>
      </c>
      <c r="L77" s="5">
        <f t="shared" si="17"/>
        <v>12.216221502340405</v>
      </c>
      <c r="M77">
        <f t="shared" si="20"/>
        <v>200</v>
      </c>
    </row>
    <row r="78" spans="1:27" x14ac:dyDescent="0.25">
      <c r="E78">
        <v>3</v>
      </c>
      <c r="F78" s="53">
        <f t="shared" si="18"/>
        <v>0.3</v>
      </c>
      <c r="G78" s="53">
        <f t="shared" si="19"/>
        <v>4.370340373471833E-2</v>
      </c>
      <c r="L78" s="5">
        <f t="shared" si="17"/>
        <v>13.457613471286068</v>
      </c>
      <c r="M78">
        <f t="shared" si="20"/>
        <v>300</v>
      </c>
    </row>
    <row r="79" spans="1:27" x14ac:dyDescent="0.25">
      <c r="E79">
        <v>4</v>
      </c>
      <c r="F79" s="53">
        <f t="shared" si="18"/>
        <v>0.4</v>
      </c>
      <c r="G79" s="53">
        <f t="shared" si="19"/>
        <v>9.233279397806167E-2</v>
      </c>
      <c r="L79" s="5">
        <f t="shared" si="17"/>
        <v>15.021950485280566</v>
      </c>
      <c r="M79">
        <f t="shared" si="20"/>
        <v>400</v>
      </c>
    </row>
    <row r="80" spans="1:27" x14ac:dyDescent="0.25">
      <c r="E80">
        <v>5</v>
      </c>
      <c r="F80" s="53">
        <f t="shared" si="18"/>
        <v>0.5</v>
      </c>
      <c r="G80" s="53">
        <f t="shared" si="19"/>
        <v>0.16493848884661177</v>
      </c>
      <c r="L80" s="5">
        <f t="shared" si="17"/>
        <v>16.896581935523706</v>
      </c>
      <c r="M80">
        <f t="shared" si="20"/>
        <v>500</v>
      </c>
    </row>
    <row r="81" spans="5:13" x14ac:dyDescent="0.25">
      <c r="E81">
        <v>6</v>
      </c>
      <c r="F81" s="53">
        <f t="shared" si="18"/>
        <v>0.6</v>
      </c>
      <c r="G81" s="53">
        <f t="shared" si="19"/>
        <v>0.26496789221441996</v>
      </c>
      <c r="L81" s="5">
        <f t="shared" si="17"/>
        <v>19.08577763212557</v>
      </c>
      <c r="M81">
        <f t="shared" si="20"/>
        <v>600</v>
      </c>
    </row>
    <row r="82" spans="5:13" x14ac:dyDescent="0.25">
      <c r="E82">
        <v>7</v>
      </c>
      <c r="F82" s="53">
        <f t="shared" si="18"/>
        <v>0.7</v>
      </c>
      <c r="G82" s="53">
        <f t="shared" si="19"/>
        <v>0.39559874396917555</v>
      </c>
      <c r="L82" s="5">
        <f t="shared" si="17"/>
        <v>21.579301013199252</v>
      </c>
      <c r="M82">
        <f t="shared" si="20"/>
        <v>700</v>
      </c>
    </row>
    <row r="83" spans="5:13" x14ac:dyDescent="0.25">
      <c r="E83">
        <v>8</v>
      </c>
      <c r="F83" s="53">
        <f t="shared" si="18"/>
        <v>0.8</v>
      </c>
      <c r="G83" s="53">
        <f t="shared" si="19"/>
        <v>0.55980138185895845</v>
      </c>
      <c r="L83" s="5">
        <f t="shared" si="17"/>
        <v>24.376827436506662</v>
      </c>
      <c r="M83">
        <f t="shared" si="20"/>
        <v>800</v>
      </c>
    </row>
    <row r="84" spans="5:13" x14ac:dyDescent="0.25">
      <c r="E84">
        <v>9</v>
      </c>
      <c r="F84" s="53">
        <f t="shared" si="18"/>
        <v>0.9</v>
      </c>
      <c r="G84" s="53">
        <f t="shared" si="19"/>
        <v>0.7603797186212512</v>
      </c>
      <c r="L84" s="5">
        <f t="shared" si="17"/>
        <v>27.47945530363581</v>
      </c>
      <c r="M84">
        <f t="shared" si="20"/>
        <v>900</v>
      </c>
    </row>
    <row r="85" spans="5:13" x14ac:dyDescent="0.25">
      <c r="E85">
        <v>10</v>
      </c>
      <c r="F85" s="53">
        <f t="shared" si="18"/>
        <v>1</v>
      </c>
      <c r="G85" s="53">
        <f t="shared" si="19"/>
        <v>1</v>
      </c>
      <c r="L85" s="5">
        <f t="shared" si="17"/>
        <v>30.889256578616056</v>
      </c>
      <c r="M85">
        <f t="shared" si="20"/>
        <v>1000</v>
      </c>
    </row>
    <row r="86" spans="5:13" x14ac:dyDescent="0.25">
      <c r="E86">
        <v>11</v>
      </c>
      <c r="F86" s="53" t="str">
        <f t="shared" si="18"/>
        <v>-</v>
      </c>
      <c r="G86" s="53" t="str">
        <f t="shared" si="19"/>
        <v>-</v>
      </c>
      <c r="L86" s="5">
        <f t="shared" si="17"/>
        <v>35.889256578616056</v>
      </c>
      <c r="M86" t="str">
        <f t="shared" si="20"/>
        <v>-</v>
      </c>
    </row>
    <row r="87" spans="5:13" x14ac:dyDescent="0.25">
      <c r="E87">
        <v>12</v>
      </c>
      <c r="F87" s="53" t="str">
        <f t="shared" si="18"/>
        <v>-</v>
      </c>
      <c r="G87" s="53" t="str">
        <f t="shared" si="19"/>
        <v>-</v>
      </c>
      <c r="L87" s="5">
        <f t="shared" si="17"/>
        <v>155.88925657861606</v>
      </c>
      <c r="M87" t="str">
        <f t="shared" si="20"/>
        <v>-</v>
      </c>
    </row>
    <row r="88" spans="5:13" x14ac:dyDescent="0.25">
      <c r="E88">
        <v>13</v>
      </c>
      <c r="F88" s="53" t="str">
        <f t="shared" si="18"/>
        <v>-</v>
      </c>
      <c r="G88" s="53" t="str">
        <f t="shared" si="19"/>
        <v>-</v>
      </c>
      <c r="L88" s="5">
        <f t="shared" si="17"/>
        <v>155.88925657861606</v>
      </c>
      <c r="M88" t="str">
        <f t="shared" si="20"/>
        <v>-</v>
      </c>
    </row>
    <row r="89" spans="5:13" x14ac:dyDescent="0.25">
      <c r="E89">
        <v>14</v>
      </c>
      <c r="F89" s="53" t="str">
        <f t="shared" si="18"/>
        <v>-</v>
      </c>
      <c r="G89" s="53" t="str">
        <f t="shared" si="19"/>
        <v>-</v>
      </c>
      <c r="L89" s="5">
        <f t="shared" si="17"/>
        <v>155.88925657861606</v>
      </c>
      <c r="M89" t="str">
        <f t="shared" si="20"/>
        <v>-</v>
      </c>
    </row>
    <row r="90" spans="5:13" x14ac:dyDescent="0.25">
      <c r="E90">
        <v>15</v>
      </c>
      <c r="F90" s="53" t="str">
        <f t="shared" si="18"/>
        <v>-</v>
      </c>
      <c r="G90" s="53" t="str">
        <f t="shared" si="19"/>
        <v>-</v>
      </c>
      <c r="L90" s="5">
        <f t="shared" si="17"/>
        <v>155.88925657861606</v>
      </c>
      <c r="M90" t="str">
        <f t="shared" si="20"/>
        <v>-</v>
      </c>
    </row>
    <row r="91" spans="5:13" x14ac:dyDescent="0.25">
      <c r="E91">
        <v>16</v>
      </c>
      <c r="F91" s="53" t="str">
        <f t="shared" si="18"/>
        <v>-</v>
      </c>
      <c r="G91" s="53" t="str">
        <f t="shared" si="19"/>
        <v>-</v>
      </c>
      <c r="L91" s="5">
        <f t="shared" si="17"/>
        <v>155.88925657861606</v>
      </c>
      <c r="M91" t="str">
        <f t="shared" si="20"/>
        <v>-</v>
      </c>
    </row>
    <row r="92" spans="5:13" x14ac:dyDescent="0.25">
      <c r="E92">
        <v>17</v>
      </c>
      <c r="F92" s="53" t="str">
        <f t="shared" si="18"/>
        <v>-</v>
      </c>
      <c r="G92" s="53" t="str">
        <f t="shared" si="19"/>
        <v>-</v>
      </c>
      <c r="L92" s="5">
        <f t="shared" si="17"/>
        <v>155.88925657861606</v>
      </c>
      <c r="M92" t="str">
        <f t="shared" si="20"/>
        <v>-</v>
      </c>
    </row>
    <row r="93" spans="5:13" x14ac:dyDescent="0.25">
      <c r="E93">
        <v>18</v>
      </c>
      <c r="F93" s="53" t="str">
        <f t="shared" si="18"/>
        <v>-</v>
      </c>
      <c r="G93" s="53" t="str">
        <f t="shared" si="19"/>
        <v>-</v>
      </c>
      <c r="L93" s="5">
        <f t="shared" si="17"/>
        <v>155.88925657861606</v>
      </c>
      <c r="M93" t="str">
        <f t="shared" si="20"/>
        <v>-</v>
      </c>
    </row>
    <row r="94" spans="5:13" x14ac:dyDescent="0.25">
      <c r="E94">
        <v>19</v>
      </c>
      <c r="F94" s="53" t="str">
        <f t="shared" si="18"/>
        <v>-</v>
      </c>
      <c r="G94" s="53" t="str">
        <f t="shared" si="19"/>
        <v>-</v>
      </c>
      <c r="L94" s="5">
        <f t="shared" si="17"/>
        <v>155.88925657861606</v>
      </c>
      <c r="M94" t="str">
        <f t="shared" si="20"/>
        <v>-</v>
      </c>
    </row>
    <row r="95" spans="5:13" x14ac:dyDescent="0.25">
      <c r="E95">
        <v>20</v>
      </c>
      <c r="F95" s="53" t="str">
        <f t="shared" si="18"/>
        <v>-</v>
      </c>
      <c r="G95" s="53" t="str">
        <f t="shared" si="19"/>
        <v>-</v>
      </c>
      <c r="L95" s="5">
        <f t="shared" si="17"/>
        <v>155.88925657861606</v>
      </c>
      <c r="M95" t="str">
        <f t="shared" si="20"/>
        <v>-</v>
      </c>
    </row>
    <row r="96" spans="5:13" x14ac:dyDescent="0.25">
      <c r="E96">
        <v>21</v>
      </c>
      <c r="F96" s="53" t="str">
        <f t="shared" si="18"/>
        <v>-</v>
      </c>
      <c r="G96" s="53" t="str">
        <f t="shared" si="19"/>
        <v>-</v>
      </c>
      <c r="L96" s="5">
        <f t="shared" si="17"/>
        <v>155.88925657861606</v>
      </c>
      <c r="M96" t="str">
        <f t="shared" si="20"/>
        <v>-</v>
      </c>
    </row>
    <row r="97" spans="5:13" x14ac:dyDescent="0.25">
      <c r="E97">
        <v>22</v>
      </c>
      <c r="F97" s="53" t="str">
        <f t="shared" si="18"/>
        <v>-</v>
      </c>
      <c r="G97" s="53" t="str">
        <f t="shared" si="19"/>
        <v>-</v>
      </c>
      <c r="L97" s="5">
        <f t="shared" si="17"/>
        <v>155.88925657861606</v>
      </c>
      <c r="M97" t="str">
        <f t="shared" si="20"/>
        <v>-</v>
      </c>
    </row>
    <row r="98" spans="5:13" x14ac:dyDescent="0.25">
      <c r="E98">
        <v>23</v>
      </c>
      <c r="F98" s="53" t="str">
        <f t="shared" si="18"/>
        <v>-</v>
      </c>
      <c r="G98" s="53" t="str">
        <f t="shared" si="19"/>
        <v>-</v>
      </c>
      <c r="L98" s="5">
        <f t="shared" si="17"/>
        <v>155.88925657861606</v>
      </c>
      <c r="M98" t="str">
        <f t="shared" si="20"/>
        <v>-</v>
      </c>
    </row>
    <row r="99" spans="5:13" x14ac:dyDescent="0.25">
      <c r="E99">
        <v>24</v>
      </c>
      <c r="F99" s="53" t="str">
        <f t="shared" si="18"/>
        <v>-</v>
      </c>
      <c r="G99" s="53" t="str">
        <f t="shared" si="19"/>
        <v>-</v>
      </c>
      <c r="L99" s="5">
        <f t="shared" si="17"/>
        <v>155.88925657861606</v>
      </c>
      <c r="M99" t="str">
        <f t="shared" si="20"/>
        <v>-</v>
      </c>
    </row>
    <row r="100" spans="5:13" x14ac:dyDescent="0.25">
      <c r="E100">
        <v>25</v>
      </c>
      <c r="F100" s="53" t="str">
        <f t="shared" si="18"/>
        <v>-</v>
      </c>
      <c r="G100" s="53" t="str">
        <f t="shared" si="19"/>
        <v>-</v>
      </c>
      <c r="L100" s="5">
        <f t="shared" si="17"/>
        <v>155.88925657861606</v>
      </c>
      <c r="M100" t="str">
        <f t="shared" si="20"/>
        <v>-</v>
      </c>
    </row>
    <row r="103" spans="5:13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13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21 C17:C18">
      <formula1>$AK$23:$AK$58</formula1>
    </dataValidation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zoomScale="61" zoomScaleNormal="61" workbookViewId="0">
      <selection activeCell="B17" sqref="B17"/>
    </sheetView>
  </sheetViews>
  <sheetFormatPr defaultRowHeight="15" x14ac:dyDescent="0.25"/>
  <cols>
    <col min="1" max="1" width="3.7109375" style="64" customWidth="1"/>
    <col min="2" max="2" width="54.7109375" style="64" customWidth="1"/>
    <col min="3" max="3" width="17" style="64" customWidth="1"/>
    <col min="4" max="4" width="6.7109375" style="64" customWidth="1"/>
    <col min="5" max="5" width="15.7109375" style="64" bestFit="1" customWidth="1"/>
    <col min="6" max="6" width="18.85546875" style="64" customWidth="1"/>
    <col min="7" max="7" width="8.140625" style="64" customWidth="1"/>
    <col min="8" max="8" width="20.140625" style="64" bestFit="1" customWidth="1"/>
    <col min="9" max="9" width="14.28515625" style="64" customWidth="1"/>
    <col min="10" max="10" width="13.7109375" style="64" bestFit="1" customWidth="1"/>
    <col min="11" max="12" width="9.5703125" style="64" bestFit="1" customWidth="1"/>
    <col min="13" max="13" width="12.28515625" style="64" customWidth="1"/>
    <col min="14" max="14" width="17.140625" style="64" customWidth="1"/>
    <col min="15" max="16" width="18.28515625" style="64" bestFit="1" customWidth="1"/>
    <col min="17" max="17" width="11.85546875" style="64" customWidth="1"/>
    <col min="18" max="18" width="10.7109375" style="64" bestFit="1" customWidth="1"/>
    <col min="19" max="19" width="14.140625" style="64" bestFit="1" customWidth="1"/>
    <col min="20" max="20" width="11.7109375" style="64" bestFit="1" customWidth="1"/>
    <col min="24" max="24" width="25.85546875" style="64" bestFit="1" customWidth="1"/>
    <col min="25" max="25" width="12" style="64" bestFit="1" customWidth="1"/>
  </cols>
  <sheetData>
    <row r="1" spans="1:36" ht="30" customHeight="1" thickBot="1" x14ac:dyDescent="0.3">
      <c r="A1" s="6"/>
      <c r="B1" s="69" t="s">
        <v>0</v>
      </c>
      <c r="C1" s="68"/>
      <c r="D1" s="6"/>
      <c r="E1" s="70" t="s">
        <v>1</v>
      </c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"/>
      <c r="V1" s="6"/>
      <c r="W1" s="6"/>
      <c r="X1" s="6"/>
      <c r="Y1" s="6"/>
      <c r="Z1" s="6"/>
      <c r="AA1" s="6"/>
    </row>
    <row r="2" spans="1:36" ht="18.75" customHeight="1" x14ac:dyDescent="0.3">
      <c r="A2" s="6"/>
      <c r="B2" s="71" t="s">
        <v>2</v>
      </c>
      <c r="C2" s="72"/>
      <c r="D2" s="6"/>
      <c r="E2" s="73" t="s">
        <v>3</v>
      </c>
      <c r="F2" s="74"/>
      <c r="G2" s="6"/>
      <c r="H2" s="75" t="s">
        <v>4</v>
      </c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2"/>
      <c r="U2" s="6"/>
      <c r="V2" s="6"/>
      <c r="W2" s="6"/>
      <c r="X2" s="6"/>
      <c r="Y2" s="6"/>
      <c r="Z2" s="6"/>
      <c r="AA2" s="6"/>
    </row>
    <row r="3" spans="1:36" ht="19.5" customHeight="1" x14ac:dyDescent="0.25">
      <c r="A3" s="6"/>
      <c r="B3" s="24" t="s">
        <v>5</v>
      </c>
      <c r="C3" s="39">
        <v>60</v>
      </c>
      <c r="D3" s="6"/>
      <c r="E3" s="10"/>
      <c r="F3" s="11"/>
      <c r="G3" s="6"/>
      <c r="H3" s="19" t="s">
        <v>6</v>
      </c>
      <c r="I3" s="31" t="s">
        <v>7</v>
      </c>
      <c r="J3" s="40" t="s">
        <v>8</v>
      </c>
      <c r="K3" s="31" t="s">
        <v>9</v>
      </c>
      <c r="L3" s="31" t="s">
        <v>10</v>
      </c>
      <c r="M3" s="40" t="s">
        <v>11</v>
      </c>
      <c r="N3" s="40" t="s">
        <v>12</v>
      </c>
      <c r="O3" s="40" t="s">
        <v>13</v>
      </c>
      <c r="P3" s="40" t="s">
        <v>14</v>
      </c>
      <c r="Q3" s="31" t="s">
        <v>15</v>
      </c>
      <c r="R3" s="31" t="s">
        <v>16</v>
      </c>
      <c r="S3" s="31" t="s">
        <v>17</v>
      </c>
      <c r="T3" s="32" t="s">
        <v>18</v>
      </c>
      <c r="U3" s="6"/>
      <c r="V3" s="6"/>
      <c r="W3" s="6"/>
      <c r="X3" s="6"/>
      <c r="Y3" s="6"/>
      <c r="Z3" s="6"/>
      <c r="AA3" s="6"/>
      <c r="AC3" t="s">
        <v>19</v>
      </c>
      <c r="AD3" t="s">
        <v>20</v>
      </c>
      <c r="AE3" t="s">
        <v>21</v>
      </c>
      <c r="AF3" t="s">
        <v>22</v>
      </c>
    </row>
    <row r="4" spans="1:36" ht="18" customHeight="1" x14ac:dyDescent="0.25">
      <c r="A4" s="6"/>
      <c r="B4" s="24" t="s">
        <v>23</v>
      </c>
      <c r="C4" s="39">
        <v>1200</v>
      </c>
      <c r="D4" s="6"/>
      <c r="E4" s="12" t="s">
        <v>24</v>
      </c>
      <c r="F4" s="63" t="s">
        <v>25</v>
      </c>
      <c r="G4" s="6"/>
      <c r="H4" s="28" t="s">
        <v>26</v>
      </c>
      <c r="I4" s="29">
        <f>IFERROR(K4/J4, "-")</f>
        <v>3.75</v>
      </c>
      <c r="J4" s="41">
        <f>C5</f>
        <v>4</v>
      </c>
      <c r="K4" s="29">
        <f>L4</f>
        <v>15</v>
      </c>
      <c r="L4" s="29">
        <f>C19</f>
        <v>15</v>
      </c>
      <c r="M4" s="41" t="str">
        <f>C18</f>
        <v>H2O1</v>
      </c>
      <c r="N4" s="41"/>
      <c r="O4" s="41"/>
      <c r="P4" s="41"/>
      <c r="Q4" s="29"/>
      <c r="R4" s="29"/>
      <c r="S4" s="29"/>
      <c r="T4" s="30"/>
      <c r="U4" s="6"/>
      <c r="V4" s="6"/>
      <c r="W4" s="6"/>
      <c r="X4" s="6"/>
      <c r="Y4" s="6"/>
      <c r="Z4" s="6"/>
      <c r="AA4" s="6"/>
      <c r="AC4">
        <v>0</v>
      </c>
      <c r="AD4">
        <v>0</v>
      </c>
      <c r="AE4" t="e">
        <f>#REF!</f>
        <v>#REF!</v>
      </c>
      <c r="AF4">
        <f t="shared" ref="AF4:AF35" si="0">$C$5</f>
        <v>4</v>
      </c>
      <c r="AI4" t="s">
        <v>27</v>
      </c>
      <c r="AJ4" s="5">
        <f>SUM(K6:K31)</f>
        <v>101.94091164694915</v>
      </c>
    </row>
    <row r="5" spans="1:36" ht="18" customHeight="1" x14ac:dyDescent="0.25">
      <c r="A5" s="6"/>
      <c r="B5" s="24" t="s">
        <v>28</v>
      </c>
      <c r="C5" s="39">
        <v>4</v>
      </c>
      <c r="D5" s="6"/>
      <c r="E5" s="12" t="str">
        <f>IF(C14=0,"",C11)</f>
        <v/>
      </c>
      <c r="F5" s="62" t="str">
        <f>IF(E5="","",SUMIF(M5:M30,C11,L5:L30))</f>
        <v/>
      </c>
      <c r="G5" s="6"/>
      <c r="H5" s="20" t="str">
        <f>IF(I5="-","-","Буфер")</f>
        <v>Буфер</v>
      </c>
      <c r="I5" s="9">
        <f t="shared" ref="I5:I31" si="1">IFERROR(K5/J5,"-")</f>
        <v>22.828000356958992</v>
      </c>
      <c r="J5" s="43">
        <f t="shared" ref="J5:J31" si="2">IF(K5="-","-",$C$5)</f>
        <v>4</v>
      </c>
      <c r="K5" s="9">
        <f>IFERROR(J73, "-")</f>
        <v>91.312001427835966</v>
      </c>
      <c r="L5" s="9">
        <f>IFERROR(K5,0)</f>
        <v>91.312001427835966</v>
      </c>
      <c r="M5" s="43" t="str">
        <f>IF(L5="-","-",$C$17)</f>
        <v>DX30</v>
      </c>
      <c r="N5" s="43"/>
      <c r="O5" s="43"/>
      <c r="P5" s="43"/>
      <c r="Q5" s="9"/>
      <c r="R5" s="9">
        <f>IF(L5="-","-",L5)</f>
        <v>91.312001427835966</v>
      </c>
      <c r="S5" s="9"/>
      <c r="T5" s="21">
        <f>IF(K5="-","-",K5)</f>
        <v>91.312001427835966</v>
      </c>
      <c r="U5" s="6"/>
      <c r="V5" s="6"/>
      <c r="W5" s="6"/>
      <c r="X5" s="6"/>
      <c r="Y5" s="6"/>
      <c r="Z5" s="6"/>
      <c r="AA5" s="6"/>
      <c r="AC5" s="5">
        <f t="shared" ref="AC5:AC30" si="3">AC4+I5</f>
        <v>22.828000356958992</v>
      </c>
      <c r="AD5">
        <f>AC5</f>
        <v>22.828000356958992</v>
      </c>
      <c r="AE5" t="e">
        <f>#REF!</f>
        <v>#REF!</v>
      </c>
      <c r="AF5">
        <f t="shared" si="0"/>
        <v>4</v>
      </c>
      <c r="AI5" t="s">
        <v>29</v>
      </c>
      <c r="AJ5">
        <f>AJ4/(1-J77)</f>
        <v>193.25291307478511</v>
      </c>
    </row>
    <row r="6" spans="1:36" ht="18" customHeight="1" x14ac:dyDescent="0.25">
      <c r="A6" s="6"/>
      <c r="B6" s="25" t="s">
        <v>30</v>
      </c>
      <c r="C6" s="39">
        <v>100</v>
      </c>
      <c r="D6" s="6"/>
      <c r="E6" s="12" t="str">
        <f>C12</f>
        <v>LG28</v>
      </c>
      <c r="F6" s="62">
        <f>SUMIF(M5:M30,C12,L5:L30)</f>
        <v>30.046968447674693</v>
      </c>
      <c r="G6" s="6"/>
      <c r="H6" s="20" t="str">
        <f t="shared" ref="H6:H31" si="4">IF(I6="-","-","Пропант")</f>
        <v>Пропант</v>
      </c>
      <c r="I6" s="9">
        <f t="shared" si="1"/>
        <v>0.51206145391333324</v>
      </c>
      <c r="J6" s="43">
        <f t="shared" si="2"/>
        <v>4</v>
      </c>
      <c r="K6" s="9">
        <f t="shared" ref="K6:K31" si="5">IFERROR(L6+Q6/(IF(N6=$C$8,$G$103,$G$104)*1000),"-")</f>
        <v>2.048245815653333</v>
      </c>
      <c r="L6" s="9">
        <f t="shared" ref="L6:L31" si="6">IFERROR(Q6/O6,"-")</f>
        <v>1.977126169276481</v>
      </c>
      <c r="M6" s="43" t="str">
        <f t="shared" ref="M6:M31" si="7">IF(L6="-","-",IF(P6&lt;=$C$14,$C$11,IF(P6&gt;$C$15,$C$13,$C$12)))</f>
        <v>LG28</v>
      </c>
      <c r="N6" s="43" t="str">
        <f t="shared" ref="N6:N31" si="8">IF(P6="-","-",IF(P6&lt;$C$10,$C$8,$C$9))</f>
        <v>20/40 Новатэк</v>
      </c>
      <c r="O6" s="43">
        <f>IFERROR(O5+($C$4-O5)/($J$76-D5),"-")</f>
        <v>100</v>
      </c>
      <c r="P6" s="43">
        <f t="shared" ref="P6:P31" si="9">O6</f>
        <v>100</v>
      </c>
      <c r="Q6" s="9">
        <f>IF(S6="-","-",S6)</f>
        <v>197.7126169276481</v>
      </c>
      <c r="R6" s="9">
        <f t="shared" ref="R6:R31" si="10">IFERROR(IF(L6="-","-",R5+L6),"-")</f>
        <v>93.28912759711244</v>
      </c>
      <c r="S6" s="9">
        <f t="shared" ref="S6:S31" si="11">IF(G76="-","-",G76*$C$3*1000)</f>
        <v>197.7126169276481</v>
      </c>
      <c r="T6" s="21">
        <f t="shared" ref="T6:T31" si="12">IFERROR(IF(K6="-","-",T5+K6),"-")</f>
        <v>93.360247243489297</v>
      </c>
      <c r="U6" s="6"/>
      <c r="V6" s="6"/>
      <c r="W6" s="6"/>
      <c r="X6" s="6"/>
      <c r="Y6" s="6"/>
      <c r="Z6" s="6"/>
      <c r="AA6" s="6"/>
      <c r="AC6" s="5">
        <f t="shared" si="3"/>
        <v>23.340061810872324</v>
      </c>
      <c r="AD6">
        <f>AD5</f>
        <v>22.828000356958992</v>
      </c>
      <c r="AE6">
        <f>O6</f>
        <v>100</v>
      </c>
      <c r="AF6">
        <f t="shared" si="0"/>
        <v>4</v>
      </c>
    </row>
    <row r="7" spans="1:36" ht="15.75" customHeight="1" x14ac:dyDescent="0.25">
      <c r="A7" s="6"/>
      <c r="B7" s="24" t="s">
        <v>31</v>
      </c>
      <c r="C7" s="39">
        <v>3</v>
      </c>
      <c r="D7" s="6"/>
      <c r="E7" s="12" t="str">
        <f>C13</f>
        <v>DX28</v>
      </c>
      <c r="F7" s="62">
        <f>SUMIF(M5:M30,C13,L5:L30)</f>
        <v>49.722824847259169</v>
      </c>
      <c r="G7" s="6"/>
      <c r="H7" s="20" t="str">
        <f t="shared" si="4"/>
        <v>Пропант</v>
      </c>
      <c r="I7" s="9">
        <f t="shared" si="1"/>
        <v>1.0397017914535405</v>
      </c>
      <c r="J7" s="43">
        <f t="shared" si="2"/>
        <v>4</v>
      </c>
      <c r="K7" s="9">
        <f t="shared" si="5"/>
        <v>4.1588071658141619</v>
      </c>
      <c r="L7" s="9">
        <f t="shared" si="6"/>
        <v>3.8796925909273057</v>
      </c>
      <c r="M7" s="43" t="str">
        <f t="shared" si="7"/>
        <v>LG28</v>
      </c>
      <c r="N7" s="43" t="str">
        <f t="shared" si="8"/>
        <v>20/40 Новатэк</v>
      </c>
      <c r="O7" s="43">
        <f t="shared" ref="O7:O31" si="13">IFERROR(O6+($C$4-O6)/($J$76-E76),"-")</f>
        <v>200</v>
      </c>
      <c r="P7" s="43">
        <f t="shared" si="9"/>
        <v>200</v>
      </c>
      <c r="Q7" s="9">
        <f t="shared" ref="Q7:Q31" si="14">IF(S7="-","-",S7-S6)</f>
        <v>775.93851818546113</v>
      </c>
      <c r="R7" s="9">
        <f t="shared" si="10"/>
        <v>97.168820188039746</v>
      </c>
      <c r="S7" s="9">
        <f t="shared" si="11"/>
        <v>973.65113511310926</v>
      </c>
      <c r="T7" s="21">
        <f t="shared" si="12"/>
        <v>97.519054409303465</v>
      </c>
      <c r="U7" s="6"/>
      <c r="V7" s="6"/>
      <c r="W7" s="6"/>
      <c r="X7" s="6"/>
      <c r="Y7" s="6"/>
      <c r="Z7" s="6"/>
      <c r="AA7" s="6"/>
      <c r="AC7" s="5">
        <f t="shared" si="3"/>
        <v>24.379763602325866</v>
      </c>
      <c r="AD7" s="5">
        <f>AC6</f>
        <v>23.340061810872324</v>
      </c>
      <c r="AE7">
        <f>P6</f>
        <v>100</v>
      </c>
      <c r="AF7">
        <f t="shared" si="0"/>
        <v>4</v>
      </c>
    </row>
    <row r="8" spans="1:36" ht="15.75" customHeight="1" x14ac:dyDescent="0.25">
      <c r="A8" s="6"/>
      <c r="B8" s="24" t="s">
        <v>32</v>
      </c>
      <c r="C8" s="39" t="s">
        <v>33</v>
      </c>
      <c r="D8" s="6"/>
      <c r="E8" s="13" t="s">
        <v>34</v>
      </c>
      <c r="F8" s="14">
        <f>SUM(L5:L30)</f>
        <v>171.08179472276981</v>
      </c>
      <c r="G8" s="6"/>
      <c r="H8" s="20" t="str">
        <f t="shared" si="4"/>
        <v>Пропант</v>
      </c>
      <c r="I8" s="9">
        <f t="shared" si="1"/>
        <v>1.3852855781070419</v>
      </c>
      <c r="J8" s="43">
        <f t="shared" si="2"/>
        <v>4</v>
      </c>
      <c r="K8" s="9">
        <f t="shared" si="5"/>
        <v>5.5411423124281676</v>
      </c>
      <c r="L8" s="9">
        <f t="shared" si="6"/>
        <v>5.001420658620229</v>
      </c>
      <c r="M8" s="43" t="str">
        <f t="shared" si="7"/>
        <v>LG28</v>
      </c>
      <c r="N8" s="43" t="str">
        <f t="shared" si="8"/>
        <v>20/40 Новатэк</v>
      </c>
      <c r="O8" s="43">
        <f t="shared" si="13"/>
        <v>300</v>
      </c>
      <c r="P8" s="43">
        <f t="shared" si="9"/>
        <v>300</v>
      </c>
      <c r="Q8" s="9">
        <f t="shared" si="14"/>
        <v>1500.4261975860686</v>
      </c>
      <c r="R8" s="9">
        <f t="shared" si="10"/>
        <v>102.17024084665998</v>
      </c>
      <c r="S8" s="9">
        <f t="shared" si="11"/>
        <v>2474.077332699178</v>
      </c>
      <c r="T8" s="21">
        <f t="shared" si="12"/>
        <v>103.06019672173163</v>
      </c>
      <c r="U8" s="6"/>
      <c r="V8" s="6"/>
      <c r="W8" s="6"/>
      <c r="X8" s="6"/>
      <c r="Y8" s="6"/>
      <c r="Z8" s="6"/>
      <c r="AA8" s="6"/>
      <c r="AC8">
        <f t="shared" si="3"/>
        <v>25.765049180432907</v>
      </c>
      <c r="AD8" s="5">
        <f>AD7</f>
        <v>23.340061810872324</v>
      </c>
      <c r="AE8">
        <f>O7</f>
        <v>200</v>
      </c>
      <c r="AF8">
        <f t="shared" si="0"/>
        <v>4</v>
      </c>
      <c r="AI8">
        <f>C3/AJ4</f>
        <v>0.58857625491713617</v>
      </c>
    </row>
    <row r="9" spans="1:36" ht="15.75" customHeight="1" x14ac:dyDescent="0.25">
      <c r="A9" s="6"/>
      <c r="B9" s="24" t="s">
        <v>35</v>
      </c>
      <c r="C9" s="39" t="s">
        <v>36</v>
      </c>
      <c r="D9" s="6"/>
      <c r="E9" s="15"/>
      <c r="F9" s="16"/>
      <c r="G9" s="6"/>
      <c r="H9" s="20" t="str">
        <f t="shared" si="4"/>
        <v>Пропант</v>
      </c>
      <c r="I9" s="9">
        <f t="shared" si="1"/>
        <v>1.659164492019725</v>
      </c>
      <c r="J9" s="43">
        <f t="shared" si="2"/>
        <v>4</v>
      </c>
      <c r="K9" s="9">
        <f t="shared" si="5"/>
        <v>6.6366579680789002</v>
      </c>
      <c r="L9" s="9">
        <f t="shared" si="6"/>
        <v>5.8018582236664598</v>
      </c>
      <c r="M9" s="43" t="str">
        <f t="shared" si="7"/>
        <v>LG28</v>
      </c>
      <c r="N9" s="43" t="str">
        <f t="shared" si="8"/>
        <v>20/40 Новатэк</v>
      </c>
      <c r="O9" s="43">
        <f t="shared" si="13"/>
        <v>400</v>
      </c>
      <c r="P9" s="43">
        <f t="shared" si="9"/>
        <v>400</v>
      </c>
      <c r="Q9" s="9">
        <f t="shared" si="14"/>
        <v>2320.743289466584</v>
      </c>
      <c r="R9" s="9">
        <f t="shared" si="10"/>
        <v>107.97209907032644</v>
      </c>
      <c r="S9" s="9">
        <f t="shared" si="11"/>
        <v>4794.820622165762</v>
      </c>
      <c r="T9" s="21">
        <f t="shared" si="12"/>
        <v>109.69685468981052</v>
      </c>
      <c r="U9" s="6"/>
      <c r="V9" s="6"/>
      <c r="W9" s="6"/>
      <c r="X9" s="6"/>
      <c r="Y9" s="6"/>
      <c r="Z9" s="6"/>
      <c r="AA9" s="6"/>
      <c r="AC9">
        <f t="shared" si="3"/>
        <v>27.42421367245263</v>
      </c>
      <c r="AD9">
        <f>AC7</f>
        <v>24.379763602325866</v>
      </c>
      <c r="AE9">
        <f>P7</f>
        <v>200</v>
      </c>
      <c r="AF9">
        <f t="shared" si="0"/>
        <v>4</v>
      </c>
    </row>
    <row r="10" spans="1:36" ht="18" customHeight="1" x14ac:dyDescent="0.25">
      <c r="A10" s="6"/>
      <c r="B10" s="24" t="s">
        <v>37</v>
      </c>
      <c r="C10" s="39">
        <v>500</v>
      </c>
      <c r="D10" s="6"/>
      <c r="E10" s="12" t="s">
        <v>12</v>
      </c>
      <c r="F10" s="63" t="s">
        <v>38</v>
      </c>
      <c r="G10" s="6"/>
      <c r="H10" s="20" t="str">
        <f t="shared" si="4"/>
        <v>Пропант</v>
      </c>
      <c r="I10" s="9">
        <f t="shared" si="1"/>
        <v>1.9056508442452069</v>
      </c>
      <c r="J10" s="43">
        <f t="shared" si="2"/>
        <v>4</v>
      </c>
      <c r="K10" s="9">
        <f t="shared" si="5"/>
        <v>7.6226033769808277</v>
      </c>
      <c r="L10" s="9">
        <f t="shared" si="6"/>
        <v>6.4315715993275733</v>
      </c>
      <c r="M10" s="43" t="str">
        <f t="shared" si="7"/>
        <v>LG28</v>
      </c>
      <c r="N10" s="43" t="str">
        <f t="shared" si="8"/>
        <v>16/20 Новатэк</v>
      </c>
      <c r="O10" s="43">
        <f t="shared" si="13"/>
        <v>500</v>
      </c>
      <c r="P10" s="43">
        <f t="shared" si="9"/>
        <v>500</v>
      </c>
      <c r="Q10" s="9">
        <f t="shared" si="14"/>
        <v>3215.7857996637867</v>
      </c>
      <c r="R10" s="9">
        <f t="shared" si="10"/>
        <v>114.40367066965401</v>
      </c>
      <c r="S10" s="9">
        <f t="shared" si="11"/>
        <v>8010.6064218295487</v>
      </c>
      <c r="T10" s="21">
        <f t="shared" si="12"/>
        <v>117.31945806679136</v>
      </c>
      <c r="U10" s="6"/>
      <c r="V10" s="6"/>
      <c r="W10" s="6"/>
      <c r="X10" s="6"/>
      <c r="Y10" s="6"/>
      <c r="Z10" s="6"/>
      <c r="AA10" s="6"/>
      <c r="AC10">
        <f t="shared" si="3"/>
        <v>29.329864516697839</v>
      </c>
      <c r="AD10">
        <f>AD9</f>
        <v>24.379763602325866</v>
      </c>
      <c r="AE10">
        <f>O8</f>
        <v>300</v>
      </c>
      <c r="AF10">
        <f t="shared" si="0"/>
        <v>4</v>
      </c>
      <c r="AH10">
        <v>-3</v>
      </c>
      <c r="AI10">
        <v>1.2</v>
      </c>
    </row>
    <row r="11" spans="1:36" ht="15.75" customHeight="1" x14ac:dyDescent="0.25">
      <c r="A11" s="6"/>
      <c r="B11" s="26" t="s">
        <v>39</v>
      </c>
      <c r="C11" s="55" t="s">
        <v>40</v>
      </c>
      <c r="D11" s="6"/>
      <c r="E11" s="12" t="str">
        <f>IF(C10=0,"",C8)</f>
        <v>20/40 Новатэк</v>
      </c>
      <c r="F11" s="62">
        <f>IF(E11="","",SUMIF(N5:N30,C8,Q5:Q30)/1000)</f>
        <v>4.7948206221657621</v>
      </c>
      <c r="G11" s="6"/>
      <c r="H11" s="20" t="str">
        <f t="shared" si="4"/>
        <v>Пропант</v>
      </c>
      <c r="I11" s="9">
        <f t="shared" si="1"/>
        <v>2.1252303129006416</v>
      </c>
      <c r="J11" s="43">
        <f t="shared" si="2"/>
        <v>4</v>
      </c>
      <c r="K11" s="9">
        <f t="shared" si="5"/>
        <v>8.5009212516025663</v>
      </c>
      <c r="L11" s="9">
        <f t="shared" si="6"/>
        <v>6.9552992058566447</v>
      </c>
      <c r="M11" s="43" t="str">
        <f t="shared" si="7"/>
        <v>LG28</v>
      </c>
      <c r="N11" s="43" t="str">
        <f t="shared" si="8"/>
        <v>16/20 Новатэк</v>
      </c>
      <c r="O11" s="43">
        <f t="shared" si="13"/>
        <v>600</v>
      </c>
      <c r="P11" s="43">
        <f t="shared" si="9"/>
        <v>600</v>
      </c>
      <c r="Q11" s="9">
        <f t="shared" si="14"/>
        <v>4173.1795235139871</v>
      </c>
      <c r="R11" s="9">
        <f t="shared" si="10"/>
        <v>121.35896987551065</v>
      </c>
      <c r="S11" s="9">
        <f t="shared" si="11"/>
        <v>12183.785945343536</v>
      </c>
      <c r="T11" s="21">
        <f t="shared" si="12"/>
        <v>125.82037931839392</v>
      </c>
      <c r="U11" s="6"/>
      <c r="V11" s="6"/>
      <c r="W11" s="6"/>
      <c r="X11" s="6"/>
      <c r="Y11" s="6"/>
      <c r="Z11" s="6"/>
      <c r="AA11" s="6"/>
      <c r="AC11">
        <f t="shared" si="3"/>
        <v>31.45509482959848</v>
      </c>
      <c r="AD11">
        <f>AC8</f>
        <v>25.765049180432907</v>
      </c>
      <c r="AE11">
        <f>P8</f>
        <v>300</v>
      </c>
      <c r="AF11">
        <f t="shared" si="0"/>
        <v>4</v>
      </c>
      <c r="AH11">
        <v>-2</v>
      </c>
      <c r="AI11">
        <v>1.35</v>
      </c>
    </row>
    <row r="12" spans="1:36" ht="15.75" customHeight="1" x14ac:dyDescent="0.25">
      <c r="A12" s="6"/>
      <c r="B12" s="24" t="s">
        <v>41</v>
      </c>
      <c r="C12" s="39" t="s">
        <v>42</v>
      </c>
      <c r="D12" s="6"/>
      <c r="E12" s="12" t="str">
        <f>C9</f>
        <v>16/20 Новатэк</v>
      </c>
      <c r="F12" s="62">
        <f>SUMIF(N5:N30,C9,Q5:Q30)/1000</f>
        <v>55.205179377834241</v>
      </c>
      <c r="G12" s="6"/>
      <c r="H12" s="20" t="str">
        <f t="shared" si="4"/>
        <v>Пропант</v>
      </c>
      <c r="I12" s="9">
        <f t="shared" si="1"/>
        <v>2.3317058846693466</v>
      </c>
      <c r="J12" s="43">
        <f t="shared" si="2"/>
        <v>4</v>
      </c>
      <c r="K12" s="9">
        <f t="shared" si="5"/>
        <v>9.3268235386773863</v>
      </c>
      <c r="L12" s="9">
        <f t="shared" si="6"/>
        <v>7.4065951630673359</v>
      </c>
      <c r="M12" s="43" t="str">
        <f t="shared" si="7"/>
        <v>DX28</v>
      </c>
      <c r="N12" s="43" t="str">
        <f t="shared" si="8"/>
        <v>16/20 Новатэк</v>
      </c>
      <c r="O12" s="43">
        <f t="shared" si="13"/>
        <v>700</v>
      </c>
      <c r="P12" s="43">
        <f t="shared" si="9"/>
        <v>700</v>
      </c>
      <c r="Q12" s="9">
        <f t="shared" si="14"/>
        <v>5184.6166141471349</v>
      </c>
      <c r="R12" s="9">
        <f t="shared" si="10"/>
        <v>128.76556503857799</v>
      </c>
      <c r="S12" s="9">
        <f t="shared" si="11"/>
        <v>17368.402559490671</v>
      </c>
      <c r="T12" s="21">
        <f t="shared" si="12"/>
        <v>135.14720285707131</v>
      </c>
      <c r="U12" s="6"/>
      <c r="V12" s="6"/>
      <c r="W12" s="6"/>
      <c r="X12" s="6"/>
      <c r="Y12" s="6"/>
      <c r="Z12" s="6"/>
      <c r="AA12" s="6"/>
      <c r="AC12">
        <f t="shared" si="3"/>
        <v>33.786800714267827</v>
      </c>
      <c r="AD12">
        <f>AD11</f>
        <v>25.765049180432907</v>
      </c>
      <c r="AE12">
        <f>O9</f>
        <v>400</v>
      </c>
      <c r="AF12">
        <f t="shared" si="0"/>
        <v>4</v>
      </c>
      <c r="AH12">
        <v>-1</v>
      </c>
      <c r="AI12">
        <v>1.5</v>
      </c>
    </row>
    <row r="13" spans="1:36" ht="15.75" customHeight="1" x14ac:dyDescent="0.25">
      <c r="A13" s="6"/>
      <c r="B13" s="24" t="s">
        <v>43</v>
      </c>
      <c r="C13" s="39" t="s">
        <v>44</v>
      </c>
      <c r="D13" s="6"/>
      <c r="E13" s="13" t="s">
        <v>34</v>
      </c>
      <c r="F13" s="14">
        <f>C3</f>
        <v>60</v>
      </c>
      <c r="G13" s="6"/>
      <c r="H13" s="20" t="str">
        <f t="shared" si="4"/>
        <v>Пропант</v>
      </c>
      <c r="I13" s="9">
        <f t="shared" si="1"/>
        <v>2.5294240450657273</v>
      </c>
      <c r="J13" s="43">
        <f t="shared" si="2"/>
        <v>4</v>
      </c>
      <c r="K13" s="9">
        <f t="shared" si="5"/>
        <v>10.117696180262909</v>
      </c>
      <c r="L13" s="9">
        <f t="shared" si="6"/>
        <v>7.80507991048853</v>
      </c>
      <c r="M13" s="43" t="str">
        <f t="shared" si="7"/>
        <v>DX28</v>
      </c>
      <c r="N13" s="43" t="str">
        <f t="shared" si="8"/>
        <v>16/20 Новатэк</v>
      </c>
      <c r="O13" s="43">
        <f t="shared" si="13"/>
        <v>800</v>
      </c>
      <c r="P13" s="43">
        <f t="shared" si="9"/>
        <v>800</v>
      </c>
      <c r="Q13" s="9">
        <f t="shared" si="14"/>
        <v>6244.063928390824</v>
      </c>
      <c r="R13" s="9">
        <f t="shared" si="10"/>
        <v>136.57064494906652</v>
      </c>
      <c r="S13" s="9">
        <f t="shared" si="11"/>
        <v>23612.466487881495</v>
      </c>
      <c r="T13" s="21">
        <f t="shared" si="12"/>
        <v>145.2648990373342</v>
      </c>
      <c r="U13" s="6"/>
      <c r="V13" s="6"/>
      <c r="W13" s="6"/>
      <c r="X13" s="6"/>
      <c r="Y13" s="6"/>
      <c r="Z13" s="6"/>
      <c r="AA13" s="6"/>
      <c r="AC13">
        <f t="shared" si="3"/>
        <v>36.316224759333551</v>
      </c>
      <c r="AD13">
        <f>AC9</f>
        <v>27.42421367245263</v>
      </c>
      <c r="AE13">
        <f>P9</f>
        <v>400</v>
      </c>
      <c r="AF13">
        <f t="shared" si="0"/>
        <v>4</v>
      </c>
      <c r="AH13">
        <v>0</v>
      </c>
      <c r="AI13">
        <v>1.7</v>
      </c>
    </row>
    <row r="14" spans="1:36" ht="18" customHeight="1" x14ac:dyDescent="0.25">
      <c r="A14" s="6"/>
      <c r="B14" s="24" t="s">
        <v>45</v>
      </c>
      <c r="C14" s="39">
        <v>0</v>
      </c>
      <c r="D14" s="6"/>
      <c r="E14" s="10"/>
      <c r="F14" s="11"/>
      <c r="G14" s="6"/>
      <c r="H14" s="20" t="str">
        <f t="shared" si="4"/>
        <v>Пропант</v>
      </c>
      <c r="I14" s="9">
        <f t="shared" si="1"/>
        <v>2.7210764745553955</v>
      </c>
      <c r="J14" s="43">
        <f t="shared" si="2"/>
        <v>4</v>
      </c>
      <c r="K14" s="9">
        <f t="shared" si="5"/>
        <v>10.884305898221582</v>
      </c>
      <c r="L14" s="9">
        <f t="shared" si="6"/>
        <v>8.163229423666186</v>
      </c>
      <c r="M14" s="43" t="str">
        <f t="shared" si="7"/>
        <v>DX28</v>
      </c>
      <c r="N14" s="43" t="str">
        <f t="shared" si="8"/>
        <v>16/20 Новатэк</v>
      </c>
      <c r="O14" s="43">
        <f t="shared" si="13"/>
        <v>900</v>
      </c>
      <c r="P14" s="43">
        <f t="shared" si="9"/>
        <v>900</v>
      </c>
      <c r="Q14" s="9">
        <f t="shared" si="14"/>
        <v>7346.9064812995675</v>
      </c>
      <c r="R14" s="9">
        <f t="shared" si="10"/>
        <v>144.73387437273271</v>
      </c>
      <c r="S14" s="9">
        <f t="shared" si="11"/>
        <v>30959.372969181062</v>
      </c>
      <c r="T14" s="21">
        <f t="shared" si="12"/>
        <v>156.14920493555579</v>
      </c>
      <c r="U14" s="6"/>
      <c r="V14" s="6"/>
      <c r="W14" s="6"/>
      <c r="X14" s="6"/>
      <c r="Y14" s="6"/>
      <c r="Z14" s="6"/>
      <c r="AA14" s="6"/>
      <c r="AC14" s="5">
        <f t="shared" si="3"/>
        <v>39.037301233888947</v>
      </c>
      <c r="AD14">
        <f>AD13</f>
        <v>27.42421367245263</v>
      </c>
      <c r="AE14">
        <f>O10</f>
        <v>500</v>
      </c>
      <c r="AF14">
        <f t="shared" si="0"/>
        <v>4</v>
      </c>
      <c r="AH14">
        <v>1</v>
      </c>
      <c r="AI14">
        <v>1.9</v>
      </c>
    </row>
    <row r="15" spans="1:36" ht="18" customHeight="1" x14ac:dyDescent="0.25">
      <c r="A15" s="6"/>
      <c r="B15" s="24" t="s">
        <v>46</v>
      </c>
      <c r="C15" s="39">
        <v>600</v>
      </c>
      <c r="D15" s="6"/>
      <c r="E15" s="10"/>
      <c r="F15" s="11"/>
      <c r="G15" s="6"/>
      <c r="H15" s="20" t="str">
        <f t="shared" si="4"/>
        <v>Пропант</v>
      </c>
      <c r="I15" s="9">
        <f t="shared" si="1"/>
        <v>2.9084331019803056</v>
      </c>
      <c r="J15" s="43">
        <f t="shared" si="2"/>
        <v>4</v>
      </c>
      <c r="K15" s="9">
        <f t="shared" si="5"/>
        <v>11.633732407921222</v>
      </c>
      <c r="L15" s="9">
        <f t="shared" si="6"/>
        <v>8.4894804057803519</v>
      </c>
      <c r="M15" s="43" t="str">
        <f t="shared" si="7"/>
        <v>DX28</v>
      </c>
      <c r="N15" s="43" t="str">
        <f t="shared" si="8"/>
        <v>16/20 Новатэк</v>
      </c>
      <c r="O15" s="43">
        <f t="shared" si="13"/>
        <v>1000</v>
      </c>
      <c r="P15" s="43">
        <f t="shared" si="9"/>
        <v>1000</v>
      </c>
      <c r="Q15" s="9">
        <f t="shared" si="14"/>
        <v>8489.4804057803522</v>
      </c>
      <c r="R15" s="9">
        <f t="shared" si="10"/>
        <v>153.22335477851306</v>
      </c>
      <c r="S15" s="9">
        <f t="shared" si="11"/>
        <v>39448.853374961414</v>
      </c>
      <c r="T15" s="21">
        <f t="shared" si="12"/>
        <v>167.78293734347702</v>
      </c>
      <c r="U15" s="6"/>
      <c r="V15" s="6"/>
      <c r="W15" s="6"/>
      <c r="X15" s="6"/>
      <c r="Y15" s="6"/>
      <c r="Z15" s="6"/>
      <c r="AA15" s="6"/>
      <c r="AC15">
        <f t="shared" si="3"/>
        <v>41.945734335869254</v>
      </c>
      <c r="AD15">
        <f>AC10</f>
        <v>29.329864516697839</v>
      </c>
      <c r="AE15">
        <f>P10</f>
        <v>500</v>
      </c>
      <c r="AF15">
        <f t="shared" si="0"/>
        <v>4</v>
      </c>
      <c r="AH15">
        <v>2</v>
      </c>
      <c r="AI15">
        <v>2.15</v>
      </c>
    </row>
    <row r="16" spans="1:36" ht="15.75" customHeight="1" x14ac:dyDescent="0.25">
      <c r="A16" s="6"/>
      <c r="B16" s="24" t="s">
        <v>141</v>
      </c>
      <c r="C16" s="39">
        <v>35</v>
      </c>
      <c r="D16" s="6"/>
      <c r="E16" s="10"/>
      <c r="F16" s="11"/>
      <c r="G16" s="6"/>
      <c r="H16" s="20" t="str">
        <f t="shared" si="4"/>
        <v>Пропант</v>
      </c>
      <c r="I16" s="9">
        <f t="shared" si="1"/>
        <v>3.092712009874274</v>
      </c>
      <c r="J16" s="43">
        <f t="shared" si="2"/>
        <v>4</v>
      </c>
      <c r="K16" s="9">
        <f t="shared" si="5"/>
        <v>12.370848039497096</v>
      </c>
      <c r="L16" s="9">
        <f t="shared" si="6"/>
        <v>8.7898130806953052</v>
      </c>
      <c r="M16" s="43" t="str">
        <f t="shared" si="7"/>
        <v>DX28</v>
      </c>
      <c r="N16" s="43" t="str">
        <f t="shared" si="8"/>
        <v>16/20 Новатэк</v>
      </c>
      <c r="O16" s="43">
        <f t="shared" si="13"/>
        <v>1100</v>
      </c>
      <c r="P16" s="43">
        <f t="shared" si="9"/>
        <v>1100</v>
      </c>
      <c r="Q16" s="9">
        <f t="shared" si="14"/>
        <v>9668.7943887648362</v>
      </c>
      <c r="R16" s="9">
        <f t="shared" si="10"/>
        <v>162.01316785920835</v>
      </c>
      <c r="S16" s="9">
        <f t="shared" si="11"/>
        <v>49117.647763726251</v>
      </c>
      <c r="T16" s="21">
        <f t="shared" si="12"/>
        <v>180.15378538297412</v>
      </c>
      <c r="U16" s="6"/>
      <c r="V16" s="6"/>
      <c r="W16" s="6"/>
      <c r="X16" s="6"/>
      <c r="Y16" s="6"/>
      <c r="Z16" s="6"/>
      <c r="AA16" s="6"/>
      <c r="AC16">
        <f t="shared" si="3"/>
        <v>45.03844634574353</v>
      </c>
      <c r="AD16">
        <f>AD15</f>
        <v>29.329864516697839</v>
      </c>
      <c r="AE16">
        <f>O11</f>
        <v>600</v>
      </c>
      <c r="AF16">
        <f t="shared" si="0"/>
        <v>4</v>
      </c>
      <c r="AH16">
        <v>3</v>
      </c>
      <c r="AI16">
        <v>2.2999999999999998</v>
      </c>
    </row>
    <row r="17" spans="1:40" ht="19.5" customHeight="1" x14ac:dyDescent="0.25">
      <c r="A17" s="6"/>
      <c r="B17" s="24" t="s">
        <v>142</v>
      </c>
      <c r="C17" s="39" t="s">
        <v>86</v>
      </c>
      <c r="D17" s="6"/>
      <c r="E17" s="77" t="s">
        <v>49</v>
      </c>
      <c r="F17" s="66"/>
      <c r="G17" s="6"/>
      <c r="H17" s="20" t="str">
        <f t="shared" si="4"/>
        <v>Пропант</v>
      </c>
      <c r="I17" s="9">
        <f t="shared" si="1"/>
        <v>3.2747819229527484</v>
      </c>
      <c r="J17" s="43">
        <f t="shared" si="2"/>
        <v>4</v>
      </c>
      <c r="K17" s="9">
        <f t="shared" si="5"/>
        <v>13.099127691810994</v>
      </c>
      <c r="L17" s="9">
        <f t="shared" si="6"/>
        <v>9.0686268635614571</v>
      </c>
      <c r="M17" s="43" t="str">
        <f t="shared" si="7"/>
        <v>DX28</v>
      </c>
      <c r="N17" s="43" t="str">
        <f t="shared" si="8"/>
        <v>16/20 Новатэк</v>
      </c>
      <c r="O17" s="43">
        <f t="shared" si="13"/>
        <v>1200</v>
      </c>
      <c r="P17" s="43">
        <f t="shared" si="9"/>
        <v>1200</v>
      </c>
      <c r="Q17" s="9">
        <f t="shared" si="14"/>
        <v>10882.352236273749</v>
      </c>
      <c r="R17" s="9">
        <f t="shared" si="10"/>
        <v>171.08179472276981</v>
      </c>
      <c r="S17" s="9">
        <f t="shared" si="11"/>
        <v>60000</v>
      </c>
      <c r="T17" s="21">
        <f t="shared" si="12"/>
        <v>193.25291307478511</v>
      </c>
      <c r="U17" s="6"/>
      <c r="V17" s="6"/>
      <c r="W17" s="6"/>
      <c r="X17" s="6"/>
      <c r="Y17" s="6"/>
      <c r="Z17" s="6"/>
      <c r="AA17" s="6"/>
      <c r="AC17">
        <f t="shared" si="3"/>
        <v>48.313228268696278</v>
      </c>
      <c r="AD17">
        <f>AC11</f>
        <v>31.45509482959848</v>
      </c>
      <c r="AE17">
        <f>P11</f>
        <v>600</v>
      </c>
      <c r="AF17">
        <f t="shared" si="0"/>
        <v>4</v>
      </c>
    </row>
    <row r="18" spans="1:40" ht="15.75" customHeight="1" x14ac:dyDescent="0.25">
      <c r="A18" s="6"/>
      <c r="B18" s="24" t="s">
        <v>58</v>
      </c>
      <c r="C18" s="39" t="s">
        <v>59</v>
      </c>
      <c r="D18" s="6"/>
      <c r="E18" s="65">
        <f>IFERROR(C3/SUM(L5:L30), "-")</f>
        <v>0.3507094375367481</v>
      </c>
      <c r="F18" s="66"/>
      <c r="G18" s="6"/>
      <c r="H18" s="20" t="str">
        <f t="shared" si="4"/>
        <v>-</v>
      </c>
      <c r="I18" s="9" t="str">
        <f t="shared" si="1"/>
        <v>-</v>
      </c>
      <c r="J18" s="43" t="str">
        <f t="shared" si="2"/>
        <v>-</v>
      </c>
      <c r="K18" s="9" t="str">
        <f t="shared" si="5"/>
        <v>-</v>
      </c>
      <c r="L18" s="9" t="str">
        <f t="shared" si="6"/>
        <v>-</v>
      </c>
      <c r="M18" s="43" t="str">
        <f t="shared" si="7"/>
        <v>-</v>
      </c>
      <c r="N18" s="43" t="str">
        <f t="shared" si="8"/>
        <v>-</v>
      </c>
      <c r="O18" s="43" t="str">
        <f t="shared" si="13"/>
        <v>-</v>
      </c>
      <c r="P18" s="43" t="str">
        <f t="shared" si="9"/>
        <v>-</v>
      </c>
      <c r="Q18" s="9" t="str">
        <f t="shared" si="14"/>
        <v>-</v>
      </c>
      <c r="R18" s="9" t="str">
        <f t="shared" si="10"/>
        <v>-</v>
      </c>
      <c r="S18" s="9" t="str">
        <f t="shared" si="11"/>
        <v>-</v>
      </c>
      <c r="T18" s="21" t="str">
        <f t="shared" si="12"/>
        <v>-</v>
      </c>
      <c r="U18" s="6"/>
      <c r="V18" s="6"/>
      <c r="W18" s="6"/>
      <c r="X18" s="6"/>
      <c r="Y18" s="6"/>
      <c r="Z18" s="6"/>
      <c r="AA18" s="6"/>
      <c r="AC18" t="e">
        <f t="shared" si="3"/>
        <v>#VALUE!</v>
      </c>
      <c r="AD18">
        <f>AD17</f>
        <v>31.45509482959848</v>
      </c>
      <c r="AE18">
        <f>O12</f>
        <v>700</v>
      </c>
      <c r="AF18">
        <f t="shared" si="0"/>
        <v>4</v>
      </c>
      <c r="AH18" s="44" t="s">
        <v>52</v>
      </c>
      <c r="AI18" s="2">
        <f>IF(C7=-3,AI10,IF(C7=-2,AI11,IF(C7=-1,AI12,IF(C7=0,AI13,IF(C7=1,AI14,IF(C7=2,AI15,IF(C7=3,AI16)))))))</f>
        <v>2.2999999999999998</v>
      </c>
    </row>
    <row r="19" spans="1:40" ht="18.75" customHeight="1" thickBot="1" x14ac:dyDescent="0.3">
      <c r="A19" s="6"/>
      <c r="B19" s="27" t="s">
        <v>65</v>
      </c>
      <c r="C19" s="47">
        <v>15</v>
      </c>
      <c r="D19" s="6"/>
      <c r="E19" s="10"/>
      <c r="F19" s="11"/>
      <c r="G19" s="6"/>
      <c r="H19" s="20" t="str">
        <f t="shared" si="4"/>
        <v>-</v>
      </c>
      <c r="I19" s="9" t="str">
        <f t="shared" si="1"/>
        <v>-</v>
      </c>
      <c r="J19" s="43" t="str">
        <f t="shared" si="2"/>
        <v>-</v>
      </c>
      <c r="K19" s="9" t="str">
        <f t="shared" si="5"/>
        <v>-</v>
      </c>
      <c r="L19" s="9" t="str">
        <f t="shared" si="6"/>
        <v>-</v>
      </c>
      <c r="M19" s="43" t="str">
        <f t="shared" si="7"/>
        <v>-</v>
      </c>
      <c r="N19" s="43" t="str">
        <f t="shared" si="8"/>
        <v>-</v>
      </c>
      <c r="O19" s="43" t="str">
        <f t="shared" si="13"/>
        <v>-</v>
      </c>
      <c r="P19" s="43" t="str">
        <f t="shared" si="9"/>
        <v>-</v>
      </c>
      <c r="Q19" s="9" t="str">
        <f t="shared" si="14"/>
        <v>-</v>
      </c>
      <c r="R19" s="9" t="str">
        <f t="shared" si="10"/>
        <v>-</v>
      </c>
      <c r="S19" s="9" t="str">
        <f t="shared" si="11"/>
        <v>-</v>
      </c>
      <c r="T19" s="21" t="str">
        <f t="shared" si="12"/>
        <v>-</v>
      </c>
      <c r="U19" s="6"/>
      <c r="V19" s="6"/>
      <c r="W19" s="6"/>
      <c r="X19" s="6"/>
      <c r="Y19" s="6"/>
      <c r="Z19" s="6"/>
      <c r="AA19" s="6"/>
      <c r="AC19" t="e">
        <f t="shared" si="3"/>
        <v>#VALUE!</v>
      </c>
      <c r="AD19">
        <f>AC12</f>
        <v>33.786800714267827</v>
      </c>
      <c r="AE19">
        <f>P12</f>
        <v>700</v>
      </c>
      <c r="AF19">
        <f t="shared" si="0"/>
        <v>4</v>
      </c>
    </row>
    <row r="20" spans="1:40" ht="16.5" customHeight="1" thickBot="1" x14ac:dyDescent="0.3">
      <c r="A20" s="6"/>
      <c r="B20" s="6"/>
      <c r="C20" s="6"/>
      <c r="D20" s="6"/>
      <c r="E20" s="17"/>
      <c r="F20" s="18"/>
      <c r="G20" s="6"/>
      <c r="H20" s="20" t="str">
        <f t="shared" si="4"/>
        <v>-</v>
      </c>
      <c r="I20" s="9" t="str">
        <f t="shared" si="1"/>
        <v>-</v>
      </c>
      <c r="J20" s="43" t="str">
        <f t="shared" si="2"/>
        <v>-</v>
      </c>
      <c r="K20" s="9" t="str">
        <f t="shared" si="5"/>
        <v>-</v>
      </c>
      <c r="L20" s="9" t="str">
        <f t="shared" si="6"/>
        <v>-</v>
      </c>
      <c r="M20" s="43" t="str">
        <f t="shared" si="7"/>
        <v>-</v>
      </c>
      <c r="N20" s="43" t="str">
        <f t="shared" si="8"/>
        <v>-</v>
      </c>
      <c r="O20" s="43" t="str">
        <f t="shared" si="13"/>
        <v>-</v>
      </c>
      <c r="P20" s="43" t="str">
        <f t="shared" si="9"/>
        <v>-</v>
      </c>
      <c r="Q20" s="9" t="str">
        <f t="shared" si="14"/>
        <v>-</v>
      </c>
      <c r="R20" s="9" t="str">
        <f t="shared" si="10"/>
        <v>-</v>
      </c>
      <c r="S20" s="9" t="str">
        <f t="shared" si="11"/>
        <v>-</v>
      </c>
      <c r="T20" s="21" t="str">
        <f t="shared" si="12"/>
        <v>-</v>
      </c>
      <c r="U20" s="6"/>
      <c r="V20" s="6"/>
      <c r="W20" s="6"/>
      <c r="X20" s="6"/>
      <c r="Y20" s="6"/>
      <c r="Z20" s="6"/>
      <c r="AA20" s="6"/>
      <c r="AC20" s="5" t="e">
        <f t="shared" si="3"/>
        <v>#VALUE!</v>
      </c>
      <c r="AD20">
        <f>AD19</f>
        <v>33.786800714267827</v>
      </c>
      <c r="AE20">
        <f>O13</f>
        <v>800</v>
      </c>
      <c r="AF20">
        <f t="shared" si="0"/>
        <v>4</v>
      </c>
    </row>
    <row r="21" spans="1:40" ht="15.75" customHeight="1" x14ac:dyDescent="0.25">
      <c r="A21" s="6"/>
      <c r="B21" s="6"/>
      <c r="C21" s="6"/>
      <c r="D21" s="6"/>
      <c r="E21" s="6"/>
      <c r="F21" s="6"/>
      <c r="G21" s="6"/>
      <c r="H21" s="20" t="str">
        <f t="shared" si="4"/>
        <v>-</v>
      </c>
      <c r="I21" s="9" t="str">
        <f t="shared" si="1"/>
        <v>-</v>
      </c>
      <c r="J21" s="43" t="str">
        <f t="shared" si="2"/>
        <v>-</v>
      </c>
      <c r="K21" s="9" t="str">
        <f t="shared" si="5"/>
        <v>-</v>
      </c>
      <c r="L21" s="9" t="str">
        <f t="shared" si="6"/>
        <v>-</v>
      </c>
      <c r="M21" s="43" t="str">
        <f t="shared" si="7"/>
        <v>-</v>
      </c>
      <c r="N21" s="43" t="str">
        <f t="shared" si="8"/>
        <v>-</v>
      </c>
      <c r="O21" s="43" t="str">
        <f t="shared" si="13"/>
        <v>-</v>
      </c>
      <c r="P21" s="43" t="str">
        <f t="shared" si="9"/>
        <v>-</v>
      </c>
      <c r="Q21" s="9" t="str">
        <f t="shared" si="14"/>
        <v>-</v>
      </c>
      <c r="R21" s="9" t="str">
        <f t="shared" si="10"/>
        <v>-</v>
      </c>
      <c r="S21" s="9" t="str">
        <f t="shared" si="11"/>
        <v>-</v>
      </c>
      <c r="T21" s="21" t="str">
        <f t="shared" si="12"/>
        <v>-</v>
      </c>
      <c r="U21" s="6"/>
      <c r="V21" s="6"/>
      <c r="W21" s="6"/>
      <c r="X21" s="6"/>
      <c r="Y21" s="6"/>
      <c r="Z21" s="6"/>
      <c r="AA21" s="6"/>
      <c r="AC21" s="5" t="e">
        <f t="shared" si="3"/>
        <v>#VALUE!</v>
      </c>
      <c r="AD21">
        <f>AC13</f>
        <v>36.316224759333551</v>
      </c>
      <c r="AE21">
        <f>P13</f>
        <v>800</v>
      </c>
      <c r="AF21">
        <f t="shared" si="0"/>
        <v>4</v>
      </c>
      <c r="AH21" s="67" t="s">
        <v>57</v>
      </c>
      <c r="AI21" s="68"/>
      <c r="AJ21" s="68"/>
      <c r="AK21" s="68"/>
    </row>
    <row r="22" spans="1:40" ht="15.75" customHeight="1" x14ac:dyDescent="0.25">
      <c r="A22" s="6"/>
      <c r="B22" s="6"/>
      <c r="C22" s="6"/>
      <c r="D22" s="6"/>
      <c r="E22" s="6"/>
      <c r="F22" s="6"/>
      <c r="G22" s="6"/>
      <c r="H22" s="20" t="str">
        <f t="shared" si="4"/>
        <v>-</v>
      </c>
      <c r="I22" s="9" t="str">
        <f t="shared" si="1"/>
        <v>-</v>
      </c>
      <c r="J22" s="43" t="str">
        <f t="shared" si="2"/>
        <v>-</v>
      </c>
      <c r="K22" s="9" t="str">
        <f t="shared" si="5"/>
        <v>-</v>
      </c>
      <c r="L22" s="9" t="str">
        <f t="shared" si="6"/>
        <v>-</v>
      </c>
      <c r="M22" s="43" t="str">
        <f t="shared" si="7"/>
        <v>-</v>
      </c>
      <c r="N22" s="43" t="str">
        <f t="shared" si="8"/>
        <v>-</v>
      </c>
      <c r="O22" s="43" t="str">
        <f t="shared" si="13"/>
        <v>-</v>
      </c>
      <c r="P22" s="43" t="str">
        <f t="shared" si="9"/>
        <v>-</v>
      </c>
      <c r="Q22" s="9" t="str">
        <f t="shared" si="14"/>
        <v>-</v>
      </c>
      <c r="R22" s="9" t="str">
        <f t="shared" si="10"/>
        <v>-</v>
      </c>
      <c r="S22" s="9" t="str">
        <f t="shared" si="11"/>
        <v>-</v>
      </c>
      <c r="T22" s="21" t="str">
        <f t="shared" si="12"/>
        <v>-</v>
      </c>
      <c r="U22" s="6"/>
      <c r="V22" s="6"/>
      <c r="W22" s="6"/>
      <c r="X22" s="6"/>
      <c r="Y22" s="6"/>
      <c r="Z22" s="6"/>
      <c r="AA22" s="6"/>
      <c r="AC22" s="5" t="e">
        <f t="shared" si="3"/>
        <v>#VALUE!</v>
      </c>
      <c r="AD22">
        <f>AD21</f>
        <v>36.316224759333551</v>
      </c>
      <c r="AE22">
        <f>O14</f>
        <v>900</v>
      </c>
      <c r="AF22">
        <f t="shared" si="0"/>
        <v>4</v>
      </c>
      <c r="AH22" s="1" t="s">
        <v>60</v>
      </c>
      <c r="AI22" s="1" t="s">
        <v>61</v>
      </c>
      <c r="AJ22" s="1" t="s">
        <v>62</v>
      </c>
      <c r="AK22" s="1" t="s">
        <v>63</v>
      </c>
      <c r="AM22" s="67" t="s">
        <v>64</v>
      </c>
      <c r="AN22" s="68"/>
    </row>
    <row r="23" spans="1:40" ht="15.75" customHeight="1" x14ac:dyDescent="0.25">
      <c r="A23" s="6"/>
      <c r="B23" s="6"/>
      <c r="C23" s="6"/>
      <c r="D23" s="6"/>
      <c r="E23" s="6"/>
      <c r="F23" s="6"/>
      <c r="G23" s="6"/>
      <c r="H23" s="20" t="str">
        <f t="shared" si="4"/>
        <v>-</v>
      </c>
      <c r="I23" s="9" t="str">
        <f t="shared" si="1"/>
        <v>-</v>
      </c>
      <c r="J23" s="43" t="str">
        <f t="shared" si="2"/>
        <v>-</v>
      </c>
      <c r="K23" s="9" t="str">
        <f t="shared" si="5"/>
        <v>-</v>
      </c>
      <c r="L23" s="9" t="str">
        <f t="shared" si="6"/>
        <v>-</v>
      </c>
      <c r="M23" s="43" t="str">
        <f t="shared" si="7"/>
        <v>-</v>
      </c>
      <c r="N23" s="43" t="str">
        <f t="shared" si="8"/>
        <v>-</v>
      </c>
      <c r="O23" s="43" t="str">
        <f t="shared" si="13"/>
        <v>-</v>
      </c>
      <c r="P23" s="43" t="str">
        <f t="shared" si="9"/>
        <v>-</v>
      </c>
      <c r="Q23" s="9" t="str">
        <f t="shared" si="14"/>
        <v>-</v>
      </c>
      <c r="R23" s="9" t="str">
        <f t="shared" si="10"/>
        <v>-</v>
      </c>
      <c r="S23" s="9" t="str">
        <f t="shared" si="11"/>
        <v>-</v>
      </c>
      <c r="T23" s="21" t="str">
        <f t="shared" si="12"/>
        <v>-</v>
      </c>
      <c r="U23" s="6"/>
      <c r="V23" s="6"/>
      <c r="W23" s="6"/>
      <c r="X23" s="6"/>
      <c r="Y23" s="6"/>
      <c r="Z23" s="6"/>
      <c r="AA23" s="6"/>
      <c r="AC23" s="5" t="e">
        <f t="shared" si="3"/>
        <v>#VALUE!</v>
      </c>
      <c r="AD23">
        <f>AC14</f>
        <v>39.037301233888947</v>
      </c>
      <c r="AE23">
        <f>P14</f>
        <v>900</v>
      </c>
      <c r="AF23">
        <f t="shared" si="0"/>
        <v>4</v>
      </c>
      <c r="AH23" t="s">
        <v>40</v>
      </c>
      <c r="AI23" t="s">
        <v>66</v>
      </c>
      <c r="AJ23" t="s">
        <v>67</v>
      </c>
      <c r="AK23" t="s">
        <v>59</v>
      </c>
      <c r="AM23" t="s">
        <v>68</v>
      </c>
      <c r="AN23" t="s">
        <v>69</v>
      </c>
    </row>
    <row r="24" spans="1:40" ht="15.75" customHeight="1" x14ac:dyDescent="0.25">
      <c r="A24" s="6"/>
      <c r="B24" s="6"/>
      <c r="C24" s="6"/>
      <c r="D24" s="6"/>
      <c r="E24" s="6"/>
      <c r="F24" s="6"/>
      <c r="G24" s="6"/>
      <c r="H24" s="20" t="str">
        <f t="shared" si="4"/>
        <v>-</v>
      </c>
      <c r="I24" s="9" t="str">
        <f t="shared" si="1"/>
        <v>-</v>
      </c>
      <c r="J24" s="43" t="str">
        <f t="shared" si="2"/>
        <v>-</v>
      </c>
      <c r="K24" s="9" t="str">
        <f t="shared" si="5"/>
        <v>-</v>
      </c>
      <c r="L24" s="9" t="str">
        <f t="shared" si="6"/>
        <v>-</v>
      </c>
      <c r="M24" s="43" t="str">
        <f t="shared" si="7"/>
        <v>-</v>
      </c>
      <c r="N24" s="43" t="str">
        <f t="shared" si="8"/>
        <v>-</v>
      </c>
      <c r="O24" s="43" t="str">
        <f t="shared" si="13"/>
        <v>-</v>
      </c>
      <c r="P24" s="43" t="str">
        <f t="shared" si="9"/>
        <v>-</v>
      </c>
      <c r="Q24" s="9" t="str">
        <f t="shared" si="14"/>
        <v>-</v>
      </c>
      <c r="R24" s="9" t="str">
        <f t="shared" si="10"/>
        <v>-</v>
      </c>
      <c r="S24" s="9" t="str">
        <f t="shared" si="11"/>
        <v>-</v>
      </c>
      <c r="T24" s="21" t="str">
        <f t="shared" si="12"/>
        <v>-</v>
      </c>
      <c r="U24" s="6"/>
      <c r="V24" s="6"/>
      <c r="W24" s="6"/>
      <c r="X24" s="6"/>
      <c r="Y24" s="6"/>
      <c r="Z24" s="6"/>
      <c r="AA24" s="6"/>
      <c r="AC24" s="5" t="e">
        <f t="shared" si="3"/>
        <v>#VALUE!</v>
      </c>
      <c r="AD24">
        <f>AD23</f>
        <v>39.037301233888947</v>
      </c>
      <c r="AE24">
        <f>O15</f>
        <v>1000</v>
      </c>
      <c r="AF24">
        <f t="shared" si="0"/>
        <v>4</v>
      </c>
      <c r="AI24" t="s">
        <v>70</v>
      </c>
      <c r="AJ24" t="s">
        <v>71</v>
      </c>
      <c r="AK24" t="s">
        <v>40</v>
      </c>
      <c r="AM24" t="s">
        <v>72</v>
      </c>
      <c r="AN24">
        <v>3.11</v>
      </c>
    </row>
    <row r="25" spans="1:40" ht="15.75" customHeight="1" x14ac:dyDescent="0.25">
      <c r="A25" s="6"/>
      <c r="B25" s="6"/>
      <c r="C25" s="6"/>
      <c r="D25" s="6"/>
      <c r="E25" s="6"/>
      <c r="F25" s="6"/>
      <c r="G25" s="6"/>
      <c r="H25" s="20" t="str">
        <f t="shared" si="4"/>
        <v>-</v>
      </c>
      <c r="I25" s="9" t="str">
        <f t="shared" si="1"/>
        <v>-</v>
      </c>
      <c r="J25" s="43" t="str">
        <f t="shared" si="2"/>
        <v>-</v>
      </c>
      <c r="K25" s="9" t="str">
        <f t="shared" si="5"/>
        <v>-</v>
      </c>
      <c r="L25" s="9" t="str">
        <f t="shared" si="6"/>
        <v>-</v>
      </c>
      <c r="M25" s="43" t="str">
        <f t="shared" si="7"/>
        <v>-</v>
      </c>
      <c r="N25" s="43" t="str">
        <f t="shared" si="8"/>
        <v>-</v>
      </c>
      <c r="O25" s="43" t="str">
        <f t="shared" si="13"/>
        <v>-</v>
      </c>
      <c r="P25" s="43" t="str">
        <f t="shared" si="9"/>
        <v>-</v>
      </c>
      <c r="Q25" s="9" t="str">
        <f t="shared" si="14"/>
        <v>-</v>
      </c>
      <c r="R25" s="9" t="str">
        <f t="shared" si="10"/>
        <v>-</v>
      </c>
      <c r="S25" s="9" t="str">
        <f t="shared" si="11"/>
        <v>-</v>
      </c>
      <c r="T25" s="21" t="str">
        <f t="shared" si="12"/>
        <v>-</v>
      </c>
      <c r="U25" s="6"/>
      <c r="V25" s="6"/>
      <c r="W25" s="6"/>
      <c r="X25" s="6"/>
      <c r="Y25" s="6"/>
      <c r="Z25" s="6"/>
      <c r="AA25" s="6"/>
      <c r="AC25" s="5" t="e">
        <f t="shared" si="3"/>
        <v>#VALUE!</v>
      </c>
      <c r="AD25">
        <f>AC15</f>
        <v>41.945734335869254</v>
      </c>
      <c r="AE25">
        <f>P15</f>
        <v>1000</v>
      </c>
      <c r="AF25">
        <f t="shared" si="0"/>
        <v>4</v>
      </c>
      <c r="AI25" t="s">
        <v>73</v>
      </c>
      <c r="AJ25" t="s">
        <v>74</v>
      </c>
      <c r="AK25" t="s">
        <v>66</v>
      </c>
      <c r="AM25" t="s">
        <v>75</v>
      </c>
      <c r="AN25">
        <v>2.95</v>
      </c>
    </row>
    <row r="26" spans="1:40" ht="15.75" customHeight="1" x14ac:dyDescent="0.25">
      <c r="A26" s="6"/>
      <c r="B26" s="6"/>
      <c r="C26" s="6"/>
      <c r="D26" s="6"/>
      <c r="E26" s="6"/>
      <c r="F26" s="6"/>
      <c r="G26" s="6"/>
      <c r="H26" s="20" t="str">
        <f t="shared" si="4"/>
        <v>-</v>
      </c>
      <c r="I26" s="9" t="str">
        <f t="shared" si="1"/>
        <v>-</v>
      </c>
      <c r="J26" s="43" t="str">
        <f t="shared" si="2"/>
        <v>-</v>
      </c>
      <c r="K26" s="9" t="str">
        <f t="shared" si="5"/>
        <v>-</v>
      </c>
      <c r="L26" s="9" t="str">
        <f t="shared" si="6"/>
        <v>-</v>
      </c>
      <c r="M26" s="43" t="str">
        <f t="shared" si="7"/>
        <v>-</v>
      </c>
      <c r="N26" s="43" t="str">
        <f t="shared" si="8"/>
        <v>-</v>
      </c>
      <c r="O26" s="43" t="str">
        <f t="shared" si="13"/>
        <v>-</v>
      </c>
      <c r="P26" s="43" t="str">
        <f t="shared" si="9"/>
        <v>-</v>
      </c>
      <c r="Q26" s="9" t="str">
        <f t="shared" si="14"/>
        <v>-</v>
      </c>
      <c r="R26" s="9" t="str">
        <f t="shared" si="10"/>
        <v>-</v>
      </c>
      <c r="S26" s="9" t="str">
        <f t="shared" si="11"/>
        <v>-</v>
      </c>
      <c r="T26" s="21" t="str">
        <f t="shared" si="12"/>
        <v>-</v>
      </c>
      <c r="U26" s="6"/>
      <c r="V26" s="6"/>
      <c r="W26" s="6"/>
      <c r="X26" s="6"/>
      <c r="Y26" s="6"/>
      <c r="Z26" s="6"/>
      <c r="AA26" s="6"/>
      <c r="AC26" s="5" t="e">
        <f t="shared" si="3"/>
        <v>#VALUE!</v>
      </c>
      <c r="AD26">
        <f>AD25</f>
        <v>41.945734335869254</v>
      </c>
      <c r="AE26">
        <f>O16</f>
        <v>1100</v>
      </c>
      <c r="AF26">
        <f t="shared" si="0"/>
        <v>4</v>
      </c>
      <c r="AI26" t="s">
        <v>76</v>
      </c>
      <c r="AJ26" t="s">
        <v>77</v>
      </c>
      <c r="AK26" t="s">
        <v>70</v>
      </c>
      <c r="AM26" t="s">
        <v>36</v>
      </c>
      <c r="AN26">
        <v>2.7</v>
      </c>
    </row>
    <row r="27" spans="1:40" ht="15.75" customHeight="1" x14ac:dyDescent="0.25">
      <c r="A27" s="6"/>
      <c r="B27" s="6"/>
      <c r="C27" s="6"/>
      <c r="D27" s="6"/>
      <c r="E27" s="6"/>
      <c r="F27" s="6"/>
      <c r="G27" s="6"/>
      <c r="H27" s="20" t="str">
        <f t="shared" si="4"/>
        <v>-</v>
      </c>
      <c r="I27" s="9" t="str">
        <f t="shared" si="1"/>
        <v>-</v>
      </c>
      <c r="J27" s="43" t="str">
        <f t="shared" si="2"/>
        <v>-</v>
      </c>
      <c r="K27" s="9" t="str">
        <f t="shared" si="5"/>
        <v>-</v>
      </c>
      <c r="L27" s="9" t="str">
        <f t="shared" si="6"/>
        <v>-</v>
      </c>
      <c r="M27" s="43" t="str">
        <f t="shared" si="7"/>
        <v>-</v>
      </c>
      <c r="N27" s="43" t="str">
        <f t="shared" si="8"/>
        <v>-</v>
      </c>
      <c r="O27" s="43" t="str">
        <f t="shared" si="13"/>
        <v>-</v>
      </c>
      <c r="P27" s="43" t="str">
        <f t="shared" si="9"/>
        <v>-</v>
      </c>
      <c r="Q27" s="9" t="str">
        <f t="shared" si="14"/>
        <v>-</v>
      </c>
      <c r="R27" s="9" t="str">
        <f t="shared" si="10"/>
        <v>-</v>
      </c>
      <c r="S27" s="9" t="str">
        <f t="shared" si="11"/>
        <v>-</v>
      </c>
      <c r="T27" s="21" t="str">
        <f t="shared" si="12"/>
        <v>-</v>
      </c>
      <c r="U27" s="6"/>
      <c r="V27" s="6"/>
      <c r="W27" s="6"/>
      <c r="X27" s="6"/>
      <c r="Y27" s="6"/>
      <c r="Z27" s="6"/>
      <c r="AA27" s="6"/>
      <c r="AC27" s="5" t="e">
        <f t="shared" si="3"/>
        <v>#VALUE!</v>
      </c>
      <c r="AD27">
        <f>AC16</f>
        <v>45.03844634574353</v>
      </c>
      <c r="AE27">
        <f>P16</f>
        <v>1100</v>
      </c>
      <c r="AF27">
        <f t="shared" si="0"/>
        <v>4</v>
      </c>
      <c r="AI27" t="s">
        <v>78</v>
      </c>
      <c r="AJ27" t="s">
        <v>79</v>
      </c>
      <c r="AK27" t="s">
        <v>73</v>
      </c>
      <c r="AM27" t="s">
        <v>80</v>
      </c>
      <c r="AN27">
        <v>3.2</v>
      </c>
    </row>
    <row r="28" spans="1:40" ht="15.75" customHeight="1" x14ac:dyDescent="0.25">
      <c r="A28" s="6"/>
      <c r="B28" s="6"/>
      <c r="C28" s="6"/>
      <c r="D28" s="6"/>
      <c r="E28" s="6"/>
      <c r="F28" s="6"/>
      <c r="G28" s="6"/>
      <c r="H28" s="20" t="str">
        <f t="shared" si="4"/>
        <v>-</v>
      </c>
      <c r="I28" s="9" t="str">
        <f t="shared" si="1"/>
        <v>-</v>
      </c>
      <c r="J28" s="43" t="str">
        <f t="shared" si="2"/>
        <v>-</v>
      </c>
      <c r="K28" s="9" t="str">
        <f t="shared" si="5"/>
        <v>-</v>
      </c>
      <c r="L28" s="9" t="str">
        <f t="shared" si="6"/>
        <v>-</v>
      </c>
      <c r="M28" s="43" t="str">
        <f t="shared" si="7"/>
        <v>-</v>
      </c>
      <c r="N28" s="43" t="str">
        <f t="shared" si="8"/>
        <v>-</v>
      </c>
      <c r="O28" s="43" t="str">
        <f t="shared" si="13"/>
        <v>-</v>
      </c>
      <c r="P28" s="43" t="str">
        <f t="shared" si="9"/>
        <v>-</v>
      </c>
      <c r="Q28" s="9" t="str">
        <f t="shared" si="14"/>
        <v>-</v>
      </c>
      <c r="R28" s="9" t="str">
        <f t="shared" si="10"/>
        <v>-</v>
      </c>
      <c r="S28" s="9" t="str">
        <f t="shared" si="11"/>
        <v>-</v>
      </c>
      <c r="T28" s="21" t="str">
        <f t="shared" si="12"/>
        <v>-</v>
      </c>
      <c r="U28" s="6"/>
      <c r="V28" s="6"/>
      <c r="W28" s="6"/>
      <c r="X28" s="6"/>
      <c r="Y28" s="6"/>
      <c r="Z28" s="6"/>
      <c r="AA28" s="6"/>
      <c r="AC28" s="5" t="e">
        <f t="shared" si="3"/>
        <v>#VALUE!</v>
      </c>
      <c r="AD28">
        <f>AD27</f>
        <v>45.03844634574353</v>
      </c>
      <c r="AE28">
        <f>O17</f>
        <v>1200</v>
      </c>
      <c r="AF28">
        <f t="shared" si="0"/>
        <v>4</v>
      </c>
      <c r="AI28" t="s">
        <v>51</v>
      </c>
      <c r="AJ28" t="s">
        <v>81</v>
      </c>
      <c r="AK28" t="s">
        <v>76</v>
      </c>
      <c r="AM28" t="s">
        <v>33</v>
      </c>
      <c r="AN28">
        <v>2.78</v>
      </c>
    </row>
    <row r="29" spans="1:40" ht="15.75" customHeight="1" x14ac:dyDescent="0.25">
      <c r="A29" s="6"/>
      <c r="B29" s="6"/>
      <c r="C29" s="6"/>
      <c r="D29" s="6"/>
      <c r="E29" s="6"/>
      <c r="F29" s="6"/>
      <c r="G29" s="6"/>
      <c r="H29" s="20" t="str">
        <f t="shared" si="4"/>
        <v>-</v>
      </c>
      <c r="I29" s="9" t="str">
        <f t="shared" si="1"/>
        <v>-</v>
      </c>
      <c r="J29" s="43" t="str">
        <f t="shared" si="2"/>
        <v>-</v>
      </c>
      <c r="K29" s="9" t="str">
        <f t="shared" si="5"/>
        <v>-</v>
      </c>
      <c r="L29" s="9" t="str">
        <f t="shared" si="6"/>
        <v>-</v>
      </c>
      <c r="M29" s="43" t="str">
        <f t="shared" si="7"/>
        <v>-</v>
      </c>
      <c r="N29" s="43" t="str">
        <f t="shared" si="8"/>
        <v>-</v>
      </c>
      <c r="O29" s="43" t="str">
        <f t="shared" si="13"/>
        <v>-</v>
      </c>
      <c r="P29" s="43" t="str">
        <f t="shared" si="9"/>
        <v>-</v>
      </c>
      <c r="Q29" s="9" t="str">
        <f t="shared" si="14"/>
        <v>-</v>
      </c>
      <c r="R29" s="9" t="str">
        <f t="shared" si="10"/>
        <v>-</v>
      </c>
      <c r="S29" s="9" t="str">
        <f t="shared" si="11"/>
        <v>-</v>
      </c>
      <c r="T29" s="21" t="str">
        <f t="shared" si="12"/>
        <v>-</v>
      </c>
      <c r="U29" s="6"/>
      <c r="V29" s="6"/>
      <c r="W29" s="6"/>
      <c r="X29" s="6"/>
      <c r="Y29" s="6"/>
      <c r="Z29" s="6"/>
      <c r="AA29" s="6"/>
      <c r="AC29" s="5" t="e">
        <f t="shared" si="3"/>
        <v>#VALUE!</v>
      </c>
      <c r="AD29">
        <f>AC17</f>
        <v>48.313228268696278</v>
      </c>
      <c r="AE29">
        <f>P17</f>
        <v>1200</v>
      </c>
      <c r="AF29">
        <f t="shared" si="0"/>
        <v>4</v>
      </c>
      <c r="AI29" t="s">
        <v>82</v>
      </c>
      <c r="AJ29" t="s">
        <v>54</v>
      </c>
      <c r="AK29" t="s">
        <v>78</v>
      </c>
      <c r="AM29" t="s">
        <v>83</v>
      </c>
      <c r="AN29">
        <v>3.15</v>
      </c>
    </row>
    <row r="30" spans="1:40" ht="15.75" customHeight="1" x14ac:dyDescent="0.25">
      <c r="A30" s="6"/>
      <c r="B30" s="6"/>
      <c r="C30" s="6"/>
      <c r="D30" s="6"/>
      <c r="E30" s="6"/>
      <c r="F30" s="6"/>
      <c r="G30" s="6"/>
      <c r="H30" s="20" t="str">
        <f t="shared" si="4"/>
        <v>-</v>
      </c>
      <c r="I30" s="9" t="str">
        <f t="shared" si="1"/>
        <v>-</v>
      </c>
      <c r="J30" s="43" t="str">
        <f t="shared" si="2"/>
        <v>-</v>
      </c>
      <c r="K30" s="9" t="str">
        <f t="shared" si="5"/>
        <v>-</v>
      </c>
      <c r="L30" s="9" t="str">
        <f t="shared" si="6"/>
        <v>-</v>
      </c>
      <c r="M30" s="43" t="str">
        <f t="shared" si="7"/>
        <v>-</v>
      </c>
      <c r="N30" s="43" t="str">
        <f t="shared" si="8"/>
        <v>-</v>
      </c>
      <c r="O30" s="43" t="str">
        <f t="shared" si="13"/>
        <v>-</v>
      </c>
      <c r="P30" s="43" t="str">
        <f t="shared" si="9"/>
        <v>-</v>
      </c>
      <c r="Q30" s="9" t="str">
        <f t="shared" si="14"/>
        <v>-</v>
      </c>
      <c r="R30" s="9" t="str">
        <f t="shared" si="10"/>
        <v>-</v>
      </c>
      <c r="S30" s="9" t="str">
        <f t="shared" si="11"/>
        <v>-</v>
      </c>
      <c r="T30" s="21" t="str">
        <f t="shared" si="12"/>
        <v>-</v>
      </c>
      <c r="U30" s="6"/>
      <c r="V30" s="6"/>
      <c r="W30" s="6"/>
      <c r="X30" s="6"/>
      <c r="Y30" s="6"/>
      <c r="Z30" s="6"/>
      <c r="AA30" s="6"/>
      <c r="AC30" s="5" t="e">
        <f t="shared" si="3"/>
        <v>#VALUE!</v>
      </c>
      <c r="AD30">
        <f>AD29</f>
        <v>48.313228268696278</v>
      </c>
      <c r="AE30" t="str">
        <f>O18</f>
        <v>-</v>
      </c>
      <c r="AF30">
        <f t="shared" si="0"/>
        <v>4</v>
      </c>
      <c r="AI30" t="s">
        <v>42</v>
      </c>
      <c r="AJ30" t="s">
        <v>44</v>
      </c>
      <c r="AK30" t="s">
        <v>51</v>
      </c>
      <c r="AM30" t="s">
        <v>84</v>
      </c>
      <c r="AN30">
        <v>3.11</v>
      </c>
    </row>
    <row r="31" spans="1:40" ht="15.75" customHeight="1" x14ac:dyDescent="0.25">
      <c r="A31" s="6"/>
      <c r="B31" s="6"/>
      <c r="C31" s="6"/>
      <c r="D31" s="6"/>
      <c r="E31" s="6"/>
      <c r="F31" s="6"/>
      <c r="G31" s="6"/>
      <c r="H31" s="20" t="str">
        <f t="shared" si="4"/>
        <v>-</v>
      </c>
      <c r="I31" s="9" t="str">
        <f t="shared" si="1"/>
        <v>-</v>
      </c>
      <c r="J31" s="43" t="str">
        <f t="shared" si="2"/>
        <v>-</v>
      </c>
      <c r="K31" s="9" t="str">
        <f t="shared" si="5"/>
        <v>-</v>
      </c>
      <c r="L31" s="9" t="str">
        <f t="shared" si="6"/>
        <v>-</v>
      </c>
      <c r="M31" s="43" t="str">
        <f t="shared" si="7"/>
        <v>-</v>
      </c>
      <c r="N31" s="43" t="str">
        <f t="shared" si="8"/>
        <v>-</v>
      </c>
      <c r="O31" s="43" t="str">
        <f t="shared" si="13"/>
        <v>-</v>
      </c>
      <c r="P31" s="43" t="str">
        <f t="shared" si="9"/>
        <v>-</v>
      </c>
      <c r="Q31" s="9" t="str">
        <f t="shared" si="14"/>
        <v>-</v>
      </c>
      <c r="R31" s="9" t="str">
        <f t="shared" si="10"/>
        <v>-</v>
      </c>
      <c r="S31" s="9" t="str">
        <f t="shared" si="11"/>
        <v>-</v>
      </c>
      <c r="T31" s="21" t="str">
        <f t="shared" si="12"/>
        <v>-</v>
      </c>
      <c r="U31" s="6"/>
      <c r="V31" s="6"/>
      <c r="W31" s="6"/>
      <c r="X31" s="6"/>
      <c r="Y31" s="6"/>
      <c r="Z31" s="6"/>
      <c r="AA31" s="6"/>
      <c r="AC31" s="5" t="e">
        <f t="shared" ref="AC31:AC36" si="15">AC30+F31</f>
        <v>#VALUE!</v>
      </c>
      <c r="AD31" t="e">
        <f>AC18</f>
        <v>#VALUE!</v>
      </c>
      <c r="AE31" t="str">
        <f>P18</f>
        <v>-</v>
      </c>
      <c r="AF31">
        <f t="shared" si="0"/>
        <v>4</v>
      </c>
      <c r="AI31" t="s">
        <v>85</v>
      </c>
      <c r="AJ31" t="s">
        <v>86</v>
      </c>
      <c r="AK31" t="s">
        <v>82</v>
      </c>
      <c r="AM31" t="s">
        <v>87</v>
      </c>
      <c r="AN31">
        <v>2.78</v>
      </c>
    </row>
    <row r="32" spans="1:40" ht="17.2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8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C32" s="5" t="e">
        <f t="shared" si="15"/>
        <v>#VALUE!</v>
      </c>
      <c r="AD32" t="e">
        <f>AD31</f>
        <v>#VALUE!</v>
      </c>
      <c r="AE32" t="str">
        <f>O19</f>
        <v>-</v>
      </c>
      <c r="AF32">
        <f t="shared" si="0"/>
        <v>4</v>
      </c>
      <c r="AI32" t="s">
        <v>88</v>
      </c>
      <c r="AJ32" t="s">
        <v>89</v>
      </c>
      <c r="AK32" t="s">
        <v>42</v>
      </c>
      <c r="AM32" t="s">
        <v>90</v>
      </c>
      <c r="AN32">
        <v>3.2</v>
      </c>
    </row>
    <row r="33" spans="1:40" ht="17.25" customHeight="1" x14ac:dyDescent="0.3">
      <c r="A33" s="6"/>
      <c r="B33" s="6"/>
      <c r="C33" s="6"/>
      <c r="D33" s="6"/>
      <c r="E33" s="6"/>
      <c r="F33" s="6"/>
      <c r="G33" s="6"/>
      <c r="H33" s="8"/>
      <c r="I33" s="6"/>
      <c r="J33" s="8"/>
      <c r="K33" s="8"/>
      <c r="L33" s="6"/>
      <c r="M33" s="8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C33" s="5" t="e">
        <f t="shared" si="15"/>
        <v>#VALUE!</v>
      </c>
      <c r="AD33" t="e">
        <f>AC19</f>
        <v>#VALUE!</v>
      </c>
      <c r="AE33" t="str">
        <f>P19</f>
        <v>-</v>
      </c>
      <c r="AF33">
        <f t="shared" si="0"/>
        <v>4</v>
      </c>
      <c r="AI33" t="s">
        <v>91</v>
      </c>
      <c r="AJ33" t="s">
        <v>92</v>
      </c>
      <c r="AK33" t="s">
        <v>85</v>
      </c>
      <c r="AM33" t="s">
        <v>93</v>
      </c>
      <c r="AN33">
        <v>3.08</v>
      </c>
    </row>
    <row r="34" spans="1:40" ht="17.25" customHeight="1" x14ac:dyDescent="0.3">
      <c r="A34" s="6"/>
      <c r="B34" s="6"/>
      <c r="C34" s="6"/>
      <c r="D34" s="6"/>
      <c r="E34" s="6"/>
      <c r="F34" s="6"/>
      <c r="G34" s="6"/>
      <c r="H34" s="8"/>
      <c r="I34" s="6"/>
      <c r="J34" s="8"/>
      <c r="K34" s="8"/>
      <c r="L34" s="6"/>
      <c r="M34" s="8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C34" s="5" t="e">
        <f t="shared" si="15"/>
        <v>#VALUE!</v>
      </c>
      <c r="AD34" t="e">
        <f>AD33</f>
        <v>#VALUE!</v>
      </c>
      <c r="AE34" t="str">
        <f>O20</f>
        <v>-</v>
      </c>
      <c r="AF34">
        <f t="shared" si="0"/>
        <v>4</v>
      </c>
      <c r="AI34" t="s">
        <v>94</v>
      </c>
      <c r="AJ34" t="s">
        <v>95</v>
      </c>
      <c r="AK34" t="s">
        <v>88</v>
      </c>
      <c r="AM34" t="s">
        <v>96</v>
      </c>
      <c r="AN34">
        <v>3.07</v>
      </c>
    </row>
    <row r="35" spans="1:40" ht="17.2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8"/>
      <c r="K35" s="6"/>
      <c r="L35" s="6"/>
      <c r="M35" s="8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C35" s="5" t="e">
        <f t="shared" si="15"/>
        <v>#VALUE!</v>
      </c>
      <c r="AD35" s="5" t="e">
        <f>AC20</f>
        <v>#VALUE!</v>
      </c>
      <c r="AE35" t="str">
        <f>P20</f>
        <v>-</v>
      </c>
      <c r="AF35">
        <f t="shared" si="0"/>
        <v>4</v>
      </c>
      <c r="AI35" t="s">
        <v>97</v>
      </c>
      <c r="AJ35" t="s">
        <v>98</v>
      </c>
      <c r="AK35" t="s">
        <v>91</v>
      </c>
      <c r="AM35" t="s">
        <v>99</v>
      </c>
      <c r="AN35">
        <v>3.7</v>
      </c>
    </row>
    <row r="36" spans="1:40" ht="17.2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8"/>
      <c r="K36" s="6"/>
      <c r="L36" s="6"/>
      <c r="M36" s="8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C36" s="5" t="e">
        <f t="shared" si="15"/>
        <v>#VALUE!</v>
      </c>
      <c r="AD36" s="5" t="e">
        <f>AD35</f>
        <v>#VALUE!</v>
      </c>
      <c r="AE36" t="str">
        <f>O21</f>
        <v>-</v>
      </c>
      <c r="AF36">
        <f t="shared" ref="AF36:AF54" si="16">$C$5</f>
        <v>4</v>
      </c>
      <c r="AI36" t="s">
        <v>100</v>
      </c>
      <c r="AJ36" t="s">
        <v>101</v>
      </c>
      <c r="AK36" t="s">
        <v>94</v>
      </c>
      <c r="AM36" t="s">
        <v>102</v>
      </c>
      <c r="AN36">
        <v>3</v>
      </c>
    </row>
    <row r="37" spans="1:40" ht="17.2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8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D37" s="5" t="e">
        <f>AC21</f>
        <v>#VALUE!</v>
      </c>
      <c r="AE37" t="str">
        <f>P21</f>
        <v>-</v>
      </c>
      <c r="AF37">
        <f t="shared" si="16"/>
        <v>4</v>
      </c>
      <c r="AI37" t="s">
        <v>103</v>
      </c>
      <c r="AJ37" t="s">
        <v>104</v>
      </c>
      <c r="AK37" t="s">
        <v>97</v>
      </c>
      <c r="AM37" t="s">
        <v>105</v>
      </c>
      <c r="AN37">
        <v>3.09</v>
      </c>
    </row>
    <row r="38" spans="1:40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D38" s="5" t="e">
        <f>AD37</f>
        <v>#VALUE!</v>
      </c>
      <c r="AE38" t="str">
        <f>O22</f>
        <v>-</v>
      </c>
      <c r="AF38">
        <f t="shared" si="16"/>
        <v>4</v>
      </c>
      <c r="AI38" t="s">
        <v>106</v>
      </c>
      <c r="AJ38" t="s">
        <v>107</v>
      </c>
      <c r="AK38" t="s">
        <v>100</v>
      </c>
      <c r="AM38" t="s">
        <v>108</v>
      </c>
      <c r="AN38">
        <v>3</v>
      </c>
    </row>
    <row r="39" spans="1:4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D39" s="5" t="e">
        <f>AC22</f>
        <v>#VALUE!</v>
      </c>
      <c r="AE39" t="str">
        <f>P22</f>
        <v>-</v>
      </c>
      <c r="AF39">
        <f t="shared" si="16"/>
        <v>4</v>
      </c>
      <c r="AI39" t="s">
        <v>109</v>
      </c>
      <c r="AK39" t="s">
        <v>103</v>
      </c>
      <c r="AM39" t="s">
        <v>110</v>
      </c>
      <c r="AN39">
        <v>3.1</v>
      </c>
    </row>
    <row r="40" spans="1:40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D40" s="5" t="e">
        <f>AD39</f>
        <v>#VALUE!</v>
      </c>
      <c r="AE40" t="str">
        <f>O23</f>
        <v>-</v>
      </c>
      <c r="AF40">
        <f t="shared" si="16"/>
        <v>4</v>
      </c>
      <c r="AI40" t="s">
        <v>111</v>
      </c>
      <c r="AK40" t="s">
        <v>106</v>
      </c>
      <c r="AM40" t="s">
        <v>112</v>
      </c>
      <c r="AN40">
        <v>2.9</v>
      </c>
    </row>
    <row r="41" spans="1:40" ht="19.5" customHeight="1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D41" s="5" t="e">
        <f>AC23</f>
        <v>#VALUE!</v>
      </c>
      <c r="AE41" t="str">
        <f>P23</f>
        <v>-</v>
      </c>
      <c r="AF41">
        <f t="shared" si="16"/>
        <v>4</v>
      </c>
      <c r="AK41" t="s">
        <v>109</v>
      </c>
      <c r="AM41" t="s">
        <v>113</v>
      </c>
      <c r="AN41">
        <v>2.88</v>
      </c>
    </row>
    <row r="42" spans="1:40" ht="17.25" customHeight="1" x14ac:dyDescent="0.3">
      <c r="A42" s="6"/>
      <c r="B42" s="6"/>
      <c r="C42" s="6"/>
      <c r="D42" s="6"/>
      <c r="E42" s="6"/>
      <c r="F42" s="6"/>
      <c r="G42" s="6"/>
      <c r="H42" s="8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D42" s="5" t="e">
        <f>AD41</f>
        <v>#VALUE!</v>
      </c>
      <c r="AE42" t="str">
        <f>O24</f>
        <v>-</v>
      </c>
      <c r="AF42">
        <f t="shared" si="16"/>
        <v>4</v>
      </c>
      <c r="AK42" t="s">
        <v>111</v>
      </c>
      <c r="AM42" t="s">
        <v>114</v>
      </c>
      <c r="AN42">
        <v>2.96</v>
      </c>
    </row>
    <row r="43" spans="1:40" ht="17.25" customHeight="1" x14ac:dyDescent="0.3">
      <c r="A43" s="6"/>
      <c r="B43" s="6"/>
      <c r="C43" s="6"/>
      <c r="D43" s="6"/>
      <c r="E43" s="6"/>
      <c r="F43" s="6"/>
      <c r="G43" s="6"/>
      <c r="H43" s="8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D43" s="5" t="e">
        <f>AC24</f>
        <v>#VALUE!</v>
      </c>
      <c r="AE43" t="str">
        <f>P24</f>
        <v>-</v>
      </c>
      <c r="AF43">
        <f t="shared" si="16"/>
        <v>4</v>
      </c>
      <c r="AK43" t="s">
        <v>67</v>
      </c>
      <c r="AM43" t="s">
        <v>75</v>
      </c>
      <c r="AN43">
        <v>2.95</v>
      </c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D44" s="5" t="e">
        <f>AD43</f>
        <v>#VALUE!</v>
      </c>
      <c r="AE44" t="str">
        <f>O25</f>
        <v>-</v>
      </c>
      <c r="AF44">
        <f t="shared" si="16"/>
        <v>4</v>
      </c>
      <c r="AK44" t="s">
        <v>71</v>
      </c>
      <c r="AM44" t="s">
        <v>115</v>
      </c>
      <c r="AN44">
        <v>3.06</v>
      </c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D45" s="5" t="e">
        <f>AC25</f>
        <v>#VALUE!</v>
      </c>
      <c r="AE45" t="str">
        <f>P25</f>
        <v>-</v>
      </c>
      <c r="AF45">
        <f t="shared" si="16"/>
        <v>4</v>
      </c>
      <c r="AK45" t="s">
        <v>74</v>
      </c>
      <c r="AM45" t="s">
        <v>116</v>
      </c>
      <c r="AN45">
        <v>3.12</v>
      </c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D46" s="5" t="e">
        <f>AD45</f>
        <v>#VALUE!</v>
      </c>
      <c r="AE46" t="str">
        <f>O26</f>
        <v>-</v>
      </c>
      <c r="AF46">
        <f t="shared" si="16"/>
        <v>4</v>
      </c>
      <c r="AK46" t="s">
        <v>77</v>
      </c>
      <c r="AM46" t="s">
        <v>117</v>
      </c>
      <c r="AN46">
        <v>3.12</v>
      </c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D47" s="5" t="e">
        <f>AC26</f>
        <v>#VALUE!</v>
      </c>
      <c r="AE47" t="str">
        <f>P26</f>
        <v>-</v>
      </c>
      <c r="AF47">
        <f t="shared" si="16"/>
        <v>4</v>
      </c>
      <c r="AK47" t="s">
        <v>79</v>
      </c>
      <c r="AM47" t="s">
        <v>83</v>
      </c>
      <c r="AN47">
        <v>3.15</v>
      </c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D48" s="5" t="e">
        <f>AC26</f>
        <v>#VALUE!</v>
      </c>
      <c r="AE48" t="str">
        <f>O27</f>
        <v>-</v>
      </c>
      <c r="AF48">
        <f t="shared" si="16"/>
        <v>4</v>
      </c>
      <c r="AK48" t="s">
        <v>81</v>
      </c>
      <c r="AM48" t="s">
        <v>118</v>
      </c>
      <c r="AN48">
        <v>2.89</v>
      </c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D49" s="5" t="e">
        <f>AC27</f>
        <v>#VALUE!</v>
      </c>
      <c r="AE49" t="str">
        <f>P27</f>
        <v>-</v>
      </c>
      <c r="AF49">
        <f t="shared" si="16"/>
        <v>4</v>
      </c>
      <c r="AK49" t="s">
        <v>54</v>
      </c>
      <c r="AM49" t="s">
        <v>119</v>
      </c>
      <c r="AN49">
        <v>2.92</v>
      </c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D50" s="5" t="e">
        <f>AD49</f>
        <v>#VALUE!</v>
      </c>
      <c r="AE50" t="str">
        <f>O28</f>
        <v>-</v>
      </c>
      <c r="AF50">
        <f t="shared" si="16"/>
        <v>4</v>
      </c>
      <c r="AK50" t="s">
        <v>44</v>
      </c>
      <c r="AM50" t="s">
        <v>120</v>
      </c>
      <c r="AN50">
        <v>2.95</v>
      </c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D51" s="5" t="e">
        <f>AC28</f>
        <v>#VALUE!</v>
      </c>
      <c r="AE51" t="str">
        <f>P28</f>
        <v>-</v>
      </c>
      <c r="AF51">
        <f t="shared" si="16"/>
        <v>4</v>
      </c>
      <c r="AK51" t="s">
        <v>86</v>
      </c>
      <c r="AM51" t="s">
        <v>121</v>
      </c>
      <c r="AN51">
        <v>2.9</v>
      </c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D52" s="5" t="e">
        <f>AD51</f>
        <v>#VALUE!</v>
      </c>
      <c r="AE52" t="str">
        <f>O29</f>
        <v>-</v>
      </c>
      <c r="AF52">
        <f t="shared" si="16"/>
        <v>4</v>
      </c>
      <c r="AK52" t="s">
        <v>89</v>
      </c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D53" s="5" t="e">
        <f>AC29</f>
        <v>#VALUE!</v>
      </c>
      <c r="AE53" t="str">
        <f>P29</f>
        <v>-</v>
      </c>
      <c r="AF53">
        <f t="shared" si="16"/>
        <v>4</v>
      </c>
      <c r="AK53" t="s">
        <v>92</v>
      </c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D54" s="5" t="e">
        <f>AD53</f>
        <v>#VALUE!</v>
      </c>
      <c r="AE54" t="str">
        <f>O30</f>
        <v>-</v>
      </c>
      <c r="AF54">
        <f t="shared" si="16"/>
        <v>4</v>
      </c>
      <c r="AK54" t="s">
        <v>95</v>
      </c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K55" t="s">
        <v>98</v>
      </c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K56" t="s">
        <v>101</v>
      </c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K57" t="s">
        <v>104</v>
      </c>
    </row>
    <row r="58" spans="1:40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K58" t="s">
        <v>107</v>
      </c>
    </row>
    <row r="59" spans="1:40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</row>
    <row r="60" spans="1:40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</row>
    <row r="61" spans="1:40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</row>
    <row r="62" spans="1:40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</row>
    <row r="63" spans="1:40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</row>
    <row r="64" spans="1:40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</row>
    <row r="65" spans="1:27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</row>
    <row r="66" spans="1:27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</row>
    <row r="67" spans="1:27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</row>
    <row r="68" spans="1:27" x14ac:dyDescent="0.25">
      <c r="A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</row>
    <row r="69" spans="1:27" x14ac:dyDescent="0.25">
      <c r="A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</row>
    <row r="70" spans="1:27" x14ac:dyDescent="0.25">
      <c r="A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</row>
    <row r="73" spans="1:27" x14ac:dyDescent="0.25">
      <c r="F73" s="3" t="s">
        <v>122</v>
      </c>
      <c r="G73" s="3" t="s">
        <v>123</v>
      </c>
      <c r="I73" s="54" t="s">
        <v>124</v>
      </c>
      <c r="J73" s="54">
        <f>J77*AJ5</f>
        <v>91.312001427835966</v>
      </c>
    </row>
    <row r="74" spans="1:27" x14ac:dyDescent="0.25">
      <c r="F74" s="52"/>
      <c r="G74" s="52"/>
    </row>
    <row r="75" spans="1:27" x14ac:dyDescent="0.25">
      <c r="F75" s="52"/>
      <c r="G75" s="52"/>
      <c r="I75" s="4" t="s">
        <v>127</v>
      </c>
      <c r="J75" s="4">
        <f>IF(C16&gt;20,0.05,0.25*(C16/100))</f>
        <v>0.05</v>
      </c>
    </row>
    <row r="76" spans="1:27" x14ac:dyDescent="0.25">
      <c r="E76">
        <v>1</v>
      </c>
      <c r="F76" s="53">
        <f t="shared" ref="F76:F101" si="17">IF(O6="-","-",O6/$C$4)</f>
        <v>8.3333333333333329E-2</v>
      </c>
      <c r="G76" s="53">
        <f t="shared" ref="G76:G101" si="18">IF(F76="-","-",F76^$AI$18)</f>
        <v>3.2952102821274683E-3</v>
      </c>
      <c r="I76" s="54" t="s">
        <v>128</v>
      </c>
      <c r="J76" s="54">
        <f>C4/C6</f>
        <v>12</v>
      </c>
    </row>
    <row r="77" spans="1:27" x14ac:dyDescent="0.25">
      <c r="E77">
        <v>2</v>
      </c>
      <c r="F77" s="53">
        <f t="shared" si="17"/>
        <v>0.16666666666666666</v>
      </c>
      <c r="G77" s="53">
        <f t="shared" si="18"/>
        <v>1.6227518918551821E-2</v>
      </c>
      <c r="I77" s="54" t="s">
        <v>129</v>
      </c>
      <c r="J77" s="54">
        <f>(1-C16/100)^2+J75</f>
        <v>0.47250000000000003</v>
      </c>
    </row>
    <row r="78" spans="1:27" x14ac:dyDescent="0.25">
      <c r="E78">
        <v>3</v>
      </c>
      <c r="F78" s="53">
        <f t="shared" si="17"/>
        <v>0.25</v>
      </c>
      <c r="G78" s="53">
        <f t="shared" si="18"/>
        <v>4.1234622211652965E-2</v>
      </c>
    </row>
    <row r="79" spans="1:27" x14ac:dyDescent="0.25">
      <c r="E79">
        <v>4</v>
      </c>
      <c r="F79" s="53">
        <f t="shared" si="17"/>
        <v>0.33333333333333331</v>
      </c>
      <c r="G79" s="53">
        <f t="shared" si="18"/>
        <v>7.9913677036096031E-2</v>
      </c>
    </row>
    <row r="80" spans="1:27" x14ac:dyDescent="0.25">
      <c r="E80">
        <v>5</v>
      </c>
      <c r="F80" s="53">
        <f t="shared" si="17"/>
        <v>0.41666666666666669</v>
      </c>
      <c r="G80" s="53">
        <f t="shared" si="18"/>
        <v>0.13351010703049246</v>
      </c>
    </row>
    <row r="81" spans="5:7" x14ac:dyDescent="0.25">
      <c r="E81">
        <v>6</v>
      </c>
      <c r="F81" s="53">
        <f t="shared" si="17"/>
        <v>0.5</v>
      </c>
      <c r="G81" s="53">
        <f t="shared" si="18"/>
        <v>0.20306309908905892</v>
      </c>
    </row>
    <row r="82" spans="5:7" x14ac:dyDescent="0.25">
      <c r="E82">
        <v>7</v>
      </c>
      <c r="F82" s="53">
        <f t="shared" si="17"/>
        <v>0.58333333333333337</v>
      </c>
      <c r="G82" s="53">
        <f t="shared" si="18"/>
        <v>0.28947337599151118</v>
      </c>
    </row>
    <row r="83" spans="5:7" x14ac:dyDescent="0.25">
      <c r="E83">
        <v>8</v>
      </c>
      <c r="F83" s="53">
        <f t="shared" si="17"/>
        <v>0.66666666666666663</v>
      </c>
      <c r="G83" s="53">
        <f t="shared" si="18"/>
        <v>0.39354110813135823</v>
      </c>
    </row>
    <row r="84" spans="5:7" x14ac:dyDescent="0.25">
      <c r="E84">
        <v>9</v>
      </c>
      <c r="F84" s="53">
        <f t="shared" si="17"/>
        <v>0.75</v>
      </c>
      <c r="G84" s="53">
        <f t="shared" si="18"/>
        <v>0.51598954948635101</v>
      </c>
    </row>
    <row r="85" spans="5:7" x14ac:dyDescent="0.25">
      <c r="E85">
        <v>10</v>
      </c>
      <c r="F85" s="53">
        <f t="shared" si="17"/>
        <v>0.83333333333333337</v>
      </c>
      <c r="G85" s="53">
        <f t="shared" si="18"/>
        <v>0.65748088958269024</v>
      </c>
    </row>
    <row r="86" spans="5:7" x14ac:dyDescent="0.25">
      <c r="E86">
        <v>11</v>
      </c>
      <c r="F86" s="53">
        <f t="shared" si="17"/>
        <v>0.91666666666666663</v>
      </c>
      <c r="G86" s="53">
        <f t="shared" si="18"/>
        <v>0.81862746272877085</v>
      </c>
    </row>
    <row r="87" spans="5:7" x14ac:dyDescent="0.25">
      <c r="E87">
        <v>12</v>
      </c>
      <c r="F87" s="53">
        <f t="shared" si="17"/>
        <v>1</v>
      </c>
      <c r="G87" s="53">
        <f t="shared" si="18"/>
        <v>1</v>
      </c>
    </row>
    <row r="88" spans="5:7" x14ac:dyDescent="0.25">
      <c r="E88">
        <v>13</v>
      </c>
      <c r="F88" s="53" t="str">
        <f t="shared" si="17"/>
        <v>-</v>
      </c>
      <c r="G88" s="53" t="str">
        <f t="shared" si="18"/>
        <v>-</v>
      </c>
    </row>
    <row r="89" spans="5:7" x14ac:dyDescent="0.25">
      <c r="E89">
        <v>14</v>
      </c>
      <c r="F89" s="53" t="str">
        <f t="shared" si="17"/>
        <v>-</v>
      </c>
      <c r="G89" s="53" t="str">
        <f t="shared" si="18"/>
        <v>-</v>
      </c>
    </row>
    <row r="90" spans="5:7" x14ac:dyDescent="0.25">
      <c r="E90">
        <v>15</v>
      </c>
      <c r="F90" s="53" t="str">
        <f t="shared" si="17"/>
        <v>-</v>
      </c>
      <c r="G90" s="53" t="str">
        <f t="shared" si="18"/>
        <v>-</v>
      </c>
    </row>
    <row r="91" spans="5:7" x14ac:dyDescent="0.25">
      <c r="E91">
        <v>16</v>
      </c>
      <c r="F91" s="53" t="str">
        <f t="shared" si="17"/>
        <v>-</v>
      </c>
      <c r="G91" s="53" t="str">
        <f t="shared" si="18"/>
        <v>-</v>
      </c>
    </row>
    <row r="92" spans="5:7" x14ac:dyDescent="0.25">
      <c r="E92">
        <v>17</v>
      </c>
      <c r="F92" s="53" t="str">
        <f t="shared" si="17"/>
        <v>-</v>
      </c>
      <c r="G92" s="53" t="str">
        <f t="shared" si="18"/>
        <v>-</v>
      </c>
    </row>
    <row r="93" spans="5:7" x14ac:dyDescent="0.25">
      <c r="E93">
        <v>18</v>
      </c>
      <c r="F93" s="53" t="str">
        <f t="shared" si="17"/>
        <v>-</v>
      </c>
      <c r="G93" s="53" t="str">
        <f t="shared" si="18"/>
        <v>-</v>
      </c>
    </row>
    <row r="94" spans="5:7" x14ac:dyDescent="0.25">
      <c r="E94">
        <v>19</v>
      </c>
      <c r="F94" s="53" t="str">
        <f t="shared" si="17"/>
        <v>-</v>
      </c>
      <c r="G94" s="53" t="str">
        <f t="shared" si="18"/>
        <v>-</v>
      </c>
    </row>
    <row r="95" spans="5:7" x14ac:dyDescent="0.25">
      <c r="E95">
        <v>20</v>
      </c>
      <c r="F95" s="53" t="str">
        <f t="shared" si="17"/>
        <v>-</v>
      </c>
      <c r="G95" s="53" t="str">
        <f t="shared" si="18"/>
        <v>-</v>
      </c>
    </row>
    <row r="96" spans="5:7" x14ac:dyDescent="0.25">
      <c r="E96">
        <v>21</v>
      </c>
      <c r="F96" s="53" t="str">
        <f t="shared" si="17"/>
        <v>-</v>
      </c>
      <c r="G96" s="53" t="str">
        <f t="shared" si="18"/>
        <v>-</v>
      </c>
    </row>
    <row r="97" spans="5:7" x14ac:dyDescent="0.25">
      <c r="E97">
        <v>22</v>
      </c>
      <c r="F97" s="53" t="str">
        <f t="shared" si="17"/>
        <v>-</v>
      </c>
      <c r="G97" s="53" t="str">
        <f t="shared" si="18"/>
        <v>-</v>
      </c>
    </row>
    <row r="98" spans="5:7" x14ac:dyDescent="0.25">
      <c r="E98">
        <v>23</v>
      </c>
      <c r="F98" s="53" t="str">
        <f t="shared" si="17"/>
        <v>-</v>
      </c>
      <c r="G98" s="53" t="str">
        <f t="shared" si="18"/>
        <v>-</v>
      </c>
    </row>
    <row r="99" spans="5:7" x14ac:dyDescent="0.25">
      <c r="E99">
        <v>24</v>
      </c>
      <c r="F99" s="53" t="str">
        <f t="shared" si="17"/>
        <v>-</v>
      </c>
      <c r="G99" s="53" t="str">
        <f t="shared" si="18"/>
        <v>-</v>
      </c>
    </row>
    <row r="100" spans="5:7" x14ac:dyDescent="0.25">
      <c r="E100">
        <v>25</v>
      </c>
      <c r="F100" s="53" t="str">
        <f t="shared" si="17"/>
        <v>-</v>
      </c>
      <c r="G100" s="53" t="str">
        <f t="shared" si="18"/>
        <v>-</v>
      </c>
    </row>
    <row r="101" spans="5:7" x14ac:dyDescent="0.25">
      <c r="E101">
        <v>26</v>
      </c>
      <c r="F101" s="53" t="str">
        <f t="shared" si="17"/>
        <v>-</v>
      </c>
      <c r="G101" s="53" t="str">
        <f t="shared" si="18"/>
        <v>-</v>
      </c>
    </row>
    <row r="103" spans="5:7" x14ac:dyDescent="0.25">
      <c r="F103" s="7" t="s">
        <v>133</v>
      </c>
      <c r="G103" s="7">
        <f>IF(C8=AM24,AN24,IF(C8=AM25,AN25,IF(C8=AM26,AN26,IF(C8=AM27,AN27,IF(C8=AM28,AN28,IF(C8=AM29,AN29,IF(C8=AM30,AN30,IF(C8=AM31,AN31,IF(C8=AM32,AN32,IF(C8=AM33,AN33,IF(C8=AM34,AN34,IF(C8=AM35,AN35,IF(C8=AM36,AN36,IF(C8=AM37,AN37,IF(C8=AM38,AN38,IF(C8=AM39,AN39,IF(C8=AM40,AN40,IF(C8=AM41,AN41,IF(C8=AM42,AN42,IF(C8=AM43,AN43,IF(C8=AM44,AN44,IF(C8=AM45,AN45,IF(C8=AM46,AN46,IF(C8=AM47,AN47,IF(C8=AM48,AN48,IF(C8=AM49,AN49,IF(C8=AM50,AN50,IF(C8=AM51,AN51,"?"))))))))))))))))))))))))))))</f>
        <v>2.78</v>
      </c>
    </row>
    <row r="104" spans="5:7" x14ac:dyDescent="0.25">
      <c r="F104" s="7" t="s">
        <v>134</v>
      </c>
      <c r="G104" s="7">
        <f>IF(C9=AM24,AN24,IF(C9=AM25,AN25,IF(C9=AM26,AN26,IF(C9=AM27,AN27,IF(C9=AM28,AN28,IF(C9=AM29,AN29,IF(C9=AM30,AN30,IF(C9=AM31,AN31,IF(C9=AM32,AN32,IF(C9=AM33,AN33,IF(C9=AM34,AN34,IF(C9=AM35,AN35,IF(C9=AM36,AN36,IF(C9=AM37,AN37,IF(C9=AM38,AN38,IF(C9=AM39,AN39,IF(C9=AM40,AN40,IF(C9=AM41,AN41,IF(C9=AM42,AN42,IF(C9=AM43,AN43,IF(C9=AM44,AN44,IF(C9=AM45,AN45,IF(C9=AM46,AN46,IF(C9=AM47,AN47,IF(C9=AM48,AN48,IF(C9=AM49,AN49,IF(C9=AM50,AN50,IF(C9=AM51,AN51,"?"))))))))))))))))))))))))))))</f>
        <v>2.7</v>
      </c>
    </row>
  </sheetData>
  <mergeCells count="9">
    <mergeCell ref="E18:F18"/>
    <mergeCell ref="AH21:AK21"/>
    <mergeCell ref="AM22:AN22"/>
    <mergeCell ref="B1:C1"/>
    <mergeCell ref="E1:T1"/>
    <mergeCell ref="B2:C2"/>
    <mergeCell ref="E2:F2"/>
    <mergeCell ref="H2:T2"/>
    <mergeCell ref="E17:F17"/>
  </mergeCells>
  <dataValidations count="5">
    <dataValidation type="list" showInputMessage="1" showErrorMessage="1" sqref="C13">
      <formula1>$AJ$23:$AJ$38</formula1>
    </dataValidation>
    <dataValidation type="list" showInputMessage="1" showErrorMessage="1" sqref="C12">
      <formula1>$AI$23:$AI$40</formula1>
    </dataValidation>
    <dataValidation type="list" showInputMessage="1" showErrorMessage="1" sqref="C11">
      <formula1>$AH$23</formula1>
    </dataValidation>
    <dataValidation type="list" showInputMessage="1" showErrorMessage="1" sqref="C8:C9">
      <formula1>$AM$24:$AM$51</formula1>
    </dataValidation>
    <dataValidation type="list" showInputMessage="1" showErrorMessage="1" sqref="C17:C18">
      <formula1>$AK$23:$AK$58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ЛЕГЕНДА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Даниэль Агирре Кабрера</cp:lastModifiedBy>
  <dcterms:created xsi:type="dcterms:W3CDTF">2006-09-16T00:00:00Z</dcterms:created>
  <dcterms:modified xsi:type="dcterms:W3CDTF">2021-04-29T04:40:40Z</dcterms:modified>
</cp:coreProperties>
</file>