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2"/>
  <workbookPr/>
  <mc:AlternateContent xmlns:mc="http://schemas.openxmlformats.org/markup-compatibility/2006">
    <mc:Choice Requires="x15">
      <x15ac:absPath xmlns:x15ac="http://schemas.microsoft.com/office/spreadsheetml/2010/11/ac" url="/Users/danielalmond/Desktop/"/>
    </mc:Choice>
  </mc:AlternateContent>
  <xr:revisionPtr revIDLastSave="0" documentId="13_ncr:1_{8DA53534-B0BC-524D-A926-4D391D8898A4}" xr6:coauthVersionLast="47" xr6:coauthVersionMax="47" xr10:uidLastSave="{00000000-0000-0000-0000-000000000000}"/>
  <bookViews>
    <workbookView xWindow="0" yWindow="780" windowWidth="23260" windowHeight="12460" tabRatio="840" xr2:uid="{00000000-000D-0000-FFFF-FFFF00000000}"/>
  </bookViews>
  <sheets>
    <sheet name="Table of Contents" sheetId="13" r:id="rId1"/>
    <sheet name="Summary" sheetId="1" r:id="rId2"/>
    <sheet name="Sources and Uses" sheetId="2" r:id="rId3"/>
    <sheet name="Rents" sheetId="7" r:id="rId4"/>
    <sheet name="Proforma - Base Year" sheetId="3" r:id="rId5"/>
    <sheet name="Debt &amp; Valuation" sheetId="9" r:id="rId6"/>
    <sheet name="Tax Credits" sheetId="5" r:id="rId7"/>
    <sheet name="Long Term Proforma" sheetId="6" r:id="rId8"/>
    <sheet name="Interest Reserve" sheetId="4" r:id="rId9"/>
    <sheet name="City Impact Fees" sheetId="11" r:id="rId10"/>
    <sheet name="Notes" sheetId="12" r:id="rId11"/>
    <sheet name="Drop Down Menus" sheetId="8" state="hidden" r:id="rId12"/>
  </sheets>
  <definedNames>
    <definedName name="OppRes">'Drop Down Menus'!$B$4:$B$9</definedName>
    <definedName name="OppResArea">'Drop Down Menus'!$B$4:$B$10</definedName>
    <definedName name="_xlnm.Print_Area" localSheetId="5">'Debt &amp; Valuation'!$B$2:$J$33</definedName>
    <definedName name="_xlnm.Print_Area" localSheetId="8">'Interest Reserve'!$B$2:$F$21</definedName>
    <definedName name="_xlnm.Print_Area" localSheetId="7">'Long Term Proforma'!$C$2:$S$51</definedName>
    <definedName name="_xlnm.Print_Area" localSheetId="4">'Proforma - Base Year'!$B$2:$F$81</definedName>
    <definedName name="_xlnm.Print_Area" localSheetId="3">Rents!$B$2:$T$56</definedName>
    <definedName name="_xlnm.Print_Area" localSheetId="2">'Sources and Uses'!$B$2:$Q$164</definedName>
    <definedName name="_xlnm.Print_Area" localSheetId="1">Summary!$B$2:$J$75</definedName>
    <definedName name="_xlnm.Print_Area" localSheetId="6">'Tax Credits'!$B$2:$K$77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3" i="6" l="1"/>
  <c r="D74" i="1"/>
  <c r="F34" i="2"/>
  <c r="D13" i="4"/>
  <c r="F62" i="2"/>
  <c r="F12" i="5"/>
  <c r="L32" i="9"/>
  <c r="J26" i="9"/>
  <c r="H26" i="9"/>
  <c r="D26" i="9"/>
  <c r="L33" i="9"/>
  <c r="L34" i="9" s="1"/>
  <c r="K37" i="9"/>
  <c r="F97" i="2"/>
  <c r="E76" i="5"/>
  <c r="I140" i="2"/>
  <c r="D70" i="7"/>
  <c r="F23" i="11"/>
  <c r="F18" i="11"/>
  <c r="F15" i="11"/>
  <c r="H15" i="11"/>
  <c r="H16" i="11"/>
  <c r="H17" i="11"/>
  <c r="H18" i="11"/>
  <c r="H19" i="11"/>
  <c r="H20" i="11"/>
  <c r="H21" i="11"/>
  <c r="H22" i="11"/>
  <c r="H23" i="11"/>
  <c r="H24" i="11"/>
  <c r="H25" i="11"/>
  <c r="H14" i="11"/>
  <c r="H30" i="11"/>
  <c r="F48" i="2" s="1"/>
  <c r="G51" i="2"/>
  <c r="G46" i="2"/>
  <c r="G43" i="2"/>
  <c r="G41" i="2"/>
  <c r="G39" i="2"/>
  <c r="G32" i="2"/>
  <c r="G78" i="2"/>
  <c r="H78" i="2"/>
  <c r="B44" i="1"/>
  <c r="B43" i="1"/>
  <c r="B42" i="1"/>
  <c r="B41" i="1"/>
  <c r="B40" i="1"/>
  <c r="B39" i="1"/>
  <c r="B38" i="1"/>
  <c r="D44" i="1"/>
  <c r="D43" i="1"/>
  <c r="D42" i="1"/>
  <c r="D40" i="1"/>
  <c r="D39" i="1"/>
  <c r="D38" i="1"/>
  <c r="F44" i="2"/>
  <c r="I148" i="2"/>
  <c r="E46" i="1" s="1"/>
  <c r="G97" i="2"/>
  <c r="F20" i="2"/>
  <c r="F30" i="2"/>
  <c r="F27" i="2"/>
  <c r="F60" i="2"/>
  <c r="F59" i="2"/>
  <c r="F29" i="2"/>
  <c r="I149" i="2"/>
  <c r="E47" i="1" s="1"/>
  <c r="D149" i="2"/>
  <c r="B47" i="1" s="1"/>
  <c r="D148" i="2"/>
  <c r="B46" i="1" s="1"/>
  <c r="L35" i="9" l="1"/>
  <c r="K36" i="9"/>
  <c r="L37" i="9"/>
  <c r="O20" i="9" s="1"/>
  <c r="L36" i="9"/>
  <c r="M20" i="9" s="1"/>
  <c r="G27" i="2"/>
  <c r="D73" i="1"/>
  <c r="H97" i="2"/>
  <c r="F98" i="2"/>
  <c r="I108" i="2"/>
  <c r="G48" i="2"/>
  <c r="H48" i="2"/>
  <c r="F132" i="2" s="1"/>
  <c r="F35" i="2"/>
  <c r="J95" i="2" s="1"/>
  <c r="D52" i="3"/>
  <c r="D45" i="3"/>
  <c r="D38" i="3"/>
  <c r="F15" i="2"/>
  <c r="F14" i="2"/>
  <c r="M26" i="9" l="1"/>
  <c r="M27" i="9" s="1"/>
  <c r="O26" i="9"/>
  <c r="O27" i="9"/>
  <c r="F131" i="2"/>
  <c r="I112" i="2"/>
  <c r="H98" i="2"/>
  <c r="D50" i="1" s="1"/>
  <c r="P97" i="2" l="1"/>
  <c r="G86" i="2" l="1"/>
  <c r="G52" i="2"/>
  <c r="G60" i="2"/>
  <c r="G58" i="2"/>
  <c r="G40" i="2"/>
  <c r="G37" i="2"/>
  <c r="G18" i="2"/>
  <c r="G17" i="2"/>
  <c r="D3" i="1"/>
  <c r="H72" i="2"/>
  <c r="H71" i="2"/>
  <c r="D54" i="7" l="1"/>
  <c r="C54" i="7"/>
  <c r="D84" i="7"/>
  <c r="D85" i="7"/>
  <c r="D71" i="7"/>
  <c r="J10" i="7" l="1"/>
  <c r="J15" i="7"/>
  <c r="J20" i="7"/>
  <c r="J9" i="7"/>
  <c r="J14" i="7"/>
  <c r="J19" i="7"/>
  <c r="J14" i="5"/>
  <c r="J13" i="5"/>
  <c r="F26" i="9"/>
  <c r="C11" i="1"/>
  <c r="D27" i="6" l="1"/>
  <c r="D26" i="6"/>
  <c r="D25" i="6"/>
  <c r="D24" i="6"/>
  <c r="D23" i="6"/>
  <c r="D22" i="6"/>
  <c r="D21" i="6"/>
  <c r="D20" i="6"/>
  <c r="D19" i="6"/>
  <c r="D18" i="6"/>
  <c r="D17" i="6"/>
  <c r="E41" i="6" l="1"/>
  <c r="F32" i="5" l="1"/>
  <c r="F9" i="1"/>
  <c r="D24" i="1" s="1"/>
  <c r="B37" i="7" l="1" a="1"/>
  <c r="B37" i="7" s="1"/>
  <c r="B36" i="7" a="1"/>
  <c r="B36" i="7" s="1"/>
  <c r="B35" i="7" a="1"/>
  <c r="B35" i="7" s="1"/>
  <c r="B34" i="7" a="1"/>
  <c r="B34" i="7" s="1"/>
  <c r="B33" i="7" a="1"/>
  <c r="B33" i="7" s="1"/>
  <c r="B32" i="7" a="1"/>
  <c r="B32" i="7" s="1"/>
  <c r="B31" i="7" a="1"/>
  <c r="B31" i="7" s="1"/>
  <c r="B30" i="7" a="1"/>
  <c r="B30" i="7" s="1"/>
  <c r="B29" i="7" a="1"/>
  <c r="B29" i="7" s="1"/>
  <c r="B28" i="7" a="1"/>
  <c r="B28" i="7" s="1"/>
  <c r="B27" i="7" a="1"/>
  <c r="B27" i="7" s="1"/>
  <c r="B26" i="7" a="1"/>
  <c r="B26" i="7" s="1"/>
  <c r="B24" i="7" a="1"/>
  <c r="B24" i="7" s="1"/>
  <c r="B23" i="7" a="1"/>
  <c r="B23" i="7" s="1"/>
  <c r="B22" i="7" a="1"/>
  <c r="B22" i="7" s="1"/>
  <c r="B21" i="7" a="1"/>
  <c r="B21" i="7" s="1"/>
  <c r="B20" i="7" a="1"/>
  <c r="B20" i="7" s="1"/>
  <c r="B19" i="7" a="1"/>
  <c r="B19" i="7" s="1"/>
  <c r="B18" i="7" a="1"/>
  <c r="B18" i="7" s="1"/>
  <c r="B17" i="7" a="1"/>
  <c r="B17" i="7" s="1"/>
  <c r="B16" i="7" a="1"/>
  <c r="B16" i="7" s="1"/>
  <c r="B15" i="7" a="1"/>
  <c r="B15" i="7" s="1"/>
  <c r="B14" i="7" a="1"/>
  <c r="B14" i="7" s="1"/>
  <c r="B13" i="7" a="1"/>
  <c r="B13" i="7" s="1"/>
  <c r="B12" i="7" a="1"/>
  <c r="B12" i="7" s="1"/>
  <c r="B11" i="7" a="1"/>
  <c r="B11" i="7" s="1"/>
  <c r="B9" i="7" a="1"/>
  <c r="B9" i="7" s="1"/>
  <c r="B10" i="7" a="1"/>
  <c r="B10" i="7" s="1"/>
  <c r="B38" i="7"/>
  <c r="D89" i="7" l="1"/>
  <c r="D88" i="7"/>
  <c r="D87" i="7"/>
  <c r="D86" i="7"/>
  <c r="J16" i="5" l="1"/>
  <c r="J17" i="5"/>
  <c r="K17" i="5" s="1"/>
  <c r="J15" i="5"/>
  <c r="D90" i="7"/>
  <c r="B119" i="2"/>
  <c r="G10" i="13"/>
  <c r="J54" i="1"/>
  <c r="J53" i="1"/>
  <c r="J51" i="1"/>
  <c r="J50" i="1"/>
  <c r="G54" i="1"/>
  <c r="G53" i="1"/>
  <c r="G52" i="1"/>
  <c r="G51" i="1"/>
  <c r="G50" i="1"/>
  <c r="G49" i="1"/>
  <c r="B163" i="2"/>
  <c r="B162" i="2"/>
  <c r="C16" i="1" l="1"/>
  <c r="C9" i="1"/>
  <c r="D62" i="3"/>
  <c r="I37" i="1"/>
  <c r="I38" i="1"/>
  <c r="I36" i="1"/>
  <c r="G61" i="7"/>
  <c r="G62" i="7"/>
  <c r="G63" i="7"/>
  <c r="G64" i="7"/>
  <c r="G65" i="7"/>
  <c r="G60" i="7"/>
  <c r="H66" i="7"/>
  <c r="F66" i="7"/>
  <c r="E66" i="7"/>
  <c r="D72" i="7"/>
  <c r="D73" i="7"/>
  <c r="D74" i="7"/>
  <c r="D75" i="7"/>
  <c r="D76" i="7"/>
  <c r="D77" i="7" l="1"/>
  <c r="C13" i="1" s="1"/>
  <c r="D5" i="11"/>
  <c r="D4" i="11"/>
  <c r="D3" i="11"/>
  <c r="D5" i="4"/>
  <c r="D4" i="4"/>
  <c r="D3" i="4"/>
  <c r="E5" i="6"/>
  <c r="E4" i="6"/>
  <c r="E3" i="6"/>
  <c r="D5" i="5"/>
  <c r="H12" i="5" s="1"/>
  <c r="D4" i="5"/>
  <c r="D3" i="5"/>
  <c r="D5" i="9"/>
  <c r="D4" i="9"/>
  <c r="D3" i="9"/>
  <c r="D5" i="3"/>
  <c r="D4" i="3"/>
  <c r="D3" i="3"/>
  <c r="D5" i="7"/>
  <c r="D4" i="7"/>
  <c r="D3" i="7"/>
  <c r="D5" i="2"/>
  <c r="D4" i="2"/>
  <c r="D3" i="2"/>
  <c r="D4" i="1"/>
  <c r="D5" i="1"/>
  <c r="K28" i="5" l="1"/>
  <c r="E49" i="6" l="1"/>
  <c r="E50" i="6" s="1"/>
  <c r="F39" i="5" l="1"/>
  <c r="K24" i="7"/>
  <c r="K20" i="7"/>
  <c r="K9" i="7"/>
  <c r="E51" i="6" l="1"/>
  <c r="F49" i="6" s="1"/>
  <c r="E19" i="6"/>
  <c r="F19" i="6" s="1"/>
  <c r="G19" i="6" s="1"/>
  <c r="H19" i="6" s="1"/>
  <c r="I19" i="6" s="1"/>
  <c r="J19" i="6" s="1"/>
  <c r="K19" i="6" s="1"/>
  <c r="L19" i="6" s="1"/>
  <c r="M19" i="6" s="1"/>
  <c r="N19" i="6" s="1"/>
  <c r="O19" i="6" s="1"/>
  <c r="P19" i="6" s="1"/>
  <c r="Q19" i="6" s="1"/>
  <c r="R19" i="6" s="1"/>
  <c r="S19" i="6" s="1"/>
  <c r="T19" i="6" s="1"/>
  <c r="U19" i="6" s="1"/>
  <c r="V19" i="6" s="1"/>
  <c r="W19" i="6" s="1"/>
  <c r="X19" i="6" s="1"/>
  <c r="Y19" i="6" s="1"/>
  <c r="Z19" i="6" s="1"/>
  <c r="AA19" i="6" s="1"/>
  <c r="AB19" i="6" s="1"/>
  <c r="AC19" i="6" s="1"/>
  <c r="AD19" i="6" s="1"/>
  <c r="AE19" i="6" s="1"/>
  <c r="AF19" i="6" s="1"/>
  <c r="AG19" i="6" s="1"/>
  <c r="AH19" i="6" s="1"/>
  <c r="AI19" i="6" s="1"/>
  <c r="AJ19" i="6" s="1"/>
  <c r="AK19" i="6" s="1"/>
  <c r="AL19" i="6" s="1"/>
  <c r="AM19" i="6" s="1"/>
  <c r="AN19" i="6" s="1"/>
  <c r="AO19" i="6" s="1"/>
  <c r="AP19" i="6" s="1"/>
  <c r="AQ19" i="6" s="1"/>
  <c r="AR19" i="6" s="1"/>
  <c r="E23" i="6"/>
  <c r="F23" i="6" s="1"/>
  <c r="G23" i="6" s="1"/>
  <c r="H23" i="6" s="1"/>
  <c r="I23" i="6" s="1"/>
  <c r="J23" i="6" s="1"/>
  <c r="K23" i="6" s="1"/>
  <c r="L23" i="6" s="1"/>
  <c r="M23" i="6" s="1"/>
  <c r="N23" i="6" s="1"/>
  <c r="O23" i="6" s="1"/>
  <c r="P23" i="6" s="1"/>
  <c r="Q23" i="6" s="1"/>
  <c r="R23" i="6" s="1"/>
  <c r="S23" i="6" s="1"/>
  <c r="T23" i="6" s="1"/>
  <c r="U23" i="6" s="1"/>
  <c r="V23" i="6" s="1"/>
  <c r="W23" i="6" s="1"/>
  <c r="X23" i="6" s="1"/>
  <c r="Y23" i="6" s="1"/>
  <c r="Z23" i="6" s="1"/>
  <c r="AA23" i="6" s="1"/>
  <c r="AB23" i="6" s="1"/>
  <c r="AC23" i="6" s="1"/>
  <c r="AD23" i="6" s="1"/>
  <c r="AE23" i="6" s="1"/>
  <c r="AF23" i="6" s="1"/>
  <c r="AG23" i="6" s="1"/>
  <c r="AH23" i="6" s="1"/>
  <c r="AI23" i="6" s="1"/>
  <c r="AJ23" i="6" s="1"/>
  <c r="AK23" i="6" s="1"/>
  <c r="AL23" i="6" s="1"/>
  <c r="AM23" i="6" s="1"/>
  <c r="AN23" i="6" s="1"/>
  <c r="AO23" i="6" s="1"/>
  <c r="AP23" i="6" s="1"/>
  <c r="AQ23" i="6" s="1"/>
  <c r="AR23" i="6" s="1"/>
  <c r="E25" i="6"/>
  <c r="F25" i="6" s="1"/>
  <c r="G25" i="6" s="1"/>
  <c r="H25" i="6" s="1"/>
  <c r="I25" i="6" s="1"/>
  <c r="J25" i="6" s="1"/>
  <c r="K25" i="6" s="1"/>
  <c r="E26" i="6"/>
  <c r="F26" i="6" s="1"/>
  <c r="G26" i="6" s="1"/>
  <c r="H26" i="6" s="1"/>
  <c r="I26" i="6" s="1"/>
  <c r="J26" i="6" s="1"/>
  <c r="K26" i="6" s="1"/>
  <c r="L26" i="6" s="1"/>
  <c r="M26" i="6" s="1"/>
  <c r="N26" i="6" s="1"/>
  <c r="O26" i="6" s="1"/>
  <c r="P26" i="6" s="1"/>
  <c r="Q26" i="6" s="1"/>
  <c r="R26" i="6" s="1"/>
  <c r="S26" i="6" s="1"/>
  <c r="T26" i="6" s="1"/>
  <c r="U26" i="6" s="1"/>
  <c r="V26" i="6" s="1"/>
  <c r="W26" i="6" s="1"/>
  <c r="X26" i="6" s="1"/>
  <c r="Y26" i="6" s="1"/>
  <c r="Z26" i="6" s="1"/>
  <c r="AA26" i="6" s="1"/>
  <c r="AB26" i="6" s="1"/>
  <c r="AC26" i="6" s="1"/>
  <c r="AD26" i="6" s="1"/>
  <c r="AE26" i="6" s="1"/>
  <c r="AF26" i="6" s="1"/>
  <c r="AG26" i="6" s="1"/>
  <c r="AH26" i="6" s="1"/>
  <c r="AI26" i="6" s="1"/>
  <c r="AJ26" i="6" s="1"/>
  <c r="AK26" i="6" s="1"/>
  <c r="AL26" i="6" s="1"/>
  <c r="AM26" i="6" s="1"/>
  <c r="AN26" i="6" s="1"/>
  <c r="AO26" i="6" s="1"/>
  <c r="AP26" i="6" s="1"/>
  <c r="AQ26" i="6" s="1"/>
  <c r="AR26" i="6" s="1"/>
  <c r="E27" i="6"/>
  <c r="F27" i="6" s="1"/>
  <c r="G27" i="6" s="1"/>
  <c r="H27" i="6" s="1"/>
  <c r="I27" i="6" s="1"/>
  <c r="J27" i="6" s="1"/>
  <c r="K27" i="6" s="1"/>
  <c r="L27" i="6" s="1"/>
  <c r="M27" i="6" s="1"/>
  <c r="N27" i="6" s="1"/>
  <c r="O27" i="6" s="1"/>
  <c r="P27" i="6" s="1"/>
  <c r="Q27" i="6" s="1"/>
  <c r="R27" i="6" s="1"/>
  <c r="S27" i="6" s="1"/>
  <c r="T27" i="6" s="1"/>
  <c r="U27" i="6" s="1"/>
  <c r="V27" i="6" s="1"/>
  <c r="W27" i="6" s="1"/>
  <c r="X27" i="6" s="1"/>
  <c r="Y27" i="6" s="1"/>
  <c r="Z27" i="6" s="1"/>
  <c r="AA27" i="6" s="1"/>
  <c r="AB27" i="6" s="1"/>
  <c r="AC27" i="6" s="1"/>
  <c r="AD27" i="6" s="1"/>
  <c r="AE27" i="6" s="1"/>
  <c r="AF27" i="6" s="1"/>
  <c r="AG27" i="6" s="1"/>
  <c r="AH27" i="6" s="1"/>
  <c r="AI27" i="6" s="1"/>
  <c r="AJ27" i="6" s="1"/>
  <c r="AK27" i="6" s="1"/>
  <c r="AL27" i="6" s="1"/>
  <c r="AM27" i="6" s="1"/>
  <c r="AN27" i="6" s="1"/>
  <c r="AO27" i="6" s="1"/>
  <c r="AP27" i="6" s="1"/>
  <c r="AQ27" i="6" s="1"/>
  <c r="AR27" i="6" s="1"/>
  <c r="D14" i="6"/>
  <c r="D13" i="6"/>
  <c r="F50" i="6" l="1"/>
  <c r="F51" i="6" s="1"/>
  <c r="G49" i="6" s="1"/>
  <c r="L25" i="6"/>
  <c r="M25" i="6" s="1"/>
  <c r="N25" i="6" s="1"/>
  <c r="O25" i="6" s="1"/>
  <c r="P25" i="6" s="1"/>
  <c r="Q25" i="6" s="1"/>
  <c r="R25" i="6" s="1"/>
  <c r="S25" i="6" s="1"/>
  <c r="T25" i="6" s="1"/>
  <c r="U25" i="6" s="1"/>
  <c r="V25" i="6" s="1"/>
  <c r="W25" i="6" s="1"/>
  <c r="X25" i="6" s="1"/>
  <c r="Y25" i="6" s="1"/>
  <c r="Z25" i="6" s="1"/>
  <c r="AA25" i="6" s="1"/>
  <c r="AB25" i="6" s="1"/>
  <c r="AC25" i="6" s="1"/>
  <c r="AD25" i="6" s="1"/>
  <c r="AE25" i="6" s="1"/>
  <c r="AF25" i="6" s="1"/>
  <c r="AG25" i="6" s="1"/>
  <c r="AH25" i="6" s="1"/>
  <c r="AI25" i="6" s="1"/>
  <c r="AJ25" i="6" s="1"/>
  <c r="AK25" i="6" s="1"/>
  <c r="AL25" i="6" s="1"/>
  <c r="AM25" i="6" s="1"/>
  <c r="AN25" i="6" s="1"/>
  <c r="AO25" i="6" s="1"/>
  <c r="AP25" i="6" s="1"/>
  <c r="AQ25" i="6" s="1"/>
  <c r="AR25" i="6" s="1"/>
  <c r="G50" i="6" l="1"/>
  <c r="G51" i="6" s="1"/>
  <c r="H49" i="6" s="1"/>
  <c r="H50" i="6" s="1"/>
  <c r="H51" i="6" s="1"/>
  <c r="I49" i="6" s="1"/>
  <c r="I50" i="6" s="1"/>
  <c r="I51" i="6" s="1"/>
  <c r="J49" i="6" s="1"/>
  <c r="J50" i="6" s="1"/>
  <c r="J51" i="6" s="1"/>
  <c r="K49" i="6" s="1"/>
  <c r="K50" i="6" s="1"/>
  <c r="K51" i="6" s="1"/>
  <c r="L49" i="6" s="1"/>
  <c r="L50" i="6" s="1"/>
  <c r="L51" i="6" s="1"/>
  <c r="M49" i="6" s="1"/>
  <c r="M50" i="6" s="1"/>
  <c r="M51" i="6" s="1"/>
  <c r="N49" i="6" s="1"/>
  <c r="E29" i="6"/>
  <c r="F29" i="6" s="1"/>
  <c r="C33" i="6"/>
  <c r="C34" i="6"/>
  <c r="C30" i="6"/>
  <c r="C31" i="6"/>
  <c r="C29" i="6"/>
  <c r="C28" i="6"/>
  <c r="C27" i="6"/>
  <c r="C26" i="6"/>
  <c r="C25" i="6"/>
  <c r="C24" i="6"/>
  <c r="C23" i="6"/>
  <c r="C22" i="6"/>
  <c r="C21" i="6"/>
  <c r="C20" i="6"/>
  <c r="C19" i="6"/>
  <c r="C18" i="6"/>
  <c r="C17" i="6"/>
  <c r="C15" i="6"/>
  <c r="C14" i="6"/>
  <c r="C13" i="6"/>
  <c r="J18" i="5"/>
  <c r="F67" i="3"/>
  <c r="E67" i="3"/>
  <c r="F15" i="3"/>
  <c r="E15" i="3"/>
  <c r="E24" i="6"/>
  <c r="F24" i="6" s="1"/>
  <c r="G24" i="6" s="1"/>
  <c r="H24" i="6" s="1"/>
  <c r="I24" i="6" s="1"/>
  <c r="J24" i="6" s="1"/>
  <c r="K24" i="6" s="1"/>
  <c r="L24" i="6" s="1"/>
  <c r="M24" i="6" s="1"/>
  <c r="N24" i="6" s="1"/>
  <c r="O24" i="6" s="1"/>
  <c r="P24" i="6" s="1"/>
  <c r="Q24" i="6" s="1"/>
  <c r="R24" i="6" s="1"/>
  <c r="S24" i="6" s="1"/>
  <c r="T24" i="6" s="1"/>
  <c r="U24" i="6" s="1"/>
  <c r="V24" i="6" s="1"/>
  <c r="W24" i="6" s="1"/>
  <c r="X24" i="6" s="1"/>
  <c r="Y24" i="6" s="1"/>
  <c r="Z24" i="6" s="1"/>
  <c r="AA24" i="6" s="1"/>
  <c r="AB24" i="6" s="1"/>
  <c r="AC24" i="6" s="1"/>
  <c r="AD24" i="6" s="1"/>
  <c r="AE24" i="6" s="1"/>
  <c r="AF24" i="6" s="1"/>
  <c r="AG24" i="6" s="1"/>
  <c r="AH24" i="6" s="1"/>
  <c r="AI24" i="6" s="1"/>
  <c r="AJ24" i="6" s="1"/>
  <c r="AK24" i="6" s="1"/>
  <c r="AL24" i="6" s="1"/>
  <c r="AM24" i="6" s="1"/>
  <c r="AN24" i="6" s="1"/>
  <c r="AO24" i="6" s="1"/>
  <c r="AP24" i="6" s="1"/>
  <c r="AQ24" i="6" s="1"/>
  <c r="AR24" i="6" s="1"/>
  <c r="E21" i="6"/>
  <c r="F21" i="6" s="1"/>
  <c r="G21" i="6" s="1"/>
  <c r="H21" i="6" s="1"/>
  <c r="I21" i="6" s="1"/>
  <c r="J21" i="6" s="1"/>
  <c r="K21" i="6" s="1"/>
  <c r="L21" i="6" s="1"/>
  <c r="M21" i="6" s="1"/>
  <c r="N21" i="6" s="1"/>
  <c r="O21" i="6" s="1"/>
  <c r="P21" i="6" s="1"/>
  <c r="Q21" i="6" s="1"/>
  <c r="R21" i="6" s="1"/>
  <c r="S21" i="6" s="1"/>
  <c r="T21" i="6" s="1"/>
  <c r="U21" i="6" s="1"/>
  <c r="V21" i="6" s="1"/>
  <c r="W21" i="6" s="1"/>
  <c r="X21" i="6" s="1"/>
  <c r="Y21" i="6" s="1"/>
  <c r="Z21" i="6" s="1"/>
  <c r="AA21" i="6" s="1"/>
  <c r="AB21" i="6" s="1"/>
  <c r="AC21" i="6" s="1"/>
  <c r="AD21" i="6" s="1"/>
  <c r="AE21" i="6" s="1"/>
  <c r="AF21" i="6" s="1"/>
  <c r="AG21" i="6" s="1"/>
  <c r="AH21" i="6" s="1"/>
  <c r="AI21" i="6" s="1"/>
  <c r="AJ21" i="6" s="1"/>
  <c r="AK21" i="6" s="1"/>
  <c r="AL21" i="6" s="1"/>
  <c r="AM21" i="6" s="1"/>
  <c r="AN21" i="6" s="1"/>
  <c r="AO21" i="6" s="1"/>
  <c r="AP21" i="6" s="1"/>
  <c r="AQ21" i="6" s="1"/>
  <c r="AR21" i="6" s="1"/>
  <c r="E22" i="6"/>
  <c r="F22" i="6" s="1"/>
  <c r="G22" i="6" s="1"/>
  <c r="H22" i="6" s="1"/>
  <c r="I22" i="6" s="1"/>
  <c r="J22" i="6" s="1"/>
  <c r="K22" i="6" s="1"/>
  <c r="L22" i="6" s="1"/>
  <c r="M22" i="6" s="1"/>
  <c r="N22" i="6" s="1"/>
  <c r="O22" i="6" s="1"/>
  <c r="P22" i="6" s="1"/>
  <c r="Q22" i="6" s="1"/>
  <c r="R22" i="6" s="1"/>
  <c r="S22" i="6" s="1"/>
  <c r="T22" i="6" s="1"/>
  <c r="U22" i="6" s="1"/>
  <c r="V22" i="6" s="1"/>
  <c r="W22" i="6" s="1"/>
  <c r="X22" i="6" s="1"/>
  <c r="Y22" i="6" s="1"/>
  <c r="Z22" i="6" s="1"/>
  <c r="AA22" i="6" s="1"/>
  <c r="AB22" i="6" s="1"/>
  <c r="AC22" i="6" s="1"/>
  <c r="AD22" i="6" s="1"/>
  <c r="AE22" i="6" s="1"/>
  <c r="AF22" i="6" s="1"/>
  <c r="AG22" i="6" s="1"/>
  <c r="AH22" i="6" s="1"/>
  <c r="AI22" i="6" s="1"/>
  <c r="AJ22" i="6" s="1"/>
  <c r="AK22" i="6" s="1"/>
  <c r="AL22" i="6" s="1"/>
  <c r="AM22" i="6" s="1"/>
  <c r="AN22" i="6" s="1"/>
  <c r="AO22" i="6" s="1"/>
  <c r="AP22" i="6" s="1"/>
  <c r="AQ22" i="6" s="1"/>
  <c r="AR22" i="6" s="1"/>
  <c r="D23" i="1"/>
  <c r="D25" i="1" s="1"/>
  <c r="D26" i="1" s="1"/>
  <c r="D27" i="1" s="1"/>
  <c r="B94" i="2"/>
  <c r="B89" i="2"/>
  <c r="B77" i="2"/>
  <c r="B76" i="2"/>
  <c r="B75" i="2"/>
  <c r="B74" i="2"/>
  <c r="B53" i="2"/>
  <c r="B22" i="2"/>
  <c r="B13" i="2"/>
  <c r="C94" i="2"/>
  <c r="C89" i="2"/>
  <c r="C77" i="2"/>
  <c r="C76" i="2"/>
  <c r="C75" i="2"/>
  <c r="C74" i="2"/>
  <c r="C53" i="2"/>
  <c r="C22" i="2"/>
  <c r="C13" i="2"/>
  <c r="I137" i="2"/>
  <c r="I136" i="2"/>
  <c r="I135" i="2"/>
  <c r="I134" i="2"/>
  <c r="I133" i="2"/>
  <c r="C131" i="2"/>
  <c r="C130" i="2"/>
  <c r="C129" i="2"/>
  <c r="C128" i="2"/>
  <c r="I78" i="2"/>
  <c r="I96" i="2"/>
  <c r="I94" i="2"/>
  <c r="I92" i="2"/>
  <c r="I90" i="2"/>
  <c r="I89" i="2"/>
  <c r="I87" i="2"/>
  <c r="I86" i="2"/>
  <c r="I85" i="2"/>
  <c r="I84" i="2"/>
  <c r="I83" i="2"/>
  <c r="I80" i="2"/>
  <c r="I79" i="2"/>
  <c r="I77" i="2"/>
  <c r="I76" i="2"/>
  <c r="I75" i="2"/>
  <c r="I74" i="2"/>
  <c r="I73" i="2"/>
  <c r="I72" i="2"/>
  <c r="I71" i="2"/>
  <c r="I70" i="2"/>
  <c r="I69" i="2"/>
  <c r="I68" i="2"/>
  <c r="I66" i="2"/>
  <c r="I65" i="2"/>
  <c r="I64" i="2"/>
  <c r="I60" i="2"/>
  <c r="I59" i="2"/>
  <c r="I58" i="2"/>
  <c r="I57" i="2"/>
  <c r="I56" i="2"/>
  <c r="I55" i="2"/>
  <c r="I54" i="2"/>
  <c r="I53" i="2"/>
  <c r="I52" i="2"/>
  <c r="I51" i="2"/>
  <c r="I50" i="2"/>
  <c r="I49" i="2"/>
  <c r="I47" i="2"/>
  <c r="I45" i="2"/>
  <c r="I42" i="2"/>
  <c r="I41" i="2"/>
  <c r="I40" i="2"/>
  <c r="I39" i="2"/>
  <c r="I38" i="2"/>
  <c r="I37" i="2"/>
  <c r="I33" i="2"/>
  <c r="I32" i="2"/>
  <c r="I31" i="2"/>
  <c r="I29" i="2"/>
  <c r="I28" i="2"/>
  <c r="I27" i="2"/>
  <c r="I23" i="2"/>
  <c r="I22" i="2"/>
  <c r="I13" i="2"/>
  <c r="I14" i="2"/>
  <c r="I15" i="2"/>
  <c r="I17" i="2"/>
  <c r="I18" i="2"/>
  <c r="I19" i="2"/>
  <c r="I12" i="2"/>
  <c r="H16" i="2"/>
  <c r="G16" i="2"/>
  <c r="H20" i="2"/>
  <c r="H35" i="2"/>
  <c r="H88" i="2"/>
  <c r="H93" i="2"/>
  <c r="D17" i="4"/>
  <c r="G49" i="2"/>
  <c r="G88" i="2"/>
  <c r="F88" i="2"/>
  <c r="F16" i="2"/>
  <c r="G55" i="2"/>
  <c r="G45" i="2"/>
  <c r="G20" i="2"/>
  <c r="F130" i="2" l="1"/>
  <c r="I130" i="2" s="1"/>
  <c r="N50" i="6"/>
  <c r="N51" i="6"/>
  <c r="O49" i="6" s="1"/>
  <c r="O50" i="6" s="1"/>
  <c r="O51" i="6" s="1"/>
  <c r="P49" i="6" s="1"/>
  <c r="E20" i="6"/>
  <c r="F20" i="6" s="1"/>
  <c r="G29" i="6"/>
  <c r="I20" i="2"/>
  <c r="I93" i="2"/>
  <c r="I88" i="2"/>
  <c r="G95" i="2"/>
  <c r="I46" i="2"/>
  <c r="H82" i="2"/>
  <c r="F128" i="2" s="1"/>
  <c r="I16" i="2"/>
  <c r="E55" i="1" s="1"/>
  <c r="G82" i="2"/>
  <c r="K16" i="5"/>
  <c r="K15" i="5"/>
  <c r="K14" i="5"/>
  <c r="D20" i="3"/>
  <c r="O40" i="7"/>
  <c r="C15" i="1" s="1"/>
  <c r="G54" i="7"/>
  <c r="F54" i="7"/>
  <c r="E54" i="7"/>
  <c r="R39" i="7"/>
  <c r="Q39" i="7"/>
  <c r="P39" i="7"/>
  <c r="R38" i="7"/>
  <c r="Q38" i="7"/>
  <c r="P38" i="7"/>
  <c r="R37" i="7"/>
  <c r="Q37" i="7"/>
  <c r="P37" i="7"/>
  <c r="R32" i="7"/>
  <c r="Q32" i="7"/>
  <c r="P32" i="7"/>
  <c r="R31" i="7"/>
  <c r="Q31" i="7"/>
  <c r="P31" i="7"/>
  <c r="R30" i="7"/>
  <c r="Q30" i="7"/>
  <c r="P30" i="7"/>
  <c r="R29" i="7"/>
  <c r="Q29" i="7"/>
  <c r="P29" i="7"/>
  <c r="R28" i="7"/>
  <c r="Q28" i="7"/>
  <c r="P28" i="7"/>
  <c r="R27" i="7"/>
  <c r="Q27" i="7"/>
  <c r="P27" i="7"/>
  <c r="R26" i="7"/>
  <c r="Q26" i="7"/>
  <c r="P26" i="7"/>
  <c r="R25" i="7"/>
  <c r="Q25" i="7"/>
  <c r="P25" i="7"/>
  <c r="R24" i="7"/>
  <c r="Q24" i="7"/>
  <c r="P24" i="7"/>
  <c r="R23" i="7"/>
  <c r="Q23" i="7"/>
  <c r="P23" i="7"/>
  <c r="R22" i="7"/>
  <c r="Q22" i="7"/>
  <c r="P22" i="7"/>
  <c r="R21" i="7"/>
  <c r="Q21" i="7"/>
  <c r="P21" i="7"/>
  <c r="R20" i="7"/>
  <c r="Q20" i="7"/>
  <c r="P20" i="7"/>
  <c r="R17" i="7"/>
  <c r="Q17" i="7"/>
  <c r="P17" i="7"/>
  <c r="P13" i="7"/>
  <c r="Q13" i="7" s="1"/>
  <c r="R13" i="7" s="1"/>
  <c r="P9" i="7"/>
  <c r="Q9" i="7" s="1"/>
  <c r="L40" i="7"/>
  <c r="I40" i="7"/>
  <c r="H40" i="7"/>
  <c r="G40" i="7"/>
  <c r="M13" i="7"/>
  <c r="M20" i="7"/>
  <c r="M24" i="7"/>
  <c r="M25" i="7"/>
  <c r="M26" i="7"/>
  <c r="M27" i="7"/>
  <c r="M28" i="7"/>
  <c r="M29" i="7"/>
  <c r="M30" i="7"/>
  <c r="M31" i="7"/>
  <c r="M32" i="7"/>
  <c r="M37" i="7"/>
  <c r="M38" i="7"/>
  <c r="M39" i="7"/>
  <c r="M9" i="7"/>
  <c r="J12" i="7" l="1"/>
  <c r="J17" i="7"/>
  <c r="K17" i="7" s="1"/>
  <c r="M17" i="7" s="1"/>
  <c r="J22" i="7"/>
  <c r="J11" i="7"/>
  <c r="J16" i="7"/>
  <c r="J21" i="7"/>
  <c r="D55" i="1"/>
  <c r="F15" i="1"/>
  <c r="C92" i="2"/>
  <c r="C90" i="2"/>
  <c r="C84" i="2"/>
  <c r="C42" i="2"/>
  <c r="C33" i="2"/>
  <c r="B92" i="2"/>
  <c r="B90" i="2"/>
  <c r="B84" i="2"/>
  <c r="B42" i="2"/>
  <c r="B33" i="2"/>
  <c r="R9" i="7"/>
  <c r="I63" i="2"/>
  <c r="I43" i="2"/>
  <c r="B25" i="2"/>
  <c r="G21" i="2"/>
  <c r="B30" i="2"/>
  <c r="B24" i="2"/>
  <c r="I21" i="2"/>
  <c r="C80" i="2"/>
  <c r="C79" i="2"/>
  <c r="C73" i="2"/>
  <c r="C70" i="2"/>
  <c r="C59" i="2"/>
  <c r="C57" i="2"/>
  <c r="C56" i="2"/>
  <c r="C50" i="2"/>
  <c r="C47" i="2"/>
  <c r="C37" i="2"/>
  <c r="C32" i="2"/>
  <c r="C31" i="2"/>
  <c r="C28" i="2"/>
  <c r="B80" i="2"/>
  <c r="B79" i="2"/>
  <c r="B73" i="2"/>
  <c r="B70" i="2"/>
  <c r="B59" i="2"/>
  <c r="B57" i="2"/>
  <c r="B56" i="2"/>
  <c r="B50" i="2"/>
  <c r="B47" i="2"/>
  <c r="B37" i="2"/>
  <c r="B32" i="2"/>
  <c r="B31" i="2"/>
  <c r="B28" i="2"/>
  <c r="C15" i="2"/>
  <c r="C23" i="2"/>
  <c r="B15" i="2"/>
  <c r="B23" i="2"/>
  <c r="E84" i="7"/>
  <c r="E85" i="7"/>
  <c r="E86" i="7"/>
  <c r="E89" i="7"/>
  <c r="E87" i="7"/>
  <c r="E88" i="7"/>
  <c r="E64" i="3"/>
  <c r="E63" i="3"/>
  <c r="F64" i="3"/>
  <c r="F63" i="3"/>
  <c r="D78" i="7"/>
  <c r="C14" i="1" s="1"/>
  <c r="C19" i="2"/>
  <c r="C66" i="2"/>
  <c r="C43" i="2"/>
  <c r="C27" i="2"/>
  <c r="C40" i="2"/>
  <c r="C26" i="2"/>
  <c r="C54" i="2"/>
  <c r="C52" i="2"/>
  <c r="F16" i="1"/>
  <c r="B52" i="2"/>
  <c r="B19" i="2"/>
  <c r="B66" i="2"/>
  <c r="B43" i="2"/>
  <c r="B27" i="2"/>
  <c r="B40" i="2"/>
  <c r="B26" i="2"/>
  <c r="B54" i="2"/>
  <c r="P50" i="6"/>
  <c r="P51" i="6" s="1"/>
  <c r="Q49" i="6" s="1"/>
  <c r="Q50" i="6" s="1"/>
  <c r="Q51" i="6" s="1"/>
  <c r="R49" i="6" s="1"/>
  <c r="R50" i="6" s="1"/>
  <c r="R51" i="6" s="1"/>
  <c r="S49" i="6" s="1"/>
  <c r="S50" i="6" s="1"/>
  <c r="S51" i="6" s="1"/>
  <c r="T49" i="6" s="1"/>
  <c r="T50" i="6" s="1"/>
  <c r="T51" i="6" s="1"/>
  <c r="U49" i="6" s="1"/>
  <c r="U50" i="6" s="1"/>
  <c r="U51" i="6" s="1"/>
  <c r="V49" i="6" s="1"/>
  <c r="V50" i="6" s="1"/>
  <c r="V51" i="6" s="1"/>
  <c r="W49" i="6" s="1"/>
  <c r="W50" i="6" s="1"/>
  <c r="W51" i="6" s="1"/>
  <c r="X49" i="6" s="1"/>
  <c r="X50" i="6" s="1"/>
  <c r="X51" i="6" s="1"/>
  <c r="Y49" i="6" s="1"/>
  <c r="C12" i="1"/>
  <c r="F13" i="1" s="1"/>
  <c r="C69" i="2"/>
  <c r="C68" i="2"/>
  <c r="B69" i="2"/>
  <c r="B68" i="2"/>
  <c r="E28" i="3"/>
  <c r="E14" i="3"/>
  <c r="E65" i="3"/>
  <c r="E62" i="3"/>
  <c r="F28" i="3"/>
  <c r="F14" i="3"/>
  <c r="F65" i="3"/>
  <c r="F52" i="3"/>
  <c r="E52" i="3"/>
  <c r="E45" i="3"/>
  <c r="E38" i="3"/>
  <c r="F38" i="3"/>
  <c r="F62" i="3"/>
  <c r="F45" i="3"/>
  <c r="G20" i="6"/>
  <c r="H29" i="6"/>
  <c r="E20" i="3"/>
  <c r="F20" i="3"/>
  <c r="D68" i="3"/>
  <c r="P89" i="2" s="1"/>
  <c r="C97" i="2"/>
  <c r="C93" i="2"/>
  <c r="C85" i="2"/>
  <c r="C71" i="2"/>
  <c r="C63" i="2"/>
  <c r="C55" i="2"/>
  <c r="C51" i="2"/>
  <c r="C39" i="2"/>
  <c r="C91" i="2"/>
  <c r="C87" i="2"/>
  <c r="C83" i="2"/>
  <c r="C65" i="2"/>
  <c r="C49" i="2"/>
  <c r="C45" i="2"/>
  <c r="C41" i="2"/>
  <c r="C29" i="2"/>
  <c r="C21" i="2"/>
  <c r="C86" i="2"/>
  <c r="C60" i="2"/>
  <c r="C44" i="2"/>
  <c r="C36" i="2"/>
  <c r="C16" i="2"/>
  <c r="C96" i="2"/>
  <c r="C78" i="2"/>
  <c r="C58" i="2"/>
  <c r="C38" i="2"/>
  <c r="C18" i="2"/>
  <c r="C14" i="2"/>
  <c r="C17" i="2"/>
  <c r="C72" i="2"/>
  <c r="C64" i="2"/>
  <c r="C12" i="2"/>
  <c r="C46" i="2"/>
  <c r="B97" i="2"/>
  <c r="B93" i="2"/>
  <c r="B85" i="2"/>
  <c r="B71" i="2"/>
  <c r="B63" i="2"/>
  <c r="B58" i="2"/>
  <c r="B38" i="2"/>
  <c r="B18" i="2"/>
  <c r="B14" i="2"/>
  <c r="B91" i="2"/>
  <c r="B87" i="2"/>
  <c r="B83" i="2"/>
  <c r="B65" i="2"/>
  <c r="B60" i="2"/>
  <c r="B44" i="2"/>
  <c r="B36" i="2"/>
  <c r="B16" i="2"/>
  <c r="B12" i="2"/>
  <c r="B72" i="2"/>
  <c r="B96" i="2"/>
  <c r="B78" i="2"/>
  <c r="B49" i="2"/>
  <c r="B45" i="2"/>
  <c r="B41" i="2"/>
  <c r="B29" i="2"/>
  <c r="B21" i="2"/>
  <c r="B17" i="2"/>
  <c r="B86" i="2"/>
  <c r="B64" i="2"/>
  <c r="B55" i="2"/>
  <c r="B51" i="2"/>
  <c r="B39" i="2"/>
  <c r="K10" i="7"/>
  <c r="K14" i="7"/>
  <c r="K21" i="7"/>
  <c r="C20" i="2"/>
  <c r="K11" i="7"/>
  <c r="K22" i="7"/>
  <c r="K15" i="7"/>
  <c r="I128" i="2"/>
  <c r="C88" i="2"/>
  <c r="B20" i="2"/>
  <c r="B46" i="2"/>
  <c r="K16" i="7"/>
  <c r="K19" i="7"/>
  <c r="K12" i="7"/>
  <c r="P12" i="7" s="1"/>
  <c r="Q12" i="7" s="1"/>
  <c r="R12" i="7" s="1"/>
  <c r="B88" i="2"/>
  <c r="K13" i="5"/>
  <c r="K18" i="5" s="1"/>
  <c r="F13" i="5" s="1"/>
  <c r="P10" i="7" l="1"/>
  <c r="Q10" i="7" s="1"/>
  <c r="R10" i="7" s="1"/>
  <c r="C24" i="2"/>
  <c r="C25" i="2"/>
  <c r="C30" i="2"/>
  <c r="G24" i="2"/>
  <c r="I24" i="2"/>
  <c r="G30" i="2"/>
  <c r="I30" i="2"/>
  <c r="I25" i="2"/>
  <c r="G26" i="2"/>
  <c r="I26" i="2"/>
  <c r="I36" i="2"/>
  <c r="G36" i="2"/>
  <c r="I44" i="2"/>
  <c r="G44" i="2"/>
  <c r="H91" i="2"/>
  <c r="F129" i="2" s="1"/>
  <c r="F138" i="2" s="1"/>
  <c r="F95" i="2"/>
  <c r="P101" i="2"/>
  <c r="E90" i="7"/>
  <c r="D79" i="7"/>
  <c r="D80" i="7" s="1"/>
  <c r="Y50" i="6"/>
  <c r="Y51" i="6" s="1"/>
  <c r="Z49" i="6" s="1"/>
  <c r="Z50" i="6" s="1"/>
  <c r="Z51" i="6" s="1"/>
  <c r="AA49" i="6" s="1"/>
  <c r="AA50" i="6" s="1"/>
  <c r="AA51" i="6" s="1"/>
  <c r="AB49" i="6" s="1"/>
  <c r="M21" i="7"/>
  <c r="M12" i="7"/>
  <c r="M10" i="7"/>
  <c r="M22" i="7"/>
  <c r="P11" i="7"/>
  <c r="Q11" i="7" s="1"/>
  <c r="M23" i="7"/>
  <c r="M19" i="7"/>
  <c r="P19" i="7"/>
  <c r="R19" i="7" s="1"/>
  <c r="M18" i="7"/>
  <c r="P18" i="7"/>
  <c r="Q18" i="7" s="1"/>
  <c r="R18" i="7" s="1"/>
  <c r="M14" i="7"/>
  <c r="P14" i="7"/>
  <c r="Q14" i="7" s="1"/>
  <c r="R14" i="7" s="1"/>
  <c r="M16" i="7"/>
  <c r="Q16" i="7"/>
  <c r="R16" i="7" s="1"/>
  <c r="P15" i="7"/>
  <c r="Q15" i="7" s="1"/>
  <c r="R15" i="7" s="1"/>
  <c r="M15" i="7"/>
  <c r="K40" i="7"/>
  <c r="D12" i="3" s="1"/>
  <c r="H20" i="6"/>
  <c r="I29" i="6"/>
  <c r="E68" i="3"/>
  <c r="E30" i="6"/>
  <c r="F68" i="3"/>
  <c r="J40" i="7"/>
  <c r="B48" i="2"/>
  <c r="G61" i="2"/>
  <c r="I48" i="2"/>
  <c r="C48" i="2"/>
  <c r="F61" i="2"/>
  <c r="Q100" i="2"/>
  <c r="I54" i="1" s="1"/>
  <c r="Q99" i="2"/>
  <c r="I53" i="1" s="1"/>
  <c r="Q101" i="2"/>
  <c r="D41" i="1" l="1"/>
  <c r="H61" i="2"/>
  <c r="H138" i="2"/>
  <c r="I61" i="2"/>
  <c r="G98" i="2"/>
  <c r="B98" i="2"/>
  <c r="C98" i="2"/>
  <c r="C95" i="2"/>
  <c r="B95" i="2"/>
  <c r="I91" i="2"/>
  <c r="I95" i="2" s="1"/>
  <c r="H95" i="2"/>
  <c r="I129" i="2"/>
  <c r="AB50" i="6"/>
  <c r="AB51" i="6" s="1"/>
  <c r="AC49" i="6" s="1"/>
  <c r="F15" i="5"/>
  <c r="F14" i="5"/>
  <c r="F17" i="5"/>
  <c r="F18" i="5"/>
  <c r="F16" i="5"/>
  <c r="M11" i="7"/>
  <c r="R11" i="7"/>
  <c r="R40" i="7" s="1"/>
  <c r="D13" i="3" s="1"/>
  <c r="Q40" i="7"/>
  <c r="I20" i="6"/>
  <c r="F30" i="6"/>
  <c r="J29" i="6"/>
  <c r="B61" i="2"/>
  <c r="C61" i="2"/>
  <c r="Q97" i="2"/>
  <c r="I51" i="1" s="1"/>
  <c r="Q96" i="2"/>
  <c r="I50" i="1" s="1"/>
  <c r="F20" i="5" l="1"/>
  <c r="H99" i="2"/>
  <c r="E51" i="1" s="1"/>
  <c r="I132" i="2"/>
  <c r="AC50" i="6"/>
  <c r="AC51" i="6" s="1"/>
  <c r="AD49" i="6" s="1"/>
  <c r="AD50" i="6" s="1"/>
  <c r="AD51" i="6" s="1"/>
  <c r="AE49" i="6" s="1"/>
  <c r="AE50" i="6" s="1"/>
  <c r="AE51" i="6" s="1"/>
  <c r="AF49" i="6" s="1"/>
  <c r="D19" i="3"/>
  <c r="D80" i="3" s="1"/>
  <c r="D81" i="3" s="1"/>
  <c r="F25" i="9" s="1"/>
  <c r="E13" i="3"/>
  <c r="F13" i="3"/>
  <c r="I146" i="2"/>
  <c r="J20" i="6"/>
  <c r="G30" i="6"/>
  <c r="K29" i="6"/>
  <c r="F12" i="3"/>
  <c r="E12" i="3"/>
  <c r="D16" i="3"/>
  <c r="E16" i="3" s="1"/>
  <c r="D18" i="3"/>
  <c r="AF50" i="6" l="1"/>
  <c r="AF51" i="6" s="1"/>
  <c r="AG49" i="6" s="1"/>
  <c r="AG50" i="6" s="1"/>
  <c r="AG51" i="6" s="1"/>
  <c r="AH49" i="6" s="1"/>
  <c r="AH50" i="6" s="1"/>
  <c r="AH51" i="6" s="1"/>
  <c r="AI49" i="6" s="1"/>
  <c r="AI50" i="6" s="1"/>
  <c r="AI51" i="6" s="1"/>
  <c r="AJ49" i="6" s="1"/>
  <c r="AJ50" i="6" s="1"/>
  <c r="AJ51" i="6" s="1"/>
  <c r="AK49" i="6" s="1"/>
  <c r="AK50" i="6" s="1"/>
  <c r="AK51" i="6" s="1"/>
  <c r="AL49" i="6" s="1"/>
  <c r="AL50" i="6" s="1"/>
  <c r="AL51" i="6" s="1"/>
  <c r="AM49" i="6" s="1"/>
  <c r="AM50" i="6" s="1"/>
  <c r="AM51" i="6" s="1"/>
  <c r="AN49" i="6" s="1"/>
  <c r="F60" i="5"/>
  <c r="F64" i="5" s="1"/>
  <c r="D14" i="9" s="1"/>
  <c r="E19" i="3"/>
  <c r="F19" i="3"/>
  <c r="K20" i="6"/>
  <c r="L29" i="6"/>
  <c r="H30" i="6"/>
  <c r="D22" i="3"/>
  <c r="E14" i="6" s="1"/>
  <c r="F14" i="6" s="1"/>
  <c r="F18" i="3"/>
  <c r="E18" i="3"/>
  <c r="E13" i="6"/>
  <c r="F13" i="6" s="1"/>
  <c r="G13" i="6" s="1"/>
  <c r="F16" i="3"/>
  <c r="AN50" i="6" l="1"/>
  <c r="AN51" i="6" s="1"/>
  <c r="AO49" i="6" s="1"/>
  <c r="AO50" i="6" s="1"/>
  <c r="AO51" i="6" s="1"/>
  <c r="AP49" i="6" s="1"/>
  <c r="AP50" i="6" s="1"/>
  <c r="AP51" i="6" s="1"/>
  <c r="AQ49" i="6" s="1"/>
  <c r="AQ50" i="6" s="1"/>
  <c r="AQ51" i="6" s="1"/>
  <c r="AR49" i="6" s="1"/>
  <c r="AR50" i="6" s="1"/>
  <c r="AR51" i="6" s="1"/>
  <c r="L20" i="6"/>
  <c r="F22" i="3"/>
  <c r="E22" i="3"/>
  <c r="H13" i="6"/>
  <c r="F15" i="6"/>
  <c r="G14" i="6"/>
  <c r="H14" i="6" s="1"/>
  <c r="I14" i="6" s="1"/>
  <c r="J14" i="6" s="1"/>
  <c r="K14" i="6" s="1"/>
  <c r="L14" i="6" s="1"/>
  <c r="M14" i="6" s="1"/>
  <c r="N14" i="6" s="1"/>
  <c r="O14" i="6" s="1"/>
  <c r="P14" i="6" s="1"/>
  <c r="Q14" i="6" s="1"/>
  <c r="R14" i="6" s="1"/>
  <c r="S14" i="6" s="1"/>
  <c r="T14" i="6" s="1"/>
  <c r="U14" i="6" s="1"/>
  <c r="V14" i="6" s="1"/>
  <c r="W14" i="6" s="1"/>
  <c r="X14" i="6" s="1"/>
  <c r="Y14" i="6" s="1"/>
  <c r="Z14" i="6" s="1"/>
  <c r="AA14" i="6" s="1"/>
  <c r="AB14" i="6" s="1"/>
  <c r="AC14" i="6" s="1"/>
  <c r="AD14" i="6" s="1"/>
  <c r="AE14" i="6" s="1"/>
  <c r="AF14" i="6" s="1"/>
  <c r="AG14" i="6" s="1"/>
  <c r="AH14" i="6" s="1"/>
  <c r="AI14" i="6" s="1"/>
  <c r="AJ14" i="6" s="1"/>
  <c r="AK14" i="6" s="1"/>
  <c r="AL14" i="6" s="1"/>
  <c r="AM14" i="6" s="1"/>
  <c r="AN14" i="6" s="1"/>
  <c r="AO14" i="6" s="1"/>
  <c r="AP14" i="6" s="1"/>
  <c r="AQ14" i="6" s="1"/>
  <c r="AR14" i="6" s="1"/>
  <c r="I30" i="6"/>
  <c r="M29" i="6"/>
  <c r="D23" i="3"/>
  <c r="E15" i="6"/>
  <c r="D26" i="3" l="1"/>
  <c r="D66" i="3" s="1"/>
  <c r="I40" i="1"/>
  <c r="M20" i="6"/>
  <c r="G15" i="6"/>
  <c r="N29" i="6"/>
  <c r="J30" i="6"/>
  <c r="I13" i="6"/>
  <c r="H15" i="6"/>
  <c r="E23" i="3"/>
  <c r="F23" i="3"/>
  <c r="D69" i="3" l="1"/>
  <c r="J69" i="3" s="1"/>
  <c r="E18" i="6"/>
  <c r="F18" i="6" s="1"/>
  <c r="G18" i="6" s="1"/>
  <c r="H18" i="6" s="1"/>
  <c r="I18" i="6" s="1"/>
  <c r="J18" i="6" s="1"/>
  <c r="K18" i="6" s="1"/>
  <c r="L18" i="6" s="1"/>
  <c r="M18" i="6" s="1"/>
  <c r="N18" i="6" s="1"/>
  <c r="O18" i="6" s="1"/>
  <c r="P18" i="6" s="1"/>
  <c r="Q18" i="6" s="1"/>
  <c r="R18" i="6" s="1"/>
  <c r="S18" i="6" s="1"/>
  <c r="T18" i="6" s="1"/>
  <c r="U18" i="6" s="1"/>
  <c r="V18" i="6" s="1"/>
  <c r="W18" i="6" s="1"/>
  <c r="X18" i="6" s="1"/>
  <c r="Y18" i="6" s="1"/>
  <c r="Z18" i="6" s="1"/>
  <c r="AA18" i="6" s="1"/>
  <c r="AB18" i="6" s="1"/>
  <c r="AC18" i="6" s="1"/>
  <c r="AD18" i="6" s="1"/>
  <c r="AE18" i="6" s="1"/>
  <c r="AF18" i="6" s="1"/>
  <c r="AG18" i="6" s="1"/>
  <c r="AH18" i="6" s="1"/>
  <c r="AI18" i="6" s="1"/>
  <c r="AJ18" i="6" s="1"/>
  <c r="AK18" i="6" s="1"/>
  <c r="AL18" i="6" s="1"/>
  <c r="AM18" i="6" s="1"/>
  <c r="AN18" i="6" s="1"/>
  <c r="AO18" i="6" s="1"/>
  <c r="AP18" i="6" s="1"/>
  <c r="AQ18" i="6" s="1"/>
  <c r="AR18" i="6" s="1"/>
  <c r="E27" i="3"/>
  <c r="F27" i="3"/>
  <c r="E17" i="6"/>
  <c r="E28" i="6" s="1"/>
  <c r="F26" i="3"/>
  <c r="E26" i="3"/>
  <c r="N20" i="6"/>
  <c r="I145" i="2"/>
  <c r="I147" i="2" s="1"/>
  <c r="E36" i="1" s="1"/>
  <c r="D27" i="9"/>
  <c r="F27" i="9" s="1"/>
  <c r="H27" i="9" s="1"/>
  <c r="J13" i="6"/>
  <c r="I15" i="6"/>
  <c r="O29" i="6"/>
  <c r="K30" i="6"/>
  <c r="I151" i="2" l="1"/>
  <c r="K24" i="5"/>
  <c r="B67" i="2"/>
  <c r="P87" i="2"/>
  <c r="F66" i="3"/>
  <c r="E66" i="3"/>
  <c r="E31" i="6"/>
  <c r="E33" i="6" s="1"/>
  <c r="C67" i="2"/>
  <c r="O20" i="6"/>
  <c r="L30" i="6"/>
  <c r="P29" i="6"/>
  <c r="J15" i="6"/>
  <c r="K13" i="6"/>
  <c r="D71" i="3" l="1"/>
  <c r="E36" i="6"/>
  <c r="I67" i="2"/>
  <c r="F69" i="3"/>
  <c r="E69" i="3"/>
  <c r="D76" i="3"/>
  <c r="D77" i="3" s="1"/>
  <c r="D25" i="9" s="1"/>
  <c r="P20" i="6"/>
  <c r="L13" i="6"/>
  <c r="K15" i="6"/>
  <c r="M30" i="6"/>
  <c r="Q29" i="6"/>
  <c r="H28" i="9" l="1"/>
  <c r="D28" i="9"/>
  <c r="F28" i="9"/>
  <c r="D9" i="9"/>
  <c r="D11" i="9" s="1"/>
  <c r="F71" i="3"/>
  <c r="D72" i="3"/>
  <c r="E71" i="3"/>
  <c r="Q20" i="6"/>
  <c r="R29" i="6"/>
  <c r="N30" i="6"/>
  <c r="M13" i="6"/>
  <c r="L15" i="6"/>
  <c r="E64" i="1" l="1"/>
  <c r="R20" i="6"/>
  <c r="M15" i="6"/>
  <c r="N13" i="6"/>
  <c r="S29" i="6"/>
  <c r="O30" i="6"/>
  <c r="S20" i="6" l="1"/>
  <c r="O13" i="6"/>
  <c r="N15" i="6"/>
  <c r="P30" i="6"/>
  <c r="T29" i="6"/>
  <c r="T20" i="6" l="1"/>
  <c r="Q30" i="6"/>
  <c r="U29" i="6"/>
  <c r="P13" i="6"/>
  <c r="O15" i="6"/>
  <c r="U20" i="6" l="1"/>
  <c r="E44" i="6"/>
  <c r="Q13" i="6"/>
  <c r="P15" i="6"/>
  <c r="R30" i="6"/>
  <c r="V29" i="6"/>
  <c r="V20" i="6" l="1"/>
  <c r="Q15" i="6"/>
  <c r="R13" i="6"/>
  <c r="W29" i="6"/>
  <c r="S30" i="6"/>
  <c r="W20" i="6" l="1"/>
  <c r="T30" i="6"/>
  <c r="S13" i="6"/>
  <c r="R15" i="6"/>
  <c r="X29" i="6"/>
  <c r="X20" i="6" l="1"/>
  <c r="T13" i="6"/>
  <c r="S15" i="6"/>
  <c r="Y29" i="6"/>
  <c r="U30" i="6"/>
  <c r="Y20" i="6" l="1"/>
  <c r="V30" i="6"/>
  <c r="Z29" i="6"/>
  <c r="U13" i="6"/>
  <c r="T15" i="6"/>
  <c r="Z20" i="6" l="1"/>
  <c r="U15" i="6"/>
  <c r="V13" i="6"/>
  <c r="AA29" i="6"/>
  <c r="W30" i="6"/>
  <c r="AA20" i="6" l="1"/>
  <c r="X30" i="6"/>
  <c r="V15" i="6"/>
  <c r="W13" i="6"/>
  <c r="AB29" i="6"/>
  <c r="AB20" i="6" l="1"/>
  <c r="X13" i="6"/>
  <c r="W15" i="6"/>
  <c r="AC29" i="6"/>
  <c r="Y30" i="6"/>
  <c r="AC20" i="6" l="1"/>
  <c r="Z30" i="6"/>
  <c r="AD29" i="6"/>
  <c r="X15" i="6"/>
  <c r="Y13" i="6"/>
  <c r="AD20" i="6" l="1"/>
  <c r="Z13" i="6"/>
  <c r="Y15" i="6"/>
  <c r="AE29" i="6"/>
  <c r="AA30" i="6"/>
  <c r="AE20" i="6" l="1"/>
  <c r="AB30" i="6"/>
  <c r="Z15" i="6"/>
  <c r="AA13" i="6"/>
  <c r="AF29" i="6"/>
  <c r="AF20" i="6" l="1"/>
  <c r="AC30" i="6"/>
  <c r="AG29" i="6"/>
  <c r="AB13" i="6"/>
  <c r="AA15" i="6"/>
  <c r="AG20" i="6" l="1"/>
  <c r="AH29" i="6"/>
  <c r="AB15" i="6"/>
  <c r="AC13" i="6"/>
  <c r="AD30" i="6"/>
  <c r="AH20" i="6" l="1"/>
  <c r="AD13" i="6"/>
  <c r="AC15" i="6"/>
  <c r="AE30" i="6"/>
  <c r="AI29" i="6"/>
  <c r="AI20" i="6" l="1"/>
  <c r="AJ29" i="6"/>
  <c r="AF30" i="6"/>
  <c r="AE13" i="6"/>
  <c r="AD15" i="6"/>
  <c r="AJ20" i="6" l="1"/>
  <c r="AF13" i="6"/>
  <c r="AE15" i="6"/>
  <c r="AG30" i="6"/>
  <c r="AK29" i="6"/>
  <c r="AK20" i="6" l="1"/>
  <c r="AL29" i="6"/>
  <c r="AG13" i="6"/>
  <c r="AF15" i="6"/>
  <c r="AH30" i="6"/>
  <c r="AL20" i="6" l="1"/>
  <c r="AM29" i="6"/>
  <c r="AI30" i="6"/>
  <c r="AG15" i="6"/>
  <c r="AH13" i="6"/>
  <c r="AM20" i="6" l="1"/>
  <c r="AI13" i="6"/>
  <c r="AH15" i="6"/>
  <c r="AJ30" i="6"/>
  <c r="AN29" i="6"/>
  <c r="AN20" i="6" l="1"/>
  <c r="AO29" i="6"/>
  <c r="AK30" i="6"/>
  <c r="AJ13" i="6"/>
  <c r="AI15" i="6"/>
  <c r="AO20" i="6" l="1"/>
  <c r="AJ15" i="6"/>
  <c r="AK13" i="6"/>
  <c r="AL30" i="6"/>
  <c r="AP29" i="6"/>
  <c r="AP20" i="6" l="1"/>
  <c r="AL13" i="6"/>
  <c r="AK15" i="6"/>
  <c r="AQ29" i="6"/>
  <c r="AM30" i="6"/>
  <c r="AQ20" i="6" l="1"/>
  <c r="AN30" i="6"/>
  <c r="AM13" i="6"/>
  <c r="AL15" i="6"/>
  <c r="AR29" i="6"/>
  <c r="AR20" i="6" l="1"/>
  <c r="AO30" i="6"/>
  <c r="AM15" i="6"/>
  <c r="AN13" i="6"/>
  <c r="AN15" i="6" l="1"/>
  <c r="AO13" i="6"/>
  <c r="AP30" i="6"/>
  <c r="AO15" i="6" l="1"/>
  <c r="AP13" i="6"/>
  <c r="AQ30" i="6"/>
  <c r="AR30" i="6" l="1"/>
  <c r="AQ13" i="6"/>
  <c r="AP15" i="6"/>
  <c r="AR13" i="6" l="1"/>
  <c r="AQ15" i="6"/>
  <c r="AR15" i="6" l="1"/>
  <c r="AS13" i="6"/>
  <c r="AT13" i="6" s="1"/>
  <c r="AU13" i="6" s="1"/>
  <c r="AV13" i="6" s="1"/>
  <c r="F17" i="6"/>
  <c r="F28" i="6" l="1"/>
  <c r="F31" i="6" s="1"/>
  <c r="F33" i="6" s="1"/>
  <c r="G17" i="6"/>
  <c r="H17" i="6" l="1"/>
  <c r="G28" i="6"/>
  <c r="G31" i="6" s="1"/>
  <c r="G33" i="6" s="1"/>
  <c r="F36" i="6"/>
  <c r="F44" i="6" l="1"/>
  <c r="G36" i="6"/>
  <c r="H28" i="6"/>
  <c r="H31" i="6" s="1"/>
  <c r="H33" i="6" s="1"/>
  <c r="I17" i="6"/>
  <c r="J17" i="6" l="1"/>
  <c r="I28" i="6"/>
  <c r="I31" i="6" s="1"/>
  <c r="I33" i="6" s="1"/>
  <c r="G44" i="6"/>
  <c r="H36" i="6"/>
  <c r="H44" i="6" l="1"/>
  <c r="I36" i="6"/>
  <c r="J28" i="6"/>
  <c r="J31" i="6" s="1"/>
  <c r="J33" i="6" s="1"/>
  <c r="K17" i="6"/>
  <c r="K28" i="6" l="1"/>
  <c r="K31" i="6" s="1"/>
  <c r="K33" i="6" s="1"/>
  <c r="L17" i="6"/>
  <c r="J36" i="6"/>
  <c r="I44" i="6"/>
  <c r="J44" i="6" l="1"/>
  <c r="K36" i="6"/>
  <c r="M17" i="6"/>
  <c r="L28" i="6"/>
  <c r="L31" i="6" s="1"/>
  <c r="L33" i="6" s="1"/>
  <c r="K44" i="6" l="1"/>
  <c r="L36" i="6"/>
  <c r="M28" i="6"/>
  <c r="M31" i="6" s="1"/>
  <c r="M33" i="6" s="1"/>
  <c r="N17" i="6"/>
  <c r="L44" i="6" l="1"/>
  <c r="O17" i="6"/>
  <c r="N28" i="6"/>
  <c r="N31" i="6" s="1"/>
  <c r="N33" i="6" s="1"/>
  <c r="M36" i="6"/>
  <c r="N36" i="6" l="1"/>
  <c r="P17" i="6"/>
  <c r="O28" i="6"/>
  <c r="O31" i="6" s="1"/>
  <c r="O33" i="6" s="1"/>
  <c r="M44" i="6"/>
  <c r="O36" i="6" l="1"/>
  <c r="P28" i="6"/>
  <c r="P31" i="6" s="1"/>
  <c r="P33" i="6" s="1"/>
  <c r="Q17" i="6"/>
  <c r="N44" i="6"/>
  <c r="Q28" i="6" l="1"/>
  <c r="Q31" i="6" s="1"/>
  <c r="Q33" i="6" s="1"/>
  <c r="R17" i="6"/>
  <c r="O44" i="6"/>
  <c r="P36" i="6"/>
  <c r="R28" i="6" l="1"/>
  <c r="R31" i="6" s="1"/>
  <c r="R33" i="6" s="1"/>
  <c r="S17" i="6"/>
  <c r="P44" i="6"/>
  <c r="Q36" i="6"/>
  <c r="S28" i="6" l="1"/>
  <c r="S31" i="6" s="1"/>
  <c r="S33" i="6" s="1"/>
  <c r="T17" i="6"/>
  <c r="R36" i="6"/>
  <c r="Q44" i="6"/>
  <c r="R44" i="6" l="1"/>
  <c r="U17" i="6"/>
  <c r="T28" i="6"/>
  <c r="T31" i="6" s="1"/>
  <c r="T33" i="6" s="1"/>
  <c r="S36" i="6"/>
  <c r="T36" i="6" l="1"/>
  <c r="S44" i="6"/>
  <c r="U28" i="6"/>
  <c r="U31" i="6" s="1"/>
  <c r="U33" i="6" s="1"/>
  <c r="V17" i="6"/>
  <c r="U36" i="6" l="1"/>
  <c r="W17" i="6"/>
  <c r="V28" i="6"/>
  <c r="V31" i="6" s="1"/>
  <c r="V33" i="6" s="1"/>
  <c r="T44" i="6"/>
  <c r="V36" i="6" l="1"/>
  <c r="W28" i="6"/>
  <c r="W31" i="6" s="1"/>
  <c r="W33" i="6" s="1"/>
  <c r="X17" i="6"/>
  <c r="U44" i="6"/>
  <c r="W36" i="6" l="1"/>
  <c r="X28" i="6"/>
  <c r="X31" i="6" s="1"/>
  <c r="X33" i="6" s="1"/>
  <c r="Y17" i="6"/>
  <c r="V44" i="6"/>
  <c r="X36" i="6" l="1"/>
  <c r="W44" i="6"/>
  <c r="Z17" i="6"/>
  <c r="Y28" i="6"/>
  <c r="Y31" i="6" s="1"/>
  <c r="Y33" i="6" s="1"/>
  <c r="X44" i="6" l="1"/>
  <c r="Y36" i="6"/>
  <c r="Z28" i="6"/>
  <c r="Z31" i="6" s="1"/>
  <c r="Z33" i="6" s="1"/>
  <c r="AA17" i="6"/>
  <c r="Y44" i="6" l="1"/>
  <c r="AA28" i="6"/>
  <c r="AA31" i="6" s="1"/>
  <c r="AA33" i="6" s="1"/>
  <c r="AB17" i="6"/>
  <c r="Z36" i="6"/>
  <c r="AB28" i="6" l="1"/>
  <c r="AB31" i="6" s="1"/>
  <c r="AB33" i="6" s="1"/>
  <c r="AC17" i="6"/>
  <c r="AA36" i="6"/>
  <c r="Z44" i="6"/>
  <c r="AC28" i="6" l="1"/>
  <c r="AC31" i="6" s="1"/>
  <c r="AC33" i="6" s="1"/>
  <c r="AD17" i="6"/>
  <c r="AA44" i="6"/>
  <c r="AB36" i="6"/>
  <c r="AB44" i="6" l="1"/>
  <c r="AE17" i="6"/>
  <c r="AD28" i="6"/>
  <c r="AD31" i="6" s="1"/>
  <c r="AD33" i="6" s="1"/>
  <c r="AC36" i="6"/>
  <c r="AF17" i="6" l="1"/>
  <c r="AE28" i="6"/>
  <c r="AE31" i="6" s="1"/>
  <c r="AE33" i="6" s="1"/>
  <c r="AD36" i="6"/>
  <c r="AC44" i="6"/>
  <c r="AD44" i="6" l="1"/>
  <c r="AE36" i="6"/>
  <c r="AG17" i="6"/>
  <c r="AF28" i="6"/>
  <c r="AF31" i="6" s="1"/>
  <c r="AF33" i="6" s="1"/>
  <c r="AE44" i="6" l="1"/>
  <c r="AF36" i="6"/>
  <c r="AH17" i="6"/>
  <c r="AG28" i="6"/>
  <c r="AG31" i="6" s="1"/>
  <c r="AG33" i="6" s="1"/>
  <c r="AG36" i="6" l="1"/>
  <c r="AH28" i="6"/>
  <c r="AH31" i="6" s="1"/>
  <c r="AH33" i="6" s="1"/>
  <c r="AI17" i="6"/>
  <c r="AF44" i="6"/>
  <c r="O28" i="9" l="1"/>
  <c r="M28" i="9"/>
  <c r="AI28" i="6"/>
  <c r="AI31" i="6" s="1"/>
  <c r="AI33" i="6" s="1"/>
  <c r="AJ17" i="6"/>
  <c r="AH36" i="6"/>
  <c r="AG44" i="6"/>
  <c r="AH44" i="6" l="1"/>
  <c r="AJ28" i="6"/>
  <c r="AJ31" i="6" s="1"/>
  <c r="AJ33" i="6" s="1"/>
  <c r="AK17" i="6"/>
  <c r="AI36" i="6"/>
  <c r="AK28" i="6" l="1"/>
  <c r="AK31" i="6" s="1"/>
  <c r="AK33" i="6" s="1"/>
  <c r="AL17" i="6"/>
  <c r="AI44" i="6"/>
  <c r="AJ36" i="6"/>
  <c r="AJ44" i="6" l="1"/>
  <c r="AM17" i="6"/>
  <c r="AL28" i="6"/>
  <c r="AL31" i="6" s="1"/>
  <c r="AL33" i="6" s="1"/>
  <c r="AK36" i="6"/>
  <c r="AN17" i="6" l="1"/>
  <c r="AM28" i="6"/>
  <c r="AM31" i="6" s="1"/>
  <c r="AM33" i="6" s="1"/>
  <c r="AL36" i="6"/>
  <c r="AK44" i="6"/>
  <c r="AL44" i="6" l="1"/>
  <c r="AM36" i="6"/>
  <c r="AN28" i="6"/>
  <c r="AN31" i="6" s="1"/>
  <c r="AN33" i="6" s="1"/>
  <c r="AO17" i="6"/>
  <c r="AM44" i="6" l="1"/>
  <c r="AP17" i="6"/>
  <c r="AO28" i="6"/>
  <c r="AO31" i="6" s="1"/>
  <c r="AO33" i="6" s="1"/>
  <c r="AN36" i="6"/>
  <c r="AN44" i="6" l="1"/>
  <c r="AO36" i="6"/>
  <c r="AP28" i="6"/>
  <c r="AP31" i="6" s="1"/>
  <c r="AP33" i="6" s="1"/>
  <c r="AQ17" i="6"/>
  <c r="AQ28" i="6" l="1"/>
  <c r="AQ31" i="6" s="1"/>
  <c r="AQ33" i="6" s="1"/>
  <c r="AR17" i="6"/>
  <c r="AR28" i="6" s="1"/>
  <c r="AR31" i="6" s="1"/>
  <c r="AR33" i="6" s="1"/>
  <c r="AP36" i="6"/>
  <c r="AO44" i="6"/>
  <c r="AP44" i="6" l="1"/>
  <c r="AR36" i="6"/>
  <c r="AQ36" i="6"/>
  <c r="AR44" i="6" l="1"/>
  <c r="AQ44" i="6"/>
  <c r="Q95" i="2" l="1"/>
  <c r="I49" i="1" s="1"/>
  <c r="J49" i="1"/>
  <c r="P98" i="2"/>
  <c r="J52" i="1" s="1"/>
  <c r="J55" i="1" l="1"/>
  <c r="Q98" i="2"/>
  <c r="I52" i="1" s="1"/>
  <c r="I55" i="1" s="1"/>
  <c r="I97" i="2" l="1"/>
  <c r="I98" i="2" s="1"/>
  <c r="I131" i="2" l="1"/>
  <c r="I138" i="2" s="1"/>
  <c r="I141" i="2" l="1"/>
  <c r="I163" i="2" s="1"/>
  <c r="C34" i="2"/>
  <c r="B34" i="2"/>
  <c r="I34" i="2"/>
  <c r="I35" i="2"/>
  <c r="E56" i="1" s="1"/>
  <c r="G34" i="2"/>
  <c r="G35" i="2"/>
  <c r="G99" i="2" s="1"/>
  <c r="F21" i="5" s="1"/>
  <c r="F26" i="5" s="1"/>
  <c r="F28" i="5" s="1"/>
  <c r="F30" i="5" s="1"/>
  <c r="B35" i="2"/>
  <c r="F33" i="5" l="1"/>
  <c r="F37" i="5" s="1"/>
  <c r="F41" i="5" s="1"/>
  <c r="F43" i="5" s="1"/>
  <c r="F47" i="5" s="1"/>
  <c r="F51" i="5" s="1"/>
  <c r="D56" i="1"/>
  <c r="K27" i="5"/>
  <c r="K29" i="5" s="1"/>
  <c r="F73" i="5"/>
  <c r="J38" i="1"/>
  <c r="C35" i="2"/>
  <c r="F72" i="5"/>
  <c r="D13" i="9" l="1"/>
  <c r="D15" i="9" s="1"/>
  <c r="E65" i="1" s="1"/>
  <c r="E66" i="1" s="1"/>
  <c r="F66" i="5"/>
  <c r="F76" i="5" s="1"/>
  <c r="D37" i="1"/>
  <c r="J37" i="1"/>
  <c r="E70" i="1" l="1"/>
  <c r="F71" i="5"/>
  <c r="F75" i="5"/>
  <c r="I113" i="2" l="1"/>
  <c r="I117" i="2" s="1"/>
  <c r="I119" i="2" s="1"/>
  <c r="D45" i="1"/>
  <c r="I156" i="2"/>
  <c r="J40" i="1"/>
  <c r="J36" i="1"/>
  <c r="D36" i="1"/>
  <c r="D52" i="1" s="1"/>
  <c r="D75" i="1"/>
  <c r="D15" i="4"/>
  <c r="D19" i="4"/>
  <c r="D20" i="4"/>
  <c r="D21" i="4"/>
  <c r="K23" i="5"/>
  <c r="K25" i="5"/>
  <c r="K31" i="5" s="1"/>
  <c r="D70" i="1" l="1"/>
  <c r="I62" i="2"/>
  <c r="C62" i="2"/>
  <c r="B62" i="2"/>
  <c r="F81" i="2"/>
  <c r="D69" i="1"/>
  <c r="B81" i="2" l="1"/>
  <c r="C81" i="2"/>
  <c r="I81" i="2"/>
  <c r="F82" i="2"/>
  <c r="E57" i="1" s="1"/>
  <c r="E58" i="1" s="1"/>
  <c r="I82" i="2"/>
  <c r="I99" i="2" l="1"/>
  <c r="I120" i="2" s="1"/>
  <c r="D57" i="1"/>
  <c r="D58" i="1"/>
  <c r="C58" i="1" s="1"/>
  <c r="I121" i="2"/>
  <c r="C82" i="2"/>
  <c r="B82" i="2"/>
  <c r="F99" i="2"/>
  <c r="J104" i="2" s="1"/>
  <c r="D59" i="1" l="1"/>
  <c r="C99" i="2"/>
  <c r="B99" i="2"/>
  <c r="E71" i="1"/>
  <c r="D71" i="1"/>
  <c r="F74" i="5" l="1"/>
  <c r="J39" i="1"/>
  <c r="J41" i="1"/>
  <c r="I39" i="1"/>
  <c r="I41" i="1"/>
  <c r="E37" i="1" l="1"/>
  <c r="E52" i="1" s="1"/>
  <c r="E59" i="1" s="1"/>
  <c r="I155" i="2"/>
  <c r="I160" i="2" s="1"/>
  <c r="I162" i="2" s="1"/>
  <c r="I164" i="2" l="1"/>
  <c r="J27" i="9"/>
  <c r="E34" i="6"/>
  <c r="E37" i="6" s="1"/>
  <c r="F34" i="6"/>
  <c r="F37" i="6" s="1"/>
  <c r="G34" i="6"/>
  <c r="G37" i="6" s="1"/>
  <c r="H34" i="6"/>
  <c r="H37" i="6" s="1"/>
  <c r="I34" i="6"/>
  <c r="I37" i="6" s="1"/>
  <c r="J34" i="6"/>
  <c r="J37" i="6" s="1"/>
  <c r="K34" i="6"/>
  <c r="K37" i="6" s="1"/>
  <c r="L34" i="6"/>
  <c r="L37" i="6" s="1"/>
  <c r="M34" i="6"/>
  <c r="M37" i="6" s="1"/>
  <c r="N34" i="6"/>
  <c r="N37" i="6" s="1"/>
  <c r="O34" i="6"/>
  <c r="O37" i="6" s="1"/>
  <c r="P34" i="6"/>
  <c r="P37" i="6" s="1"/>
  <c r="Q34" i="6"/>
  <c r="Q37" i="6" s="1"/>
  <c r="R34" i="6"/>
  <c r="R37" i="6" s="1"/>
  <c r="S34" i="6"/>
  <c r="S37" i="6" s="1"/>
  <c r="T34" i="6"/>
  <c r="T37" i="6" s="1"/>
  <c r="U34" i="6"/>
  <c r="U37" i="6" s="1"/>
  <c r="V34" i="6"/>
  <c r="V37" i="6" s="1"/>
  <c r="W34" i="6"/>
  <c r="W37" i="6" s="1"/>
  <c r="X34" i="6"/>
  <c r="X37" i="6" s="1"/>
  <c r="Y34" i="6"/>
  <c r="Y37" i="6" s="1"/>
  <c r="Z34" i="6"/>
  <c r="Z37" i="6" s="1"/>
  <c r="AA34" i="6"/>
  <c r="AA37" i="6" s="1"/>
  <c r="AB34" i="6"/>
  <c r="AB37" i="6" s="1"/>
  <c r="AC34" i="6"/>
  <c r="AC37" i="6" s="1"/>
  <c r="AD34" i="6"/>
  <c r="AD37" i="6" s="1"/>
  <c r="AE34" i="6"/>
  <c r="AE37" i="6" s="1"/>
  <c r="AF34" i="6"/>
  <c r="AF37" i="6" s="1"/>
  <c r="AG34" i="6"/>
  <c r="AG37" i="6" s="1"/>
  <c r="AH34" i="6"/>
  <c r="AH37" i="6" s="1"/>
  <c r="AI34" i="6"/>
  <c r="AI37" i="6" s="1"/>
  <c r="AJ34" i="6"/>
  <c r="AJ37" i="6" s="1"/>
  <c r="AK34" i="6"/>
  <c r="AK37" i="6" s="1"/>
  <c r="AL34" i="6"/>
  <c r="AL37" i="6" s="1"/>
  <c r="AM34" i="6"/>
  <c r="AM37" i="6" s="1"/>
  <c r="AN34" i="6"/>
  <c r="AN37" i="6" s="1"/>
  <c r="AO34" i="6"/>
  <c r="AO37" i="6" s="1"/>
  <c r="AP34" i="6"/>
  <c r="AP37" i="6" s="1"/>
  <c r="AQ34" i="6"/>
  <c r="AQ37" i="6" s="1"/>
  <c r="AR34" i="6"/>
  <c r="AR37" i="6"/>
  <c r="E72" i="1" l="1"/>
  <c r="E40" i="6" a="1"/>
  <c r="E40" i="6" s="1"/>
  <c r="P88" i="2"/>
  <c r="P91" i="2" s="1"/>
  <c r="J28" i="9"/>
  <c r="E42" i="6" l="1" a="1"/>
  <c r="E42" i="6" s="1"/>
  <c r="F40" i="6" a="1"/>
  <c r="F40" i="6" s="1"/>
  <c r="G40" i="6" l="1" a="1"/>
  <c r="G40" i="6" s="1"/>
  <c r="F41" i="6"/>
  <c r="E43" i="6" a="1"/>
  <c r="E43" i="6" s="1"/>
  <c r="E46" i="6" s="1" a="1"/>
  <c r="E46" i="6" s="1"/>
  <c r="F42" i="6" l="1" a="1"/>
  <c r="F42" i="6" s="1"/>
  <c r="H40" i="6" a="1"/>
  <c r="H40" i="6" s="1"/>
  <c r="I40" i="6" l="1" a="1"/>
  <c r="I40" i="6" s="1"/>
  <c r="F43" i="6" a="1"/>
  <c r="F43" i="6" s="1"/>
  <c r="F46" i="6" a="1"/>
  <c r="F46" i="6" s="1"/>
  <c r="G41" i="6"/>
  <c r="G42" i="6" l="1" a="1"/>
  <c r="G42" i="6" s="1"/>
  <c r="J40" i="6" a="1"/>
  <c r="J40" i="6" s="1"/>
  <c r="K40" i="6" l="1" a="1"/>
  <c r="K40" i="6" s="1"/>
  <c r="G43" i="6" a="1"/>
  <c r="G43" i="6" s="1"/>
  <c r="G46" i="6" a="1"/>
  <c r="G46" i="6" s="1"/>
  <c r="H41" i="6"/>
  <c r="H42" i="6" l="1" a="1"/>
  <c r="H42" i="6" s="1"/>
  <c r="L40" i="6" a="1"/>
  <c r="L40" i="6" s="1"/>
  <c r="M40" i="6" l="1" a="1"/>
  <c r="M40" i="6" s="1"/>
  <c r="H43" i="6" a="1"/>
  <c r="H43" i="6" s="1"/>
  <c r="H46" i="6" a="1"/>
  <c r="H46" i="6" s="1"/>
  <c r="I41" i="6"/>
  <c r="I42" i="6" l="1" a="1"/>
  <c r="I42" i="6" s="1"/>
  <c r="N40" i="6" a="1"/>
  <c r="N40" i="6" s="1"/>
  <c r="O40" i="6" l="1" a="1"/>
  <c r="O40" i="6" s="1"/>
  <c r="I43" i="6" a="1"/>
  <c r="I43" i="6" s="1"/>
  <c r="I46" i="6" a="1"/>
  <c r="I46" i="6" s="1"/>
  <c r="J41" i="6"/>
  <c r="J42" i="6" l="1" a="1"/>
  <c r="J42" i="6" s="1"/>
  <c r="P40" i="6" a="1"/>
  <c r="P40" i="6" s="1"/>
  <c r="Q40" i="6" l="1" a="1"/>
  <c r="Q40" i="6" s="1"/>
  <c r="J43" i="6" a="1"/>
  <c r="J43" i="6" s="1"/>
  <c r="J46" i="6" a="1"/>
  <c r="J46" i="6" s="1"/>
  <c r="K41" i="6"/>
  <c r="K42" i="6" l="1" a="1"/>
  <c r="K42" i="6" s="1"/>
  <c r="R40" i="6" a="1"/>
  <c r="R40" i="6" s="1"/>
  <c r="S40" i="6" l="1" a="1"/>
  <c r="S40" i="6" s="1"/>
  <c r="K43" i="6" a="1"/>
  <c r="K43" i="6" s="1"/>
  <c r="K46" i="6" a="1"/>
  <c r="K46" i="6" s="1"/>
  <c r="L41" i="6"/>
  <c r="L42" i="6" l="1" a="1"/>
  <c r="L42" i="6" s="1"/>
  <c r="T40" i="6" a="1"/>
  <c r="T40" i="6" s="1"/>
  <c r="U40" i="6" l="1" a="1"/>
  <c r="U40" i="6" s="1"/>
  <c r="L43" i="6" a="1"/>
  <c r="L43" i="6" s="1"/>
  <c r="L46" i="6" a="1"/>
  <c r="L46" i="6" s="1"/>
  <c r="M41" i="6"/>
  <c r="M42" i="6" l="1" a="1"/>
  <c r="M42" i="6" s="1"/>
  <c r="V40" i="6" a="1"/>
  <c r="V40" i="6" s="1"/>
  <c r="W40" i="6" l="1" a="1"/>
  <c r="W40" i="6" s="1"/>
  <c r="M43" i="6" a="1"/>
  <c r="M43" i="6" s="1"/>
  <c r="M46" i="6" a="1"/>
  <c r="M46" i="6" s="1"/>
  <c r="N41" i="6"/>
  <c r="N42" i="6" l="1" a="1"/>
  <c r="N42" i="6" s="1"/>
  <c r="X40" i="6" a="1"/>
  <c r="X40" i="6" s="1"/>
  <c r="Y40" i="6" l="1" a="1"/>
  <c r="Y40" i="6" s="1"/>
  <c r="N43" i="6" a="1"/>
  <c r="N43" i="6" s="1"/>
  <c r="N46" i="6" a="1"/>
  <c r="N46" i="6" s="1"/>
  <c r="O41" i="6"/>
  <c r="O42" i="6" l="1" a="1"/>
  <c r="O42" i="6" s="1"/>
  <c r="Z40" i="6" a="1"/>
  <c r="Z40" i="6" s="1"/>
  <c r="AA40" i="6" l="1" a="1"/>
  <c r="AA40" i="6" s="1"/>
  <c r="O43" i="6" a="1"/>
  <c r="O43" i="6" s="1"/>
  <c r="O46" i="6" a="1"/>
  <c r="O46" i="6" s="1"/>
  <c r="P41" i="6"/>
  <c r="P42" i="6" l="1" a="1"/>
  <c r="P42" i="6" s="1"/>
  <c r="AB40" i="6" a="1"/>
  <c r="AB40" i="6" s="1"/>
  <c r="AC40" i="6" l="1" a="1"/>
  <c r="AC40" i="6" s="1"/>
  <c r="P43" i="6" a="1"/>
  <c r="P43" i="6" s="1"/>
  <c r="P46" i="6" a="1"/>
  <c r="P46" i="6" s="1"/>
  <c r="Q41" i="6"/>
  <c r="Q42" i="6" l="1" a="1"/>
  <c r="Q42" i="6" s="1"/>
  <c r="AD40" i="6" a="1"/>
  <c r="AD40" i="6" s="1"/>
  <c r="AE40" i="6" l="1" a="1"/>
  <c r="AE40" i="6" s="1"/>
  <c r="Q43" i="6" a="1"/>
  <c r="Q43" i="6" s="1"/>
  <c r="Q46" i="6" a="1"/>
  <c r="Q46" i="6" s="1"/>
  <c r="R41" i="6"/>
  <c r="J58" i="1" l="1" a="1"/>
  <c r="J58" i="1" s="1"/>
  <c r="R42" i="6" a="1"/>
  <c r="R42" i="6" s="1"/>
  <c r="AF40" i="6" a="1"/>
  <c r="AF40" i="6" s="1"/>
  <c r="AG40" i="6" l="1" a="1"/>
  <c r="AG40" i="6" s="1"/>
  <c r="R43" i="6" a="1"/>
  <c r="R43" i="6" s="1"/>
  <c r="R46" i="6" a="1"/>
  <c r="R46" i="6" s="1"/>
  <c r="S41" i="6"/>
  <c r="S42" i="6" l="1" a="1"/>
  <c r="S42" i="6" s="1"/>
  <c r="AH40" i="6" a="1"/>
  <c r="AH40" i="6" s="1"/>
  <c r="AI40" i="6" l="1" a="1"/>
  <c r="AI40" i="6" s="1"/>
  <c r="S43" i="6" a="1"/>
  <c r="S43" i="6" s="1"/>
  <c r="S46" i="6" a="1"/>
  <c r="S46" i="6" s="1"/>
  <c r="T41" i="6"/>
  <c r="T42" i="6" l="1" a="1"/>
  <c r="T42" i="6" s="1"/>
  <c r="AJ40" i="6" a="1"/>
  <c r="AJ40" i="6" s="1"/>
  <c r="AK40" i="6" l="1" a="1"/>
  <c r="AK40" i="6" s="1"/>
  <c r="T43" i="6" a="1"/>
  <c r="T43" i="6" s="1"/>
  <c r="T46" i="6" a="1"/>
  <c r="T46" i="6" s="1"/>
  <c r="U41" i="6"/>
  <c r="U42" i="6" l="1" a="1"/>
  <c r="U42" i="6" s="1"/>
  <c r="AL40" i="6" a="1"/>
  <c r="AL40" i="6" s="1"/>
  <c r="AM40" i="6" l="1" a="1"/>
  <c r="AM40" i="6" s="1"/>
  <c r="U43" i="6" a="1"/>
  <c r="U43" i="6" s="1"/>
  <c r="U46" i="6" a="1"/>
  <c r="U46" i="6" s="1"/>
  <c r="V41" i="6"/>
  <c r="V42" i="6" l="1" a="1"/>
  <c r="V42" i="6" s="1"/>
  <c r="AN40" i="6" a="1"/>
  <c r="AN40" i="6" s="1"/>
  <c r="AO40" i="6" l="1" a="1"/>
  <c r="AO40" i="6" s="1"/>
  <c r="V43" i="6" a="1"/>
  <c r="V43" i="6" s="1"/>
  <c r="V46" i="6" a="1"/>
  <c r="V46" i="6" s="1"/>
  <c r="W41" i="6"/>
  <c r="W42" i="6" l="1" a="1"/>
  <c r="W42" i="6" s="1"/>
  <c r="AP40" i="6" a="1"/>
  <c r="AP40" i="6" s="1"/>
  <c r="AQ40" i="6" l="1" a="1"/>
  <c r="AQ40" i="6" s="1"/>
  <c r="W43" i="6" a="1"/>
  <c r="W43" i="6" s="1"/>
  <c r="W46" i="6" a="1"/>
  <c r="W46" i="6" s="1"/>
  <c r="X41" i="6"/>
  <c r="X42" i="6" l="1" a="1"/>
  <c r="X42" i="6" s="1"/>
  <c r="AR40" i="6" a="1"/>
  <c r="AR40" i="6" s="1"/>
  <c r="X43" i="6" l="1" a="1"/>
  <c r="X43" i="6" s="1"/>
  <c r="X46" i="6" a="1"/>
  <c r="X46" i="6" s="1"/>
  <c r="Y41" i="6"/>
  <c r="Y42" i="6" l="1" a="1"/>
  <c r="Y42" i="6" s="1"/>
  <c r="Y43" i="6" l="1" a="1"/>
  <c r="Y43" i="6" s="1"/>
  <c r="Y46" i="6" a="1"/>
  <c r="Y46" i="6" s="1"/>
  <c r="Z41" i="6"/>
  <c r="Z42" i="6" l="1" a="1"/>
  <c r="Z42" i="6" s="1"/>
  <c r="Z43" i="6" l="1" a="1"/>
  <c r="Z43" i="6" s="1"/>
  <c r="Z46" i="6" a="1"/>
  <c r="Z46" i="6" s="1"/>
  <c r="AA41" i="6"/>
  <c r="AA42" i="6" l="1" a="1"/>
  <c r="AA42" i="6" s="1"/>
  <c r="AA43" i="6" l="1" a="1"/>
  <c r="AA43" i="6" s="1"/>
  <c r="AA46" i="6" a="1"/>
  <c r="AA46" i="6" s="1"/>
  <c r="AB41" i="6"/>
  <c r="AB42" i="6" l="1" a="1"/>
  <c r="AB42" i="6" s="1"/>
  <c r="AB43" i="6" l="1" a="1"/>
  <c r="AB43" i="6" s="1"/>
  <c r="AB46" i="6" a="1"/>
  <c r="AB46" i="6" s="1"/>
  <c r="AC41" i="6"/>
  <c r="AC42" i="6" l="1" a="1"/>
  <c r="AC42" i="6" s="1"/>
  <c r="AC43" i="6" l="1" a="1"/>
  <c r="AC43" i="6" s="1"/>
  <c r="AC46" i="6" a="1"/>
  <c r="AC46" i="6" s="1"/>
  <c r="AD41" i="6"/>
  <c r="AD42" i="6" l="1" a="1"/>
  <c r="AD42" i="6" s="1"/>
  <c r="AD43" i="6" l="1" a="1"/>
  <c r="AD43" i="6" s="1"/>
  <c r="AD46" i="6" a="1"/>
  <c r="AD46" i="6" s="1"/>
  <c r="AE41" i="6"/>
  <c r="AE42" i="6" l="1" a="1"/>
  <c r="AE42" i="6" s="1"/>
  <c r="AE43" i="6" l="1" a="1"/>
  <c r="AE43" i="6" s="1"/>
  <c r="AE46" i="6" a="1"/>
  <c r="AE46" i="6" s="1"/>
  <c r="AF41" i="6"/>
  <c r="AF42" i="6" l="1" a="1"/>
  <c r="AF42" i="6" s="1"/>
  <c r="AF43" i="6" l="1" a="1"/>
  <c r="AF43" i="6" s="1"/>
  <c r="AF46" i="6" a="1"/>
  <c r="AF46" i="6" s="1"/>
  <c r="AG41" i="6"/>
  <c r="AG42" i="6" l="1" a="1"/>
  <c r="AG42" i="6" s="1"/>
  <c r="AG43" i="6" l="1" a="1"/>
  <c r="AG43" i="6" s="1"/>
  <c r="AG46" i="6" a="1"/>
  <c r="AG46" i="6" s="1"/>
  <c r="AH41" i="6"/>
  <c r="AH42" i="6" l="1" a="1"/>
  <c r="AH42" i="6" s="1"/>
  <c r="AH43" i="6" l="1" a="1"/>
  <c r="AH43" i="6" s="1"/>
  <c r="AH46" i="6" a="1"/>
  <c r="AH46" i="6" s="1"/>
  <c r="AI41" i="6"/>
  <c r="AI42" i="6" l="1" a="1"/>
  <c r="AI42" i="6" s="1"/>
  <c r="AI43" i="6" l="1" a="1"/>
  <c r="AI43" i="6" s="1"/>
  <c r="AI46" i="6" a="1"/>
  <c r="AI46" i="6" s="1"/>
  <c r="AJ41" i="6"/>
  <c r="AJ42" i="6" l="1" a="1"/>
  <c r="AJ42" i="6" s="1"/>
  <c r="AJ43" i="6" l="1" a="1"/>
  <c r="AJ43" i="6" s="1"/>
  <c r="AJ46" i="6" a="1"/>
  <c r="AJ46" i="6" s="1"/>
  <c r="AK41" i="6"/>
  <c r="AK42" i="6" l="1" a="1"/>
  <c r="AK42" i="6" s="1"/>
  <c r="AK43" i="6" l="1" a="1"/>
  <c r="AK43" i="6" s="1"/>
  <c r="AK46" i="6" a="1"/>
  <c r="AK46" i="6" s="1"/>
  <c r="AL41" i="6"/>
  <c r="AL42" i="6" l="1" a="1"/>
  <c r="AL42" i="6" s="1"/>
  <c r="AL43" i="6" l="1" a="1"/>
  <c r="AL43" i="6" s="1"/>
  <c r="AL46" i="6" a="1"/>
  <c r="AL46" i="6" s="1"/>
  <c r="AM41" i="6"/>
  <c r="AM42" i="6" l="1" a="1"/>
  <c r="AM42" i="6" s="1"/>
  <c r="AM43" i="6" l="1" a="1"/>
  <c r="AM43" i="6" s="1"/>
  <c r="AM46" i="6" a="1"/>
  <c r="AM46" i="6" s="1"/>
  <c r="AN41" i="6"/>
  <c r="AN42" i="6" l="1" a="1"/>
  <c r="AN42" i="6" s="1"/>
  <c r="AN43" i="6" l="1" a="1"/>
  <c r="AN43" i="6" s="1"/>
  <c r="AN46" i="6" a="1"/>
  <c r="AN46" i="6" s="1"/>
  <c r="AO41" i="6"/>
  <c r="AO42" i="6" l="1" a="1"/>
  <c r="AO42" i="6" s="1"/>
  <c r="AO43" i="6" l="1" a="1"/>
  <c r="AO43" i="6" s="1"/>
  <c r="AO46" i="6" a="1"/>
  <c r="AO46" i="6" s="1"/>
  <c r="AP41" i="6"/>
  <c r="AP42" i="6" l="1" a="1"/>
  <c r="AP42" i="6" s="1"/>
  <c r="AP43" i="6" l="1" a="1"/>
  <c r="AP43" i="6" s="1"/>
  <c r="AP46" i="6" a="1"/>
  <c r="AP46" i="6" s="1"/>
  <c r="AQ41" i="6"/>
  <c r="AQ42" i="6" l="1" a="1"/>
  <c r="AQ42" i="6" s="1"/>
  <c r="AQ43" i="6" l="1" a="1"/>
  <c r="AQ43" i="6" s="1"/>
  <c r="AQ46" i="6" a="1"/>
  <c r="AQ46" i="6" s="1"/>
  <c r="AR41" i="6"/>
  <c r="AR42" i="6" s="1" a="1"/>
  <c r="AR42" i="6" s="1"/>
  <c r="AR43" i="6" l="1" a="1"/>
  <c r="AR43" i="6" s="1"/>
  <c r="AR46" i="6" a="1"/>
  <c r="AR46"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Ngo, Aaron</author>
    <author>Rodriguez, Daniel - 3</author>
  </authors>
  <commentList>
    <comment ref="C14" authorId="0" shapeId="0" xr:uid="{DBF1E858-71BE-486D-B52D-9B5F12F56758}">
      <text>
        <r>
          <rPr>
            <b/>
            <sz val="9"/>
            <color indexed="81"/>
            <rFont val="Tahoma"/>
            <family val="2"/>
          </rPr>
          <t>Ngo, Aaron:</t>
        </r>
        <r>
          <rPr>
            <sz val="9"/>
            <color indexed="81"/>
            <rFont val="Tahoma"/>
            <family val="2"/>
          </rPr>
          <t xml:space="preserve">
Input should include property manager units</t>
        </r>
      </text>
    </comment>
    <comment ref="B15" authorId="0" shapeId="0" xr:uid="{E86E5506-C793-4AE2-99F3-52D47FE0FA87}">
      <text>
        <r>
          <rPr>
            <b/>
            <sz val="9"/>
            <color indexed="81"/>
            <rFont val="Tahoma"/>
            <family val="2"/>
          </rPr>
          <t>Ngo, Aaron:</t>
        </r>
        <r>
          <rPr>
            <sz val="9"/>
            <color indexed="81"/>
            <rFont val="Tahoma"/>
            <family val="2"/>
          </rPr>
          <t xml:space="preserve">
# of units receiving an additional rental subsidy (e.g. Section 8 Housing Vouchers). </t>
        </r>
      </text>
    </comment>
    <comment ref="B21" authorId="0" shapeId="0" xr:uid="{EE1E698D-8CFD-434B-8EFE-99CCB1294123}">
      <text>
        <r>
          <rPr>
            <b/>
            <sz val="9"/>
            <color indexed="81"/>
            <rFont val="Tahoma"/>
            <family val="2"/>
          </rPr>
          <t>Ngo, Aaron:</t>
        </r>
        <r>
          <rPr>
            <sz val="9"/>
            <color indexed="81"/>
            <rFont val="Tahoma"/>
            <family val="2"/>
          </rPr>
          <t xml:space="preserve">
Please see Term Sheet for more details on definitions</t>
        </r>
      </text>
    </comment>
    <comment ref="B22" authorId="0" shapeId="0" xr:uid="{2DA4304D-9E96-4274-BF7F-36F8B51DF05C}">
      <text>
        <r>
          <rPr>
            <b/>
            <sz val="9"/>
            <color indexed="81"/>
            <rFont val="Tahoma"/>
            <family val="2"/>
          </rPr>
          <t>Ngo, Aaron:</t>
        </r>
        <r>
          <rPr>
            <sz val="9"/>
            <color indexed="81"/>
            <rFont val="Tahoma"/>
            <family val="2"/>
          </rPr>
          <t xml:space="preserve">
Date of when construction loan closes and construction on project begins</t>
        </r>
      </text>
    </comment>
    <comment ref="B23" authorId="0" shapeId="0" xr:uid="{446790D1-B87A-4694-AE66-30B5D36AC834}">
      <text>
        <r>
          <rPr>
            <b/>
            <sz val="9"/>
            <color indexed="81"/>
            <rFont val="Tahoma"/>
            <family val="2"/>
          </rPr>
          <t>Ngo, Aaron:</t>
        </r>
        <r>
          <rPr>
            <sz val="9"/>
            <color indexed="81"/>
            <rFont val="Tahoma"/>
            <family val="2"/>
          </rPr>
          <t xml:space="preserve">
Date of when all construction and contractual obligations have been completed</t>
        </r>
      </text>
    </comment>
    <comment ref="D75" authorId="1" shapeId="0" xr:uid="{DE3DC0D6-357B-4821-80D0-D370A42E6BBA}">
      <text>
        <r>
          <rPr>
            <b/>
            <sz val="9"/>
            <color indexed="81"/>
            <rFont val="Tahoma"/>
            <family val="2"/>
          </rPr>
          <t>Rodriguez, Daniel - 3:</t>
        </r>
        <r>
          <rPr>
            <sz val="9"/>
            <color indexed="81"/>
            <rFont val="Tahoma"/>
            <family val="2"/>
          </rPr>
          <t xml:space="preserve">
Developer Fee available at conversion to perm financing that could cover any reductions in the perm loan and/or increase in costs.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Brian Jarvis</author>
    <author>Ngo, Aaron</author>
    <author>Rodriguez, Daniel - 3</author>
  </authors>
  <commentList>
    <comment ref="D11" authorId="0" shapeId="0" xr:uid="{00000000-0006-0000-0100-000001000000}">
      <text>
        <r>
          <rPr>
            <sz val="8"/>
            <color indexed="81"/>
            <rFont val="Arial"/>
            <family val="2"/>
          </rPr>
          <t>Please note that the Budget Line Item descriptions below in the variable input cells (i.e., shaded yellow with blue font) are pre-populated for convenience, and to promote consistency, but they can be overwritten as deemed necessary by the User.</t>
        </r>
      </text>
    </comment>
    <comment ref="F27" authorId="1" shapeId="0" xr:uid="{C200F111-7A8D-42F5-A2CA-5C56791468C1}">
      <text>
        <r>
          <rPr>
            <b/>
            <sz val="9"/>
            <color indexed="81"/>
            <rFont val="Tahoma"/>
            <family val="2"/>
          </rPr>
          <t>Ngo, Aaron:</t>
        </r>
        <r>
          <rPr>
            <sz val="9"/>
            <color indexed="81"/>
            <rFont val="Tahoma"/>
            <family val="2"/>
          </rPr>
          <t xml:space="preserve">
General Liability Insurance + Construction Supervision</t>
        </r>
      </text>
    </comment>
    <comment ref="D34" authorId="0" shapeId="0" xr:uid="{00000000-0006-0000-0100-000002000000}">
      <text>
        <r>
          <rPr>
            <sz val="8"/>
            <color indexed="81"/>
            <rFont val="Arial"/>
            <family val="2"/>
          </rPr>
          <t>Select whether each of the above line items are to be included or omitted from the hard cost contingency calculation by using the dropdown box in the column located to the right of this budget table.  If the dropdown box rows are left blank, then it is assumed that the amount will be included in the hard cost contingency calculation.  An "X" next to the total indicates that it is omitted.</t>
        </r>
      </text>
    </comment>
    <comment ref="F55" authorId="1" shapeId="0" xr:uid="{D549AAC9-869D-4CF1-BC04-CC14B85F6EDE}">
      <text>
        <r>
          <rPr>
            <b/>
            <sz val="9"/>
            <color indexed="81"/>
            <rFont val="Tahoma"/>
            <family val="2"/>
          </rPr>
          <t>Ngo, Aaron:</t>
        </r>
        <r>
          <rPr>
            <sz val="9"/>
            <color indexed="81"/>
            <rFont val="Tahoma"/>
            <family val="2"/>
          </rPr>
          <t xml:space="preserve">
Survey &amp; Engineering, Line 43</t>
        </r>
      </text>
    </comment>
    <comment ref="F58" authorId="1" shapeId="0" xr:uid="{43D1B4D0-C67F-4432-8BF6-06A5D7679A52}">
      <text>
        <r>
          <rPr>
            <b/>
            <sz val="9"/>
            <color indexed="81"/>
            <rFont val="Tahoma"/>
            <family val="2"/>
          </rPr>
          <t>Ngo, Aaron:</t>
        </r>
        <r>
          <rPr>
            <sz val="9"/>
            <color indexed="81"/>
            <rFont val="Tahoma"/>
            <family val="2"/>
          </rPr>
          <t xml:space="preserve">
Special inspections/Testing</t>
        </r>
      </text>
    </comment>
    <comment ref="F81" authorId="2" shapeId="0" xr:uid="{7116E357-792E-4902-9BC9-447E93C262CC}">
      <text>
        <r>
          <rPr>
            <b/>
            <sz val="9"/>
            <color indexed="81"/>
            <rFont val="Tahoma"/>
            <family val="2"/>
          </rPr>
          <t>Rodriguez, Daniel - 3:</t>
        </r>
        <r>
          <rPr>
            <sz val="9"/>
            <color indexed="81"/>
            <rFont val="Tahoma"/>
            <family val="2"/>
          </rPr>
          <t xml:space="preserve">
See Interest Reserve Tab</t>
        </r>
      </text>
    </comment>
    <comment ref="K99" authorId="1" shapeId="0" xr:uid="{9977FCCD-91A2-4DD4-96F8-966C8626EFB8}">
      <text>
        <r>
          <rPr>
            <b/>
            <sz val="9"/>
            <color indexed="81"/>
            <rFont val="Tahoma"/>
            <family val="2"/>
          </rPr>
          <t>Ngo, Aaron:</t>
        </r>
        <r>
          <rPr>
            <sz val="9"/>
            <color indexed="81"/>
            <rFont val="Tahoma"/>
            <family val="2"/>
          </rPr>
          <t xml:space="preserve">
</t>
        </r>
        <r>
          <rPr>
            <sz val="9"/>
            <color indexed="81"/>
            <rFont val="Tahoma"/>
            <family val="2"/>
          </rPr>
          <t>Total</t>
        </r>
        <r>
          <rPr>
            <b/>
            <sz val="9"/>
            <color indexed="81"/>
            <rFont val="Tahoma"/>
            <family val="2"/>
          </rPr>
          <t xml:space="preserve"> Uses</t>
        </r>
        <r>
          <rPr>
            <sz val="9"/>
            <color indexed="81"/>
            <rFont val="Tahoma"/>
            <family val="2"/>
          </rPr>
          <t xml:space="preserve"> During Construction</t>
        </r>
      </text>
    </comment>
    <comment ref="B103" authorId="1" shapeId="0" xr:uid="{D9F27955-256B-4B52-A97A-7D4D5301E6A3}">
      <text>
        <r>
          <rPr>
            <b/>
            <sz val="9"/>
            <color indexed="81"/>
            <rFont val="Tahoma"/>
            <family val="2"/>
          </rPr>
          <t>Ngo, Aaron:</t>
        </r>
        <r>
          <rPr>
            <sz val="9"/>
            <color indexed="81"/>
            <rFont val="Tahoma"/>
            <family val="2"/>
          </rPr>
          <t xml:space="preserve">
Sources are considered "Upfront" when are funded by construction loan closing, prior to construction commencing. 
Sources are considered "Construction" when they come in during construction.</t>
        </r>
      </text>
    </comment>
    <comment ref="K117" authorId="1" shapeId="0" xr:uid="{CA4E0885-6CAF-4AB3-B541-E21BBAB2DEC1}">
      <text>
        <r>
          <rPr>
            <b/>
            <sz val="9"/>
            <color indexed="81"/>
            <rFont val="Tahoma"/>
            <family val="2"/>
          </rPr>
          <t>Ngo, Aaron:</t>
        </r>
        <r>
          <rPr>
            <sz val="9"/>
            <color indexed="81"/>
            <rFont val="Tahoma"/>
            <family val="2"/>
          </rPr>
          <t xml:space="preserve">
Total </t>
        </r>
        <r>
          <rPr>
            <b/>
            <sz val="9"/>
            <color indexed="81"/>
            <rFont val="Tahoma"/>
            <family val="2"/>
          </rPr>
          <t>Sources</t>
        </r>
        <r>
          <rPr>
            <sz val="9"/>
            <color indexed="81"/>
            <rFont val="Tahoma"/>
            <family val="2"/>
          </rPr>
          <t xml:space="preserve"> during Construction</t>
        </r>
      </text>
    </comment>
    <comment ref="K121" authorId="1" shapeId="0" xr:uid="{695D1D99-0EB6-47F4-BE62-005B1C9C3DCF}">
      <text>
        <r>
          <rPr>
            <b/>
            <sz val="9"/>
            <color indexed="81"/>
            <rFont val="Tahoma"/>
            <family val="2"/>
          </rPr>
          <t>Ngo, Aaron:</t>
        </r>
        <r>
          <rPr>
            <sz val="9"/>
            <color indexed="81"/>
            <rFont val="Tahoma"/>
            <family val="2"/>
          </rPr>
          <t xml:space="preserve">
Total </t>
        </r>
        <r>
          <rPr>
            <b/>
            <sz val="9"/>
            <color indexed="81"/>
            <rFont val="Tahoma"/>
            <family val="2"/>
          </rPr>
          <t>Uses</t>
        </r>
        <r>
          <rPr>
            <sz val="9"/>
            <color indexed="81"/>
            <rFont val="Tahoma"/>
            <family val="2"/>
          </rPr>
          <t xml:space="preserve"> During Construction - Total </t>
        </r>
        <r>
          <rPr>
            <b/>
            <sz val="9"/>
            <color indexed="81"/>
            <rFont val="Tahoma"/>
            <family val="2"/>
          </rPr>
          <t>Sources</t>
        </r>
        <r>
          <rPr>
            <sz val="9"/>
            <color indexed="81"/>
            <rFont val="Tahoma"/>
            <family val="2"/>
          </rPr>
          <t xml:space="preserve"> During Construction</t>
        </r>
      </text>
    </comment>
    <comment ref="B125" authorId="1" shapeId="0" xr:uid="{ABC59A09-5A26-40F2-855F-527D9B809FA2}">
      <text>
        <r>
          <rPr>
            <b/>
            <sz val="9"/>
            <color indexed="81"/>
            <rFont val="Tahoma"/>
            <family val="2"/>
          </rPr>
          <t>Ngo, Aaron:</t>
        </r>
        <r>
          <rPr>
            <sz val="9"/>
            <color indexed="81"/>
            <rFont val="Tahoma"/>
            <family val="2"/>
          </rPr>
          <t xml:space="preserve">
Uses for construction loan funds between the time construction finishes and the loan converts to permanent financing. Common examples are reserves, developer fees, and costs associated with permanent financing. </t>
        </r>
      </text>
    </comment>
    <comment ref="F126" authorId="0" shapeId="0" xr:uid="{00000000-0006-0000-0100-000003000000}">
      <text>
        <r>
          <rPr>
            <sz val="8"/>
            <color indexed="81"/>
            <rFont val="Tahoma"/>
            <family val="2"/>
          </rPr>
          <t xml:space="preserve">Either input, or copy-and-paste, any values that are &gt; 0 in column F of the above master budget, which correspond to their respective line item.
</t>
        </r>
      </text>
    </comment>
    <comment ref="K141" authorId="1" shapeId="0" xr:uid="{4158E33F-A793-4A26-9513-12A0C06A41C3}">
      <text>
        <r>
          <rPr>
            <b/>
            <sz val="9"/>
            <color indexed="81"/>
            <rFont val="Tahoma"/>
            <family val="2"/>
          </rPr>
          <t>Ngo, Aaron:</t>
        </r>
        <r>
          <rPr>
            <sz val="9"/>
            <color indexed="81"/>
            <rFont val="Tahoma"/>
            <family val="2"/>
          </rPr>
          <t xml:space="preserve">
Additional project </t>
        </r>
        <r>
          <rPr>
            <b/>
            <sz val="9"/>
            <color indexed="81"/>
            <rFont val="Tahoma"/>
            <family val="2"/>
          </rPr>
          <t xml:space="preserve">Uses </t>
        </r>
        <r>
          <rPr>
            <sz val="9"/>
            <color indexed="81"/>
            <rFont val="Tahoma"/>
            <family val="2"/>
          </rPr>
          <t xml:space="preserve"> between Construction Completion and Conversion to Permanent Financing</t>
        </r>
      </text>
    </comment>
    <comment ref="K160" authorId="1" shapeId="0" xr:uid="{A1779459-D934-4714-83FF-C1B6C3FFFF7C}">
      <text>
        <r>
          <rPr>
            <b/>
            <sz val="9"/>
            <color indexed="81"/>
            <rFont val="Tahoma"/>
            <family val="2"/>
          </rPr>
          <t>Ngo, Aaron:</t>
        </r>
        <r>
          <rPr>
            <sz val="9"/>
            <color indexed="81"/>
            <rFont val="Tahoma"/>
            <family val="2"/>
          </rPr>
          <t xml:space="preserve">
Permanent Debt + Other Must Pay Debt + Additional Sources</t>
        </r>
      </text>
    </comment>
    <comment ref="K164" authorId="1" shapeId="0" xr:uid="{0BBDEA4E-88CE-4A05-AA37-9F3FB0AE3C82}">
      <text>
        <r>
          <rPr>
            <b/>
            <sz val="9"/>
            <color indexed="81"/>
            <rFont val="Tahoma"/>
            <family val="2"/>
          </rPr>
          <t>Ngo, Aaron:</t>
        </r>
        <r>
          <rPr>
            <sz val="9"/>
            <color indexed="81"/>
            <rFont val="Tahoma"/>
            <family val="2"/>
          </rPr>
          <t xml:space="preserve">
Total Permanent Uses - Total Permanent Sources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Robert Reinhardt</author>
    <author>Ngo, Aaron</author>
  </authors>
  <commentList>
    <comment ref="J8" authorId="0" shapeId="0" xr:uid="{A312570E-897F-49FC-98F8-4239D7D955D4}">
      <text>
        <r>
          <rPr>
            <sz val="9"/>
            <color indexed="81"/>
            <rFont val="Tahoma"/>
            <family val="2"/>
          </rPr>
          <t xml:space="preserve">Only enter Utility Allowance for LIHTC Units Only
</t>
        </r>
      </text>
    </comment>
    <comment ref="C78" authorId="1" shapeId="0" xr:uid="{45E4697F-8A2B-4305-BEE4-4BE09315F482}">
      <text>
        <r>
          <rPr>
            <b/>
            <sz val="9"/>
            <color indexed="81"/>
            <rFont val="Tahoma"/>
            <family val="2"/>
          </rPr>
          <t>Ngo, Aaron:</t>
        </r>
        <r>
          <rPr>
            <sz val="9"/>
            <color indexed="81"/>
            <rFont val="Tahoma"/>
            <family val="2"/>
          </rPr>
          <t xml:space="preserve">
Includes Market Rate Units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Ngo, Aaron</author>
    <author>Teresa Wilde</author>
  </authors>
  <commentList>
    <comment ref="D64" authorId="0" shapeId="0" xr:uid="{7549BA6F-59FB-44AF-873D-AE812249F108}">
      <text>
        <r>
          <rPr>
            <b/>
            <sz val="9"/>
            <color indexed="81"/>
            <rFont val="Tahoma"/>
            <family val="2"/>
          </rPr>
          <t>Ngo, Aaron:</t>
        </r>
        <r>
          <rPr>
            <sz val="9"/>
            <color indexed="81"/>
            <rFont val="Tahoma"/>
            <family val="2"/>
          </rPr>
          <t xml:space="preserve">
LAHD SCEP Fee</t>
        </r>
      </text>
    </comment>
    <comment ref="B65" authorId="1" shapeId="0" xr:uid="{00000000-0006-0000-0300-000001000000}">
      <text>
        <r>
          <rPr>
            <sz val="8"/>
            <color indexed="81"/>
            <rFont val="Tahoma"/>
            <family val="2"/>
          </rPr>
          <t>Only include above the line Social Services expense.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Robert Reinhardt</author>
  </authors>
  <commentList>
    <comment ref="F22" authorId="0" shapeId="0" xr:uid="{00000000-0006-0000-0400-000001000000}">
      <text>
        <r>
          <rPr>
            <b/>
            <sz val="9"/>
            <color indexed="81"/>
            <rFont val="Tahoma"/>
            <family val="2"/>
          </rPr>
          <t>Tranche B loan Term must not exceed the term of the rental subsidy contract.</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Ngo, Aaron</author>
  </authors>
  <commentList>
    <comment ref="E32" authorId="0" shapeId="0" xr:uid="{8C2BFAAF-FA0D-4929-B8C7-B437B4DD3FDA}">
      <text>
        <r>
          <rPr>
            <b/>
            <sz val="9"/>
            <color indexed="81"/>
            <rFont val="Tahoma"/>
            <family val="2"/>
          </rPr>
          <t>Ngo, Aaron:</t>
        </r>
        <r>
          <rPr>
            <sz val="9"/>
            <color indexed="81"/>
            <rFont val="Tahoma"/>
            <family val="2"/>
          </rPr>
          <t xml:space="preserve">
Project located in Qualified Census Tract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Rodriguez, Daniel - 3</author>
  </authors>
  <commentList>
    <comment ref="D42" authorId="0" shapeId="0" xr:uid="{36825734-977F-429D-8CB9-ED23F54565D2}">
      <text>
        <r>
          <rPr>
            <b/>
            <sz val="9"/>
            <color indexed="81"/>
            <rFont val="Tahoma"/>
            <family val="2"/>
          </rPr>
          <t>Rodriguez, Daniel - 3:</t>
        </r>
        <r>
          <rPr>
            <sz val="9"/>
            <color indexed="81"/>
            <rFont val="Tahoma"/>
            <family val="2"/>
          </rPr>
          <t xml:space="preserve">
Percentage of remaining cash flow allocated to DDF after pmt of LP Investor Fee</t>
        </r>
      </text>
    </comment>
    <comment ref="D49" authorId="0" shapeId="0" xr:uid="{B93233C3-81BD-457E-9315-8266FB460DB8}">
      <text>
        <r>
          <rPr>
            <b/>
            <sz val="9"/>
            <color indexed="81"/>
            <rFont val="Tahoma"/>
            <family val="2"/>
          </rPr>
          <t>Rodriguez, Daniel - 3:</t>
        </r>
        <r>
          <rPr>
            <sz val="9"/>
            <color indexed="81"/>
            <rFont val="Tahoma"/>
            <family val="2"/>
          </rPr>
          <t xml:space="preserve">
Subordinate Debt Principal
</t>
        </r>
      </text>
    </comment>
    <comment ref="D50" authorId="0" shapeId="0" xr:uid="{EF8EC171-112C-4A6E-BBB1-774D283ABED4}">
      <text>
        <r>
          <rPr>
            <b/>
            <sz val="9"/>
            <color indexed="81"/>
            <rFont val="Tahoma"/>
            <family val="2"/>
          </rPr>
          <t>Rodriguez, Daniel - 3:</t>
        </r>
        <r>
          <rPr>
            <sz val="9"/>
            <color indexed="81"/>
            <rFont val="Tahoma"/>
            <family val="2"/>
          </rPr>
          <t xml:space="preserve">
Simple Interest Rate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Ngo, Aaron</author>
  </authors>
  <commentList>
    <comment ref="B18" authorId="0" shapeId="0" xr:uid="{92C684CB-9B04-4960-91FC-9443299F924D}">
      <text>
        <r>
          <rPr>
            <b/>
            <sz val="9"/>
            <color indexed="81"/>
            <rFont val="Tahoma"/>
            <family val="2"/>
          </rPr>
          <t>Ngo, Aaron:</t>
        </r>
        <r>
          <rPr>
            <sz val="9"/>
            <color indexed="81"/>
            <rFont val="Tahoma"/>
            <family val="2"/>
          </rPr>
          <t xml:space="preserve">
A general rule of thumb is to assume 60% of the construction loan is drawn. Figure estimates average outstanding loan proceeds over entire construction period.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<sst xmlns="http://schemas.openxmlformats.org/spreadsheetml/2006/main" count="767" uniqueCount="594">
  <si>
    <t xml:space="preserve">Broadleaf Flats </t>
  </si>
  <si>
    <t>Bank of America - Affordable Housing Challenge Model</t>
  </si>
  <si>
    <t>Team Name</t>
  </si>
  <si>
    <t>School Name</t>
  </si>
  <si>
    <t>California Polytechnic State University, San Luis Obispo</t>
  </si>
  <si>
    <t>Date</t>
  </si>
  <si>
    <t>Table of Contents</t>
  </si>
  <si>
    <t>pg. #</t>
  </si>
  <si>
    <t>Summary</t>
  </si>
  <si>
    <t>….............................................................................................................</t>
  </si>
  <si>
    <t>Sources and Uses</t>
  </si>
  <si>
    <t>Rents</t>
  </si>
  <si>
    <t>Proforma - Base Year</t>
  </si>
  <si>
    <t>Debt &amp; Valuation</t>
  </si>
  <si>
    <t>Tax Credits</t>
  </si>
  <si>
    <t>Long Term Proforma</t>
  </si>
  <si>
    <t>Interest Reserve</t>
  </si>
  <si>
    <t>City Impact Fees</t>
  </si>
  <si>
    <t>Notes</t>
  </si>
  <si>
    <t>Affordable Housing Housing Challenge Financial Model - Summary</t>
  </si>
  <si>
    <t>Project Name</t>
  </si>
  <si>
    <t>Date of Model</t>
  </si>
  <si>
    <t>Page #:</t>
  </si>
  <si>
    <t>PROJECT SUMMARY</t>
  </si>
  <si>
    <t>LIHTC Type</t>
  </si>
  <si>
    <t>Address</t>
  </si>
  <si>
    <t>2900 Broad Street, San Luis Obispo, CA</t>
  </si>
  <si>
    <t>DDA/QCT</t>
  </si>
  <si>
    <t>Opportunity Resource Area (CA projects)</t>
  </si>
  <si>
    <t>Highest</t>
  </si>
  <si>
    <t>https://belonging.berkeley.edu/2025-ctcachcd-affh-mapping-tool</t>
  </si>
  <si>
    <t>Total Units</t>
  </si>
  <si>
    <t>Site Area (acre)</t>
  </si>
  <si>
    <t>Affordable Units</t>
  </si>
  <si>
    <t>Density (units/acre)</t>
  </si>
  <si>
    <t>Market Units</t>
  </si>
  <si>
    <t># of Parking Spaces</t>
  </si>
  <si>
    <t>Rental Subsidy Units</t>
  </si>
  <si>
    <t>Parking Ratio</t>
  </si>
  <si>
    <t># of Manager Units</t>
  </si>
  <si>
    <t>Net Rentable Area - Residential (sf)</t>
  </si>
  <si>
    <t>Other Comments:</t>
  </si>
  <si>
    <t>PROJECT SCHEDULE</t>
  </si>
  <si>
    <t>Closing Date</t>
  </si>
  <si>
    <t>Completion Date</t>
  </si>
  <si>
    <t>months from closing</t>
  </si>
  <si>
    <t>Placed In Service Deadline</t>
  </si>
  <si>
    <t>Leasing Start Date</t>
  </si>
  <si>
    <t>Initial Stabilization</t>
  </si>
  <si>
    <t>months after leasing start date</t>
  </si>
  <si>
    <t>Conversion</t>
  </si>
  <si>
    <t>months stabilized</t>
  </si>
  <si>
    <t>Cushion btn Initial Stabilization and Construction Loan Maturity</t>
  </si>
  <si>
    <t>Cushion btn Conversion and Construction Loan Maturity</t>
  </si>
  <si>
    <t>Construction Loan Term</t>
  </si>
  <si>
    <t>months</t>
  </si>
  <si>
    <t>Project Requirement - Construction loan term not to exceed 36 months</t>
  </si>
  <si>
    <t>SOURCES AND USES</t>
  </si>
  <si>
    <t xml:space="preserve">SCHEDULES </t>
  </si>
  <si>
    <t>SOURCES</t>
  </si>
  <si>
    <t>Construction</t>
  </si>
  <si>
    <t>Permanent</t>
  </si>
  <si>
    <t xml:space="preserve">EQUITY PAY-IN </t>
  </si>
  <si>
    <t>%</t>
  </si>
  <si>
    <t>Amount</t>
  </si>
  <si>
    <t>Senior Debt</t>
  </si>
  <si>
    <t>Closing</t>
  </si>
  <si>
    <t>LLP Equity Contributions</t>
  </si>
  <si>
    <t>Completion</t>
  </si>
  <si>
    <t>Total</t>
  </si>
  <si>
    <t>LIHTC Equity</t>
  </si>
  <si>
    <t xml:space="preserve">DEVELOPER FEE </t>
  </si>
  <si>
    <t>Deferred Discretionary Developer Fee</t>
  </si>
  <si>
    <t>Other Deferrals</t>
  </si>
  <si>
    <t>TOTAL SOURCES</t>
  </si>
  <si>
    <t>USES</t>
  </si>
  <si>
    <t>Total Land Costs</t>
  </si>
  <si>
    <t>Total Hard Costs</t>
  </si>
  <si>
    <t>Total Other Soft Costs</t>
  </si>
  <si>
    <t>TOTAL USES</t>
  </si>
  <si>
    <t>Def Dev Fee Collected prior to Year 14</t>
  </si>
  <si>
    <t>SURPLUS  &lt; SHORTAGE &gt;</t>
  </si>
  <si>
    <t>FINANCIAL METRICS</t>
  </si>
  <si>
    <t>Explanation</t>
  </si>
  <si>
    <t>VALUATION</t>
  </si>
  <si>
    <t>We believe that this calculation indicates a false deficit, and references incorrect information. Please review our sources and uses page to see that our sources are equal to uses both during construction and after conversion/completion.</t>
  </si>
  <si>
    <t>Property Value</t>
  </si>
  <si>
    <t>Tax Credit Value</t>
  </si>
  <si>
    <t>Total Value</t>
  </si>
  <si>
    <t>RATIOS</t>
  </si>
  <si>
    <t xml:space="preserve">Construction </t>
  </si>
  <si>
    <t>Budgeted Interest Reserve - Required</t>
  </si>
  <si>
    <t>LTV Senior Debt</t>
  </si>
  <si>
    <t>Project Requirement - Up to 80% on Permanent Senior Debt</t>
  </si>
  <si>
    <t>Senior Debt LTC</t>
  </si>
  <si>
    <t>First Year DSCR</t>
  </si>
  <si>
    <t>Project Requirement - DSCR on must-pay debt must be no less than 1.15x</t>
  </si>
  <si>
    <t>Hard Cost Contingency %</t>
  </si>
  <si>
    <t>NA</t>
  </si>
  <si>
    <t>Project Requirement - No less than 5% for new constructions and 10% for rehab</t>
  </si>
  <si>
    <t>Soft Cost Contingency %</t>
  </si>
  <si>
    <t xml:space="preserve">Cushion at Conversion </t>
  </si>
  <si>
    <t>AHC Financial Model, Sources and Uses</t>
  </si>
  <si>
    <t>3 - 4</t>
  </si>
  <si>
    <t>USES CONSTRUCTION - PHASE 1</t>
  </si>
  <si>
    <t>Per</t>
  </si>
  <si>
    <t>MASTER BUDGET</t>
  </si>
  <si>
    <t>GROSS BUDGET</t>
  </si>
  <si>
    <t>COST BASIS</t>
  </si>
  <si>
    <t xml:space="preserve">USES DEFERRED  TO </t>
  </si>
  <si>
    <t>NET</t>
  </si>
  <si>
    <t>Sq Ft</t>
  </si>
  <si>
    <t>Unit</t>
  </si>
  <si>
    <t>COMPLETION OR LATER</t>
  </si>
  <si>
    <t>CONSTRUCTION</t>
  </si>
  <si>
    <t>Line Item</t>
  </si>
  <si>
    <t>BUDGET</t>
  </si>
  <si>
    <t>Land Value</t>
  </si>
  <si>
    <t>Building and Improvement Value</t>
  </si>
  <si>
    <t>Legal,  Broker, Due Diligence, Title, Org Costs</t>
  </si>
  <si>
    <t>Transfer Tax</t>
  </si>
  <si>
    <t>TOTAL LAND COSTS</t>
  </si>
  <si>
    <t>Off Site Improvements</t>
  </si>
  <si>
    <t>On-Site improvements</t>
  </si>
  <si>
    <t>Demolition</t>
  </si>
  <si>
    <t>TOTAL SITE WORK</t>
  </si>
  <si>
    <t>Construction - Residential</t>
  </si>
  <si>
    <t>Construction - Commercial</t>
  </si>
  <si>
    <t>Other Non-Eligible (Carports, storage)</t>
  </si>
  <si>
    <t>General Requirements</t>
  </si>
  <si>
    <t>Contractor Overhead</t>
  </si>
  <si>
    <t>Contractor Profit</t>
  </si>
  <si>
    <t>Other Construction Costs</t>
  </si>
  <si>
    <t>Personal Property - Construction Budget</t>
  </si>
  <si>
    <t>Personal Property - Furnishings, Rec Equipment</t>
  </si>
  <si>
    <t>P&amp;P Bond</t>
  </si>
  <si>
    <t>GC - B&amp;O &amp; Other Taxes</t>
  </si>
  <si>
    <t>Solar Costs</t>
  </si>
  <si>
    <t>Other</t>
  </si>
  <si>
    <t>Construction Contingency</t>
  </si>
  <si>
    <t>TOTAL CONSTRUCTION COSTS</t>
  </si>
  <si>
    <t>Insurance</t>
  </si>
  <si>
    <t>Utility Connection Fees</t>
  </si>
  <si>
    <t>Real Estate Taxes</t>
  </si>
  <si>
    <t>Legal</t>
  </si>
  <si>
    <t>Accounting</t>
  </si>
  <si>
    <t>Residential Relocation (Rehab)</t>
  </si>
  <si>
    <t>Commercial Relocation</t>
  </si>
  <si>
    <t>Pre-development Interest</t>
  </si>
  <si>
    <t>Architect</t>
  </si>
  <si>
    <t>ALTA Survey</t>
  </si>
  <si>
    <t>Appraisal &amp; Market Study</t>
  </si>
  <si>
    <t>Soils Investigation</t>
  </si>
  <si>
    <t>Local Development Impact Fees</t>
  </si>
  <si>
    <t>Permits</t>
  </si>
  <si>
    <t>Organizational Costs</t>
  </si>
  <si>
    <t>Phase I Report</t>
  </si>
  <si>
    <t>Environmental Surveys</t>
  </si>
  <si>
    <t>Environmental Abatement</t>
  </si>
  <si>
    <t>Entitlement Services</t>
  </si>
  <si>
    <t>Consultant - Other Engineering</t>
  </si>
  <si>
    <t>Commercial Leasing Fees</t>
  </si>
  <si>
    <t xml:space="preserve">LEED/HERS Rater  </t>
  </si>
  <si>
    <t>Consultants (Land Use Outreach &amp; Others</t>
  </si>
  <si>
    <t>Escalation Contingency/Additional Proceeds from Extra ILP Equity</t>
  </si>
  <si>
    <t>Soft Cost Contingency</t>
  </si>
  <si>
    <t>TOTAL OTHER SOFT COSTS</t>
  </si>
  <si>
    <t>Const Loan Origination Fee</t>
  </si>
  <si>
    <t>----------&gt;</t>
  </si>
  <si>
    <t>Const Title &amp; Recording</t>
  </si>
  <si>
    <t>Construction Loan Inspection</t>
  </si>
  <si>
    <t>B of A Lender Legal</t>
  </si>
  <si>
    <t>Other Construction Financing Costs</t>
  </si>
  <si>
    <t>Perm Loan Origination Fee</t>
  </si>
  <si>
    <t>Perm Conversion Fee</t>
  </si>
  <si>
    <t>Perm Lender Commitment Fee</t>
  </si>
  <si>
    <t>Perm Lender Closing Costs</t>
  </si>
  <si>
    <t>Perm Title &amp; Recording</t>
  </si>
  <si>
    <t>Perm Lender Legal</t>
  </si>
  <si>
    <t>Bond Costs</t>
  </si>
  <si>
    <t>Upfront LC Fees</t>
  </si>
  <si>
    <t>Annual LC Fee</t>
  </si>
  <si>
    <t>FHA Costs (See separate detail schedule)</t>
  </si>
  <si>
    <t>FHA Escrows (See separate detail schedule)</t>
  </si>
  <si>
    <t>Soft Cost + HTF Interest</t>
  </si>
  <si>
    <t>Bank of America Interest Reserve</t>
  </si>
  <si>
    <t>TOTAL FINANCING COSTS</t>
  </si>
  <si>
    <t>Tax Credit Fees (Application, etc.)</t>
  </si>
  <si>
    <t xml:space="preserve">Syndication Fees </t>
  </si>
  <si>
    <t>Marketing, Lease-up</t>
  </si>
  <si>
    <t>OPERATING RESERVE REQUIREMENTS</t>
  </si>
  <si>
    <t>Furnishings</t>
  </si>
  <si>
    <t>Months</t>
  </si>
  <si>
    <t>Investor Equity Legal</t>
  </si>
  <si>
    <t>Op exp</t>
  </si>
  <si>
    <t>TOTAL ORG COSTS, START-UP</t>
  </si>
  <si>
    <t>Debt Service</t>
  </si>
  <si>
    <t>Commercial Reserve, First Year T&amp;I Impound</t>
  </si>
  <si>
    <t>Replacement Reserve</t>
  </si>
  <si>
    <t>Replacement Reserves</t>
  </si>
  <si>
    <t>Operating Reserve</t>
  </si>
  <si>
    <t>-----------------------------------&gt;</t>
  </si>
  <si>
    <t>Total Operating Reserve</t>
  </si>
  <si>
    <t>Supportive Services Reserve</t>
  </si>
  <si>
    <t>Transition Reserves</t>
  </si>
  <si>
    <t>DEVELOPER FEE SCHEDULE</t>
  </si>
  <si>
    <t>Operating Deficit / Leaseup Reserves</t>
  </si>
  <si>
    <t xml:space="preserve">Timing </t>
  </si>
  <si>
    <t>TOTAL RESERVES</t>
  </si>
  <si>
    <t>Upfront</t>
  </si>
  <si>
    <t>Tax Credit Consultant</t>
  </si>
  <si>
    <t>Developer Fees</t>
  </si>
  <si>
    <t>TOTAL DEVELOPER FEE and RELATED</t>
  </si>
  <si>
    <t>TOTAL PROJECT COSTS</t>
  </si>
  <si>
    <t>-------&gt;</t>
  </si>
  <si>
    <t>A</t>
  </si>
  <si>
    <t>Deferred</t>
  </si>
  <si>
    <t>SOURCES DURING CONSTRUCTION  - Phase 1</t>
  </si>
  <si>
    <t>Timing of Funding</t>
  </si>
  <si>
    <t>Source</t>
  </si>
  <si>
    <t>Condition to Fund</t>
  </si>
  <si>
    <t>Construction LTC</t>
  </si>
  <si>
    <t>Construction Loan</t>
  </si>
  <si>
    <t>Community Development Block Grant (CDBG)</t>
  </si>
  <si>
    <t>City of San Luis Obispo - HOME Grant</t>
  </si>
  <si>
    <t>SLO Housing Trust Fund</t>
  </si>
  <si>
    <t>City Of San Luis Obispo Deferred Fee Loan</t>
  </si>
  <si>
    <t>City of San Luis Obispo In-Lieu Funds</t>
  </si>
  <si>
    <t>Title 29 Funds</t>
  </si>
  <si>
    <t>https://www.slocounty.ca.gov/getmedia/607bf40e-4cdc-4743-a878-05dcc6e5b9c1/draft-title-29-report-for-fy-23-24#:~:text=On%20February%206%2C%202024%2C%20the,Land%20Use%20Ordinance%20Section%2022.12.</t>
  </si>
  <si>
    <t>Wood Innovations Grant (Mass Timber)</t>
  </si>
  <si>
    <t>https://www.fs.usda.gov/science-technology/energy-forest-products/wood-innovation/grants</t>
  </si>
  <si>
    <t>Developer Defferred Fee</t>
  </si>
  <si>
    <t>TOTAL SOURCES THROUGH CONSTRUCTION</t>
  </si>
  <si>
    <t>B</t>
  </si>
  <si>
    <t>(-)  TOTAL USES THROUGH CONSTRUCTION</t>
  </si>
  <si>
    <t>SURPLUS (DEFICIT) THROUGH CONSTRUCTION</t>
  </si>
  <si>
    <t>C = A - B</t>
  </si>
  <si>
    <t>USES - COMPLETION THROUGH CONVERSION - PHASE 2</t>
  </si>
  <si>
    <t>DEFERRALS DURING CONSTRUCTION</t>
  </si>
  <si>
    <t>DEFERRALS  THROUGH CONVERSION</t>
  </si>
  <si>
    <t>NET USES 
THIS 
PHASE</t>
  </si>
  <si>
    <t>Local Impact Fees</t>
  </si>
  <si>
    <t>Repayment of Construction Loan</t>
  </si>
  <si>
    <t>TOTAL USES AT COMPLETION THROUGH CONVERSION</t>
  </si>
  <si>
    <t>D</t>
  </si>
  <si>
    <t>SOURCES AT COMPLETION THROUGH CONVERSION - PHASE 2</t>
  </si>
  <si>
    <t xml:space="preserve">Source  </t>
  </si>
  <si>
    <t>Permanent Loan</t>
  </si>
  <si>
    <t>Tranche A</t>
  </si>
  <si>
    <r>
      <t xml:space="preserve">Tranche B </t>
    </r>
    <r>
      <rPr>
        <i/>
        <sz val="10"/>
        <color theme="1"/>
        <rFont val="Calibri"/>
        <family val="2"/>
        <scheme val="minor"/>
      </rPr>
      <t>(If applicable)</t>
    </r>
  </si>
  <si>
    <t>Total Permanent Senior Debt</t>
  </si>
  <si>
    <t>Other Must Pay Debt</t>
  </si>
  <si>
    <t>https://sgc.ca.gov/grant-programs/ahsc/docs/20240703-AHSC_FAQ_BL.pdf</t>
  </si>
  <si>
    <t>$250k MHP eligible TODD unit</t>
  </si>
  <si>
    <t>Total Must Pay Debt</t>
  </si>
  <si>
    <t>OTHER SOURCES - COMPLETION THROUGH CONVERSION</t>
  </si>
  <si>
    <t>Timing</t>
  </si>
  <si>
    <t>Conditions</t>
  </si>
  <si>
    <t>TOTAL SOURCES AFTER COMPLETION THROUGH CONVERSION</t>
  </si>
  <si>
    <t>E</t>
  </si>
  <si>
    <t>SURPLUS (DEFICIT) AT CONVERSION</t>
  </si>
  <si>
    <t>F = E - D</t>
  </si>
  <si>
    <t>AHC Financial Model, Rents</t>
  </si>
  <si>
    <t>Rental Subsidy Increment (Section 8 / VASH, etc.)</t>
  </si>
  <si>
    <t>Description</t>
  </si>
  <si>
    <t>Bedroom Type</t>
  </si>
  <si>
    <t># of Baths</t>
  </si>
  <si>
    <t>Unit Classification</t>
  </si>
  <si>
    <t>AMI</t>
  </si>
  <si>
    <t>No. of Units</t>
  </si>
  <si>
    <t>Gross Monthly Rent</t>
  </si>
  <si>
    <t>Utility Allowance Monthly</t>
  </si>
  <si>
    <t xml:space="preserve">Net Monthly Rent </t>
  </si>
  <si>
    <t>Open Market Rate Monthly Rent</t>
  </si>
  <si>
    <t>Discount to Market</t>
  </si>
  <si>
    <t>No. of Units with Rental Subsidy</t>
  </si>
  <si>
    <t>Increment / Unit</t>
  </si>
  <si>
    <t>Total Monthly Subsidy</t>
  </si>
  <si>
    <t>Total Annual Subsidy</t>
  </si>
  <si>
    <t>Studio</t>
  </si>
  <si>
    <t>LIHTC</t>
  </si>
  <si>
    <t>1 BD</t>
  </si>
  <si>
    <t>2 BD</t>
  </si>
  <si>
    <t>3 BD</t>
  </si>
  <si>
    <t>Manager</t>
  </si>
  <si>
    <t xml:space="preserve"> </t>
  </si>
  <si>
    <t>https://www.slocity.org/home/showpublisheddocument/34349/638238078837600000</t>
  </si>
  <si>
    <t>https://static1.squarespace.com/static/538622a1e4b0eca47fbe761f/t/660ac94d691b96253f1d1445/1711982925380/Utility+Allowance+-+April+1%2C+2024-March+31%2C+2025+passed+Jan-18-2024.pdf</t>
  </si>
  <si>
    <t>https://www.treasurer.ca.gov/ctcac/2024/supplemental/rent4124.pdf</t>
  </si>
  <si>
    <t>COMMERCIAL SPACE</t>
  </si>
  <si>
    <t>https://static1.squarespace.com/static/538622a1e4b0eca47fbe761f/t/633df35558084b4256ed2311/1665004373746/2022+-+HASLO+Payment+Standards_ALL_2022.10.01-revised.pdf</t>
  </si>
  <si>
    <t>1 Bdr</t>
  </si>
  <si>
    <t>2 Bdr</t>
  </si>
  <si>
    <t>3 Bdr</t>
  </si>
  <si>
    <t>4 Bdr</t>
  </si>
  <si>
    <t>All Electricity</t>
  </si>
  <si>
    <t>All Water</t>
  </si>
  <si>
    <t>Trash</t>
  </si>
  <si>
    <t>For Mixed-Use Developments Only</t>
  </si>
  <si>
    <t>Sq. Ft</t>
  </si>
  <si>
    <t>Rent per month</t>
  </si>
  <si>
    <t>Rent / Sq. ft</t>
  </si>
  <si>
    <t>Market Rate Rent per Month</t>
  </si>
  <si>
    <t>% Below Market</t>
  </si>
  <si>
    <t>UNIT AND AFFORDABILITY BREAKDOWN</t>
  </si>
  <si>
    <t>AMI%</t>
  </si>
  <si>
    <t># of Units</t>
  </si>
  <si>
    <t>Project Requirement - 20% of project's affordable units must be affordable to households with less than 50% of AMI</t>
  </si>
  <si>
    <t>Project Requirement - 40% of project's units must be affordable to households with less than 60% of AMI</t>
  </si>
  <si>
    <t>Total Affordable</t>
  </si>
  <si>
    <t>Market Rate/Other</t>
  </si>
  <si>
    <t>Average Affordability</t>
  </si>
  <si>
    <t>Project Requirement - average income limits must be less than 60%</t>
  </si>
  <si>
    <t>UNIT MIX</t>
  </si>
  <si>
    <t>BR</t>
  </si>
  <si>
    <t>AHC Financial Model, Base Year Proforma</t>
  </si>
  <si>
    <t>BASE YEAR INCOME AND EXPENSES</t>
  </si>
  <si>
    <t>INCOME</t>
  </si>
  <si>
    <t>Annual</t>
  </si>
  <si>
    <t>Per Unit</t>
  </si>
  <si>
    <t>PSF</t>
  </si>
  <si>
    <t>Rental Revenue</t>
  </si>
  <si>
    <t>Rental Subsidy Incremental</t>
  </si>
  <si>
    <t>Other Income / Laundry Misc</t>
  </si>
  <si>
    <t>Commercial Income</t>
  </si>
  <si>
    <t>Total Revenue</t>
  </si>
  <si>
    <t>Vacancy - Restricted Rent</t>
  </si>
  <si>
    <t>Vacancy - Rental Subsidy</t>
  </si>
  <si>
    <t>Vacancy - Other Inc</t>
  </si>
  <si>
    <t>Vacancy (Commercial)</t>
  </si>
  <si>
    <t>Total Vacancy</t>
  </si>
  <si>
    <t>Effective Gross Income</t>
  </si>
  <si>
    <t>EXPENSES</t>
  </si>
  <si>
    <t>Property Management Fees</t>
  </si>
  <si>
    <t>Administrative</t>
  </si>
  <si>
    <t>Computer Expense</t>
  </si>
  <si>
    <t>Telephone, Bank chgs, credit cks, misc office</t>
  </si>
  <si>
    <t>Accounting/Audit</t>
  </si>
  <si>
    <t>Office Expense</t>
  </si>
  <si>
    <t>Training</t>
  </si>
  <si>
    <t>Security</t>
  </si>
  <si>
    <t>Advertising</t>
  </si>
  <si>
    <t>Total Administration</t>
  </si>
  <si>
    <t>Payroll/Payroll Taxes</t>
  </si>
  <si>
    <t>Manager Salary</t>
  </si>
  <si>
    <t>Janitorial</t>
  </si>
  <si>
    <t>Maintenance Personnel</t>
  </si>
  <si>
    <t>Med insurance / Benefits</t>
  </si>
  <si>
    <t>Payroll Taxes / Bond</t>
  </si>
  <si>
    <t>Total Payroll and Benefits</t>
  </si>
  <si>
    <t>Utilities</t>
  </si>
  <si>
    <t>Cable TV</t>
  </si>
  <si>
    <t>Electricity</t>
  </si>
  <si>
    <t>Gas</t>
  </si>
  <si>
    <t>Water</t>
  </si>
  <si>
    <t>Sewer</t>
  </si>
  <si>
    <t>Total Utilities</t>
  </si>
  <si>
    <t>Marketing</t>
  </si>
  <si>
    <t>Repairs and Maintenance</t>
  </si>
  <si>
    <t>Painting</t>
  </si>
  <si>
    <t>Repairs</t>
  </si>
  <si>
    <t>Trash Removal</t>
  </si>
  <si>
    <t>Exterminating/Contract Services</t>
  </si>
  <si>
    <t>Grounds</t>
  </si>
  <si>
    <t>Elevator</t>
  </si>
  <si>
    <t>Other (alarm monitoring)</t>
  </si>
  <si>
    <t>Total Repairs and Maintenance</t>
  </si>
  <si>
    <t>Miscellaneous</t>
  </si>
  <si>
    <t>Other Expenses</t>
  </si>
  <si>
    <t>Social Services</t>
  </si>
  <si>
    <t>Total Operating Expenses</t>
  </si>
  <si>
    <t>Operating Reserves</t>
  </si>
  <si>
    <t>Total Expenses &amp; Reserves</t>
  </si>
  <si>
    <t>Operating Expense Ratio</t>
  </si>
  <si>
    <t>Net Operating Income (NOI)</t>
  </si>
  <si>
    <t>Maximum Debt Services</t>
  </si>
  <si>
    <t>PERM LOAN CAPACITY</t>
  </si>
  <si>
    <t>NOI -- No Rent Subsidy</t>
  </si>
  <si>
    <t>Maximum NOI Available for Debt Service - No Rent Subsidy</t>
  </si>
  <si>
    <t>Tranche B</t>
  </si>
  <si>
    <t>Net Rent Subsidy</t>
  </si>
  <si>
    <t>Maximum NOI Available for Debt Service on Rental  Subsidy Revenue</t>
  </si>
  <si>
    <t>AHC Financial Model, Debt &amp; Valuation</t>
  </si>
  <si>
    <t>Project NOI - Restricted Rents</t>
  </si>
  <si>
    <t>Cap Rate</t>
  </si>
  <si>
    <t>Stabilized Property Value</t>
  </si>
  <si>
    <t>Federal Tax Credit Value</t>
  </si>
  <si>
    <t>State Tax Credit Value</t>
  </si>
  <si>
    <t>PERMANENT DEBT</t>
  </si>
  <si>
    <t>Other Must Pay Debt (&lt;30 years)</t>
  </si>
  <si>
    <t>Other Must Pay Debt (&gt;30 years)</t>
  </si>
  <si>
    <t>Must Pay Permanent Debt</t>
  </si>
  <si>
    <t>Permanent Loan 1
Tranche A</t>
  </si>
  <si>
    <t>Permanent Loan 2
Tranche B</t>
  </si>
  <si>
    <t>Permanent Loan 3</t>
  </si>
  <si>
    <t>Permanent Loan 4</t>
  </si>
  <si>
    <t>Lender</t>
  </si>
  <si>
    <t>Bank of America</t>
  </si>
  <si>
    <t>HCD - AHSC</t>
  </si>
  <si>
    <t>HCD - MHP</t>
  </si>
  <si>
    <t>Loan Amount</t>
  </si>
  <si>
    <t>Rate</t>
  </si>
  <si>
    <t>Years Paid</t>
  </si>
  <si>
    <t>Term (# of years to maturity)</t>
  </si>
  <si>
    <t>Pymnt Freq (monthly)</t>
  </si>
  <si>
    <t>Maximum Debt Service - Per Proforma</t>
  </si>
  <si>
    <t>Annual Debt Service</t>
  </si>
  <si>
    <t>Cumulative Debt Service</t>
  </si>
  <si>
    <t>Cumulative Debt Service Coverage Ratio (DSCR)</t>
  </si>
  <si>
    <t>Project Requirement - Cumulative DSCR to be no less than 1.15x</t>
  </si>
  <si>
    <t>*HCD - AHSC and MHP are non-amortizing loans</t>
  </si>
  <si>
    <t>Total HCD Loans (AHSC &amp; MHP)</t>
  </si>
  <si>
    <t>Annual Overage Contribution</t>
  </si>
  <si>
    <t>Contribution Towards Principal (30 Years)</t>
  </si>
  <si>
    <t>Principal Unpaid (Year 30)</t>
  </si>
  <si>
    <t>MHP</t>
  </si>
  <si>
    <t>AHC Financial Model, Tax Credits</t>
  </si>
  <si>
    <t>FEDERAL LOW INCOME HOUSING TAX CREDITS</t>
  </si>
  <si>
    <t>Tax Credit Type</t>
  </si>
  <si>
    <t>Threshold Basis Limit (221(d)(3))</t>
  </si>
  <si>
    <t>Basis Limits</t>
  </si>
  <si>
    <t>1&gt; Payment of Prevailing Wages (20%)</t>
  </si>
  <si>
    <t>2&gt; Parking under residential units (10%)</t>
  </si>
  <si>
    <t>3&gt; Day Care part of development (2%)</t>
  </si>
  <si>
    <t>4&gt; Seismic upgrades</t>
  </si>
  <si>
    <t>5&gt; Development Impact Fees</t>
  </si>
  <si>
    <t xml:space="preserve">4 Bdr </t>
  </si>
  <si>
    <t>6&gt; 95% of upper units serviced by elevator (10%)</t>
  </si>
  <si>
    <t>Adjusted Threshold Basis Limit</t>
  </si>
  <si>
    <t xml:space="preserve">Total Eligible Basis </t>
  </si>
  <si>
    <t>Sources/Uses</t>
  </si>
  <si>
    <t>Less:  Grant Proceeds</t>
  </si>
  <si>
    <r>
      <t xml:space="preserve">50% Test </t>
    </r>
    <r>
      <rPr>
        <b/>
        <i/>
        <sz val="10"/>
        <rFont val="Calibri"/>
        <family val="2"/>
        <scheme val="minor"/>
      </rPr>
      <t>(Only for 4%/Tax Exempt Bond Deal)</t>
    </r>
  </si>
  <si>
    <t xml:space="preserve">             BMIR Financing</t>
  </si>
  <si>
    <t>Short Term Bonds</t>
  </si>
  <si>
    <t xml:space="preserve">            Voluntarily Excluded</t>
  </si>
  <si>
    <t>Long Term Bonds</t>
  </si>
  <si>
    <t>Total Bonds</t>
  </si>
  <si>
    <t>Requested Unadjusted Basis</t>
  </si>
  <si>
    <t>Basis</t>
  </si>
  <si>
    <t>Lower of Adjusted or Requested</t>
  </si>
  <si>
    <t>Land</t>
  </si>
  <si>
    <t>Less:  Voluntarily Reduced for points</t>
  </si>
  <si>
    <t>Basis + Land</t>
  </si>
  <si>
    <t>Requested Basis</t>
  </si>
  <si>
    <t>&gt;50% Test Fraction</t>
  </si>
  <si>
    <t>Must be 51.5% or greater. Only Applicable for 4%/Tax Exempt Bond Deal</t>
  </si>
  <si>
    <t>High Cost Area Adjustment / Basis Boost</t>
  </si>
  <si>
    <t>Yes</t>
  </si>
  <si>
    <t>Applicable Fraction</t>
  </si>
  <si>
    <t>Total Qualified Basis</t>
  </si>
  <si>
    <t>Tax Credit Percentage / Applicable Percentage</t>
  </si>
  <si>
    <t>Calculated Annual Tax Credit / Credit Allocation</t>
  </si>
  <si>
    <t>9% Max Allowable Credits</t>
  </si>
  <si>
    <t>10 Year Credits</t>
  </si>
  <si>
    <t>LP Percentage</t>
  </si>
  <si>
    <t>Total Tax Credits to LP</t>
  </si>
  <si>
    <t>Assumed Sales Price / Credit</t>
  </si>
  <si>
    <t xml:space="preserve">Total LIHTC Equity Proceeds </t>
  </si>
  <si>
    <t>STATE TAX CREDITS</t>
  </si>
  <si>
    <t>Calculation of State Credits</t>
  </si>
  <si>
    <t>Actual Basis</t>
  </si>
  <si>
    <t>State Credit Factor</t>
  </si>
  <si>
    <t>Total 4 Year State Credits</t>
  </si>
  <si>
    <t>Assumed Sales Price</t>
  </si>
  <si>
    <t>Equity Proceeds from State Credits</t>
  </si>
  <si>
    <t>TOTAL EQUITY, FEDERAL &amp; STATE CREDITS</t>
  </si>
  <si>
    <t>EQUITY CAPITAL CONTRIBUTIONS</t>
  </si>
  <si>
    <t>AHC Financial Model, Long Term Proforma</t>
  </si>
  <si>
    <t>PROFORMA ASSUMPTIONS</t>
  </si>
  <si>
    <t>Annual % Increase in Rents</t>
  </si>
  <si>
    <t>Average Operating Expense Annual % Increase</t>
  </si>
  <si>
    <t>Year</t>
  </si>
  <si>
    <t>Escalation</t>
  </si>
  <si>
    <t>Cash Flow After Must Pay Debt</t>
  </si>
  <si>
    <t>Debt Service Coverage Ratio</t>
  </si>
  <si>
    <t>Uses of Residual Cash Flow:</t>
  </si>
  <si>
    <t xml:space="preserve">    Investor Services Fee (Limited Partner)</t>
  </si>
  <si>
    <t>DDF Remaining Amt</t>
  </si>
  <si>
    <t>Deferred Developer Fee</t>
  </si>
  <si>
    <t xml:space="preserve">    GP Partnership Management Fee </t>
  </si>
  <si>
    <t>[Subordinate Debt]</t>
  </si>
  <si>
    <t>New Distributable Cash</t>
  </si>
  <si>
    <t>[Subordinate Debt - Principal + Accrued Interest]</t>
  </si>
  <si>
    <t xml:space="preserve">[Subordinate Debt - Interest Due] </t>
  </si>
  <si>
    <t>Total Principal + Accrued Interest</t>
  </si>
  <si>
    <t>Total Net Cash Flow, 30 years</t>
  </si>
  <si>
    <t>Net Cash Flow should be breakeven or better for a minimum of 15 years from the time the project is placed in service.</t>
  </si>
  <si>
    <t>AHC Financial Model, Interest Reserve</t>
  </si>
  <si>
    <t>INTEREST RESERVE &amp; RATE</t>
  </si>
  <si>
    <t>Rate Index</t>
  </si>
  <si>
    <t>SOFR</t>
  </si>
  <si>
    <t>Today's Rate</t>
  </si>
  <si>
    <t>Spread</t>
  </si>
  <si>
    <t>Cushion</t>
  </si>
  <si>
    <t>Interest Rate All-In</t>
  </si>
  <si>
    <t>Construction Loan Amount</t>
  </si>
  <si>
    <t>Avg. Outstanding Percentage of Construction Loan (Utilization Rate)</t>
  </si>
  <si>
    <t>Required Interest Loan Reserve</t>
  </si>
  <si>
    <t>(-)  Budgeted Interest Loan Reserve</t>
  </si>
  <si>
    <t>Surplus (Shortage)</t>
  </si>
  <si>
    <t>AHC Financial Model, City Impact Fees</t>
  </si>
  <si>
    <t>AFFORDABLE HOUSING NEW CONSTRUCTION</t>
  </si>
  <si>
    <t>Estimated Cost</t>
  </si>
  <si>
    <t>Local  Fees - Multi-Family</t>
  </si>
  <si>
    <t>Per Sq Ft or Unit</t>
  </si>
  <si>
    <t>or Unit</t>
  </si>
  <si>
    <t>DIFs:</t>
  </si>
  <si>
    <t>Planning Services</t>
  </si>
  <si>
    <t>Building &amp; Safety</t>
  </si>
  <si>
    <t>Engineering</t>
  </si>
  <si>
    <t>Fire</t>
  </si>
  <si>
    <t>Parks &amp; Recreation</t>
  </si>
  <si>
    <t>Police</t>
  </si>
  <si>
    <t>Public Works</t>
  </si>
  <si>
    <t>General Government</t>
  </si>
  <si>
    <t>Transportation</t>
  </si>
  <si>
    <t>Water &amp; Wastewater</t>
  </si>
  <si>
    <t>Emergency Services</t>
  </si>
  <si>
    <t>Public Education</t>
  </si>
  <si>
    <t>Reduction for Affordable</t>
  </si>
  <si>
    <t>Total Fees</t>
  </si>
  <si>
    <t>Sources of Financing</t>
  </si>
  <si>
    <t>Debt:</t>
  </si>
  <si>
    <t>Hard</t>
  </si>
  <si>
    <t>Conventional Bank Loan</t>
  </si>
  <si>
    <t>Soft</t>
  </si>
  <si>
    <t>Deferred Loan</t>
  </si>
  <si>
    <t>Residual Receipts Loan</t>
  </si>
  <si>
    <t>Equity:</t>
  </si>
  <si>
    <t>Cash Return to Investor</t>
  </si>
  <si>
    <t>Tax Credit to Investor</t>
  </si>
  <si>
    <t>Other:</t>
  </si>
  <si>
    <t>Subsidies</t>
  </si>
  <si>
    <t>Section 8 Contract (project based) - through Housing Authority</t>
  </si>
  <si>
    <t>Rental Assistance - through HUD or USDA</t>
  </si>
  <si>
    <t>Capitalized Operating Subsidy Reserve (COSR)</t>
  </si>
  <si>
    <t>Contributions</t>
  </si>
  <si>
    <t>Grants</t>
  </si>
  <si>
    <t>Donations (Cash or Land)</t>
  </si>
  <si>
    <t>Waivers/Deferrals (Fees)</t>
  </si>
  <si>
    <t xml:space="preserve">Agency Housing Finance Programs </t>
  </si>
  <si>
    <t>Housing Trust Funds (HTF)</t>
  </si>
  <si>
    <t>City/County Funds</t>
  </si>
  <si>
    <t>State/Federal Funds</t>
  </si>
  <si>
    <t>National Program Funds</t>
  </si>
  <si>
    <t>Approach to Identify Sources</t>
  </si>
  <si>
    <t>Convention Loan(s)</t>
  </si>
  <si>
    <t>Soft Debt/Contributions</t>
  </si>
  <si>
    <t>Local:</t>
  </si>
  <si>
    <t>City &amp; County</t>
  </si>
  <si>
    <t>CDBG</t>
  </si>
  <si>
    <t>HOME</t>
  </si>
  <si>
    <t>Inclusionary program in-leiu fee funds</t>
  </si>
  <si>
    <t>Housin Trust Funds</t>
  </si>
  <si>
    <t>Community Foundations</t>
  </si>
  <si>
    <t>State:</t>
  </si>
  <si>
    <t>Housing Finance Agency</t>
  </si>
  <si>
    <t>Special Populations</t>
  </si>
  <si>
    <t>CDBG/HOME</t>
  </si>
  <si>
    <t>Independent Foundations</t>
  </si>
  <si>
    <t>National:</t>
  </si>
  <si>
    <t>Federal Housing Programs</t>
  </si>
  <si>
    <t>HUD</t>
  </si>
  <si>
    <t>USDA</t>
  </si>
  <si>
    <t>Other Programs</t>
  </si>
  <si>
    <t>FHLB (AHP)</t>
  </si>
  <si>
    <t>Corporate Foundations</t>
  </si>
  <si>
    <t>Equity</t>
  </si>
  <si>
    <t>LIHTC Program (4% or 9%)</t>
  </si>
  <si>
    <t>Social Impact Investors</t>
  </si>
  <si>
    <t>Summary Tab</t>
  </si>
  <si>
    <t>Sources and Uses Tab</t>
  </si>
  <si>
    <t>Rents Tab</t>
  </si>
  <si>
    <t>Tax Credits Tab</t>
  </si>
  <si>
    <t>Opportunity Resource Area</t>
  </si>
  <si>
    <t>Timing During Construction</t>
  </si>
  <si>
    <t>Unit Type</t>
  </si>
  <si>
    <t>High</t>
  </si>
  <si>
    <t>Moderate-Rapidly Changing</t>
  </si>
  <si>
    <t>Moderate</t>
  </si>
  <si>
    <t>Timing At Completion Through Conversion</t>
  </si>
  <si>
    <t>Low</t>
  </si>
  <si>
    <t>4 BD</t>
  </si>
  <si>
    <t>High Poverty &amp; Segregated</t>
  </si>
  <si>
    <t>No</t>
  </si>
  <si>
    <t>N/A</t>
  </si>
  <si>
    <t>Timing of Developer Fee Payments</t>
  </si>
  <si>
    <t>Non-LIHTC Rent Restricted</t>
  </si>
  <si>
    <t>Market Rate</t>
  </si>
  <si>
    <t>Workforce</t>
  </si>
  <si>
    <t>After Lien-Free Completion</t>
  </si>
  <si>
    <t>Cal Poly SLO - Driftwood Propery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</si>
</sst>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5" formatCode="&quot;$&quot;#,##0_);\(&quot;$&quot;#,##0\)"/>
    <numFmt numFmtId="6" formatCode="&quot;$&quot;#,##0_);[Red]\(&quot;$&quot;#,##0\)"/>
    <numFmt numFmtId="8" formatCode="&quot;$&quot;#,##0.00_);[Red]\(&quot;$&quot;#,##0.00\)"/>
    <numFmt numFmtId="41" formatCode="_(* #,##0_);_(* \(#,##0\);_(* &quot;-&quot;_);_(@_)"/>
    <numFmt numFmtId="44" formatCode="_(&quot;$&quot;* #,##0.00_);_(&quot;$&quot;* \(#,##0.00\);_(&quot;$&quot;* &quot;-&quot;??_);_(@_)"/>
    <numFmt numFmtId="43" formatCode="_(* #,##0.00_);_(* \(#,##0.00\);_(* &quot;-&quot;??_);_(@_)"/>
    <numFmt numFmtId="164" formatCode="&quot;$&quot;#,##0"/>
    <numFmt numFmtId="165" formatCode="_(* #,##0_);_(* \(#,##0\);_(* &quot;-&quot;??_);_(@_)"/>
    <numFmt numFmtId="166" formatCode="&quot;$&quot;#,##0.0000_);[Red]\(&quot;$&quot;#,##0.0000\)"/>
    <numFmt numFmtId="167" formatCode="&quot;$&quot;#,##0.00"/>
    <numFmt numFmtId="168" formatCode="0.0%"/>
    <numFmt numFmtId="169" formatCode="0.0"/>
    <numFmt numFmtId="170" formatCode="yyyy"/>
    <numFmt numFmtId="171" formatCode="[$-F800]dddd\,\ mmmm\ dd\,\ yyyy"/>
    <numFmt numFmtId="172" formatCode="_(&quot;$&quot;* #,##0_);_(&quot;$&quot;* \(#,##0\);_(&quot;$&quot;* &quot;-&quot;??_);_(@_)"/>
    <numFmt numFmtId="173" formatCode="_(* #,##0.000_);_(* \(#,##0.000\);_(* &quot;-&quot;??_);_(@_)"/>
    <numFmt numFmtId="174" formatCode="_([$$-409]* #,##0_);_([$$-409]* \(#,##0\);_([$$-409]* &quot;-&quot;??_);_(@_)"/>
  </numFmts>
  <fonts count="68">
    <font>
      <sz val="10"/>
      <color theme="1"/>
      <name val="Arial"/>
      <family val="2"/>
    </font>
    <font>
      <sz val="10"/>
      <color theme="1"/>
      <name val="Arial"/>
      <family val="2"/>
    </font>
    <font>
      <b/>
      <sz val="10"/>
      <color theme="1"/>
      <name val="Arial"/>
      <family val="2"/>
    </font>
    <font>
      <b/>
      <sz val="8"/>
      <name val="Calibri"/>
      <family val="2"/>
      <scheme val="minor"/>
    </font>
    <font>
      <sz val="7"/>
      <name val="Helv"/>
    </font>
    <font>
      <sz val="8"/>
      <color indexed="81"/>
      <name val="Arial"/>
      <family val="2"/>
    </font>
    <font>
      <sz val="8"/>
      <name val="Calibri"/>
      <family val="2"/>
      <scheme val="minor"/>
    </font>
    <font>
      <b/>
      <u/>
      <sz val="8"/>
      <name val="Calibri"/>
      <family val="2"/>
      <scheme val="minor"/>
    </font>
    <font>
      <u/>
      <sz val="8"/>
      <name val="Calibri"/>
      <family val="2"/>
      <scheme val="minor"/>
    </font>
    <font>
      <sz val="8"/>
      <color indexed="81"/>
      <name val="Tahoma"/>
      <family val="2"/>
    </font>
    <font>
      <b/>
      <u val="double"/>
      <sz val="8"/>
      <name val="Calibri"/>
      <family val="2"/>
      <scheme val="minor"/>
    </font>
    <font>
      <sz val="10"/>
      <color theme="1"/>
      <name val="Calibri"/>
      <family val="2"/>
      <scheme val="minor"/>
    </font>
    <font>
      <b/>
      <sz val="10"/>
      <color indexed="8"/>
      <name val="Calibri"/>
      <family val="2"/>
      <scheme val="minor"/>
    </font>
    <font>
      <b/>
      <sz val="10"/>
      <color theme="1"/>
      <name val="Calibri"/>
      <family val="2"/>
      <scheme val="minor"/>
    </font>
    <font>
      <b/>
      <i/>
      <sz val="10"/>
      <color theme="1"/>
      <name val="Calibri"/>
      <family val="2"/>
      <scheme val="minor"/>
    </font>
    <font>
      <sz val="10"/>
      <name val="Arial"/>
      <family val="2"/>
    </font>
    <font>
      <sz val="10"/>
      <color rgb="FF0070C0"/>
      <name val="Arial"/>
      <family val="2"/>
    </font>
    <font>
      <b/>
      <u/>
      <sz val="10"/>
      <color theme="1"/>
      <name val="Arial"/>
      <family val="2"/>
    </font>
    <font>
      <u/>
      <sz val="10"/>
      <color theme="1"/>
      <name val="Calibri"/>
      <family val="2"/>
      <scheme val="minor"/>
    </font>
    <font>
      <u/>
      <sz val="10"/>
      <color theme="1"/>
      <name val="Arial"/>
      <family val="2"/>
    </font>
    <font>
      <sz val="10"/>
      <name val="Calibri"/>
      <family val="2"/>
      <scheme val="minor"/>
    </font>
    <font>
      <sz val="10"/>
      <color rgb="FF0070C0"/>
      <name val="Calibri"/>
      <family val="2"/>
      <scheme val="minor"/>
    </font>
    <font>
      <b/>
      <sz val="14"/>
      <color theme="1"/>
      <name val="Calibri"/>
      <family val="2"/>
      <scheme val="minor"/>
    </font>
    <font>
      <i/>
      <sz val="10"/>
      <color theme="1"/>
      <name val="Arial"/>
      <family val="2"/>
    </font>
    <font>
      <b/>
      <sz val="10"/>
      <name val="Calibri"/>
      <family val="2"/>
      <scheme val="minor"/>
    </font>
    <font>
      <sz val="8.5"/>
      <name val="Calibri"/>
      <family val="2"/>
      <scheme val="minor"/>
    </font>
    <font>
      <b/>
      <sz val="10"/>
      <color rgb="FFFF0000"/>
      <name val="Calibri"/>
      <family val="2"/>
      <scheme val="minor"/>
    </font>
    <font>
      <u/>
      <sz val="10"/>
      <name val="Calibri"/>
      <family val="2"/>
      <scheme val="minor"/>
    </font>
    <font>
      <i/>
      <sz val="10"/>
      <name val="Calibri"/>
      <family val="2"/>
      <scheme val="minor"/>
    </font>
    <font>
      <b/>
      <u/>
      <sz val="10"/>
      <name val="Calibri"/>
      <family val="2"/>
      <scheme val="minor"/>
    </font>
    <font>
      <sz val="10"/>
      <color rgb="FF0000FF"/>
      <name val="Calibri"/>
      <family val="2"/>
      <scheme val="minor"/>
    </font>
    <font>
      <sz val="8"/>
      <color theme="1"/>
      <name val="Calibri"/>
      <family val="2"/>
      <scheme val="minor"/>
    </font>
    <font>
      <sz val="9"/>
      <color indexed="81"/>
      <name val="Tahoma"/>
      <family val="2"/>
    </font>
    <font>
      <b/>
      <sz val="9"/>
      <color indexed="81"/>
      <name val="Tahoma"/>
      <family val="2"/>
    </font>
    <font>
      <i/>
      <sz val="10"/>
      <color theme="1"/>
      <name val="Calibri"/>
      <family val="2"/>
      <scheme val="minor"/>
    </font>
    <font>
      <b/>
      <i/>
      <sz val="10"/>
      <name val="Calibri"/>
      <family val="2"/>
      <scheme val="minor"/>
    </font>
    <font>
      <b/>
      <u val="double"/>
      <sz val="10"/>
      <color rgb="FFC00000"/>
      <name val="Calibri"/>
      <family val="2"/>
      <scheme val="minor"/>
    </font>
    <font>
      <b/>
      <u val="double"/>
      <sz val="10"/>
      <name val="Calibri"/>
      <family val="2"/>
      <scheme val="minor"/>
    </font>
    <font>
      <sz val="8"/>
      <color rgb="FF0070C0"/>
      <name val="Calibri"/>
      <family val="2"/>
      <scheme val="minor"/>
    </font>
    <font>
      <b/>
      <sz val="8"/>
      <color theme="1"/>
      <name val="Calibri"/>
      <family val="2"/>
      <scheme val="minor"/>
    </font>
    <font>
      <sz val="8"/>
      <color theme="1"/>
      <name val="Arial"/>
      <family val="2"/>
    </font>
    <font>
      <u val="singleAccounting"/>
      <sz val="10"/>
      <color rgb="FF0070C0"/>
      <name val="Calibri"/>
      <family val="2"/>
      <scheme val="minor"/>
    </font>
    <font>
      <u val="singleAccounting"/>
      <sz val="10"/>
      <name val="Calibri"/>
      <family val="2"/>
      <scheme val="minor"/>
    </font>
    <font>
      <u/>
      <sz val="10"/>
      <color rgb="FF0070C0"/>
      <name val="Calibri"/>
      <family val="2"/>
      <scheme val="minor"/>
    </font>
    <font>
      <b/>
      <sz val="10"/>
      <color rgb="FF00B050"/>
      <name val="Arial"/>
      <family val="2"/>
    </font>
    <font>
      <b/>
      <sz val="10"/>
      <color rgb="FF0070C0"/>
      <name val="Arial"/>
      <family val="2"/>
    </font>
    <font>
      <b/>
      <sz val="10"/>
      <color rgb="FF0070C0"/>
      <name val="Calibri"/>
      <family val="2"/>
      <scheme val="minor"/>
    </font>
    <font>
      <b/>
      <sz val="12"/>
      <color theme="8"/>
      <name val="Calibri"/>
      <family val="2"/>
    </font>
    <font>
      <sz val="10"/>
      <color theme="1"/>
      <name val="Calibri"/>
      <family val="2"/>
    </font>
    <font>
      <b/>
      <sz val="11"/>
      <color theme="1"/>
      <name val="Calibri"/>
      <family val="2"/>
    </font>
    <font>
      <b/>
      <sz val="10"/>
      <color theme="1"/>
      <name val="Calibri"/>
      <family val="2"/>
    </font>
    <font>
      <sz val="10"/>
      <color theme="8"/>
      <name val="Calibri"/>
      <family val="2"/>
    </font>
    <font>
      <b/>
      <sz val="12"/>
      <color theme="1"/>
      <name val="Calibri"/>
      <family val="2"/>
    </font>
    <font>
      <b/>
      <sz val="12"/>
      <color theme="1"/>
      <name val="Calibri"/>
      <family val="2"/>
      <scheme val="minor"/>
    </font>
    <font>
      <sz val="10"/>
      <color theme="8"/>
      <name val="Calibri"/>
      <family val="2"/>
      <scheme val="minor"/>
    </font>
    <font>
      <b/>
      <sz val="12"/>
      <color indexed="8"/>
      <name val="Calibri"/>
      <family val="2"/>
      <scheme val="minor"/>
    </font>
    <font>
      <sz val="10"/>
      <color theme="6"/>
      <name val="Calibri"/>
      <family val="2"/>
      <scheme val="minor"/>
    </font>
    <font>
      <b/>
      <i/>
      <sz val="12"/>
      <color theme="1"/>
      <name val="Calibri"/>
      <family val="2"/>
    </font>
    <font>
      <sz val="10"/>
      <color rgb="FF0070C0"/>
      <name val="Calibri"/>
      <family val="2"/>
    </font>
    <font>
      <sz val="8"/>
      <color rgb="FF0070C0"/>
      <name val="Arial"/>
      <family val="2"/>
    </font>
    <font>
      <sz val="10"/>
      <name val="Calibri"/>
      <family val="2"/>
    </font>
    <font>
      <sz val="10"/>
      <color rgb="FF00B050"/>
      <name val="Calibri"/>
      <family val="2"/>
      <scheme val="minor"/>
    </font>
    <font>
      <u val="singleAccounting"/>
      <sz val="10"/>
      <color rgb="FF0070C0"/>
      <name val="Calibri"/>
      <family val="2"/>
    </font>
    <font>
      <sz val="10"/>
      <color rgb="FFFF0000"/>
      <name val="Calibri"/>
      <family val="2"/>
      <scheme val="minor"/>
    </font>
    <font>
      <u/>
      <sz val="10"/>
      <color theme="10"/>
      <name val="Arial"/>
      <family val="2"/>
    </font>
    <font>
      <sz val="10"/>
      <color rgb="FF000000"/>
      <name val="Calibri"/>
      <family val="2"/>
      <scheme val="minor"/>
    </font>
    <font>
      <sz val="10"/>
      <color rgb="FF000000"/>
      <name val="Arial"/>
    </font>
    <font>
      <sz val="10"/>
      <color theme="4" tint="-0.249977111117893"/>
      <name val="Arial"/>
      <family val="2"/>
    </font>
  </fonts>
  <fills count="18">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gray0625">
        <bgColor theme="0"/>
      </patternFill>
    </fill>
    <fill>
      <patternFill patternType="solid">
        <fgColor theme="6"/>
        <bgColor indexed="64"/>
      </patternFill>
    </fill>
    <fill>
      <patternFill patternType="solid">
        <fgColor rgb="FFFFFF00"/>
        <bgColor indexed="64"/>
      </patternFill>
    </fill>
    <fill>
      <patternFill patternType="solid">
        <fgColor theme="2" tint="-9.9978637043366805E-2"/>
        <bgColor indexed="64"/>
      </patternFill>
    </fill>
    <fill>
      <patternFill patternType="solid">
        <fgColor rgb="FFFFF2CC"/>
        <bgColor rgb="FF000000"/>
      </patternFill>
    </fill>
    <fill>
      <patternFill patternType="solid">
        <fgColor rgb="FFFFFFFF"/>
        <bgColor rgb="FF000000"/>
      </patternFill>
    </fill>
    <fill>
      <patternFill patternType="solid">
        <fgColor rgb="FFFFF3CC"/>
        <bgColor indexed="64"/>
      </patternFill>
    </fill>
    <fill>
      <patternFill patternType="solid">
        <fgColor theme="5" tint="0.59999389629810485"/>
        <bgColor indexed="64"/>
      </patternFill>
    </fill>
    <fill>
      <patternFill patternType="solid">
        <fgColor theme="5" tint="0.79998168889431442"/>
        <bgColor indexed="64"/>
      </patternFill>
    </fill>
  </fills>
  <borders count="53">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style="thin">
        <color auto="1"/>
      </right>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auto="1"/>
      </bottom>
      <diagonal/>
    </border>
    <border>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thin">
        <color indexed="64"/>
      </bottom>
      <diagonal/>
    </border>
    <border>
      <left style="thin">
        <color auto="1"/>
      </left>
      <right/>
      <top style="thin">
        <color indexed="64"/>
      </top>
      <bottom style="double">
        <color indexed="64"/>
      </bottom>
      <diagonal/>
    </border>
    <border>
      <left/>
      <right/>
      <top style="thin">
        <color indexed="64"/>
      </top>
      <bottom style="double">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auto="1"/>
      </left>
      <right style="thin">
        <color indexed="64"/>
      </right>
      <top style="thin">
        <color indexed="64"/>
      </top>
      <bottom style="double">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right style="thin">
        <color indexed="64"/>
      </right>
      <top style="thin">
        <color indexed="64"/>
      </top>
      <bottom style="double">
        <color indexed="64"/>
      </bottom>
      <diagonal/>
    </border>
    <border>
      <left style="dashed">
        <color auto="1"/>
      </left>
      <right style="dashed">
        <color auto="1"/>
      </right>
      <top style="thin">
        <color indexed="64"/>
      </top>
      <bottom/>
      <diagonal/>
    </border>
    <border>
      <left style="dashed">
        <color auto="1"/>
      </left>
      <right style="dashed">
        <color auto="1"/>
      </right>
      <top/>
      <bottom/>
      <diagonal/>
    </border>
    <border>
      <left style="dashed">
        <color auto="1"/>
      </left>
      <right style="dashed">
        <color auto="1"/>
      </right>
      <top/>
      <bottom style="thin">
        <color auto="1"/>
      </bottom>
      <diagonal/>
    </border>
    <border>
      <left style="dashed">
        <color auto="1"/>
      </left>
      <right style="dashed">
        <color auto="1"/>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auto="1"/>
      </right>
      <top/>
      <bottom/>
      <diagonal/>
    </border>
  </borders>
  <cellStyleXfs count="7">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39" fontId="4" fillId="0" borderId="0"/>
    <xf numFmtId="0" fontId="15" fillId="0" borderId="0"/>
    <xf numFmtId="0" fontId="64" fillId="0" borderId="0" applyNumberFormat="0" applyFill="0" applyBorder="0" applyAlignment="0" applyProtection="0"/>
  </cellStyleXfs>
  <cellXfs count="867">
    <xf numFmtId="0" fontId="0" fillId="0" borderId="0" xfId="0"/>
    <xf numFmtId="0" fontId="3" fillId="2" borderId="1" xfId="0" applyFont="1" applyFill="1" applyBorder="1" applyAlignment="1">
      <alignment horizontal="center" vertical="top" wrapText="1"/>
    </xf>
    <xf numFmtId="37" fontId="3" fillId="2" borderId="1" xfId="4" applyNumberFormat="1" applyFont="1" applyFill="1" applyBorder="1" applyAlignment="1">
      <alignment horizontal="center" vertical="top" wrapText="1"/>
    </xf>
    <xf numFmtId="41" fontId="3" fillId="2" borderId="1" xfId="0" applyNumberFormat="1" applyFont="1" applyFill="1" applyBorder="1" applyAlignment="1">
      <alignment horizontal="center" vertical="top" wrapText="1"/>
    </xf>
    <xf numFmtId="0" fontId="3" fillId="2" borderId="4" xfId="0" applyFont="1" applyFill="1" applyBorder="1" applyAlignment="1">
      <alignment horizontal="center" vertical="top" wrapText="1"/>
    </xf>
    <xf numFmtId="37" fontId="3" fillId="2" borderId="5" xfId="4" applyNumberFormat="1" applyFont="1" applyFill="1" applyBorder="1" applyAlignment="1">
      <alignment horizontal="center" vertical="top" wrapText="1"/>
    </xf>
    <xf numFmtId="41" fontId="3" fillId="2" borderId="6" xfId="0" applyNumberFormat="1" applyFont="1" applyFill="1" applyBorder="1" applyAlignment="1">
      <alignment horizontal="center" vertical="top" wrapText="1"/>
    </xf>
    <xf numFmtId="0" fontId="3" fillId="2" borderId="7" xfId="0" applyFont="1" applyFill="1" applyBorder="1" applyAlignment="1">
      <alignment horizontal="center" vertical="top" wrapText="1"/>
    </xf>
    <xf numFmtId="37" fontId="3" fillId="2" borderId="8" xfId="4" applyNumberFormat="1" applyFont="1" applyFill="1" applyBorder="1" applyAlignment="1">
      <alignment horizontal="center" vertical="top" wrapText="1"/>
    </xf>
    <xf numFmtId="37" fontId="3" fillId="2" borderId="7" xfId="4" applyNumberFormat="1" applyFont="1" applyFill="1" applyBorder="1" applyAlignment="1">
      <alignment horizontal="center" vertical="top" wrapText="1"/>
    </xf>
    <xf numFmtId="41" fontId="3" fillId="2" borderId="9" xfId="0" applyNumberFormat="1" applyFont="1" applyFill="1" applyBorder="1" applyAlignment="1">
      <alignment horizontal="center" vertical="top" wrapText="1"/>
    </xf>
    <xf numFmtId="0" fontId="0" fillId="2" borderId="0" xfId="0" applyFill="1"/>
    <xf numFmtId="37" fontId="7" fillId="2" borderId="15" xfId="0" applyNumberFormat="1" applyFont="1" applyFill="1" applyBorder="1" applyAlignment="1">
      <alignment vertical="center"/>
    </xf>
    <xf numFmtId="0" fontId="11" fillId="0" borderId="0" xfId="0" applyFont="1"/>
    <xf numFmtId="0" fontId="13" fillId="0" borderId="0" xfId="0" applyFont="1"/>
    <xf numFmtId="0" fontId="11" fillId="2" borderId="0" xfId="0" applyFont="1" applyFill="1"/>
    <xf numFmtId="0" fontId="11" fillId="2" borderId="13" xfId="0" applyFont="1" applyFill="1" applyBorder="1"/>
    <xf numFmtId="0" fontId="11" fillId="2" borderId="3" xfId="0" applyFont="1" applyFill="1" applyBorder="1"/>
    <xf numFmtId="0" fontId="11" fillId="2" borderId="5" xfId="0" applyFont="1" applyFill="1" applyBorder="1"/>
    <xf numFmtId="0" fontId="11" fillId="2" borderId="14" xfId="0" applyFont="1" applyFill="1" applyBorder="1"/>
    <xf numFmtId="0" fontId="11" fillId="2" borderId="6" xfId="0" applyFont="1" applyFill="1" applyBorder="1"/>
    <xf numFmtId="0" fontId="11" fillId="3" borderId="0" xfId="0" applyFont="1" applyFill="1"/>
    <xf numFmtId="0" fontId="0" fillId="0" borderId="0" xfId="0" applyAlignment="1">
      <alignment horizontal="left"/>
    </xf>
    <xf numFmtId="0" fontId="17" fillId="3" borderId="0" xfId="0" applyFont="1" applyFill="1"/>
    <xf numFmtId="0" fontId="18" fillId="0" borderId="0" xfId="0" applyFont="1"/>
    <xf numFmtId="0" fontId="17" fillId="3" borderId="0" xfId="0" applyFont="1" applyFill="1" applyAlignment="1">
      <alignment horizontal="left"/>
    </xf>
    <xf numFmtId="0" fontId="18" fillId="0" borderId="0" xfId="0" applyFont="1" applyAlignment="1">
      <alignment horizontal="left"/>
    </xf>
    <xf numFmtId="0" fontId="11" fillId="0" borderId="0" xfId="0" applyFont="1" applyAlignment="1">
      <alignment horizontal="left"/>
    </xf>
    <xf numFmtId="0" fontId="19" fillId="0" borderId="0" xfId="0" applyFont="1"/>
    <xf numFmtId="0" fontId="24" fillId="5" borderId="15" xfId="0" applyFont="1" applyFill="1" applyBorder="1"/>
    <xf numFmtId="14" fontId="24" fillId="5" borderId="11" xfId="0" applyNumberFormat="1" applyFont="1" applyFill="1" applyBorder="1"/>
    <xf numFmtId="10" fontId="0" fillId="0" borderId="0" xfId="0" applyNumberFormat="1"/>
    <xf numFmtId="165" fontId="20" fillId="2" borderId="1" xfId="1" applyNumberFormat="1" applyFont="1" applyFill="1" applyBorder="1"/>
    <xf numFmtId="165" fontId="20" fillId="2" borderId="4" xfId="1" applyNumberFormat="1" applyFont="1" applyFill="1" applyBorder="1"/>
    <xf numFmtId="165" fontId="20" fillId="2" borderId="7" xfId="1" applyNumberFormat="1" applyFont="1" applyFill="1" applyBorder="1"/>
    <xf numFmtId="0" fontId="13" fillId="2" borderId="14" xfId="0" applyFont="1" applyFill="1" applyBorder="1"/>
    <xf numFmtId="0" fontId="11" fillId="2" borderId="2" xfId="0" applyFont="1" applyFill="1" applyBorder="1"/>
    <xf numFmtId="165" fontId="11" fillId="2" borderId="6" xfId="1" applyNumberFormat="1" applyFont="1" applyFill="1" applyBorder="1"/>
    <xf numFmtId="0" fontId="11" fillId="2" borderId="8" xfId="0" applyFont="1" applyFill="1" applyBorder="1"/>
    <xf numFmtId="0" fontId="11" fillId="2" borderId="9" xfId="0" applyFont="1" applyFill="1" applyBorder="1"/>
    <xf numFmtId="165" fontId="11" fillId="2" borderId="1" xfId="0" applyNumberFormat="1" applyFont="1" applyFill="1" applyBorder="1"/>
    <xf numFmtId="165" fontId="11" fillId="2" borderId="1" xfId="1" applyNumberFormat="1" applyFont="1" applyFill="1" applyBorder="1"/>
    <xf numFmtId="165" fontId="11" fillId="2" borderId="4" xfId="0" applyNumberFormat="1" applyFont="1" applyFill="1" applyBorder="1"/>
    <xf numFmtId="165" fontId="11" fillId="2" borderId="4" xfId="1" applyNumberFormat="1" applyFont="1" applyFill="1" applyBorder="1"/>
    <xf numFmtId="37" fontId="11" fillId="2" borderId="0" xfId="0" applyNumberFormat="1" applyFont="1" applyFill="1"/>
    <xf numFmtId="0" fontId="11" fillId="2" borderId="4" xfId="0" applyFont="1" applyFill="1" applyBorder="1"/>
    <xf numFmtId="165" fontId="11" fillId="2" borderId="7" xfId="1" applyNumberFormat="1" applyFont="1" applyFill="1" applyBorder="1"/>
    <xf numFmtId="0" fontId="11" fillId="2" borderId="15" xfId="0" applyFont="1" applyFill="1" applyBorder="1"/>
    <xf numFmtId="0" fontId="12" fillId="2" borderId="0" xfId="0" applyFont="1" applyFill="1"/>
    <xf numFmtId="14" fontId="11" fillId="2" borderId="0" xfId="0" applyNumberFormat="1" applyFont="1" applyFill="1"/>
    <xf numFmtId="0" fontId="13" fillId="2" borderId="0" xfId="0" applyFont="1" applyFill="1"/>
    <xf numFmtId="0" fontId="21" fillId="2" borderId="0" xfId="0" applyFont="1" applyFill="1"/>
    <xf numFmtId="9" fontId="20" fillId="2" borderId="0" xfId="3" applyFont="1" applyFill="1"/>
    <xf numFmtId="0" fontId="0" fillId="2" borderId="14" xfId="0" applyFill="1" applyBorder="1" applyAlignment="1">
      <alignment horizontal="center"/>
    </xf>
    <xf numFmtId="0" fontId="11" fillId="4" borderId="0" xfId="0" applyFont="1" applyFill="1"/>
    <xf numFmtId="165" fontId="11" fillId="2" borderId="0" xfId="1" applyNumberFormat="1" applyFont="1" applyFill="1"/>
    <xf numFmtId="165" fontId="11" fillId="2" borderId="14" xfId="1" applyNumberFormat="1" applyFont="1" applyFill="1" applyBorder="1"/>
    <xf numFmtId="0" fontId="13" fillId="2" borderId="0" xfId="0" applyFont="1" applyFill="1" applyAlignment="1">
      <alignment horizontal="center"/>
    </xf>
    <xf numFmtId="0" fontId="11" fillId="2" borderId="10" xfId="0" applyFont="1" applyFill="1" applyBorder="1"/>
    <xf numFmtId="0" fontId="11" fillId="2" borderId="11" xfId="0" applyFont="1" applyFill="1" applyBorder="1"/>
    <xf numFmtId="165" fontId="11" fillId="2" borderId="9" xfId="1" applyNumberFormat="1" applyFont="1" applyFill="1" applyBorder="1"/>
    <xf numFmtId="0" fontId="3" fillId="2" borderId="15" xfId="0" applyFont="1" applyFill="1" applyBorder="1" applyAlignment="1">
      <alignment vertical="center"/>
    </xf>
    <xf numFmtId="9" fontId="11" fillId="2" borderId="6" xfId="3" applyFont="1" applyFill="1" applyBorder="1"/>
    <xf numFmtId="165" fontId="11" fillId="2" borderId="0" xfId="0" applyNumberFormat="1" applyFont="1" applyFill="1"/>
    <xf numFmtId="0" fontId="20" fillId="2" borderId="8" xfId="0" applyFont="1" applyFill="1" applyBorder="1" applyAlignment="1">
      <alignment horizontal="left" vertical="center"/>
    </xf>
    <xf numFmtId="0" fontId="20" fillId="2" borderId="14" xfId="0" applyFont="1" applyFill="1" applyBorder="1" applyAlignment="1">
      <alignment horizontal="left" vertical="center"/>
    </xf>
    <xf numFmtId="0" fontId="24" fillId="2" borderId="5" xfId="0" applyFont="1" applyFill="1" applyBorder="1" applyAlignment="1">
      <alignment horizontal="left" vertical="center"/>
    </xf>
    <xf numFmtId="0" fontId="24" fillId="2" borderId="0" xfId="0" applyFont="1" applyFill="1" applyAlignment="1">
      <alignment horizontal="center" vertical="center"/>
    </xf>
    <xf numFmtId="0" fontId="20" fillId="2" borderId="2" xfId="0" applyFont="1" applyFill="1" applyBorder="1" applyAlignment="1">
      <alignment horizontal="left" vertical="center"/>
    </xf>
    <xf numFmtId="0" fontId="27" fillId="2" borderId="13" xfId="0" applyFont="1" applyFill="1" applyBorder="1" applyAlignment="1">
      <alignment horizontal="center" vertical="center"/>
    </xf>
    <xf numFmtId="0" fontId="20" fillId="2" borderId="5" xfId="0" applyFont="1" applyFill="1" applyBorder="1" applyAlignment="1">
      <alignment horizontal="left" vertical="center" indent="1"/>
    </xf>
    <xf numFmtId="165" fontId="20" fillId="2" borderId="0" xfId="1" applyNumberFormat="1" applyFont="1" applyFill="1" applyBorder="1" applyAlignment="1" applyProtection="1">
      <alignment horizontal="left" vertical="center"/>
    </xf>
    <xf numFmtId="0" fontId="20" fillId="2" borderId="5" xfId="0" applyFont="1" applyFill="1" applyBorder="1" applyAlignment="1" applyProtection="1">
      <alignment horizontal="left" vertical="center"/>
      <protection locked="0"/>
    </xf>
    <xf numFmtId="0" fontId="30" fillId="2" borderId="0" xfId="0" applyFont="1" applyFill="1" applyAlignment="1" applyProtection="1">
      <alignment horizontal="left" vertical="center"/>
      <protection locked="0"/>
    </xf>
    <xf numFmtId="0" fontId="24" fillId="2" borderId="0" xfId="0" applyFont="1" applyFill="1" applyAlignment="1">
      <alignment horizontal="left" vertical="center"/>
    </xf>
    <xf numFmtId="49" fontId="24" fillId="2" borderId="5" xfId="0" applyNumberFormat="1" applyFont="1" applyFill="1" applyBorder="1" applyAlignment="1">
      <alignment horizontal="left" vertical="center"/>
    </xf>
    <xf numFmtId="49" fontId="24" fillId="2" borderId="0" xfId="0" applyNumberFormat="1" applyFont="1" applyFill="1" applyAlignment="1">
      <alignment horizontal="left" vertical="center"/>
    </xf>
    <xf numFmtId="0" fontId="31" fillId="2" borderId="0" xfId="0" applyFont="1" applyFill="1"/>
    <xf numFmtId="0" fontId="31" fillId="2" borderId="14" xfId="0" applyFont="1" applyFill="1" applyBorder="1"/>
    <xf numFmtId="0" fontId="20" fillId="2" borderId="0" xfId="0" applyFont="1" applyFill="1" applyAlignment="1">
      <alignment horizontal="center"/>
    </xf>
    <xf numFmtId="6" fontId="11" fillId="2" borderId="0" xfId="0" applyNumberFormat="1" applyFont="1" applyFill="1"/>
    <xf numFmtId="9" fontId="20" fillId="2" borderId="0" xfId="0" applyNumberFormat="1" applyFont="1" applyFill="1" applyAlignment="1">
      <alignment horizontal="center"/>
    </xf>
    <xf numFmtId="38" fontId="11" fillId="2" borderId="0" xfId="1" applyNumberFormat="1" applyFont="1" applyFill="1"/>
    <xf numFmtId="0" fontId="20" fillId="2" borderId="0" xfId="0" applyFont="1" applyFill="1"/>
    <xf numFmtId="9" fontId="11" fillId="2" borderId="0" xfId="3" applyFont="1" applyFill="1" applyBorder="1"/>
    <xf numFmtId="0" fontId="20" fillId="2" borderId="14" xfId="0" applyFont="1" applyFill="1" applyBorder="1"/>
    <xf numFmtId="0" fontId="24" fillId="2" borderId="14" xfId="0" applyFont="1" applyFill="1" applyBorder="1"/>
    <xf numFmtId="0" fontId="24" fillId="2" borderId="24" xfId="0" applyFont="1" applyFill="1" applyBorder="1"/>
    <xf numFmtId="0" fontId="24" fillId="2" borderId="16" xfId="0" applyFont="1" applyFill="1" applyBorder="1"/>
    <xf numFmtId="0" fontId="20" fillId="2" borderId="16" xfId="0" applyFont="1" applyFill="1" applyBorder="1"/>
    <xf numFmtId="6" fontId="24" fillId="2" borderId="17" xfId="0" applyNumberFormat="1" applyFont="1" applyFill="1" applyBorder="1"/>
    <xf numFmtId="165" fontId="20" fillId="2" borderId="6" xfId="1" applyNumberFormat="1" applyFont="1" applyFill="1" applyBorder="1"/>
    <xf numFmtId="0" fontId="20" fillId="2" borderId="5" xfId="0" applyFont="1" applyFill="1" applyBorder="1"/>
    <xf numFmtId="0" fontId="20" fillId="2" borderId="8" xfId="0" applyFont="1" applyFill="1" applyBorder="1"/>
    <xf numFmtId="37" fontId="20" fillId="2" borderId="14" xfId="0" applyNumberFormat="1" applyFont="1" applyFill="1" applyBorder="1" applyAlignment="1">
      <alignment horizontal="center"/>
    </xf>
    <xf numFmtId="165" fontId="20" fillId="2" borderId="9" xfId="1" applyNumberFormat="1" applyFont="1" applyFill="1" applyBorder="1"/>
    <xf numFmtId="0" fontId="24" fillId="2" borderId="2" xfId="0" applyFont="1" applyFill="1" applyBorder="1"/>
    <xf numFmtId="38" fontId="11" fillId="2" borderId="3" xfId="1" applyNumberFormat="1" applyFont="1" applyFill="1" applyBorder="1"/>
    <xf numFmtId="38" fontId="11" fillId="2" borderId="6" xfId="1" applyNumberFormat="1" applyFont="1" applyFill="1" applyBorder="1"/>
    <xf numFmtId="6" fontId="20" fillId="2" borderId="6" xfId="1" applyNumberFormat="1" applyFont="1" applyFill="1" applyBorder="1"/>
    <xf numFmtId="0" fontId="24" fillId="2" borderId="0" xfId="0" applyFont="1" applyFill="1"/>
    <xf numFmtId="6" fontId="20" fillId="2" borderId="9" xfId="2" applyNumberFormat="1" applyFont="1" applyFill="1" applyBorder="1"/>
    <xf numFmtId="6" fontId="20" fillId="2" borderId="6" xfId="2" applyNumberFormat="1" applyFont="1" applyFill="1" applyBorder="1"/>
    <xf numFmtId="10" fontId="11" fillId="2" borderId="9" xfId="3" applyNumberFormat="1" applyFont="1" applyFill="1" applyBorder="1"/>
    <xf numFmtId="2" fontId="6" fillId="2" borderId="4" xfId="0" applyNumberFormat="1" applyFont="1" applyFill="1" applyBorder="1"/>
    <xf numFmtId="165" fontId="6" fillId="2" borderId="4" xfId="1" applyNumberFormat="1" applyFont="1" applyFill="1" applyBorder="1"/>
    <xf numFmtId="2" fontId="6" fillId="2" borderId="7" xfId="0" applyNumberFormat="1" applyFont="1" applyFill="1" applyBorder="1"/>
    <xf numFmtId="165" fontId="6" fillId="2" borderId="7" xfId="1" applyNumberFormat="1" applyFont="1" applyFill="1" applyBorder="1"/>
    <xf numFmtId="2" fontId="6" fillId="2" borderId="1" xfId="0" applyNumberFormat="1" applyFont="1" applyFill="1" applyBorder="1"/>
    <xf numFmtId="165" fontId="6" fillId="2" borderId="1" xfId="1" applyNumberFormat="1" applyFont="1" applyFill="1" applyBorder="1"/>
    <xf numFmtId="3" fontId="20" fillId="2" borderId="5" xfId="5" applyNumberFormat="1" applyFont="1" applyFill="1" applyBorder="1" applyAlignment="1">
      <alignment horizontal="left" vertical="center"/>
    </xf>
    <xf numFmtId="3" fontId="20" fillId="2" borderId="0" xfId="5" applyNumberFormat="1" applyFont="1" applyFill="1" applyAlignment="1">
      <alignment horizontal="left" vertical="center"/>
    </xf>
    <xf numFmtId="3" fontId="20" fillId="2" borderId="8" xfId="5" applyNumberFormat="1" applyFont="1" applyFill="1" applyBorder="1" applyAlignment="1">
      <alignment horizontal="left" vertical="center"/>
    </xf>
    <xf numFmtId="3" fontId="27" fillId="2" borderId="14" xfId="5" applyNumberFormat="1" applyFont="1" applyFill="1" applyBorder="1" applyAlignment="1">
      <alignment horizontal="left" vertical="center"/>
    </xf>
    <xf numFmtId="3" fontId="36" fillId="2" borderId="0" xfId="0" applyNumberFormat="1" applyFont="1" applyFill="1" applyAlignment="1">
      <alignment horizontal="right" vertical="center"/>
    </xf>
    <xf numFmtId="3" fontId="20" fillId="2" borderId="8" xfId="0" applyNumberFormat="1" applyFont="1" applyFill="1" applyBorder="1" applyAlignment="1">
      <alignment horizontal="left" vertical="center"/>
    </xf>
    <xf numFmtId="3" fontId="27" fillId="2" borderId="14" xfId="0" applyNumberFormat="1" applyFont="1" applyFill="1" applyBorder="1" applyAlignment="1">
      <alignment horizontal="left" vertical="center"/>
    </xf>
    <xf numFmtId="3" fontId="24" fillId="2" borderId="5" xfId="0" applyNumberFormat="1" applyFont="1" applyFill="1" applyBorder="1" applyAlignment="1">
      <alignment horizontal="left" vertical="center"/>
    </xf>
    <xf numFmtId="3" fontId="24" fillId="2" borderId="20" xfId="0" applyNumberFormat="1" applyFont="1" applyFill="1" applyBorder="1" applyAlignment="1">
      <alignment horizontal="left" vertical="center"/>
    </xf>
    <xf numFmtId="3" fontId="37" fillId="2" borderId="21" xfId="0" applyNumberFormat="1" applyFont="1" applyFill="1" applyBorder="1" applyAlignment="1">
      <alignment horizontal="left" vertical="center"/>
    </xf>
    <xf numFmtId="37" fontId="10" fillId="2" borderId="15" xfId="0" applyNumberFormat="1" applyFont="1" applyFill="1" applyBorder="1" applyAlignment="1">
      <alignment vertical="center"/>
    </xf>
    <xf numFmtId="43" fontId="11" fillId="2" borderId="0" xfId="1" applyFont="1" applyFill="1" applyBorder="1"/>
    <xf numFmtId="165" fontId="11" fillId="2" borderId="0" xfId="1" applyNumberFormat="1" applyFont="1" applyFill="1" applyBorder="1"/>
    <xf numFmtId="0" fontId="13" fillId="2" borderId="10" xfId="0" applyFont="1" applyFill="1" applyBorder="1"/>
    <xf numFmtId="0" fontId="13" fillId="5" borderId="10" xfId="0" applyFont="1" applyFill="1" applyBorder="1"/>
    <xf numFmtId="0" fontId="13" fillId="5" borderId="15" xfId="0" applyFont="1" applyFill="1" applyBorder="1"/>
    <xf numFmtId="165" fontId="13" fillId="5" borderId="11" xfId="1" applyNumberFormat="1" applyFont="1" applyFill="1" applyBorder="1"/>
    <xf numFmtId="0" fontId="11" fillId="2" borderId="0" xfId="0" quotePrefix="1" applyFont="1" applyFill="1"/>
    <xf numFmtId="0" fontId="0" fillId="2" borderId="14" xfId="0" applyFill="1" applyBorder="1"/>
    <xf numFmtId="0" fontId="2" fillId="2" borderId="14" xfId="0" applyFont="1" applyFill="1" applyBorder="1"/>
    <xf numFmtId="0" fontId="20" fillId="2" borderId="5" xfId="0" applyFont="1" applyFill="1" applyBorder="1" applyAlignment="1">
      <alignment vertical="center" wrapText="1"/>
    </xf>
    <xf numFmtId="165" fontId="11" fillId="6" borderId="14" xfId="1" applyNumberFormat="1" applyFont="1" applyFill="1" applyBorder="1"/>
    <xf numFmtId="0" fontId="13" fillId="2" borderId="14" xfId="0" applyFont="1" applyFill="1" applyBorder="1" applyAlignment="1">
      <alignment horizontal="center"/>
    </xf>
    <xf numFmtId="0" fontId="24" fillId="2" borderId="25" xfId="0" applyFont="1" applyFill="1" applyBorder="1"/>
    <xf numFmtId="0" fontId="11" fillId="2" borderId="26" xfId="0" applyFont="1" applyFill="1" applyBorder="1"/>
    <xf numFmtId="0" fontId="24" fillId="2" borderId="26" xfId="0" applyFont="1" applyFill="1" applyBorder="1" applyAlignment="1">
      <alignment horizontal="center"/>
    </xf>
    <xf numFmtId="0" fontId="28" fillId="2" borderId="27" xfId="0" applyFont="1" applyFill="1" applyBorder="1" applyAlignment="1">
      <alignment horizontal="center"/>
    </xf>
    <xf numFmtId="0" fontId="24" fillId="2" borderId="18" xfId="0" applyFont="1" applyFill="1" applyBorder="1"/>
    <xf numFmtId="0" fontId="24" fillId="2" borderId="14" xfId="0" applyFont="1" applyFill="1" applyBorder="1" applyAlignment="1">
      <alignment horizontal="center"/>
    </xf>
    <xf numFmtId="0" fontId="24" fillId="2" borderId="29" xfId="0" applyFont="1" applyFill="1" applyBorder="1" applyAlignment="1">
      <alignment horizontal="center"/>
    </xf>
    <xf numFmtId="0" fontId="11" fillId="2" borderId="18" xfId="0" applyFont="1" applyFill="1" applyBorder="1"/>
    <xf numFmtId="0" fontId="11" fillId="2" borderId="28" xfId="0" applyFont="1" applyFill="1" applyBorder="1"/>
    <xf numFmtId="0" fontId="29" fillId="2" borderId="18" xfId="0" applyFont="1" applyFill="1" applyBorder="1"/>
    <xf numFmtId="43" fontId="11" fillId="2" borderId="28" xfId="1" applyFont="1" applyFill="1" applyBorder="1"/>
    <xf numFmtId="0" fontId="20" fillId="2" borderId="18" xfId="0" applyFont="1" applyFill="1" applyBorder="1"/>
    <xf numFmtId="43" fontId="11" fillId="2" borderId="0" xfId="1" quotePrefix="1" applyFont="1" applyFill="1" applyBorder="1" applyAlignment="1">
      <alignment horizontal="right"/>
    </xf>
    <xf numFmtId="43" fontId="11" fillId="2" borderId="0" xfId="1" applyFont="1" applyFill="1" applyBorder="1" applyAlignment="1">
      <alignment horizontal="right"/>
    </xf>
    <xf numFmtId="0" fontId="11" fillId="2" borderId="0" xfId="0" applyFont="1" applyFill="1" applyAlignment="1">
      <alignment horizontal="right"/>
    </xf>
    <xf numFmtId="44" fontId="24" fillId="2" borderId="18" xfId="2" applyFont="1" applyFill="1" applyBorder="1"/>
    <xf numFmtId="44" fontId="24" fillId="2" borderId="0" xfId="2" applyFont="1" applyFill="1" applyBorder="1"/>
    <xf numFmtId="44" fontId="24" fillId="2" borderId="0" xfId="2" applyFont="1" applyFill="1" applyBorder="1" applyAlignment="1">
      <alignment horizontal="right"/>
    </xf>
    <xf numFmtId="44" fontId="24" fillId="2" borderId="28" xfId="2" applyFont="1" applyFill="1" applyBorder="1"/>
    <xf numFmtId="0" fontId="25" fillId="2" borderId="30" xfId="0" applyFont="1" applyFill="1" applyBorder="1"/>
    <xf numFmtId="0" fontId="25" fillId="2" borderId="22" xfId="0" applyFont="1" applyFill="1" applyBorder="1"/>
    <xf numFmtId="40" fontId="25" fillId="2" borderId="31" xfId="0" applyNumberFormat="1" applyFont="1" applyFill="1" applyBorder="1"/>
    <xf numFmtId="0" fontId="24" fillId="2" borderId="10" xfId="0" applyFont="1" applyFill="1" applyBorder="1"/>
    <xf numFmtId="0" fontId="24" fillId="2" borderId="15" xfId="0" applyFont="1" applyFill="1" applyBorder="1"/>
    <xf numFmtId="0" fontId="13" fillId="2" borderId="8" xfId="0" applyFont="1" applyFill="1" applyBorder="1"/>
    <xf numFmtId="165" fontId="13" fillId="2" borderId="9" xfId="1" applyNumberFormat="1" applyFont="1" applyFill="1" applyBorder="1"/>
    <xf numFmtId="2" fontId="3" fillId="2" borderId="12" xfId="0" applyNumberFormat="1" applyFont="1" applyFill="1" applyBorder="1"/>
    <xf numFmtId="165" fontId="3" fillId="2" borderId="12" xfId="1" applyNumberFormat="1" applyFont="1" applyFill="1" applyBorder="1"/>
    <xf numFmtId="165" fontId="24" fillId="2" borderId="12" xfId="1" applyNumberFormat="1" applyFont="1" applyFill="1" applyBorder="1"/>
    <xf numFmtId="2" fontId="3" fillId="2" borderId="7" xfId="0" applyNumberFormat="1" applyFont="1" applyFill="1" applyBorder="1"/>
    <xf numFmtId="165" fontId="3" fillId="2" borderId="7" xfId="1" applyNumberFormat="1" applyFont="1" applyFill="1" applyBorder="1"/>
    <xf numFmtId="165" fontId="24" fillId="2" borderId="7" xfId="1" applyNumberFormat="1" applyFont="1" applyFill="1" applyBorder="1"/>
    <xf numFmtId="0" fontId="13" fillId="2" borderId="5" xfId="0" applyFont="1" applyFill="1" applyBorder="1"/>
    <xf numFmtId="0" fontId="13" fillId="2" borderId="6" xfId="0" applyFont="1" applyFill="1" applyBorder="1"/>
    <xf numFmtId="0" fontId="13" fillId="2" borderId="15" xfId="0" applyFont="1" applyFill="1" applyBorder="1"/>
    <xf numFmtId="0" fontId="13" fillId="2" borderId="11" xfId="0" applyFont="1" applyFill="1" applyBorder="1"/>
    <xf numFmtId="165" fontId="13" fillId="2" borderId="7" xfId="1" applyNumberFormat="1" applyFont="1" applyFill="1" applyBorder="1"/>
    <xf numFmtId="0" fontId="13" fillId="2" borderId="4" xfId="0" applyFont="1" applyFill="1" applyBorder="1"/>
    <xf numFmtId="0" fontId="13" fillId="2" borderId="15" xfId="0" applyFont="1" applyFill="1" applyBorder="1" applyAlignment="1">
      <alignment horizontal="center"/>
    </xf>
    <xf numFmtId="0" fontId="13" fillId="2" borderId="11" xfId="0" applyFont="1" applyFill="1" applyBorder="1" applyAlignment="1">
      <alignment horizontal="center"/>
    </xf>
    <xf numFmtId="165" fontId="13" fillId="2" borderId="15" xfId="1" applyNumberFormat="1" applyFont="1" applyFill="1" applyBorder="1"/>
    <xf numFmtId="9" fontId="13" fillId="2" borderId="11" xfId="3" applyFont="1" applyFill="1" applyBorder="1"/>
    <xf numFmtId="165" fontId="42" fillId="2" borderId="4" xfId="1" applyNumberFormat="1" applyFont="1" applyFill="1" applyBorder="1"/>
    <xf numFmtId="0" fontId="2" fillId="0" borderId="0" xfId="0" applyFont="1"/>
    <xf numFmtId="0" fontId="44" fillId="0" borderId="0" xfId="0" applyFont="1"/>
    <xf numFmtId="0" fontId="16" fillId="0" borderId="0" xfId="0" applyFont="1"/>
    <xf numFmtId="0" fontId="45" fillId="0" borderId="0" xfId="0" applyFont="1"/>
    <xf numFmtId="0" fontId="23" fillId="0" borderId="0" xfId="0" applyFont="1"/>
    <xf numFmtId="165" fontId="21" fillId="7" borderId="14" xfId="1" applyNumberFormat="1" applyFont="1" applyFill="1" applyBorder="1"/>
    <xf numFmtId="165" fontId="21" fillId="7" borderId="4" xfId="1" applyNumberFormat="1" applyFont="1" applyFill="1" applyBorder="1"/>
    <xf numFmtId="165" fontId="41" fillId="7" borderId="4" xfId="1" applyNumberFormat="1" applyFont="1" applyFill="1" applyBorder="1"/>
    <xf numFmtId="165" fontId="21" fillId="7" borderId="1" xfId="1" applyNumberFormat="1" applyFont="1" applyFill="1" applyBorder="1"/>
    <xf numFmtId="0" fontId="21" fillId="7" borderId="1" xfId="0" applyFont="1" applyFill="1" applyBorder="1"/>
    <xf numFmtId="0" fontId="21" fillId="7" borderId="4" xfId="0" applyFont="1" applyFill="1" applyBorder="1"/>
    <xf numFmtId="165" fontId="21" fillId="7" borderId="4" xfId="0" applyNumberFormat="1" applyFont="1" applyFill="1" applyBorder="1"/>
    <xf numFmtId="165" fontId="21" fillId="7" borderId="1" xfId="0" applyNumberFormat="1" applyFont="1" applyFill="1" applyBorder="1"/>
    <xf numFmtId="0" fontId="20" fillId="7" borderId="1" xfId="0" applyFont="1" applyFill="1" applyBorder="1"/>
    <xf numFmtId="0" fontId="20" fillId="7" borderId="4" xfId="0" applyFont="1" applyFill="1" applyBorder="1"/>
    <xf numFmtId="0" fontId="42" fillId="7" borderId="4" xfId="0" applyFont="1" applyFill="1" applyBorder="1"/>
    <xf numFmtId="0" fontId="41" fillId="7" borderId="4" xfId="0" applyFont="1" applyFill="1" applyBorder="1"/>
    <xf numFmtId="165" fontId="43" fillId="7" borderId="4" xfId="1" applyNumberFormat="1" applyFont="1" applyFill="1" applyBorder="1"/>
    <xf numFmtId="0" fontId="43" fillId="7" borderId="4" xfId="0" applyFont="1" applyFill="1" applyBorder="1"/>
    <xf numFmtId="165" fontId="21" fillId="7" borderId="0" xfId="1" applyNumberFormat="1" applyFont="1" applyFill="1" applyBorder="1"/>
    <xf numFmtId="0" fontId="11" fillId="7" borderId="14" xfId="0" applyFont="1" applyFill="1" applyBorder="1"/>
    <xf numFmtId="9" fontId="21" fillId="7" borderId="0" xfId="3" applyFont="1" applyFill="1" applyAlignment="1">
      <alignment horizontal="center"/>
    </xf>
    <xf numFmtId="3" fontId="21" fillId="7" borderId="0" xfId="0" applyNumberFormat="1" applyFont="1" applyFill="1" applyAlignment="1">
      <alignment horizontal="center"/>
    </xf>
    <xf numFmtId="0" fontId="21" fillId="7" borderId="14" xfId="0" applyFont="1" applyFill="1" applyBorder="1"/>
    <xf numFmtId="0" fontId="16" fillId="7" borderId="0" xfId="0" applyFont="1" applyFill="1" applyAlignment="1">
      <alignment horizontal="center"/>
    </xf>
    <xf numFmtId="0" fontId="16" fillId="7" borderId="14" xfId="0" applyFont="1" applyFill="1" applyBorder="1" applyAlignment="1">
      <alignment horizontal="center"/>
    </xf>
    <xf numFmtId="9" fontId="21" fillId="7" borderId="0" xfId="3" applyFont="1" applyFill="1" applyBorder="1" applyAlignment="1" applyProtection="1">
      <alignment horizontal="center" vertical="center"/>
    </xf>
    <xf numFmtId="0" fontId="21" fillId="7" borderId="14" xfId="0" applyFont="1" applyFill="1" applyBorder="1" applyAlignment="1">
      <alignment horizontal="right" vertical="center"/>
    </xf>
    <xf numFmtId="168" fontId="21" fillId="7" borderId="14" xfId="3" applyNumberFormat="1" applyFont="1" applyFill="1" applyBorder="1" applyAlignment="1">
      <alignment horizontal="center"/>
    </xf>
    <xf numFmtId="0" fontId="21" fillId="7" borderId="0" xfId="0" applyFont="1" applyFill="1"/>
    <xf numFmtId="3" fontId="20" fillId="7" borderId="0" xfId="0" applyNumberFormat="1" applyFont="1" applyFill="1" applyAlignment="1">
      <alignment horizontal="left" vertical="center"/>
    </xf>
    <xf numFmtId="3" fontId="21" fillId="7" borderId="5" xfId="0" applyNumberFormat="1" applyFont="1" applyFill="1" applyBorder="1" applyAlignment="1">
      <alignment horizontal="left" vertical="center"/>
    </xf>
    <xf numFmtId="10" fontId="21" fillId="7" borderId="23" xfId="3" applyNumberFormat="1" applyFont="1" applyFill="1" applyBorder="1"/>
    <xf numFmtId="37" fontId="3" fillId="2" borderId="4" xfId="4" applyNumberFormat="1" applyFont="1" applyFill="1" applyBorder="1" applyAlignment="1">
      <alignment horizontal="center" vertical="top" wrapText="1"/>
    </xf>
    <xf numFmtId="0" fontId="28" fillId="2" borderId="0" xfId="0" applyFont="1" applyFill="1" applyAlignment="1">
      <alignment horizontal="left" vertical="center"/>
    </xf>
    <xf numFmtId="38" fontId="0" fillId="2" borderId="0" xfId="1" applyNumberFormat="1" applyFont="1" applyFill="1"/>
    <xf numFmtId="8" fontId="11" fillId="2" borderId="0" xfId="0" applyNumberFormat="1" applyFont="1" applyFill="1"/>
    <xf numFmtId="0" fontId="11" fillId="2" borderId="0" xfId="0" applyFont="1" applyFill="1" applyAlignment="1">
      <alignment horizontal="center" wrapText="1"/>
    </xf>
    <xf numFmtId="0" fontId="23" fillId="8" borderId="0" xfId="0" applyFont="1" applyFill="1"/>
    <xf numFmtId="0" fontId="0" fillId="8" borderId="0" xfId="0" applyFill="1"/>
    <xf numFmtId="0" fontId="34" fillId="2" borderId="0" xfId="0" applyFont="1" applyFill="1"/>
    <xf numFmtId="165" fontId="13" fillId="2" borderId="21" xfId="1" applyNumberFormat="1" applyFont="1" applyFill="1" applyBorder="1"/>
    <xf numFmtId="165" fontId="13" fillId="6" borderId="21" xfId="1" applyNumberFormat="1" applyFont="1" applyFill="1" applyBorder="1"/>
    <xf numFmtId="165" fontId="31" fillId="9" borderId="14" xfId="0" applyNumberFormat="1" applyFont="1" applyFill="1" applyBorder="1"/>
    <xf numFmtId="9" fontId="21" fillId="9" borderId="14" xfId="3" applyFont="1" applyFill="1" applyBorder="1" applyAlignment="1" applyProtection="1">
      <alignment horizontal="center" vertical="center"/>
    </xf>
    <xf numFmtId="170" fontId="24" fillId="5" borderId="10" xfId="0" applyNumberFormat="1" applyFont="1" applyFill="1" applyBorder="1" applyAlignment="1">
      <alignment horizontal="center"/>
    </xf>
    <xf numFmtId="0" fontId="11" fillId="7" borderId="13" xfId="0" applyFont="1" applyFill="1" applyBorder="1"/>
    <xf numFmtId="0" fontId="11" fillId="7" borderId="0" xfId="0" applyFont="1" applyFill="1"/>
    <xf numFmtId="6" fontId="11" fillId="2" borderId="1" xfId="0" applyNumberFormat="1" applyFont="1" applyFill="1" applyBorder="1"/>
    <xf numFmtId="6" fontId="11" fillId="2" borderId="4" xfId="0" applyNumberFormat="1" applyFont="1" applyFill="1" applyBorder="1"/>
    <xf numFmtId="6" fontId="13" fillId="2" borderId="12" xfId="0" applyNumberFormat="1" applyFont="1" applyFill="1" applyBorder="1"/>
    <xf numFmtId="165" fontId="13" fillId="2" borderId="12" xfId="1" applyNumberFormat="1" applyFont="1" applyFill="1" applyBorder="1"/>
    <xf numFmtId="165" fontId="13" fillId="2" borderId="7" xfId="0" applyNumberFormat="1" applyFont="1" applyFill="1" applyBorder="1"/>
    <xf numFmtId="0" fontId="21" fillId="7" borderId="7" xfId="0" applyFont="1" applyFill="1" applyBorder="1"/>
    <xf numFmtId="0" fontId="21" fillId="7" borderId="13" xfId="0" applyFont="1" applyFill="1" applyBorder="1"/>
    <xf numFmtId="3" fontId="21" fillId="7" borderId="0" xfId="0" applyNumberFormat="1" applyFont="1" applyFill="1"/>
    <xf numFmtId="0" fontId="21" fillId="7" borderId="5" xfId="0" applyFont="1" applyFill="1" applyBorder="1"/>
    <xf numFmtId="0" fontId="21" fillId="7" borderId="5" xfId="0" applyFont="1" applyFill="1" applyBorder="1" applyAlignment="1">
      <alignment horizontal="left"/>
    </xf>
    <xf numFmtId="0" fontId="21" fillId="7" borderId="8" xfId="0" applyFont="1" applyFill="1" applyBorder="1" applyAlignment="1">
      <alignment horizontal="left"/>
    </xf>
    <xf numFmtId="165" fontId="21" fillId="7" borderId="7" xfId="1" applyNumberFormat="1" applyFont="1" applyFill="1" applyBorder="1"/>
    <xf numFmtId="0" fontId="21" fillId="7" borderId="2" xfId="0" applyFont="1" applyFill="1" applyBorder="1"/>
    <xf numFmtId="0" fontId="3" fillId="7" borderId="0" xfId="0" applyFont="1" applyFill="1" applyAlignment="1">
      <alignment vertical="center"/>
    </xf>
    <xf numFmtId="10" fontId="16" fillId="7" borderId="23" xfId="3" applyNumberFormat="1" applyFont="1" applyFill="1" applyBorder="1"/>
    <xf numFmtId="0" fontId="13" fillId="2" borderId="0" xfId="0" applyFont="1" applyFill="1" applyAlignment="1">
      <alignment horizontal="left"/>
    </xf>
    <xf numFmtId="14" fontId="13" fillId="2" borderId="0" xfId="0" applyNumberFormat="1" applyFont="1" applyFill="1"/>
    <xf numFmtId="3" fontId="20" fillId="2" borderId="5" xfId="0" applyNumberFormat="1" applyFont="1" applyFill="1" applyBorder="1" applyAlignment="1">
      <alignment horizontal="left" vertical="center"/>
    </xf>
    <xf numFmtId="3" fontId="20" fillId="2" borderId="0" xfId="0" applyNumberFormat="1" applyFont="1" applyFill="1" applyAlignment="1">
      <alignment horizontal="left" vertical="center"/>
    </xf>
    <xf numFmtId="0" fontId="11" fillId="0" borderId="13" xfId="0" applyFont="1" applyBorder="1"/>
    <xf numFmtId="3" fontId="36" fillId="2" borderId="14" xfId="0" applyNumberFormat="1" applyFont="1" applyFill="1" applyBorder="1" applyAlignment="1">
      <alignment horizontal="right" vertical="center"/>
    </xf>
    <xf numFmtId="165" fontId="11" fillId="2" borderId="3" xfId="0" applyNumberFormat="1" applyFont="1" applyFill="1" applyBorder="1"/>
    <xf numFmtId="165" fontId="11" fillId="2" borderId="2" xfId="1" applyNumberFormat="1" applyFont="1" applyFill="1" applyBorder="1"/>
    <xf numFmtId="165" fontId="11" fillId="2" borderId="5" xfId="1" applyNumberFormat="1" applyFont="1" applyFill="1" applyBorder="1"/>
    <xf numFmtId="165" fontId="21" fillId="7" borderId="5" xfId="1" applyNumberFormat="1" applyFont="1" applyFill="1" applyBorder="1"/>
    <xf numFmtId="165" fontId="11" fillId="7" borderId="5" xfId="1" applyNumberFormat="1" applyFont="1" applyFill="1" applyBorder="1"/>
    <xf numFmtId="165" fontId="11" fillId="7" borderId="4" xfId="1" applyNumberFormat="1" applyFont="1" applyFill="1" applyBorder="1"/>
    <xf numFmtId="165" fontId="11" fillId="2" borderId="8" xfId="1" applyNumberFormat="1" applyFont="1" applyFill="1" applyBorder="1"/>
    <xf numFmtId="0" fontId="11" fillId="2" borderId="1" xfId="0" applyFont="1" applyFill="1" applyBorder="1"/>
    <xf numFmtId="0" fontId="11" fillId="2" borderId="15" xfId="0" applyFont="1" applyFill="1" applyBorder="1" applyAlignment="1">
      <alignment horizontal="center"/>
    </xf>
    <xf numFmtId="0" fontId="11" fillId="2" borderId="11" xfId="0" applyFont="1" applyFill="1" applyBorder="1" applyAlignment="1">
      <alignment horizontal="center"/>
    </xf>
    <xf numFmtId="165" fontId="31" fillId="2" borderId="0" xfId="0" applyNumberFormat="1" applyFont="1" applyFill="1"/>
    <xf numFmtId="43" fontId="31" fillId="2" borderId="6" xfId="0" applyNumberFormat="1" applyFont="1" applyFill="1" applyBorder="1"/>
    <xf numFmtId="43" fontId="31" fillId="9" borderId="9" xfId="0" applyNumberFormat="1" applyFont="1" applyFill="1" applyBorder="1"/>
    <xf numFmtId="0" fontId="31" fillId="2" borderId="6" xfId="0" applyFont="1" applyFill="1" applyBorder="1"/>
    <xf numFmtId="0" fontId="24" fillId="2" borderId="10" xfId="0" applyFont="1" applyFill="1" applyBorder="1" applyAlignment="1">
      <alignment horizontal="left" vertical="center"/>
    </xf>
    <xf numFmtId="0" fontId="24" fillId="2" borderId="15" xfId="0" applyFont="1" applyFill="1" applyBorder="1" applyAlignment="1">
      <alignment horizontal="center" vertical="center"/>
    </xf>
    <xf numFmtId="165" fontId="11" fillId="2" borderId="15" xfId="1" applyNumberFormat="1" applyFont="1" applyFill="1" applyBorder="1"/>
    <xf numFmtId="3" fontId="29" fillId="2" borderId="2" xfId="0" applyNumberFormat="1" applyFont="1" applyFill="1" applyBorder="1" applyAlignment="1">
      <alignment horizontal="left" vertical="center"/>
    </xf>
    <xf numFmtId="3" fontId="36" fillId="2" borderId="13" xfId="0" applyNumberFormat="1" applyFont="1" applyFill="1" applyBorder="1" applyAlignment="1">
      <alignment horizontal="right" vertical="center"/>
    </xf>
    <xf numFmtId="165" fontId="11" fillId="2" borderId="13" xfId="0" applyNumberFormat="1" applyFont="1" applyFill="1" applyBorder="1"/>
    <xf numFmtId="3" fontId="20" fillId="2" borderId="15" xfId="0" applyNumberFormat="1" applyFont="1" applyFill="1" applyBorder="1" applyAlignment="1">
      <alignment horizontal="left" vertical="center"/>
    </xf>
    <xf numFmtId="0" fontId="13" fillId="2" borderId="15" xfId="0" applyFont="1" applyFill="1" applyBorder="1" applyAlignment="1">
      <alignment horizontal="center" vertical="center"/>
    </xf>
    <xf numFmtId="0" fontId="13" fillId="2" borderId="11" xfId="0" applyFont="1" applyFill="1" applyBorder="1" applyAlignment="1">
      <alignment horizontal="center" vertical="center"/>
    </xf>
    <xf numFmtId="14" fontId="21" fillId="7" borderId="13" xfId="0" applyNumberFormat="1" applyFont="1" applyFill="1" applyBorder="1"/>
    <xf numFmtId="0" fontId="11" fillId="2" borderId="13" xfId="0" applyFont="1" applyFill="1" applyBorder="1" applyAlignment="1">
      <alignment horizontal="center"/>
    </xf>
    <xf numFmtId="9" fontId="11" fillId="2" borderId="5" xfId="3" applyFont="1" applyFill="1" applyBorder="1" applyAlignment="1">
      <alignment horizontal="center"/>
    </xf>
    <xf numFmtId="9" fontId="11" fillId="2" borderId="4" xfId="3" applyFont="1" applyFill="1" applyBorder="1" applyAlignment="1">
      <alignment horizontal="center"/>
    </xf>
    <xf numFmtId="0" fontId="13" fillId="2" borderId="15" xfId="0" applyFont="1" applyFill="1" applyBorder="1" applyAlignment="1">
      <alignment horizontal="center" wrapText="1"/>
    </xf>
    <xf numFmtId="0" fontId="13" fillId="2" borderId="10" xfId="0" applyFont="1" applyFill="1" applyBorder="1" applyAlignment="1">
      <alignment horizontal="center" wrapText="1"/>
    </xf>
    <xf numFmtId="0" fontId="13" fillId="4" borderId="15" xfId="0" applyFont="1" applyFill="1" applyBorder="1"/>
    <xf numFmtId="0" fontId="13" fillId="2" borderId="11" xfId="0" applyFont="1" applyFill="1" applyBorder="1" applyAlignment="1">
      <alignment horizontal="center" wrapText="1"/>
    </xf>
    <xf numFmtId="0" fontId="0" fillId="2" borderId="13" xfId="0" applyFill="1" applyBorder="1"/>
    <xf numFmtId="0" fontId="0" fillId="2" borderId="2" xfId="0" applyFill="1" applyBorder="1" applyAlignment="1">
      <alignment horizontal="left"/>
    </xf>
    <xf numFmtId="0" fontId="0" fillId="2" borderId="5" xfId="0" applyFill="1" applyBorder="1"/>
    <xf numFmtId="0" fontId="0" fillId="2" borderId="8" xfId="0" applyFill="1" applyBorder="1" applyAlignment="1">
      <alignment horizontal="left"/>
    </xf>
    <xf numFmtId="165" fontId="0" fillId="2" borderId="1" xfId="1" applyNumberFormat="1" applyFont="1" applyFill="1" applyBorder="1"/>
    <xf numFmtId="10" fontId="16" fillId="7" borderId="4" xfId="3" applyNumberFormat="1" applyFont="1" applyFill="1" applyBorder="1"/>
    <xf numFmtId="165" fontId="0" fillId="2" borderId="4" xfId="1" applyNumberFormat="1" applyFont="1" applyFill="1" applyBorder="1"/>
    <xf numFmtId="0" fontId="0" fillId="2" borderId="4" xfId="0" applyFill="1" applyBorder="1"/>
    <xf numFmtId="6" fontId="0" fillId="2" borderId="7" xfId="0" applyNumberFormat="1" applyFill="1" applyBorder="1"/>
    <xf numFmtId="0" fontId="2" fillId="2" borderId="10" xfId="0" applyFont="1" applyFill="1" applyBorder="1" applyAlignment="1">
      <alignment horizontal="left"/>
    </xf>
    <xf numFmtId="0" fontId="0" fillId="2" borderId="15" xfId="0" applyFill="1" applyBorder="1"/>
    <xf numFmtId="0" fontId="0" fillId="2" borderId="11" xfId="0" applyFill="1" applyBorder="1"/>
    <xf numFmtId="0" fontId="2" fillId="2" borderId="15" xfId="0" applyFont="1" applyFill="1" applyBorder="1"/>
    <xf numFmtId="6" fontId="2" fillId="2" borderId="11" xfId="0" applyNumberFormat="1" applyFont="1" applyFill="1" applyBorder="1"/>
    <xf numFmtId="10" fontId="21" fillId="7" borderId="13" xfId="3" applyNumberFormat="1" applyFont="1" applyFill="1" applyBorder="1"/>
    <xf numFmtId="9" fontId="21" fillId="7" borderId="0" xfId="0" applyNumberFormat="1" applyFont="1" applyFill="1" applyAlignment="1">
      <alignment horizontal="center"/>
    </xf>
    <xf numFmtId="9" fontId="20" fillId="2" borderId="14" xfId="0" applyNumberFormat="1" applyFont="1" applyFill="1" applyBorder="1" applyAlignment="1">
      <alignment horizontal="center"/>
    </xf>
    <xf numFmtId="38" fontId="11" fillId="2" borderId="9" xfId="1" applyNumberFormat="1" applyFont="1" applyFill="1" applyBorder="1"/>
    <xf numFmtId="38" fontId="11" fillId="2" borderId="4" xfId="1" applyNumberFormat="1" applyFont="1" applyFill="1" applyBorder="1"/>
    <xf numFmtId="38" fontId="11" fillId="2" borderId="7" xfId="1" applyNumberFormat="1" applyFont="1" applyFill="1" applyBorder="1"/>
    <xf numFmtId="38" fontId="24" fillId="2" borderId="7" xfId="1" applyNumberFormat="1" applyFont="1" applyFill="1" applyBorder="1"/>
    <xf numFmtId="0" fontId="24" fillId="2" borderId="0" xfId="0" applyFont="1" applyFill="1" applyAlignment="1">
      <alignment horizontal="center"/>
    </xf>
    <xf numFmtId="0" fontId="20" fillId="2" borderId="6" xfId="0" applyFont="1" applyFill="1" applyBorder="1" applyAlignment="1">
      <alignment horizontal="center"/>
    </xf>
    <xf numFmtId="0" fontId="20" fillId="2" borderId="9" xfId="0" applyFont="1" applyFill="1" applyBorder="1" applyAlignment="1">
      <alignment horizontal="center"/>
    </xf>
    <xf numFmtId="38" fontId="24" fillId="2" borderId="28" xfId="1" applyNumberFormat="1" applyFont="1" applyFill="1" applyBorder="1"/>
    <xf numFmtId="0" fontId="20" fillId="2" borderId="11" xfId="0" applyFont="1" applyFill="1" applyBorder="1" applyAlignment="1">
      <alignment horizontal="center"/>
    </xf>
    <xf numFmtId="38" fontId="11" fillId="2" borderId="12" xfId="1" applyNumberFormat="1" applyFont="1" applyFill="1" applyBorder="1"/>
    <xf numFmtId="0" fontId="20" fillId="2" borderId="10" xfId="0" applyFont="1" applyFill="1" applyBorder="1"/>
    <xf numFmtId="0" fontId="20" fillId="2" borderId="15" xfId="0" applyFont="1" applyFill="1" applyBorder="1"/>
    <xf numFmtId="38" fontId="21" fillId="7" borderId="12" xfId="1" applyNumberFormat="1" applyFont="1" applyFill="1" applyBorder="1"/>
    <xf numFmtId="0" fontId="24" fillId="2" borderId="13" xfId="0" applyFont="1" applyFill="1" applyBorder="1"/>
    <xf numFmtId="0" fontId="24" fillId="2" borderId="13" xfId="0" applyFont="1" applyFill="1" applyBorder="1" applyAlignment="1">
      <alignment horizontal="center"/>
    </xf>
    <xf numFmtId="38" fontId="24" fillId="2" borderId="3" xfId="1" applyNumberFormat="1" applyFont="1" applyFill="1" applyBorder="1"/>
    <xf numFmtId="10" fontId="20" fillId="2" borderId="14" xfId="0" applyNumberFormat="1" applyFont="1" applyFill="1" applyBorder="1" applyAlignment="1">
      <alignment horizontal="center"/>
    </xf>
    <xf numFmtId="0" fontId="20" fillId="2" borderId="13" xfId="0" applyFont="1" applyFill="1" applyBorder="1" applyAlignment="1">
      <alignment horizontal="center"/>
    </xf>
    <xf numFmtId="38" fontId="11" fillId="2" borderId="0" xfId="1" applyNumberFormat="1" applyFont="1" applyFill="1" applyBorder="1"/>
    <xf numFmtId="9" fontId="21" fillId="7" borderId="9" xfId="3" applyFont="1" applyFill="1" applyBorder="1"/>
    <xf numFmtId="9" fontId="20" fillId="7" borderId="13" xfId="0" applyNumberFormat="1" applyFont="1" applyFill="1" applyBorder="1" applyAlignment="1">
      <alignment horizontal="center"/>
    </xf>
    <xf numFmtId="9" fontId="11" fillId="2" borderId="3" xfId="3" applyFont="1" applyFill="1" applyBorder="1"/>
    <xf numFmtId="0" fontId="20" fillId="2" borderId="14" xfId="0" applyFont="1" applyFill="1" applyBorder="1" applyAlignment="1">
      <alignment horizontal="center"/>
    </xf>
    <xf numFmtId="0" fontId="24" fillId="2" borderId="15" xfId="0" applyFont="1" applyFill="1" applyBorder="1" applyAlignment="1">
      <alignment horizontal="center"/>
    </xf>
    <xf numFmtId="38" fontId="24" fillId="2" borderId="12" xfId="1" applyNumberFormat="1" applyFont="1" applyFill="1" applyBorder="1"/>
    <xf numFmtId="0" fontId="24" fillId="2" borderId="3" xfId="0" applyFont="1" applyFill="1" applyBorder="1" applyAlignment="1">
      <alignment horizontal="center"/>
    </xf>
    <xf numFmtId="38" fontId="11" fillId="7" borderId="9" xfId="1" applyNumberFormat="1" applyFont="1" applyFill="1" applyBorder="1"/>
    <xf numFmtId="0" fontId="13" fillId="2" borderId="14" xfId="0" applyFont="1" applyFill="1" applyBorder="1" applyAlignment="1">
      <alignment horizontal="center" vertical="top"/>
    </xf>
    <xf numFmtId="0" fontId="21" fillId="7" borderId="15" xfId="0" applyFont="1" applyFill="1" applyBorder="1" applyAlignment="1">
      <alignment horizontal="center"/>
    </xf>
    <xf numFmtId="9" fontId="21" fillId="7" borderId="15" xfId="3" applyFont="1" applyFill="1" applyBorder="1" applyAlignment="1">
      <alignment horizontal="center"/>
    </xf>
    <xf numFmtId="3" fontId="21" fillId="7" borderId="15" xfId="0" applyNumberFormat="1" applyFont="1" applyFill="1" applyBorder="1" applyAlignment="1">
      <alignment horizontal="center"/>
    </xf>
    <xf numFmtId="9" fontId="20" fillId="2" borderId="15" xfId="3" applyFont="1" applyFill="1" applyBorder="1"/>
    <xf numFmtId="0" fontId="11" fillId="4" borderId="13" xfId="0" applyFont="1" applyFill="1" applyBorder="1"/>
    <xf numFmtId="3" fontId="13" fillId="2" borderId="14" xfId="0" applyNumberFormat="1" applyFont="1" applyFill="1" applyBorder="1" applyAlignment="1">
      <alignment horizontal="center"/>
    </xf>
    <xf numFmtId="165" fontId="13" fillId="2" borderId="14" xfId="1" applyNumberFormat="1" applyFont="1" applyFill="1" applyBorder="1" applyAlignment="1">
      <alignment horizontal="center"/>
    </xf>
    <xf numFmtId="165" fontId="13" fillId="2" borderId="14" xfId="1" applyNumberFormat="1" applyFont="1" applyFill="1" applyBorder="1"/>
    <xf numFmtId="0" fontId="13" fillId="4" borderId="14" xfId="0" applyFont="1" applyFill="1" applyBorder="1"/>
    <xf numFmtId="0" fontId="16" fillId="7" borderId="6" xfId="0" applyFont="1" applyFill="1" applyBorder="1" applyAlignment="1">
      <alignment horizontal="center"/>
    </xf>
    <xf numFmtId="0" fontId="16" fillId="7" borderId="9" xfId="0" applyFont="1" applyFill="1" applyBorder="1" applyAlignment="1">
      <alignment horizontal="center"/>
    </xf>
    <xf numFmtId="165" fontId="13" fillId="2" borderId="0" xfId="1" applyNumberFormat="1" applyFont="1" applyFill="1" applyBorder="1"/>
    <xf numFmtId="3" fontId="24" fillId="2" borderId="8" xfId="0" applyNumberFormat="1" applyFont="1" applyFill="1" applyBorder="1" applyAlignment="1">
      <alignment horizontal="left" vertical="center"/>
    </xf>
    <xf numFmtId="14" fontId="13" fillId="2" borderId="15" xfId="0" applyNumberFormat="1" applyFont="1" applyFill="1" applyBorder="1"/>
    <xf numFmtId="0" fontId="13" fillId="2" borderId="10" xfId="0" applyFont="1" applyFill="1" applyBorder="1" applyAlignment="1">
      <alignment horizontal="center"/>
    </xf>
    <xf numFmtId="37" fontId="24" fillId="2" borderId="10" xfId="0" applyNumberFormat="1" applyFont="1" applyFill="1" applyBorder="1" applyAlignment="1">
      <alignment vertical="center"/>
    </xf>
    <xf numFmtId="0" fontId="0" fillId="7" borderId="0" xfId="0" applyFill="1"/>
    <xf numFmtId="37" fontId="6" fillId="2" borderId="0" xfId="0" applyNumberFormat="1" applyFont="1" applyFill="1" applyAlignment="1" applyProtection="1">
      <alignment vertical="center"/>
      <protection locked="0"/>
    </xf>
    <xf numFmtId="0" fontId="20" fillId="0" borderId="0" xfId="0" applyFont="1"/>
    <xf numFmtId="14" fontId="20" fillId="0" borderId="0" xfId="0" applyNumberFormat="1" applyFont="1"/>
    <xf numFmtId="0" fontId="13" fillId="0" borderId="8" xfId="0" applyFont="1" applyBorder="1"/>
    <xf numFmtId="0" fontId="11" fillId="0" borderId="14" xfId="0" applyFont="1" applyBorder="1"/>
    <xf numFmtId="14" fontId="21" fillId="0" borderId="14" xfId="0" applyNumberFormat="1" applyFont="1" applyBorder="1"/>
    <xf numFmtId="0" fontId="13" fillId="0" borderId="5" xfId="0" applyFont="1" applyBorder="1"/>
    <xf numFmtId="0" fontId="13" fillId="0" borderId="15" xfId="0" applyFont="1" applyBorder="1"/>
    <xf numFmtId="0" fontId="22" fillId="0" borderId="0" xfId="0" applyFont="1"/>
    <xf numFmtId="14" fontId="21" fillId="0" borderId="0" xfId="0" applyNumberFormat="1" applyFont="1"/>
    <xf numFmtId="0" fontId="47" fillId="7" borderId="36" xfId="0" applyFont="1" applyFill="1" applyBorder="1"/>
    <xf numFmtId="0" fontId="48" fillId="0" borderId="37" xfId="0" applyFont="1" applyBorder="1"/>
    <xf numFmtId="0" fontId="48" fillId="0" borderId="38" xfId="0" applyFont="1" applyBorder="1"/>
    <xf numFmtId="0" fontId="49" fillId="0" borderId="19" xfId="0" applyFont="1" applyBorder="1"/>
    <xf numFmtId="0" fontId="49" fillId="0" borderId="14" xfId="0" applyFont="1" applyBorder="1"/>
    <xf numFmtId="0" fontId="48" fillId="0" borderId="29" xfId="0" applyFont="1" applyBorder="1"/>
    <xf numFmtId="0" fontId="50" fillId="0" borderId="18" xfId="0" applyFont="1" applyBorder="1" applyAlignment="1">
      <alignment horizontal="left"/>
    </xf>
    <xf numFmtId="0" fontId="51" fillId="7" borderId="0" xfId="0" applyFont="1" applyFill="1"/>
    <xf numFmtId="0" fontId="48" fillId="7" borderId="0" xfId="0" applyFont="1" applyFill="1"/>
    <xf numFmtId="0" fontId="48" fillId="7" borderId="28" xfId="0" applyFont="1" applyFill="1" applyBorder="1"/>
    <xf numFmtId="0" fontId="50" fillId="0" borderId="30" xfId="0" applyFont="1" applyBorder="1" applyAlignment="1">
      <alignment horizontal="left"/>
    </xf>
    <xf numFmtId="0" fontId="51" fillId="7" borderId="22" xfId="0" applyFont="1" applyFill="1" applyBorder="1"/>
    <xf numFmtId="0" fontId="48" fillId="7" borderId="22" xfId="0" applyFont="1" applyFill="1" applyBorder="1"/>
    <xf numFmtId="0" fontId="48" fillId="7" borderId="31" xfId="0" applyFont="1" applyFill="1" applyBorder="1"/>
    <xf numFmtId="0" fontId="48" fillId="0" borderId="0" xfId="0" applyFont="1"/>
    <xf numFmtId="0" fontId="52" fillId="0" borderId="33" xfId="0" applyFont="1" applyBorder="1"/>
    <xf numFmtId="0" fontId="48" fillId="0" borderId="34" xfId="0" applyFont="1" applyBorder="1"/>
    <xf numFmtId="0" fontId="50" fillId="0" borderId="35" xfId="0" applyFont="1" applyBorder="1" applyAlignment="1">
      <alignment horizontal="center"/>
    </xf>
    <xf numFmtId="0" fontId="50" fillId="0" borderId="18" xfId="0" applyFont="1" applyBorder="1"/>
    <xf numFmtId="0" fontId="48" fillId="0" borderId="0" xfId="0" quotePrefix="1" applyFont="1"/>
    <xf numFmtId="0" fontId="48" fillId="0" borderId="28" xfId="0" applyFont="1" applyBorder="1" applyAlignment="1">
      <alignment horizontal="center"/>
    </xf>
    <xf numFmtId="0" fontId="50" fillId="0" borderId="30" xfId="0" applyFont="1" applyBorder="1"/>
    <xf numFmtId="0" fontId="48" fillId="0" borderId="22" xfId="0" applyFont="1" applyBorder="1"/>
    <xf numFmtId="0" fontId="48" fillId="0" borderId="31" xfId="0" applyFont="1" applyBorder="1" applyAlignment="1">
      <alignment horizontal="center"/>
    </xf>
    <xf numFmtId="0" fontId="53" fillId="2" borderId="10" xfId="0" applyFont="1" applyFill="1" applyBorder="1"/>
    <xf numFmtId="0" fontId="53" fillId="2" borderId="0" xfId="0" applyFont="1" applyFill="1" applyAlignment="1">
      <alignment horizontal="left"/>
    </xf>
    <xf numFmtId="0" fontId="34" fillId="0" borderId="0" xfId="0" applyFont="1"/>
    <xf numFmtId="9" fontId="21" fillId="0" borderId="0" xfId="3" applyFont="1" applyFill="1" applyBorder="1" applyAlignment="1">
      <alignment horizontal="right"/>
    </xf>
    <xf numFmtId="0" fontId="54" fillId="0" borderId="0" xfId="0" applyFont="1"/>
    <xf numFmtId="169" fontId="11" fillId="0" borderId="0" xfId="0" applyNumberFormat="1" applyFont="1"/>
    <xf numFmtId="165" fontId="11" fillId="0" borderId="0" xfId="1" applyNumberFormat="1" applyFont="1" applyFill="1" applyBorder="1"/>
    <xf numFmtId="10" fontId="11" fillId="0" borderId="0" xfId="0" applyNumberFormat="1" applyFont="1"/>
    <xf numFmtId="0" fontId="21" fillId="0" borderId="0" xfId="0" applyFont="1" applyAlignment="1">
      <alignment horizontal="left" vertical="top" wrapText="1"/>
    </xf>
    <xf numFmtId="165" fontId="11" fillId="0" borderId="0" xfId="0" applyNumberFormat="1" applyFont="1"/>
    <xf numFmtId="165" fontId="11" fillId="0" borderId="0" xfId="1" applyNumberFormat="1" applyFont="1" applyFill="1"/>
    <xf numFmtId="3" fontId="24" fillId="2" borderId="10" xfId="0" applyNumberFormat="1" applyFont="1" applyFill="1" applyBorder="1" applyAlignment="1">
      <alignment horizontal="left" vertical="center"/>
    </xf>
    <xf numFmtId="43" fontId="11" fillId="2" borderId="4" xfId="0" applyNumberFormat="1" applyFont="1" applyFill="1" applyBorder="1" applyAlignment="1">
      <alignment horizontal="left"/>
    </xf>
    <xf numFmtId="10" fontId="11" fillId="0" borderId="5" xfId="3" applyNumberFormat="1" applyFont="1" applyFill="1" applyBorder="1" applyAlignment="1">
      <alignment horizontal="center"/>
    </xf>
    <xf numFmtId="10" fontId="11" fillId="0" borderId="8" xfId="3" applyNumberFormat="1" applyFont="1" applyFill="1" applyBorder="1" applyAlignment="1">
      <alignment horizontal="center"/>
    </xf>
    <xf numFmtId="0" fontId="13" fillId="0" borderId="10" xfId="0" applyFont="1" applyBorder="1"/>
    <xf numFmtId="0" fontId="11" fillId="0" borderId="15" xfId="0" applyFont="1" applyBorder="1"/>
    <xf numFmtId="0" fontId="11" fillId="0" borderId="11" xfId="0" applyFont="1" applyBorder="1"/>
    <xf numFmtId="0" fontId="0" fillId="2" borderId="9" xfId="0" applyFill="1" applyBorder="1" applyAlignment="1">
      <alignment horizontal="center"/>
    </xf>
    <xf numFmtId="0" fontId="0" fillId="2" borderId="8" xfId="0" applyFill="1" applyBorder="1"/>
    <xf numFmtId="0" fontId="0" fillId="2" borderId="3" xfId="0" applyFill="1" applyBorder="1"/>
    <xf numFmtId="0" fontId="0" fillId="2" borderId="6" xfId="0" applyFill="1" applyBorder="1"/>
    <xf numFmtId="0" fontId="0" fillId="2" borderId="11" xfId="0" applyFill="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3" fontId="0" fillId="2" borderId="6" xfId="0" applyNumberFormat="1" applyFill="1" applyBorder="1" applyAlignment="1">
      <alignment horizontal="center"/>
    </xf>
    <xf numFmtId="44" fontId="0" fillId="7" borderId="0" xfId="0" applyNumberFormat="1" applyFill="1"/>
    <xf numFmtId="0" fontId="2" fillId="2" borderId="10" xfId="0" applyFont="1" applyFill="1" applyBorder="1"/>
    <xf numFmtId="0" fontId="2" fillId="2" borderId="15" xfId="0" applyFont="1" applyFill="1" applyBorder="1" applyAlignment="1">
      <alignment wrapText="1"/>
    </xf>
    <xf numFmtId="0" fontId="2" fillId="2" borderId="11" xfId="0" applyFont="1" applyFill="1" applyBorder="1" applyAlignment="1">
      <alignment wrapText="1"/>
    </xf>
    <xf numFmtId="0" fontId="12" fillId="2" borderId="10" xfId="0" applyFont="1" applyFill="1" applyBorder="1"/>
    <xf numFmtId="0" fontId="12" fillId="2" borderId="15" xfId="0" applyFont="1" applyFill="1" applyBorder="1"/>
    <xf numFmtId="14" fontId="11" fillId="2" borderId="15" xfId="0" applyNumberFormat="1" applyFont="1" applyFill="1" applyBorder="1"/>
    <xf numFmtId="0" fontId="2" fillId="2" borderId="13" xfId="0" applyFont="1" applyFill="1" applyBorder="1" applyAlignment="1">
      <alignment horizontal="center"/>
    </xf>
    <xf numFmtId="165" fontId="0" fillId="2" borderId="0" xfId="0" applyNumberFormat="1" applyFill="1"/>
    <xf numFmtId="6" fontId="2" fillId="2" borderId="14" xfId="0" applyNumberFormat="1" applyFont="1" applyFill="1" applyBorder="1"/>
    <xf numFmtId="0" fontId="2" fillId="2" borderId="12" xfId="0" applyFont="1" applyFill="1" applyBorder="1" applyAlignment="1">
      <alignment horizontal="center"/>
    </xf>
    <xf numFmtId="6" fontId="16" fillId="7" borderId="4" xfId="0" applyNumberFormat="1" applyFont="1" applyFill="1" applyBorder="1"/>
    <xf numFmtId="0" fontId="16" fillId="7" borderId="4" xfId="0" applyFont="1" applyFill="1" applyBorder="1"/>
    <xf numFmtId="6" fontId="0" fillId="2" borderId="4" xfId="0" applyNumberFormat="1" applyFill="1" applyBorder="1"/>
    <xf numFmtId="165" fontId="0" fillId="2" borderId="4" xfId="0" applyNumberFormat="1" applyFill="1" applyBorder="1"/>
    <xf numFmtId="43" fontId="2" fillId="2" borderId="7" xfId="1" applyFont="1" applyFill="1" applyBorder="1"/>
    <xf numFmtId="0" fontId="2" fillId="2" borderId="12" xfId="0" applyFont="1" applyFill="1" applyBorder="1" applyAlignment="1">
      <alignment horizontal="center" wrapText="1"/>
    </xf>
    <xf numFmtId="0" fontId="26" fillId="2" borderId="13" xfId="0" applyFont="1" applyFill="1" applyBorder="1" applyAlignment="1">
      <alignment horizontal="center"/>
    </xf>
    <xf numFmtId="38" fontId="26" fillId="2" borderId="3" xfId="1" applyNumberFormat="1" applyFont="1" applyFill="1" applyBorder="1"/>
    <xf numFmtId="10" fontId="21" fillId="7" borderId="6" xfId="3" applyNumberFormat="1" applyFont="1" applyFill="1" applyBorder="1"/>
    <xf numFmtId="166" fontId="21" fillId="7" borderId="9" xfId="2" applyNumberFormat="1" applyFont="1" applyFill="1" applyBorder="1"/>
    <xf numFmtId="0" fontId="24" fillId="2" borderId="8" xfId="0" applyFont="1" applyFill="1" applyBorder="1"/>
    <xf numFmtId="6" fontId="24" fillId="2" borderId="9" xfId="2" applyNumberFormat="1" applyFont="1" applyFill="1" applyBorder="1"/>
    <xf numFmtId="38" fontId="21" fillId="7" borderId="6" xfId="0" applyNumberFormat="1" applyFont="1" applyFill="1" applyBorder="1"/>
    <xf numFmtId="9" fontId="21" fillId="7" borderId="9" xfId="0" applyNumberFormat="1" applyFont="1" applyFill="1" applyBorder="1"/>
    <xf numFmtId="9" fontId="11" fillId="2" borderId="15" xfId="3" applyFont="1" applyFill="1" applyBorder="1" applyAlignment="1">
      <alignment horizontal="center"/>
    </xf>
    <xf numFmtId="172" fontId="20" fillId="0" borderId="1" xfId="2" applyNumberFormat="1" applyFont="1" applyFill="1" applyBorder="1"/>
    <xf numFmtId="172" fontId="20" fillId="0" borderId="4" xfId="2" applyNumberFormat="1" applyFont="1" applyFill="1" applyBorder="1"/>
    <xf numFmtId="172" fontId="20" fillId="0" borderId="7" xfId="2" applyNumberFormat="1" applyFont="1" applyFill="1" applyBorder="1"/>
    <xf numFmtId="10" fontId="20" fillId="0" borderId="5" xfId="3" applyNumberFormat="1" applyFont="1" applyFill="1" applyBorder="1"/>
    <xf numFmtId="10" fontId="20" fillId="0" borderId="8" xfId="3" applyNumberFormat="1" applyFont="1" applyFill="1" applyBorder="1"/>
    <xf numFmtId="10" fontId="20" fillId="0" borderId="2" xfId="3" applyNumberFormat="1" applyFont="1" applyFill="1" applyBorder="1"/>
    <xf numFmtId="6" fontId="11" fillId="2" borderId="6" xfId="0" applyNumberFormat="1" applyFont="1" applyFill="1" applyBorder="1"/>
    <xf numFmtId="6" fontId="11" fillId="2" borderId="9" xfId="0" applyNumberFormat="1" applyFont="1" applyFill="1" applyBorder="1"/>
    <xf numFmtId="0" fontId="55" fillId="2" borderId="0" xfId="0" applyFont="1" applyFill="1"/>
    <xf numFmtId="0" fontId="31" fillId="2" borderId="9" xfId="0" applyFont="1" applyFill="1" applyBorder="1"/>
    <xf numFmtId="0" fontId="31" fillId="2" borderId="15" xfId="0" applyFont="1" applyFill="1" applyBorder="1"/>
    <xf numFmtId="0" fontId="31" fillId="2" borderId="11" xfId="0" applyFont="1" applyFill="1" applyBorder="1"/>
    <xf numFmtId="0" fontId="27" fillId="2" borderId="5" xfId="0" applyFont="1" applyFill="1" applyBorder="1" applyAlignment="1">
      <alignment horizontal="left" vertical="center"/>
    </xf>
    <xf numFmtId="0" fontId="18" fillId="2" borderId="5" xfId="0" applyFont="1" applyFill="1" applyBorder="1"/>
    <xf numFmtId="165" fontId="20" fillId="0" borderId="0" xfId="1" applyNumberFormat="1" applyFont="1" applyFill="1" applyBorder="1" applyAlignment="1" applyProtection="1">
      <alignment horizontal="right" vertical="center"/>
    </xf>
    <xf numFmtId="165" fontId="20" fillId="0" borderId="14" xfId="1" applyNumberFormat="1" applyFont="1" applyFill="1" applyBorder="1" applyAlignment="1" applyProtection="1">
      <alignment horizontal="right" vertical="center"/>
    </xf>
    <xf numFmtId="165" fontId="20" fillId="0" borderId="0" xfId="1" applyNumberFormat="1" applyFont="1" applyFill="1" applyBorder="1" applyAlignment="1" applyProtection="1">
      <alignment horizontal="left" vertical="center"/>
    </xf>
    <xf numFmtId="165" fontId="20" fillId="0" borderId="14" xfId="1" applyNumberFormat="1" applyFont="1" applyFill="1" applyBorder="1" applyAlignment="1" applyProtection="1">
      <alignment horizontal="left" vertical="center"/>
    </xf>
    <xf numFmtId="168" fontId="21" fillId="7" borderId="0" xfId="3" applyNumberFormat="1" applyFont="1" applyFill="1" applyBorder="1" applyAlignment="1">
      <alignment horizontal="center"/>
    </xf>
    <xf numFmtId="168" fontId="20" fillId="2" borderId="0" xfId="3" applyNumberFormat="1" applyFont="1" applyFill="1" applyBorder="1" applyAlignment="1">
      <alignment horizontal="center"/>
    </xf>
    <xf numFmtId="168" fontId="11" fillId="2" borderId="14" xfId="3" applyNumberFormat="1" applyFont="1" applyFill="1" applyBorder="1" applyAlignment="1">
      <alignment horizontal="center"/>
    </xf>
    <xf numFmtId="10" fontId="38" fillId="7" borderId="6" xfId="0" applyNumberFormat="1" applyFont="1" applyFill="1" applyBorder="1" applyAlignment="1">
      <alignment vertical="center"/>
    </xf>
    <xf numFmtId="0" fontId="20" fillId="2" borderId="8" xfId="0" applyFont="1" applyFill="1" applyBorder="1" applyAlignment="1">
      <alignment vertical="center" wrapText="1"/>
    </xf>
    <xf numFmtId="10" fontId="38" fillId="7" borderId="9" xfId="0" applyNumberFormat="1" applyFont="1" applyFill="1" applyBorder="1" applyAlignment="1">
      <alignment vertical="center"/>
    </xf>
    <xf numFmtId="0" fontId="13" fillId="6" borderId="15" xfId="0" applyFont="1" applyFill="1" applyBorder="1" applyAlignment="1">
      <alignment horizontal="center"/>
    </xf>
    <xf numFmtId="165" fontId="11" fillId="6" borderId="0" xfId="1" applyNumberFormat="1" applyFont="1" applyFill="1" applyBorder="1"/>
    <xf numFmtId="165" fontId="13" fillId="6" borderId="0" xfId="1" applyNumberFormat="1" applyFont="1" applyFill="1" applyBorder="1"/>
    <xf numFmtId="165" fontId="13" fillId="2" borderId="6" xfId="1" applyNumberFormat="1" applyFont="1" applyFill="1" applyBorder="1"/>
    <xf numFmtId="0" fontId="11" fillId="6" borderId="0" xfId="0" applyFont="1" applyFill="1"/>
    <xf numFmtId="0" fontId="13" fillId="2" borderId="20" xfId="0" applyFont="1" applyFill="1" applyBorder="1"/>
    <xf numFmtId="165" fontId="13" fillId="2" borderId="39" xfId="1" applyNumberFormat="1" applyFont="1" applyFill="1" applyBorder="1"/>
    <xf numFmtId="165" fontId="11" fillId="6" borderId="0" xfId="0" applyNumberFormat="1" applyFont="1" applyFill="1"/>
    <xf numFmtId="165" fontId="11" fillId="2" borderId="6" xfId="0" applyNumberFormat="1" applyFont="1" applyFill="1" applyBorder="1"/>
    <xf numFmtId="43" fontId="11" fillId="6" borderId="0" xfId="1" applyFont="1" applyFill="1" applyBorder="1"/>
    <xf numFmtId="43" fontId="11" fillId="2" borderId="6" xfId="1" applyFont="1" applyFill="1" applyBorder="1"/>
    <xf numFmtId="165" fontId="11" fillId="2" borderId="14" xfId="0" applyNumberFormat="1" applyFont="1" applyFill="1" applyBorder="1"/>
    <xf numFmtId="165" fontId="11" fillId="6" borderId="14" xfId="0" applyNumberFormat="1" applyFont="1" applyFill="1" applyBorder="1"/>
    <xf numFmtId="0" fontId="39" fillId="2" borderId="12" xfId="0" applyFont="1" applyFill="1" applyBorder="1"/>
    <xf numFmtId="10" fontId="31" fillId="2" borderId="4" xfId="0" applyNumberFormat="1" applyFont="1" applyFill="1" applyBorder="1"/>
    <xf numFmtId="10" fontId="31" fillId="2" borderId="7" xfId="0" applyNumberFormat="1" applyFont="1" applyFill="1" applyBorder="1"/>
    <xf numFmtId="0" fontId="39" fillId="2" borderId="4" xfId="0" applyFont="1" applyFill="1" applyBorder="1"/>
    <xf numFmtId="0" fontId="31" fillId="2" borderId="4" xfId="0" applyFont="1" applyFill="1" applyBorder="1"/>
    <xf numFmtId="10" fontId="38" fillId="7" borderId="4" xfId="0" applyNumberFormat="1" applyFont="1" applyFill="1" applyBorder="1"/>
    <xf numFmtId="10" fontId="39" fillId="2" borderId="4" xfId="0" applyNumberFormat="1" applyFont="1" applyFill="1" applyBorder="1"/>
    <xf numFmtId="0" fontId="39" fillId="2" borderId="32" xfId="0" applyFont="1" applyFill="1" applyBorder="1"/>
    <xf numFmtId="0" fontId="40" fillId="2" borderId="4" xfId="0" applyFont="1" applyFill="1" applyBorder="1"/>
    <xf numFmtId="9" fontId="38" fillId="7" borderId="4" xfId="0" applyNumberFormat="1" applyFont="1" applyFill="1" applyBorder="1" applyAlignment="1">
      <alignment horizontal="center"/>
    </xf>
    <xf numFmtId="10" fontId="38" fillId="7" borderId="4" xfId="0" applyNumberFormat="1" applyFont="1" applyFill="1" applyBorder="1" applyAlignment="1">
      <alignment horizontal="center"/>
    </xf>
    <xf numFmtId="0" fontId="11" fillId="2" borderId="7" xfId="0" applyFont="1" applyFill="1" applyBorder="1"/>
    <xf numFmtId="0" fontId="20" fillId="2" borderId="6" xfId="0" applyFont="1" applyFill="1" applyBorder="1" applyAlignment="1">
      <alignment horizontal="left" vertical="center" wrapText="1"/>
    </xf>
    <xf numFmtId="10" fontId="21" fillId="7" borderId="9" xfId="3" applyNumberFormat="1" applyFont="1" applyFill="1" applyBorder="1"/>
    <xf numFmtId="10" fontId="11" fillId="2" borderId="6" xfId="3" applyNumberFormat="1" applyFont="1" applyFill="1" applyBorder="1"/>
    <xf numFmtId="9" fontId="21" fillId="7" borderId="9" xfId="0" applyNumberFormat="1" applyFont="1" applyFill="1" applyBorder="1" applyAlignment="1">
      <alignment horizontal="center" vertical="center"/>
    </xf>
    <xf numFmtId="0" fontId="13" fillId="0" borderId="12" xfId="0" applyFont="1" applyBorder="1" applyAlignment="1">
      <alignment horizontal="center"/>
    </xf>
    <xf numFmtId="0" fontId="53" fillId="2" borderId="0" xfId="0" applyFont="1" applyFill="1"/>
    <xf numFmtId="10" fontId="11" fillId="0" borderId="0" xfId="3" applyNumberFormat="1" applyFont="1" applyFill="1" applyBorder="1" applyAlignment="1">
      <alignment horizontal="center"/>
    </xf>
    <xf numFmtId="0" fontId="13" fillId="2" borderId="3" xfId="0" applyFont="1" applyFill="1" applyBorder="1" applyAlignment="1">
      <alignment horizontal="center"/>
    </xf>
    <xf numFmtId="0" fontId="11" fillId="0" borderId="5" xfId="0" applyFont="1" applyBorder="1"/>
    <xf numFmtId="165" fontId="11" fillId="2" borderId="41" xfId="1" applyNumberFormat="1" applyFont="1" applyFill="1" applyBorder="1"/>
    <xf numFmtId="165" fontId="21" fillId="7" borderId="41" xfId="1" applyNumberFormat="1" applyFont="1" applyFill="1" applyBorder="1"/>
    <xf numFmtId="165" fontId="11" fillId="9" borderId="42" xfId="1" applyNumberFormat="1" applyFont="1" applyFill="1" applyBorder="1"/>
    <xf numFmtId="165" fontId="11" fillId="2" borderId="40" xfId="1" applyNumberFormat="1" applyFont="1" applyFill="1" applyBorder="1"/>
    <xf numFmtId="165" fontId="13" fillId="2" borderId="43" xfId="1" applyNumberFormat="1" applyFont="1" applyFill="1" applyBorder="1"/>
    <xf numFmtId="165" fontId="11" fillId="2" borderId="43" xfId="1" applyNumberFormat="1" applyFont="1" applyFill="1" applyBorder="1"/>
    <xf numFmtId="165" fontId="20" fillId="2" borderId="41" xfId="1" applyNumberFormat="1" applyFont="1" applyFill="1" applyBorder="1"/>
    <xf numFmtId="165" fontId="21" fillId="7" borderId="41" xfId="1" applyNumberFormat="1" applyFont="1" applyFill="1" applyBorder="1" applyAlignment="1" applyProtection="1">
      <alignment horizontal="right" vertical="center"/>
    </xf>
    <xf numFmtId="165" fontId="21" fillId="7" borderId="42" xfId="1" applyNumberFormat="1" applyFont="1" applyFill="1" applyBorder="1" applyAlignment="1" applyProtection="1">
      <alignment horizontal="right" vertical="center"/>
    </xf>
    <xf numFmtId="165" fontId="21" fillId="7" borderId="41" xfId="1" applyNumberFormat="1" applyFont="1" applyFill="1" applyBorder="1" applyAlignment="1" applyProtection="1">
      <alignment horizontal="left" vertical="center"/>
    </xf>
    <xf numFmtId="165" fontId="21" fillId="7" borderId="42" xfId="1" applyNumberFormat="1" applyFont="1" applyFill="1" applyBorder="1" applyAlignment="1" applyProtection="1">
      <alignment horizontal="left" vertical="center"/>
    </xf>
    <xf numFmtId="165" fontId="21" fillId="7" borderId="42" xfId="1" applyNumberFormat="1" applyFont="1" applyFill="1" applyBorder="1"/>
    <xf numFmtId="165" fontId="11" fillId="2" borderId="42" xfId="1" applyNumberFormat="1" applyFont="1" applyFill="1" applyBorder="1"/>
    <xf numFmtId="0" fontId="13" fillId="2" borderId="40" xfId="0" applyFont="1" applyFill="1" applyBorder="1" applyAlignment="1">
      <alignment horizontal="center"/>
    </xf>
    <xf numFmtId="0" fontId="11" fillId="2" borderId="43" xfId="0" applyFont="1" applyFill="1" applyBorder="1"/>
    <xf numFmtId="165" fontId="13" fillId="2" borderId="41" xfId="1" applyNumberFormat="1" applyFont="1" applyFill="1" applyBorder="1"/>
    <xf numFmtId="0" fontId="2" fillId="2" borderId="0" xfId="0" applyFont="1" applyFill="1"/>
    <xf numFmtId="0" fontId="11" fillId="0" borderId="1" xfId="0" applyFont="1" applyBorder="1"/>
    <xf numFmtId="165" fontId="11" fillId="0" borderId="3" xfId="0" applyNumberFormat="1" applyFont="1" applyBorder="1"/>
    <xf numFmtId="0" fontId="11" fillId="0" borderId="7" xfId="0" applyFont="1" applyBorder="1" applyAlignment="1">
      <alignment vertical="center" wrapText="1"/>
    </xf>
    <xf numFmtId="0" fontId="11" fillId="0" borderId="14" xfId="0" applyFont="1" applyBorder="1" applyAlignment="1">
      <alignment vertical="center"/>
    </xf>
    <xf numFmtId="165" fontId="11" fillId="0" borderId="9" xfId="0" applyNumberFormat="1" applyFont="1" applyBorder="1" applyAlignment="1">
      <alignment vertical="center"/>
    </xf>
    <xf numFmtId="0" fontId="11" fillId="0" borderId="10" xfId="0" applyFont="1" applyBorder="1" applyAlignment="1">
      <alignment vertical="center" wrapText="1"/>
    </xf>
    <xf numFmtId="0" fontId="11" fillId="0" borderId="0" xfId="0" applyFont="1" applyAlignment="1">
      <alignment vertical="center"/>
    </xf>
    <xf numFmtId="165" fontId="11" fillId="0" borderId="11" xfId="0" applyNumberFormat="1" applyFont="1" applyBorder="1" applyAlignment="1">
      <alignment vertical="center"/>
    </xf>
    <xf numFmtId="165" fontId="11" fillId="0" borderId="11" xfId="0" applyNumberFormat="1" applyFont="1" applyBorder="1"/>
    <xf numFmtId="0" fontId="11" fillId="2" borderId="12" xfId="0" applyFont="1" applyFill="1" applyBorder="1"/>
    <xf numFmtId="0" fontId="20" fillId="0" borderId="12" xfId="0" applyFont="1" applyBorder="1"/>
    <xf numFmtId="3" fontId="11" fillId="2" borderId="12" xfId="0" applyNumberFormat="1" applyFont="1" applyFill="1" applyBorder="1"/>
    <xf numFmtId="2" fontId="54" fillId="7" borderId="12" xfId="0" applyNumberFormat="1" applyFont="1" applyFill="1" applyBorder="1"/>
    <xf numFmtId="1" fontId="20" fillId="0" borderId="12" xfId="0" applyNumberFormat="1" applyFont="1" applyBorder="1" applyAlignment="1">
      <alignment horizontal="right"/>
    </xf>
    <xf numFmtId="169" fontId="20" fillId="0" borderId="12" xfId="0" applyNumberFormat="1" applyFont="1" applyBorder="1"/>
    <xf numFmtId="1" fontId="54" fillId="7" borderId="12" xfId="0" applyNumberFormat="1" applyFont="1" applyFill="1" applyBorder="1"/>
    <xf numFmtId="43" fontId="11" fillId="2" borderId="12" xfId="1" applyFont="1" applyFill="1" applyBorder="1"/>
    <xf numFmtId="165" fontId="11" fillId="2" borderId="12" xfId="1" applyNumberFormat="1" applyFont="1" applyFill="1" applyBorder="1"/>
    <xf numFmtId="0" fontId="0" fillId="2" borderId="0" xfId="0" applyFill="1" applyAlignment="1">
      <alignment horizontal="left"/>
    </xf>
    <xf numFmtId="0" fontId="48" fillId="2" borderId="5" xfId="0" applyFont="1" applyFill="1" applyBorder="1"/>
    <xf numFmtId="10" fontId="56" fillId="10" borderId="4" xfId="3" applyNumberFormat="1" applyFont="1" applyFill="1" applyBorder="1" applyAlignment="1">
      <alignment horizontal="center"/>
    </xf>
    <xf numFmtId="10" fontId="56" fillId="10" borderId="7" xfId="3" applyNumberFormat="1" applyFont="1" applyFill="1" applyBorder="1" applyAlignment="1">
      <alignment horizontal="center"/>
    </xf>
    <xf numFmtId="0" fontId="11" fillId="10" borderId="5" xfId="0" applyFont="1" applyFill="1" applyBorder="1"/>
    <xf numFmtId="0" fontId="11" fillId="10" borderId="4" xfId="0" applyFont="1" applyFill="1" applyBorder="1" applyAlignment="1">
      <alignment horizontal="center"/>
    </xf>
    <xf numFmtId="0" fontId="13" fillId="0" borderId="0" xfId="0" applyFont="1" applyAlignment="1">
      <alignment horizontal="center"/>
    </xf>
    <xf numFmtId="0" fontId="53" fillId="0" borderId="0" xfId="0" applyFont="1"/>
    <xf numFmtId="0" fontId="46" fillId="0" borderId="0" xfId="0" applyFont="1" applyAlignment="1">
      <alignment horizontal="center"/>
    </xf>
    <xf numFmtId="37" fontId="10" fillId="2" borderId="13" xfId="0" applyNumberFormat="1" applyFont="1" applyFill="1" applyBorder="1" applyAlignment="1">
      <alignment vertical="center"/>
    </xf>
    <xf numFmtId="37" fontId="3" fillId="2" borderId="0" xfId="0" applyNumberFormat="1" applyFont="1" applyFill="1" applyAlignment="1">
      <alignment vertical="center"/>
    </xf>
    <xf numFmtId="37" fontId="10" fillId="2" borderId="0" xfId="0" applyNumberFormat="1" applyFont="1" applyFill="1" applyAlignment="1">
      <alignment vertical="center"/>
    </xf>
    <xf numFmtId="37" fontId="24" fillId="2" borderId="2" xfId="0" applyNumberFormat="1" applyFont="1" applyFill="1" applyBorder="1" applyAlignment="1">
      <alignment vertical="center"/>
    </xf>
    <xf numFmtId="37" fontId="24" fillId="2" borderId="5" xfId="0" applyNumberFormat="1" applyFont="1" applyFill="1" applyBorder="1" applyAlignment="1">
      <alignment vertical="center"/>
    </xf>
    <xf numFmtId="165" fontId="13" fillId="2" borderId="1" xfId="1" applyNumberFormat="1" applyFont="1" applyFill="1" applyBorder="1"/>
    <xf numFmtId="9" fontId="13" fillId="2" borderId="12" xfId="3" applyFont="1" applyFill="1" applyBorder="1"/>
    <xf numFmtId="172" fontId="13" fillId="2" borderId="9" xfId="2" applyNumberFormat="1" applyFont="1" applyFill="1" applyBorder="1"/>
    <xf numFmtId="6" fontId="13" fillId="2" borderId="9" xfId="0" applyNumberFormat="1" applyFont="1" applyFill="1" applyBorder="1"/>
    <xf numFmtId="0" fontId="11" fillId="2" borderId="12" xfId="0" applyFont="1" applyFill="1" applyBorder="1" applyAlignment="1">
      <alignment horizontal="center"/>
    </xf>
    <xf numFmtId="172" fontId="54" fillId="0" borderId="0" xfId="2" applyNumberFormat="1" applyFont="1" applyFill="1" applyBorder="1"/>
    <xf numFmtId="172" fontId="54" fillId="0" borderId="14" xfId="2" applyNumberFormat="1" applyFont="1" applyFill="1" applyBorder="1"/>
    <xf numFmtId="9" fontId="11" fillId="2" borderId="13" xfId="3" applyFont="1" applyFill="1" applyBorder="1" applyAlignment="1">
      <alignment horizontal="center"/>
    </xf>
    <xf numFmtId="0" fontId="11" fillId="2" borderId="1" xfId="0" applyFont="1" applyFill="1" applyBorder="1" applyAlignment="1">
      <alignment horizontal="center"/>
    </xf>
    <xf numFmtId="9" fontId="13" fillId="2" borderId="7" xfId="3" applyFont="1" applyFill="1" applyBorder="1"/>
    <xf numFmtId="0" fontId="13" fillId="8" borderId="8" xfId="0" applyFont="1" applyFill="1" applyBorder="1"/>
    <xf numFmtId="0" fontId="14" fillId="8" borderId="14" xfId="0" applyFont="1" applyFill="1" applyBorder="1"/>
    <xf numFmtId="38" fontId="13" fillId="8" borderId="7" xfId="0" applyNumberFormat="1" applyFont="1" applyFill="1" applyBorder="1"/>
    <xf numFmtId="165" fontId="13" fillId="2" borderId="0" xfId="0" applyNumberFormat="1" applyFont="1" applyFill="1"/>
    <xf numFmtId="16" fontId="48" fillId="0" borderId="28" xfId="0" quotePrefix="1" applyNumberFormat="1" applyFont="1" applyBorder="1" applyAlignment="1">
      <alignment horizontal="center"/>
    </xf>
    <xf numFmtId="37" fontId="13" fillId="2" borderId="2" xfId="0" applyNumberFormat="1" applyFont="1" applyFill="1" applyBorder="1"/>
    <xf numFmtId="0" fontId="13" fillId="2" borderId="13" xfId="0" applyFont="1" applyFill="1" applyBorder="1"/>
    <xf numFmtId="165" fontId="13" fillId="2" borderId="1" xfId="0" applyNumberFormat="1" applyFont="1" applyFill="1" applyBorder="1"/>
    <xf numFmtId="165" fontId="13" fillId="2" borderId="12" xfId="0" applyNumberFormat="1" applyFont="1" applyFill="1" applyBorder="1"/>
    <xf numFmtId="0" fontId="2" fillId="2" borderId="14" xfId="0" applyFont="1" applyFill="1" applyBorder="1" applyAlignment="1">
      <alignment horizontal="center"/>
    </xf>
    <xf numFmtId="0" fontId="2" fillId="2" borderId="9" xfId="0" applyFont="1" applyFill="1" applyBorder="1" applyAlignment="1">
      <alignment horizontal="center"/>
    </xf>
    <xf numFmtId="172" fontId="21" fillId="7" borderId="5" xfId="2" applyNumberFormat="1" applyFont="1" applyFill="1" applyBorder="1"/>
    <xf numFmtId="172" fontId="21" fillId="7" borderId="10" xfId="2" applyNumberFormat="1" applyFont="1" applyFill="1" applyBorder="1"/>
    <xf numFmtId="172" fontId="13" fillId="2" borderId="8" xfId="2" applyNumberFormat="1" applyFont="1" applyFill="1" applyBorder="1"/>
    <xf numFmtId="172" fontId="11" fillId="2" borderId="0" xfId="2" applyNumberFormat="1" applyFont="1" applyFill="1"/>
    <xf numFmtId="172" fontId="11" fillId="2" borderId="3" xfId="2" applyNumberFormat="1" applyFont="1" applyFill="1" applyBorder="1"/>
    <xf numFmtId="172" fontId="11" fillId="2" borderId="6" xfId="2" applyNumberFormat="1" applyFont="1" applyFill="1" applyBorder="1"/>
    <xf numFmtId="172" fontId="11" fillId="2" borderId="15" xfId="2" applyNumberFormat="1" applyFont="1" applyFill="1" applyBorder="1"/>
    <xf numFmtId="172" fontId="11" fillId="2" borderId="11" xfId="2" applyNumberFormat="1" applyFont="1" applyFill="1" applyBorder="1"/>
    <xf numFmtId="0" fontId="16" fillId="7" borderId="5" xfId="0" applyFont="1" applyFill="1" applyBorder="1" applyAlignment="1">
      <alignment horizontal="center"/>
    </xf>
    <xf numFmtId="0" fontId="16" fillId="7" borderId="8" xfId="0" applyFont="1" applyFill="1" applyBorder="1" applyAlignment="1">
      <alignment horizontal="center"/>
    </xf>
    <xf numFmtId="0" fontId="2" fillId="2" borderId="8" xfId="0" applyFont="1" applyFill="1" applyBorder="1" applyAlignment="1">
      <alignment horizontal="center"/>
    </xf>
    <xf numFmtId="0" fontId="0" fillId="2" borderId="0" xfId="0" applyFill="1" applyAlignment="1">
      <alignment horizontal="center"/>
    </xf>
    <xf numFmtId="0" fontId="50" fillId="2" borderId="10" xfId="0" applyFont="1" applyFill="1" applyBorder="1"/>
    <xf numFmtId="0" fontId="50" fillId="0" borderId="15" xfId="0" applyFont="1" applyBorder="1"/>
    <xf numFmtId="165" fontId="50" fillId="2" borderId="11" xfId="0" applyNumberFormat="1" applyFont="1" applyFill="1" applyBorder="1"/>
    <xf numFmtId="10" fontId="2" fillId="0" borderId="9" xfId="3" applyNumberFormat="1" applyFont="1" applyFill="1" applyBorder="1" applyAlignment="1">
      <alignment horizontal="center"/>
    </xf>
    <xf numFmtId="0" fontId="20" fillId="2" borderId="5" xfId="0" applyFont="1" applyFill="1" applyBorder="1" applyAlignment="1">
      <alignment horizontal="left" vertical="center" indent="2"/>
    </xf>
    <xf numFmtId="0" fontId="20" fillId="8" borderId="0" xfId="0" applyFont="1" applyFill="1"/>
    <xf numFmtId="0" fontId="28" fillId="0" borderId="0" xfId="0" applyFont="1"/>
    <xf numFmtId="0" fontId="28" fillId="8" borderId="0" xfId="0" applyFont="1" applyFill="1"/>
    <xf numFmtId="0" fontId="11" fillId="8" borderId="0" xfId="0" applyFont="1" applyFill="1"/>
    <xf numFmtId="0" fontId="34" fillId="8" borderId="0" xfId="0" applyFont="1" applyFill="1"/>
    <xf numFmtId="0" fontId="21" fillId="7" borderId="15" xfId="0" applyFont="1" applyFill="1" applyBorder="1"/>
    <xf numFmtId="0" fontId="48" fillId="2" borderId="8" xfId="0" applyFont="1" applyFill="1" applyBorder="1"/>
    <xf numFmtId="0" fontId="52" fillId="2" borderId="10" xfId="0" applyFont="1" applyFill="1" applyBorder="1"/>
    <xf numFmtId="0" fontId="50" fillId="2" borderId="5" xfId="0" applyFont="1" applyFill="1" applyBorder="1"/>
    <xf numFmtId="0" fontId="50" fillId="0" borderId="8" xfId="0" applyFont="1" applyBorder="1"/>
    <xf numFmtId="0" fontId="48" fillId="2" borderId="0" xfId="0" applyFont="1" applyFill="1"/>
    <xf numFmtId="0" fontId="50" fillId="2" borderId="10" xfId="0" applyFont="1" applyFill="1" applyBorder="1" applyAlignment="1">
      <alignment horizontal="center" wrapText="1"/>
    </xf>
    <xf numFmtId="0" fontId="48" fillId="7" borderId="5" xfId="0" applyFont="1" applyFill="1" applyBorder="1"/>
    <xf numFmtId="0" fontId="50" fillId="0" borderId="10" xfId="0" applyFont="1" applyBorder="1"/>
    <xf numFmtId="0" fontId="50" fillId="2" borderId="8" xfId="0" applyFont="1" applyFill="1" applyBorder="1"/>
    <xf numFmtId="0" fontId="57" fillId="2" borderId="0" xfId="0" applyFont="1" applyFill="1"/>
    <xf numFmtId="0" fontId="48" fillId="2" borderId="10" xfId="0" applyFont="1" applyFill="1" applyBorder="1"/>
    <xf numFmtId="0" fontId="50" fillId="2" borderId="2" xfId="0" applyFont="1" applyFill="1" applyBorder="1"/>
    <xf numFmtId="0" fontId="48" fillId="2" borderId="10" xfId="0" applyFont="1" applyFill="1" applyBorder="1" applyAlignment="1">
      <alignment horizontal="left"/>
    </xf>
    <xf numFmtId="9" fontId="48" fillId="2" borderId="5" xfId="0" applyNumberFormat="1" applyFont="1" applyFill="1" applyBorder="1" applyAlignment="1">
      <alignment horizontal="left"/>
    </xf>
    <xf numFmtId="0" fontId="48" fillId="2" borderId="2" xfId="0" applyFont="1" applyFill="1" applyBorder="1" applyAlignment="1">
      <alignment horizontal="left"/>
    </xf>
    <xf numFmtId="0" fontId="48" fillId="2" borderId="5" xfId="0" applyFont="1" applyFill="1" applyBorder="1" applyAlignment="1">
      <alignment horizontal="left"/>
    </xf>
    <xf numFmtId="0" fontId="50" fillId="2" borderId="8" xfId="0" applyFont="1" applyFill="1" applyBorder="1" applyAlignment="1">
      <alignment horizontal="left"/>
    </xf>
    <xf numFmtId="0" fontId="58" fillId="7" borderId="2" xfId="0" applyFont="1" applyFill="1" applyBorder="1"/>
    <xf numFmtId="38" fontId="13" fillId="2" borderId="10" xfId="0" applyNumberFormat="1" applyFont="1" applyFill="1" applyBorder="1"/>
    <xf numFmtId="38" fontId="13" fillId="2" borderId="11" xfId="0" applyNumberFormat="1" applyFont="1" applyFill="1" applyBorder="1"/>
    <xf numFmtId="14" fontId="20" fillId="0" borderId="0" xfId="0" applyNumberFormat="1" applyFont="1" applyAlignment="1">
      <alignment horizontal="left"/>
    </xf>
    <xf numFmtId="9" fontId="11" fillId="0" borderId="12" xfId="3" applyFont="1" applyFill="1" applyBorder="1" applyAlignment="1">
      <alignment horizontal="right"/>
    </xf>
    <xf numFmtId="171" fontId="51" fillId="7" borderId="22" xfId="0" applyNumberFormat="1" applyFont="1" applyFill="1" applyBorder="1" applyAlignment="1">
      <alignment horizontal="left"/>
    </xf>
    <xf numFmtId="43" fontId="11" fillId="2" borderId="6" xfId="0" applyNumberFormat="1" applyFont="1" applyFill="1" applyBorder="1"/>
    <xf numFmtId="43" fontId="13" fillId="2" borderId="6" xfId="0" applyNumberFormat="1" applyFont="1" applyFill="1" applyBorder="1"/>
    <xf numFmtId="43" fontId="11" fillId="2" borderId="3" xfId="0" applyNumberFormat="1" applyFont="1" applyFill="1" applyBorder="1"/>
    <xf numFmtId="165" fontId="13" fillId="2" borderId="15" xfId="0" applyNumberFormat="1" applyFont="1" applyFill="1" applyBorder="1"/>
    <xf numFmtId="43" fontId="13" fillId="2" borderId="11" xfId="0" applyNumberFormat="1" applyFont="1" applyFill="1" applyBorder="1"/>
    <xf numFmtId="43" fontId="11" fillId="2" borderId="9" xfId="0" applyNumberFormat="1" applyFont="1" applyFill="1" applyBorder="1"/>
    <xf numFmtId="0" fontId="0" fillId="0" borderId="0" xfId="0" applyAlignment="1">
      <alignment horizontal="center"/>
    </xf>
    <xf numFmtId="0" fontId="0" fillId="0" borderId="14" xfId="0" applyBorder="1" applyAlignment="1">
      <alignment horizontal="center"/>
    </xf>
    <xf numFmtId="9" fontId="0" fillId="2" borderId="3" xfId="3" applyFont="1" applyFill="1" applyBorder="1" applyAlignment="1">
      <alignment horizontal="center"/>
    </xf>
    <xf numFmtId="9" fontId="0" fillId="2" borderId="6" xfId="3" applyFont="1" applyFill="1" applyBorder="1" applyAlignment="1">
      <alignment horizontal="center"/>
    </xf>
    <xf numFmtId="9" fontId="0" fillId="2" borderId="9" xfId="3" applyFont="1" applyFill="1" applyBorder="1" applyAlignment="1">
      <alignment horizontal="center"/>
    </xf>
    <xf numFmtId="9" fontId="2" fillId="2" borderId="11" xfId="0" applyNumberFormat="1" applyFont="1" applyFill="1" applyBorder="1" applyAlignment="1">
      <alignment horizontal="center"/>
    </xf>
    <xf numFmtId="3" fontId="11" fillId="2" borderId="12" xfId="0" applyNumberFormat="1" applyFont="1" applyFill="1" applyBorder="1" applyAlignment="1">
      <alignment horizontal="right"/>
    </xf>
    <xf numFmtId="1" fontId="54" fillId="7" borderId="12" xfId="0" applyNumberFormat="1" applyFont="1" applyFill="1" applyBorder="1" applyAlignment="1">
      <alignment horizontal="right"/>
    </xf>
    <xf numFmtId="0" fontId="0" fillId="2" borderId="5" xfId="0" applyFill="1" applyBorder="1" applyAlignment="1">
      <alignment horizontal="left" indent="1"/>
    </xf>
    <xf numFmtId="0" fontId="0" fillId="11" borderId="5" xfId="0" applyFill="1" applyBorder="1"/>
    <xf numFmtId="5" fontId="11" fillId="2" borderId="5" xfId="2" applyNumberFormat="1" applyFont="1" applyFill="1" applyBorder="1" applyAlignment="1">
      <alignment horizontal="center"/>
    </xf>
    <xf numFmtId="164" fontId="59" fillId="7" borderId="4" xfId="2" applyNumberFormat="1" applyFont="1" applyFill="1" applyBorder="1" applyAlignment="1">
      <alignment horizontal="center"/>
    </xf>
    <xf numFmtId="9" fontId="60" fillId="0" borderId="5" xfId="3" applyFont="1" applyFill="1" applyBorder="1" applyAlignment="1">
      <alignment horizontal="center"/>
    </xf>
    <xf numFmtId="9" fontId="38" fillId="2" borderId="4" xfId="0" applyNumberFormat="1" applyFont="1" applyFill="1" applyBorder="1" applyAlignment="1">
      <alignment horizontal="center"/>
    </xf>
    <xf numFmtId="10" fontId="6" fillId="2" borderId="4" xfId="0" applyNumberFormat="1" applyFont="1" applyFill="1" applyBorder="1"/>
    <xf numFmtId="10" fontId="6" fillId="2" borderId="7" xfId="0" applyNumberFormat="1" applyFont="1" applyFill="1" applyBorder="1"/>
    <xf numFmtId="165" fontId="20" fillId="12" borderId="4" xfId="0" applyNumberFormat="1" applyFont="1" applyFill="1" applyBorder="1"/>
    <xf numFmtId="0" fontId="21" fillId="12" borderId="1" xfId="0" applyFont="1" applyFill="1" applyBorder="1"/>
    <xf numFmtId="0" fontId="21" fillId="12" borderId="4" xfId="0" applyFont="1" applyFill="1" applyBorder="1"/>
    <xf numFmtId="0" fontId="0" fillId="0" borderId="5" xfId="0" applyBorder="1"/>
    <xf numFmtId="165" fontId="11" fillId="2" borderId="9" xfId="0" applyNumberFormat="1" applyFont="1" applyFill="1" applyBorder="1"/>
    <xf numFmtId="165" fontId="2" fillId="2" borderId="0" xfId="0" applyNumberFormat="1" applyFont="1" applyFill="1"/>
    <xf numFmtId="165" fontId="13" fillId="7" borderId="41" xfId="1" applyNumberFormat="1" applyFont="1" applyFill="1" applyBorder="1"/>
    <xf numFmtId="0" fontId="11" fillId="0" borderId="6" xfId="0" applyFont="1" applyBorder="1"/>
    <xf numFmtId="9" fontId="48" fillId="0" borderId="5" xfId="0" applyNumberFormat="1" applyFont="1" applyBorder="1" applyAlignment="1">
      <alignment horizontal="left"/>
    </xf>
    <xf numFmtId="0" fontId="0" fillId="0" borderId="6" xfId="0" applyBorder="1" applyAlignment="1">
      <alignment horizontal="center"/>
    </xf>
    <xf numFmtId="0" fontId="48" fillId="2" borderId="5" xfId="0" applyFont="1" applyFill="1" applyBorder="1" applyAlignment="1">
      <alignment horizontal="left" indent="5"/>
    </xf>
    <xf numFmtId="172" fontId="21" fillId="7" borderId="0" xfId="2" applyNumberFormat="1" applyFont="1" applyFill="1"/>
    <xf numFmtId="172" fontId="21" fillId="7" borderId="15" xfId="2" applyNumberFormat="1" applyFont="1" applyFill="1" applyBorder="1"/>
    <xf numFmtId="172" fontId="13" fillId="2" borderId="14" xfId="2" applyNumberFormat="1" applyFont="1" applyFill="1" applyBorder="1"/>
    <xf numFmtId="172" fontId="21" fillId="2" borderId="0" xfId="2" applyNumberFormat="1" applyFont="1" applyFill="1"/>
    <xf numFmtId="172" fontId="21" fillId="2" borderId="15" xfId="2" applyNumberFormat="1" applyFont="1" applyFill="1" applyBorder="1"/>
    <xf numFmtId="0" fontId="48" fillId="0" borderId="8" xfId="0" applyFont="1" applyBorder="1"/>
    <xf numFmtId="43" fontId="11" fillId="7" borderId="29" xfId="1" applyFont="1" applyFill="1" applyBorder="1"/>
    <xf numFmtId="37" fontId="11" fillId="0" borderId="0" xfId="0" applyNumberFormat="1" applyFont="1" applyAlignment="1">
      <alignment horizontal="center"/>
    </xf>
    <xf numFmtId="38" fontId="11" fillId="0" borderId="0" xfId="0" applyNumberFormat="1" applyFont="1" applyAlignment="1">
      <alignment horizontal="center"/>
    </xf>
    <xf numFmtId="38" fontId="11" fillId="0" borderId="14" xfId="0" applyNumberFormat="1" applyFont="1" applyBorder="1" applyAlignment="1">
      <alignment horizontal="center"/>
    </xf>
    <xf numFmtId="2" fontId="11" fillId="2" borderId="0" xfId="0" applyNumberFormat="1" applyFont="1" applyFill="1"/>
    <xf numFmtId="165" fontId="54" fillId="7" borderId="6" xfId="1" applyNumberFormat="1" applyFont="1" applyFill="1" applyBorder="1"/>
    <xf numFmtId="2" fontId="11" fillId="2" borderId="6" xfId="0" applyNumberFormat="1" applyFont="1" applyFill="1" applyBorder="1"/>
    <xf numFmtId="0" fontId="16" fillId="7" borderId="4" xfId="0" applyFont="1" applyFill="1" applyBorder="1" applyAlignment="1">
      <alignment horizontal="center"/>
    </xf>
    <xf numFmtId="0" fontId="0" fillId="2" borderId="4" xfId="0" applyFill="1" applyBorder="1" applyAlignment="1">
      <alignment horizontal="center"/>
    </xf>
    <xf numFmtId="1" fontId="21" fillId="7" borderId="0" xfId="0" applyNumberFormat="1" applyFont="1" applyFill="1" applyAlignment="1">
      <alignment horizontal="center"/>
    </xf>
    <xf numFmtId="0" fontId="21" fillId="7" borderId="6" xfId="0" applyFont="1" applyFill="1" applyBorder="1"/>
    <xf numFmtId="0" fontId="61" fillId="0" borderId="0" xfId="0" applyFont="1"/>
    <xf numFmtId="3" fontId="58" fillId="13" borderId="4" xfId="0" applyNumberFormat="1" applyFont="1" applyFill="1" applyBorder="1"/>
    <xf numFmtId="3" fontId="62" fillId="13" borderId="4" xfId="0" applyNumberFormat="1" applyFont="1" applyFill="1" applyBorder="1"/>
    <xf numFmtId="0" fontId="58" fillId="13" borderId="4" xfId="0" applyFont="1" applyFill="1" applyBorder="1"/>
    <xf numFmtId="0" fontId="60" fillId="14" borderId="4" xfId="0" applyFont="1" applyFill="1" applyBorder="1"/>
    <xf numFmtId="167" fontId="11" fillId="2" borderId="0" xfId="0" applyNumberFormat="1" applyFont="1" applyFill="1"/>
    <xf numFmtId="0" fontId="64" fillId="0" borderId="0" xfId="6"/>
    <xf numFmtId="0" fontId="64" fillId="2" borderId="0" xfId="6" applyFill="1"/>
    <xf numFmtId="43" fontId="11" fillId="2" borderId="0" xfId="0" applyNumberFormat="1" applyFont="1" applyFill="1"/>
    <xf numFmtId="8" fontId="0" fillId="2" borderId="0" xfId="0" applyNumberFormat="1" applyFill="1"/>
    <xf numFmtId="165" fontId="11" fillId="0" borderId="5" xfId="1" applyNumberFormat="1" applyFont="1" applyFill="1" applyBorder="1"/>
    <xf numFmtId="43" fontId="65" fillId="0" borderId="0" xfId="0" applyNumberFormat="1" applyFont="1"/>
    <xf numFmtId="43" fontId="11" fillId="0" borderId="0" xfId="0" applyNumberFormat="1" applyFont="1"/>
    <xf numFmtId="44" fontId="21" fillId="7" borderId="0" xfId="2" applyFont="1" applyFill="1"/>
    <xf numFmtId="43" fontId="2" fillId="0" borderId="0" xfId="0" applyNumberFormat="1" applyFont="1"/>
    <xf numFmtId="0" fontId="65" fillId="2" borderId="8" xfId="0" applyFont="1" applyFill="1" applyBorder="1" applyAlignment="1">
      <alignment horizontal="left"/>
    </xf>
    <xf numFmtId="2" fontId="11" fillId="0" borderId="0" xfId="0" applyNumberFormat="1" applyFont="1"/>
    <xf numFmtId="9" fontId="13" fillId="2" borderId="0" xfId="3" applyFont="1" applyFill="1" applyBorder="1"/>
    <xf numFmtId="172" fontId="13" fillId="2" borderId="0" xfId="2" applyNumberFormat="1" applyFont="1" applyFill="1" applyBorder="1"/>
    <xf numFmtId="165" fontId="13" fillId="2" borderId="44" xfId="0" applyNumberFormat="1" applyFont="1" applyFill="1" applyBorder="1"/>
    <xf numFmtId="165" fontId="13" fillId="2" borderId="9" xfId="0" applyNumberFormat="1" applyFont="1" applyFill="1" applyBorder="1"/>
    <xf numFmtId="173" fontId="11" fillId="2" borderId="0" xfId="0" applyNumberFormat="1" applyFont="1" applyFill="1"/>
    <xf numFmtId="44" fontId="11" fillId="2" borderId="0" xfId="0" applyNumberFormat="1" applyFont="1" applyFill="1"/>
    <xf numFmtId="43" fontId="21" fillId="7" borderId="0" xfId="1" applyFont="1" applyFill="1" applyBorder="1"/>
    <xf numFmtId="43" fontId="21" fillId="7" borderId="0" xfId="1" applyFont="1" applyFill="1" applyBorder="1" applyAlignment="1">
      <alignment horizontal="right" vertical="center"/>
    </xf>
    <xf numFmtId="6" fontId="0" fillId="0" borderId="0" xfId="0" applyNumberFormat="1"/>
    <xf numFmtId="10" fontId="11" fillId="2" borderId="0" xfId="2" applyNumberFormat="1" applyFont="1" applyFill="1"/>
    <xf numFmtId="3" fontId="0" fillId="0" borderId="0" xfId="0" applyNumberFormat="1"/>
    <xf numFmtId="43" fontId="11" fillId="2" borderId="0" xfId="0" applyNumberFormat="1" applyFont="1" applyFill="1" applyAlignment="1">
      <alignment horizontal="center"/>
    </xf>
    <xf numFmtId="165" fontId="13" fillId="2" borderId="20" xfId="0" applyNumberFormat="1" applyFont="1" applyFill="1" applyBorder="1"/>
    <xf numFmtId="165" fontId="13" fillId="2" borderId="32" xfId="0" applyNumberFormat="1" applyFont="1" applyFill="1" applyBorder="1"/>
    <xf numFmtId="165" fontId="11" fillId="2" borderId="0" xfId="0" quotePrefix="1" applyNumberFormat="1" applyFont="1" applyFill="1"/>
    <xf numFmtId="165" fontId="26" fillId="2" borderId="0" xfId="0" applyNumberFormat="1" applyFont="1" applyFill="1"/>
    <xf numFmtId="6" fontId="11" fillId="2" borderId="44" xfId="0" applyNumberFormat="1" applyFont="1" applyFill="1" applyBorder="1"/>
    <xf numFmtId="165" fontId="21" fillId="7" borderId="2" xfId="1" applyNumberFormat="1" applyFont="1" applyFill="1" applyBorder="1"/>
    <xf numFmtId="165" fontId="13" fillId="0" borderId="44" xfId="0" applyNumberFormat="1" applyFont="1" applyBorder="1" applyAlignment="1">
      <alignment horizontal="right"/>
    </xf>
    <xf numFmtId="10" fontId="11" fillId="0" borderId="44" xfId="0" applyNumberFormat="1" applyFont="1" applyBorder="1"/>
    <xf numFmtId="3" fontId="21" fillId="7" borderId="4" xfId="0" applyNumberFormat="1" applyFont="1" applyFill="1" applyBorder="1"/>
    <xf numFmtId="6" fontId="0" fillId="2" borderId="0" xfId="0" applyNumberFormat="1" applyFill="1"/>
    <xf numFmtId="165" fontId="54" fillId="7" borderId="5" xfId="1" applyNumberFormat="1" applyFont="1" applyFill="1" applyBorder="1"/>
    <xf numFmtId="43" fontId="2" fillId="2" borderId="44" xfId="1" applyFont="1" applyFill="1" applyBorder="1"/>
    <xf numFmtId="6" fontId="67" fillId="7" borderId="4" xfId="0" applyNumberFormat="1" applyFont="1" applyFill="1" applyBorder="1"/>
    <xf numFmtId="165" fontId="0" fillId="0" borderId="0" xfId="0" applyNumberFormat="1"/>
    <xf numFmtId="165" fontId="16" fillId="7" borderId="4" xfId="0" applyNumberFormat="1" applyFont="1" applyFill="1" applyBorder="1"/>
    <xf numFmtId="174" fontId="0" fillId="0" borderId="45" xfId="0" applyNumberFormat="1" applyBorder="1"/>
    <xf numFmtId="174" fontId="0" fillId="0" borderId="49" xfId="0" applyNumberFormat="1" applyBorder="1"/>
    <xf numFmtId="174" fontId="0" fillId="2" borderId="44" xfId="0" applyNumberFormat="1" applyFill="1" applyBorder="1"/>
    <xf numFmtId="6" fontId="67" fillId="15" borderId="52" xfId="0" applyNumberFormat="1" applyFont="1" applyFill="1" applyBorder="1"/>
    <xf numFmtId="0" fontId="0" fillId="16" borderId="49" xfId="0" applyFill="1" applyBorder="1" applyAlignment="1">
      <alignment horizontal="left"/>
    </xf>
    <xf numFmtId="0" fontId="0" fillId="16" borderId="50" xfId="0" applyFill="1" applyBorder="1" applyAlignment="1">
      <alignment horizontal="left"/>
    </xf>
    <xf numFmtId="174" fontId="0" fillId="16" borderId="49" xfId="0" applyNumberFormat="1" applyFill="1" applyBorder="1"/>
    <xf numFmtId="0" fontId="0" fillId="17" borderId="44" xfId="0" applyFill="1" applyBorder="1"/>
    <xf numFmtId="9" fontId="0" fillId="17" borderId="44" xfId="0" applyNumberFormat="1" applyFill="1" applyBorder="1"/>
    <xf numFmtId="174" fontId="0" fillId="17" borderId="44" xfId="0" applyNumberFormat="1" applyFill="1" applyBorder="1"/>
    <xf numFmtId="43" fontId="13" fillId="2" borderId="0" xfId="0" applyNumberFormat="1" applyFont="1" applyFill="1"/>
    <xf numFmtId="10" fontId="2" fillId="2" borderId="44" xfId="0" applyNumberFormat="1" applyFont="1" applyFill="1" applyBorder="1"/>
    <xf numFmtId="43" fontId="0" fillId="2" borderId="0" xfId="0" applyNumberFormat="1" applyFill="1"/>
    <xf numFmtId="0" fontId="11" fillId="2" borderId="8" xfId="0" applyFont="1" applyFill="1" applyBorder="1" applyAlignment="1">
      <alignment horizontal="left"/>
    </xf>
    <xf numFmtId="0" fontId="13" fillId="2" borderId="10" xfId="0" applyFont="1" applyFill="1" applyBorder="1" applyAlignment="1">
      <alignment horizontal="left"/>
    </xf>
    <xf numFmtId="0" fontId="11" fillId="2" borderId="2" xfId="0" applyFont="1" applyFill="1" applyBorder="1" applyAlignment="1">
      <alignment horizontal="left"/>
    </xf>
    <xf numFmtId="0" fontId="11" fillId="2" borderId="5" xfId="0" applyFont="1" applyFill="1" applyBorder="1" applyAlignment="1">
      <alignment horizontal="left"/>
    </xf>
    <xf numFmtId="0" fontId="20" fillId="0" borderId="14" xfId="0" applyFont="1" applyBorder="1" applyAlignment="1">
      <alignment horizontal="left"/>
    </xf>
    <xf numFmtId="0" fontId="20" fillId="0" borderId="9" xfId="0" applyFont="1" applyBorder="1" applyAlignment="1">
      <alignment horizontal="left"/>
    </xf>
    <xf numFmtId="0" fontId="21" fillId="7" borderId="0" xfId="0" applyFont="1" applyFill="1" applyAlignment="1">
      <alignment horizontal="center"/>
    </xf>
    <xf numFmtId="0" fontId="11" fillId="0" borderId="0" xfId="0" applyFont="1" applyAlignment="1">
      <alignment horizontal="center"/>
    </xf>
    <xf numFmtId="3" fontId="20" fillId="2" borderId="2" xfId="0" applyNumberFormat="1" applyFont="1" applyFill="1" applyBorder="1" applyAlignment="1">
      <alignment horizontal="left" vertical="center"/>
    </xf>
    <xf numFmtId="0" fontId="11" fillId="2" borderId="0" xfId="0" applyFont="1" applyFill="1" applyAlignment="1">
      <alignment horizontal="center"/>
    </xf>
    <xf numFmtId="37" fontId="6" fillId="2" borderId="6" xfId="0" applyNumberFormat="1" applyFont="1" applyFill="1" applyBorder="1" applyAlignment="1" applyProtection="1">
      <alignment vertical="center" wrapText="1"/>
      <protection locked="0"/>
    </xf>
    <xf numFmtId="37" fontId="3" fillId="2" borderId="1" xfId="4" applyNumberFormat="1" applyFont="1" applyFill="1" applyBorder="1" applyAlignment="1">
      <alignment horizontal="center" vertical="center" wrapText="1"/>
    </xf>
    <xf numFmtId="37" fontId="3" fillId="2" borderId="7" xfId="4" applyNumberFormat="1" applyFont="1" applyFill="1" applyBorder="1" applyAlignment="1">
      <alignment horizontal="center" vertical="center" wrapText="1"/>
    </xf>
    <xf numFmtId="0" fontId="21" fillId="7" borderId="3" xfId="0" applyFont="1" applyFill="1" applyBorder="1" applyAlignment="1">
      <alignment horizontal="center"/>
    </xf>
    <xf numFmtId="0" fontId="0" fillId="2" borderId="5" xfId="0" applyFill="1" applyBorder="1" applyAlignment="1">
      <alignment horizontal="left"/>
    </xf>
    <xf numFmtId="0" fontId="20" fillId="2" borderId="5" xfId="0" applyFont="1" applyFill="1" applyBorder="1" applyAlignment="1">
      <alignment horizontal="left" vertical="center"/>
    </xf>
    <xf numFmtId="0" fontId="20" fillId="2" borderId="0" xfId="0" applyFont="1" applyFill="1" applyAlignment="1">
      <alignment horizontal="left" vertical="center"/>
    </xf>
    <xf numFmtId="0" fontId="11" fillId="2" borderId="14" xfId="0" applyFont="1" applyFill="1" applyBorder="1" applyAlignment="1">
      <alignment horizontal="center"/>
    </xf>
    <xf numFmtId="0" fontId="11" fillId="2" borderId="9" xfId="0" applyFont="1" applyFill="1" applyBorder="1" applyAlignment="1">
      <alignment horizontal="center"/>
    </xf>
    <xf numFmtId="0" fontId="46" fillId="7" borderId="15" xfId="0" applyFont="1" applyFill="1" applyBorder="1" applyAlignment="1">
      <alignment horizontal="center"/>
    </xf>
    <xf numFmtId="0" fontId="46" fillId="7" borderId="11" xfId="0" applyFont="1" applyFill="1" applyBorder="1" applyAlignment="1">
      <alignment horizontal="center"/>
    </xf>
    <xf numFmtId="0" fontId="11" fillId="2" borderId="8" xfId="0" applyFont="1" applyFill="1" applyBorder="1" applyAlignment="1">
      <alignment horizontal="left"/>
    </xf>
    <xf numFmtId="0" fontId="11" fillId="2" borderId="9" xfId="0" applyFont="1" applyFill="1" applyBorder="1" applyAlignment="1">
      <alignment horizontal="left"/>
    </xf>
    <xf numFmtId="0" fontId="13" fillId="2" borderId="10" xfId="0" applyFont="1" applyFill="1" applyBorder="1" applyAlignment="1">
      <alignment horizontal="left"/>
    </xf>
    <xf numFmtId="0" fontId="13" fillId="2" borderId="11" xfId="0" applyFont="1" applyFill="1" applyBorder="1" applyAlignment="1">
      <alignment horizontal="left"/>
    </xf>
    <xf numFmtId="0" fontId="11" fillId="2" borderId="2" xfId="0" applyFont="1" applyFill="1" applyBorder="1" applyAlignment="1">
      <alignment horizontal="left"/>
    </xf>
    <xf numFmtId="0" fontId="11" fillId="2" borderId="3" xfId="0" applyFont="1" applyFill="1" applyBorder="1" applyAlignment="1">
      <alignment horizontal="left"/>
    </xf>
    <xf numFmtId="0" fontId="13" fillId="2" borderId="15" xfId="0" applyFont="1" applyFill="1" applyBorder="1" applyAlignment="1">
      <alignment horizontal="left"/>
    </xf>
    <xf numFmtId="0" fontId="11" fillId="2" borderId="5" xfId="0" applyFont="1" applyFill="1" applyBorder="1" applyAlignment="1">
      <alignment horizontal="left"/>
    </xf>
    <xf numFmtId="0" fontId="11" fillId="2" borderId="6" xfId="0" applyFont="1" applyFill="1" applyBorder="1" applyAlignment="1">
      <alignment horizontal="left"/>
    </xf>
    <xf numFmtId="0" fontId="20" fillId="0" borderId="14" xfId="0" applyFont="1" applyBorder="1" applyAlignment="1">
      <alignment horizontal="left"/>
    </xf>
    <xf numFmtId="0" fontId="20" fillId="0" borderId="9" xfId="0" applyFont="1" applyBorder="1" applyAlignment="1">
      <alignment horizontal="left"/>
    </xf>
    <xf numFmtId="0" fontId="20" fillId="0" borderId="10" xfId="0" applyFont="1" applyBorder="1" applyAlignment="1">
      <alignment horizontal="left"/>
    </xf>
    <xf numFmtId="0" fontId="20" fillId="0" borderId="11" xfId="0" applyFont="1" applyBorder="1" applyAlignment="1">
      <alignment horizontal="left"/>
    </xf>
    <xf numFmtId="0" fontId="21" fillId="7" borderId="12" xfId="0" applyFont="1" applyFill="1" applyBorder="1" applyAlignment="1">
      <alignment horizontal="left"/>
    </xf>
    <xf numFmtId="0" fontId="21" fillId="7" borderId="0" xfId="0" applyFont="1" applyFill="1" applyAlignment="1">
      <alignment horizontal="center"/>
    </xf>
    <xf numFmtId="0" fontId="21" fillId="7" borderId="6" xfId="0" applyFont="1" applyFill="1" applyBorder="1" applyAlignment="1">
      <alignment horizontal="center"/>
    </xf>
    <xf numFmtId="0" fontId="21" fillId="7" borderId="12" xfId="0" applyFont="1" applyFill="1" applyBorder="1" applyAlignment="1">
      <alignment horizontal="left" vertical="top" wrapText="1"/>
    </xf>
    <xf numFmtId="0" fontId="63" fillId="0" borderId="44" xfId="0" applyFont="1" applyBorder="1" applyAlignment="1">
      <alignment horizontal="left" vertical="center" wrapText="1"/>
    </xf>
    <xf numFmtId="0" fontId="26" fillId="0" borderId="46" xfId="0" applyFont="1" applyBorder="1" applyAlignment="1">
      <alignment horizontal="center"/>
    </xf>
    <xf numFmtId="0" fontId="26" fillId="0" borderId="47" xfId="0" applyFont="1" applyBorder="1" applyAlignment="1">
      <alignment horizontal="center"/>
    </xf>
    <xf numFmtId="0" fontId="26" fillId="0" borderId="48" xfId="0" applyFont="1" applyBorder="1" applyAlignment="1">
      <alignment horizontal="center"/>
    </xf>
    <xf numFmtId="0" fontId="20" fillId="0" borderId="10" xfId="0" applyFont="1" applyBorder="1" applyAlignment="1">
      <alignment horizontal="center"/>
    </xf>
    <xf numFmtId="0" fontId="20" fillId="0" borderId="11" xfId="0" applyFont="1" applyBorder="1" applyAlignment="1">
      <alignment horizontal="center"/>
    </xf>
    <xf numFmtId="0" fontId="11" fillId="2" borderId="10" xfId="0" applyFont="1" applyFill="1" applyBorder="1" applyAlignment="1">
      <alignment horizontal="left"/>
    </xf>
    <xf numFmtId="0" fontId="11" fillId="2" borderId="11" xfId="0" applyFont="1" applyFill="1" applyBorder="1" applyAlignment="1">
      <alignment horizontal="left"/>
    </xf>
    <xf numFmtId="0" fontId="11" fillId="0" borderId="13" xfId="0" applyFont="1" applyBorder="1" applyAlignment="1">
      <alignment horizontal="center"/>
    </xf>
    <xf numFmtId="0" fontId="11" fillId="0" borderId="0" xfId="0" applyFont="1" applyAlignment="1">
      <alignment horizontal="center"/>
    </xf>
    <xf numFmtId="0" fontId="13" fillId="0" borderId="2" xfId="0" applyFont="1" applyBorder="1" applyAlignment="1">
      <alignment horizontal="center" vertical="center"/>
    </xf>
    <xf numFmtId="0" fontId="13" fillId="0" borderId="13" xfId="0" applyFont="1" applyBorder="1" applyAlignment="1">
      <alignment horizontal="center" vertical="center"/>
    </xf>
    <xf numFmtId="0" fontId="13" fillId="0" borderId="3" xfId="0" applyFont="1" applyBorder="1" applyAlignment="1">
      <alignment horizontal="center" vertical="center"/>
    </xf>
    <xf numFmtId="0" fontId="13" fillId="0" borderId="8" xfId="0" applyFont="1" applyBorder="1" applyAlignment="1">
      <alignment horizontal="center" vertical="center"/>
    </xf>
    <xf numFmtId="0" fontId="13" fillId="0" borderId="14" xfId="0" applyFont="1" applyBorder="1" applyAlignment="1">
      <alignment horizontal="center" vertical="center"/>
    </xf>
    <xf numFmtId="0" fontId="13" fillId="0" borderId="9" xfId="0" applyFont="1" applyBorder="1" applyAlignment="1">
      <alignment horizontal="center" vertical="center"/>
    </xf>
    <xf numFmtId="0" fontId="11" fillId="2" borderId="1" xfId="0" applyFont="1" applyFill="1" applyBorder="1" applyAlignment="1">
      <alignment horizontal="center" vertical="center"/>
    </xf>
    <xf numFmtId="0" fontId="11" fillId="2" borderId="7" xfId="0" applyFont="1" applyFill="1" applyBorder="1" applyAlignment="1">
      <alignment horizontal="center" vertical="center"/>
    </xf>
    <xf numFmtId="3" fontId="20" fillId="2" borderId="2" xfId="0" applyNumberFormat="1" applyFont="1" applyFill="1" applyBorder="1" applyAlignment="1">
      <alignment horizontal="left" vertical="center"/>
    </xf>
    <xf numFmtId="3" fontId="20" fillId="2" borderId="13" xfId="0" applyNumberFormat="1" applyFont="1" applyFill="1" applyBorder="1" applyAlignment="1">
      <alignment horizontal="left" vertical="center"/>
    </xf>
    <xf numFmtId="0" fontId="13" fillId="2" borderId="12" xfId="0" applyFont="1" applyFill="1" applyBorder="1" applyAlignment="1">
      <alignment horizontal="left" vertical="top"/>
    </xf>
    <xf numFmtId="0" fontId="11" fillId="2" borderId="0" xfId="0" applyFont="1" applyFill="1" applyAlignment="1">
      <alignment horizontal="center"/>
    </xf>
    <xf numFmtId="0" fontId="11" fillId="2" borderId="6" xfId="0" applyFont="1" applyFill="1" applyBorder="1" applyAlignment="1">
      <alignment horizontal="center"/>
    </xf>
    <xf numFmtId="37" fontId="6" fillId="2" borderId="5" xfId="0" applyNumberFormat="1" applyFont="1" applyFill="1" applyBorder="1" applyAlignment="1" applyProtection="1">
      <alignment vertical="center" wrapText="1"/>
      <protection locked="0"/>
    </xf>
    <xf numFmtId="37" fontId="6" fillId="2" borderId="6" xfId="0" applyNumberFormat="1" applyFont="1" applyFill="1" applyBorder="1" applyAlignment="1" applyProtection="1">
      <alignment vertical="center" wrapText="1"/>
      <protection locked="0"/>
    </xf>
    <xf numFmtId="37" fontId="6" fillId="2" borderId="2" xfId="0" applyNumberFormat="1" applyFont="1" applyFill="1" applyBorder="1" applyAlignment="1" applyProtection="1">
      <alignment vertical="center" wrapText="1"/>
      <protection locked="0"/>
    </xf>
    <xf numFmtId="37" fontId="6" fillId="2" borderId="3" xfId="0" applyNumberFormat="1" applyFont="1" applyFill="1" applyBorder="1" applyAlignment="1" applyProtection="1">
      <alignment vertical="center" wrapText="1"/>
      <protection locked="0"/>
    </xf>
    <xf numFmtId="37" fontId="3" fillId="2" borderId="8" xfId="0" applyNumberFormat="1" applyFont="1" applyFill="1" applyBorder="1" applyAlignment="1">
      <alignment vertical="center" wrapText="1"/>
    </xf>
    <xf numFmtId="37" fontId="3" fillId="2" borderId="9" xfId="0" applyNumberFormat="1" applyFont="1" applyFill="1" applyBorder="1" applyAlignment="1">
      <alignment vertical="center" wrapText="1"/>
    </xf>
    <xf numFmtId="37" fontId="3" fillId="2" borderId="2" xfId="0" applyNumberFormat="1" applyFont="1" applyFill="1" applyBorder="1" applyAlignment="1">
      <alignment horizontal="left" vertical="top"/>
    </xf>
    <xf numFmtId="37" fontId="3" fillId="2" borderId="3" xfId="0" applyNumberFormat="1" applyFont="1" applyFill="1" applyBorder="1" applyAlignment="1">
      <alignment horizontal="left" vertical="top"/>
    </xf>
    <xf numFmtId="37" fontId="3" fillId="2" borderId="5" xfId="0" applyNumberFormat="1" applyFont="1" applyFill="1" applyBorder="1" applyAlignment="1">
      <alignment horizontal="left" vertical="top"/>
    </xf>
    <xf numFmtId="37" fontId="3" fillId="2" borderId="6" xfId="0" applyNumberFormat="1" applyFont="1" applyFill="1" applyBorder="1" applyAlignment="1">
      <alignment horizontal="left" vertical="top"/>
    </xf>
    <xf numFmtId="37" fontId="3" fillId="2" borderId="8" xfId="0" applyNumberFormat="1" applyFont="1" applyFill="1" applyBorder="1" applyAlignment="1">
      <alignment horizontal="left" vertical="top"/>
    </xf>
    <xf numFmtId="37" fontId="3" fillId="2" borderId="9" xfId="0" applyNumberFormat="1" applyFont="1" applyFill="1" applyBorder="1" applyAlignment="1">
      <alignment horizontal="left" vertical="top"/>
    </xf>
    <xf numFmtId="37" fontId="6" fillId="2" borderId="2" xfId="0" applyNumberFormat="1" applyFont="1" applyFill="1" applyBorder="1" applyAlignment="1">
      <alignment vertical="center" wrapText="1"/>
    </xf>
    <xf numFmtId="37" fontId="6" fillId="2" borderId="3" xfId="0" applyNumberFormat="1" applyFont="1" applyFill="1" applyBorder="1" applyAlignment="1">
      <alignment vertical="center" wrapText="1"/>
    </xf>
    <xf numFmtId="37" fontId="6" fillId="2" borderId="5" xfId="0" applyNumberFormat="1" applyFont="1" applyFill="1" applyBorder="1" applyAlignment="1">
      <alignment vertical="center" wrapText="1"/>
    </xf>
    <xf numFmtId="37" fontId="6" fillId="2" borderId="6" xfId="0" applyNumberFormat="1" applyFont="1" applyFill="1" applyBorder="1" applyAlignment="1">
      <alignment vertical="center" wrapText="1"/>
    </xf>
    <xf numFmtId="37" fontId="8" fillId="2" borderId="5" xfId="0" applyNumberFormat="1" applyFont="1" applyFill="1" applyBorder="1" applyAlignment="1" applyProtection="1">
      <alignment vertical="center" wrapText="1"/>
      <protection locked="0"/>
    </xf>
    <xf numFmtId="37" fontId="8" fillId="2" borderId="6" xfId="0" applyNumberFormat="1" applyFont="1" applyFill="1" applyBorder="1" applyAlignment="1" applyProtection="1">
      <alignment vertical="center" wrapText="1"/>
      <protection locked="0"/>
    </xf>
    <xf numFmtId="37" fontId="3" fillId="2" borderId="8" xfId="0" applyNumberFormat="1" applyFont="1" applyFill="1" applyBorder="1" applyAlignment="1">
      <alignment vertical="center"/>
    </xf>
    <xf numFmtId="37" fontId="3" fillId="2" borderId="9" xfId="0" applyNumberFormat="1" applyFont="1" applyFill="1" applyBorder="1" applyAlignment="1">
      <alignment vertical="center"/>
    </xf>
    <xf numFmtId="37" fontId="6" fillId="2" borderId="0" xfId="0" applyNumberFormat="1" applyFont="1" applyFill="1" applyAlignment="1" applyProtection="1">
      <alignment vertical="center" wrapText="1"/>
      <protection locked="0"/>
    </xf>
    <xf numFmtId="37" fontId="7" fillId="2" borderId="5" xfId="0" applyNumberFormat="1" applyFont="1" applyFill="1" applyBorder="1" applyAlignment="1">
      <alignment vertical="center" wrapText="1"/>
    </xf>
    <xf numFmtId="37" fontId="7" fillId="2" borderId="6" xfId="0" applyNumberFormat="1" applyFont="1" applyFill="1" applyBorder="1" applyAlignment="1">
      <alignment vertical="center" wrapText="1"/>
    </xf>
    <xf numFmtId="37" fontId="3" fillId="2" borderId="8" xfId="0" applyNumberFormat="1" applyFont="1" applyFill="1" applyBorder="1" applyAlignment="1">
      <alignment horizontal="left" vertical="center"/>
    </xf>
    <xf numFmtId="37" fontId="3" fillId="2" borderId="9" xfId="0" applyNumberFormat="1" applyFont="1" applyFill="1" applyBorder="1" applyAlignment="1">
      <alignment horizontal="left" vertical="center"/>
    </xf>
    <xf numFmtId="37" fontId="6" fillId="2" borderId="13" xfId="0" applyNumberFormat="1" applyFont="1" applyFill="1" applyBorder="1" applyAlignment="1" applyProtection="1">
      <alignment vertical="center" wrapText="1"/>
      <protection locked="0"/>
    </xf>
    <xf numFmtId="0" fontId="6" fillId="2" borderId="0" xfId="0" applyFont="1" applyFill="1" applyAlignment="1" applyProtection="1">
      <alignment horizontal="left" vertical="center"/>
      <protection locked="0"/>
    </xf>
    <xf numFmtId="0" fontId="6" fillId="2" borderId="6" xfId="0" applyFont="1" applyFill="1" applyBorder="1" applyAlignment="1" applyProtection="1">
      <alignment horizontal="left" vertical="center"/>
      <protection locked="0"/>
    </xf>
    <xf numFmtId="0" fontId="6" fillId="2" borderId="0" xfId="0" applyFont="1" applyFill="1" applyAlignment="1" applyProtection="1">
      <alignment vertical="center"/>
      <protection locked="0"/>
    </xf>
    <xf numFmtId="0" fontId="6" fillId="2" borderId="6" xfId="0" applyFont="1" applyFill="1" applyBorder="1" applyAlignment="1" applyProtection="1">
      <alignment vertical="center"/>
      <protection locked="0"/>
    </xf>
    <xf numFmtId="37" fontId="6" fillId="2" borderId="5" xfId="0" applyNumberFormat="1" applyFont="1" applyFill="1" applyBorder="1" applyAlignment="1">
      <alignment horizontal="left" vertical="center"/>
    </xf>
    <xf numFmtId="37" fontId="6" fillId="2" borderId="6" xfId="0" applyNumberFormat="1" applyFont="1" applyFill="1" applyBorder="1" applyAlignment="1">
      <alignment horizontal="left" vertical="center"/>
    </xf>
    <xf numFmtId="37" fontId="7" fillId="2" borderId="0" xfId="0" applyNumberFormat="1" applyFont="1" applyFill="1" applyAlignment="1">
      <alignment horizontal="left" vertical="center"/>
    </xf>
    <xf numFmtId="37" fontId="7" fillId="2" borderId="6" xfId="0" applyNumberFormat="1" applyFont="1" applyFill="1" applyBorder="1" applyAlignment="1">
      <alignment horizontal="left" vertical="center"/>
    </xf>
    <xf numFmtId="37" fontId="3" fillId="2" borderId="14" xfId="0" applyNumberFormat="1" applyFont="1" applyFill="1" applyBorder="1" applyAlignment="1">
      <alignment horizontal="left" vertical="center"/>
    </xf>
    <xf numFmtId="37" fontId="6" fillId="2" borderId="2" xfId="0" applyNumberFormat="1" applyFont="1" applyFill="1" applyBorder="1" applyAlignment="1">
      <alignment horizontal="left" vertical="center"/>
    </xf>
    <xf numFmtId="37" fontId="6" fillId="2" borderId="3" xfId="0" applyNumberFormat="1" applyFont="1" applyFill="1" applyBorder="1" applyAlignment="1">
      <alignment horizontal="left" vertical="center"/>
    </xf>
    <xf numFmtId="0" fontId="6" fillId="2" borderId="5" xfId="0" applyFont="1" applyFill="1" applyBorder="1" applyAlignment="1">
      <alignment vertical="center" wrapText="1"/>
    </xf>
    <xf numFmtId="0" fontId="6" fillId="2" borderId="6" xfId="0" applyFont="1" applyFill="1" applyBorder="1" applyAlignment="1">
      <alignment vertical="center" wrapText="1"/>
    </xf>
    <xf numFmtId="0" fontId="6" fillId="2" borderId="5" xfId="0" applyFont="1" applyFill="1" applyBorder="1" applyAlignment="1">
      <alignment horizontal="left" vertical="center" wrapText="1"/>
    </xf>
    <xf numFmtId="0" fontId="6" fillId="2" borderId="6" xfId="0" applyFont="1" applyFill="1" applyBorder="1" applyAlignment="1">
      <alignment horizontal="left" vertical="center" wrapText="1"/>
    </xf>
    <xf numFmtId="37" fontId="7" fillId="2" borderId="5" xfId="0" applyNumberFormat="1" applyFont="1" applyFill="1" applyBorder="1" applyAlignment="1">
      <alignment horizontal="left" vertical="center"/>
    </xf>
    <xf numFmtId="0" fontId="6" fillId="2" borderId="5" xfId="0" applyFont="1" applyFill="1" applyBorder="1" applyAlignment="1" applyProtection="1">
      <alignment vertical="center" wrapText="1"/>
      <protection locked="0"/>
    </xf>
    <xf numFmtId="0" fontId="6" fillId="2" borderId="6" xfId="0" applyFont="1" applyFill="1" applyBorder="1" applyAlignment="1" applyProtection="1">
      <alignment vertical="center" wrapText="1"/>
      <protection locked="0"/>
    </xf>
    <xf numFmtId="0" fontId="6" fillId="2" borderId="5" xfId="0" applyFont="1" applyFill="1" applyBorder="1" applyAlignment="1" applyProtection="1">
      <alignment vertical="center"/>
      <protection locked="0"/>
    </xf>
    <xf numFmtId="0" fontId="21" fillId="7" borderId="4" xfId="0" applyFont="1" applyFill="1" applyBorder="1" applyAlignment="1">
      <alignment horizontal="center"/>
    </xf>
    <xf numFmtId="37" fontId="3" fillId="2" borderId="1" xfId="4" applyNumberFormat="1" applyFont="1" applyFill="1" applyBorder="1" applyAlignment="1">
      <alignment horizontal="center" vertical="center" wrapText="1"/>
    </xf>
    <xf numFmtId="37" fontId="3" fillId="2" borderId="7" xfId="4" applyNumberFormat="1" applyFont="1" applyFill="1" applyBorder="1" applyAlignment="1">
      <alignment horizontal="center" vertical="center" wrapText="1"/>
    </xf>
    <xf numFmtId="41" fontId="3" fillId="2" borderId="1" xfId="0" applyNumberFormat="1" applyFont="1" applyFill="1" applyBorder="1" applyAlignment="1">
      <alignment horizontal="center" vertical="center" wrapText="1"/>
    </xf>
    <xf numFmtId="41" fontId="3" fillId="2" borderId="7" xfId="0" applyNumberFormat="1" applyFont="1" applyFill="1" applyBorder="1" applyAlignment="1">
      <alignment horizontal="center" vertical="center" wrapText="1"/>
    </xf>
    <xf numFmtId="37" fontId="8" fillId="2" borderId="5" xfId="0" applyNumberFormat="1" applyFont="1" applyFill="1" applyBorder="1" applyAlignment="1">
      <alignment horizontal="left" vertical="center"/>
    </xf>
    <xf numFmtId="37" fontId="8" fillId="2" borderId="6" xfId="0" applyNumberFormat="1" applyFont="1" applyFill="1" applyBorder="1" applyAlignment="1">
      <alignment horizontal="left" vertical="center"/>
    </xf>
    <xf numFmtId="0" fontId="3" fillId="2" borderId="8" xfId="0" applyFont="1" applyFill="1" applyBorder="1" applyAlignment="1">
      <alignment vertical="center" wrapText="1"/>
    </xf>
    <xf numFmtId="0" fontId="3" fillId="2" borderId="9" xfId="0" applyFont="1" applyFill="1" applyBorder="1" applyAlignment="1">
      <alignment vertical="center" wrapText="1"/>
    </xf>
    <xf numFmtId="37" fontId="6" fillId="2" borderId="2" xfId="0" applyNumberFormat="1" applyFont="1" applyFill="1" applyBorder="1" applyAlignment="1" applyProtection="1">
      <alignment horizontal="left" vertical="center"/>
      <protection locked="0"/>
    </xf>
    <xf numFmtId="37" fontId="6" fillId="2" borderId="3" xfId="0" applyNumberFormat="1" applyFont="1" applyFill="1" applyBorder="1" applyAlignment="1" applyProtection="1">
      <alignment horizontal="left" vertical="center"/>
      <protection locked="0"/>
    </xf>
    <xf numFmtId="37" fontId="7" fillId="2" borderId="5" xfId="0" applyNumberFormat="1" applyFont="1" applyFill="1" applyBorder="1" applyAlignment="1">
      <alignment vertical="center"/>
    </xf>
    <xf numFmtId="37" fontId="7" fillId="2" borderId="6" xfId="0" applyNumberFormat="1" applyFont="1" applyFill="1" applyBorder="1" applyAlignment="1">
      <alignment vertical="center"/>
    </xf>
    <xf numFmtId="164" fontId="3" fillId="2" borderId="8" xfId="0" applyNumberFormat="1" applyFont="1" applyFill="1" applyBorder="1" applyAlignment="1">
      <alignment horizontal="left" vertical="center" wrapText="1"/>
    </xf>
    <xf numFmtId="164" fontId="3" fillId="2" borderId="9" xfId="0" applyNumberFormat="1" applyFont="1" applyFill="1" applyBorder="1" applyAlignment="1">
      <alignment horizontal="left" vertical="center" wrapText="1"/>
    </xf>
    <xf numFmtId="37" fontId="3" fillId="2" borderId="10" xfId="0" applyNumberFormat="1" applyFont="1" applyFill="1" applyBorder="1" applyAlignment="1">
      <alignment horizontal="left" vertical="center"/>
    </xf>
    <xf numFmtId="37" fontId="3" fillId="2" borderId="11" xfId="0" applyNumberFormat="1" applyFont="1" applyFill="1" applyBorder="1" applyAlignment="1">
      <alignment horizontal="left" vertical="center"/>
    </xf>
    <xf numFmtId="0" fontId="13" fillId="0" borderId="10" xfId="0" applyFont="1" applyBorder="1" applyAlignment="1">
      <alignment horizontal="left" vertical="top"/>
    </xf>
    <xf numFmtId="0" fontId="13" fillId="0" borderId="15" xfId="0" applyFont="1" applyBorder="1" applyAlignment="1">
      <alignment horizontal="left" vertical="top"/>
    </xf>
    <xf numFmtId="2" fontId="20" fillId="0" borderId="14" xfId="0" quotePrefix="1" applyNumberFormat="1" applyFont="1" applyBorder="1" applyAlignment="1">
      <alignment horizontal="left"/>
    </xf>
    <xf numFmtId="2" fontId="20" fillId="0" borderId="9" xfId="0" applyNumberFormat="1" applyFont="1" applyBorder="1" applyAlignment="1">
      <alignment horizontal="left"/>
    </xf>
    <xf numFmtId="0" fontId="21" fillId="7" borderId="2" xfId="0" applyFont="1" applyFill="1" applyBorder="1" applyAlignment="1">
      <alignment horizontal="center"/>
    </xf>
    <xf numFmtId="0" fontId="21" fillId="7" borderId="3" xfId="0" applyFont="1" applyFill="1" applyBorder="1" applyAlignment="1">
      <alignment horizontal="center"/>
    </xf>
    <xf numFmtId="0" fontId="21" fillId="7" borderId="5" xfId="0" applyFont="1" applyFill="1" applyBorder="1" applyAlignment="1">
      <alignment horizontal="center"/>
    </xf>
    <xf numFmtId="0" fontId="6" fillId="2" borderId="2" xfId="0" applyFont="1" applyFill="1" applyBorder="1" applyAlignment="1" applyProtection="1">
      <alignment vertical="center" wrapText="1"/>
      <protection locked="0"/>
    </xf>
    <xf numFmtId="0" fontId="6" fillId="2" borderId="3" xfId="0" applyFont="1" applyFill="1" applyBorder="1" applyAlignment="1" applyProtection="1">
      <alignment vertical="center" wrapText="1"/>
      <protection locked="0"/>
    </xf>
    <xf numFmtId="0" fontId="8" fillId="2" borderId="5" xfId="0" applyFont="1" applyFill="1" applyBorder="1" applyAlignment="1">
      <alignment vertical="center" wrapText="1"/>
    </xf>
    <xf numFmtId="0" fontId="8" fillId="2" borderId="6" xfId="0" applyFont="1" applyFill="1" applyBorder="1" applyAlignment="1">
      <alignment vertical="center" wrapText="1"/>
    </xf>
    <xf numFmtId="164" fontId="6" fillId="2" borderId="2" xfId="0" applyNumberFormat="1" applyFont="1" applyFill="1" applyBorder="1" applyAlignment="1" applyProtection="1">
      <alignment horizontal="left" vertical="center" wrapText="1"/>
      <protection locked="0"/>
    </xf>
    <xf numFmtId="164" fontId="6" fillId="2" borderId="3" xfId="0" applyNumberFormat="1" applyFont="1" applyFill="1" applyBorder="1" applyAlignment="1" applyProtection="1">
      <alignment horizontal="left" vertical="center" wrapText="1"/>
      <protection locked="0"/>
    </xf>
    <xf numFmtId="0" fontId="2" fillId="0" borderId="44" xfId="0" applyFont="1" applyBorder="1" applyAlignment="1">
      <alignment horizontal="left"/>
    </xf>
    <xf numFmtId="0" fontId="2" fillId="2" borderId="10" xfId="0" applyFont="1" applyFill="1" applyBorder="1" applyAlignment="1">
      <alignment horizontal="left" vertical="justify"/>
    </xf>
    <xf numFmtId="0" fontId="2" fillId="2" borderId="15" xfId="0" applyFont="1" applyFill="1" applyBorder="1" applyAlignment="1">
      <alignment horizontal="left" vertical="justify"/>
    </xf>
    <xf numFmtId="0" fontId="2" fillId="2" borderId="11" xfId="0" applyFont="1" applyFill="1" applyBorder="1" applyAlignment="1">
      <alignment horizontal="left" vertical="justify"/>
    </xf>
    <xf numFmtId="0" fontId="0" fillId="2" borderId="5" xfId="0" applyFill="1" applyBorder="1" applyAlignment="1">
      <alignment horizontal="left"/>
    </xf>
    <xf numFmtId="0" fontId="0" fillId="2" borderId="6" xfId="0" applyFill="1" applyBorder="1" applyAlignment="1">
      <alignment horizontal="left"/>
    </xf>
    <xf numFmtId="0" fontId="66" fillId="2" borderId="5" xfId="0" applyFont="1" applyFill="1" applyBorder="1" applyAlignment="1">
      <alignment horizontal="left"/>
    </xf>
    <xf numFmtId="0" fontId="66" fillId="2" borderId="6" xfId="0" applyFont="1" applyFill="1" applyBorder="1" applyAlignment="1">
      <alignment horizontal="left"/>
    </xf>
    <xf numFmtId="0" fontId="0" fillId="2" borderId="49" xfId="0" applyFill="1" applyBorder="1" applyAlignment="1">
      <alignment horizontal="left"/>
    </xf>
    <xf numFmtId="0" fontId="0" fillId="2" borderId="50" xfId="0" applyFill="1" applyBorder="1" applyAlignment="1">
      <alignment horizontal="left"/>
    </xf>
    <xf numFmtId="0" fontId="0" fillId="2" borderId="45" xfId="0" applyFill="1" applyBorder="1" applyAlignment="1">
      <alignment horizontal="left"/>
    </xf>
    <xf numFmtId="0" fontId="0" fillId="2" borderId="51" xfId="0" applyFill="1" applyBorder="1" applyAlignment="1">
      <alignment horizontal="left"/>
    </xf>
    <xf numFmtId="0" fontId="0" fillId="2" borderId="44" xfId="0" applyFill="1" applyBorder="1" applyAlignment="1">
      <alignment horizontal="left"/>
    </xf>
    <xf numFmtId="1" fontId="20" fillId="0" borderId="14" xfId="0" applyNumberFormat="1" applyFont="1" applyBorder="1" applyAlignment="1">
      <alignment horizontal="left"/>
    </xf>
    <xf numFmtId="1" fontId="20" fillId="0" borderId="9" xfId="0" applyNumberFormat="1" applyFont="1" applyBorder="1" applyAlignment="1">
      <alignment horizontal="left"/>
    </xf>
    <xf numFmtId="0" fontId="11" fillId="2" borderId="46" xfId="0" applyFont="1" applyFill="1" applyBorder="1" applyAlignment="1">
      <alignment horizontal="left"/>
    </xf>
    <xf numFmtId="0" fontId="11" fillId="2" borderId="47" xfId="0" applyFont="1" applyFill="1" applyBorder="1" applyAlignment="1">
      <alignment horizontal="left"/>
    </xf>
    <xf numFmtId="0" fontId="11" fillId="2" borderId="48" xfId="0" applyFont="1" applyFill="1" applyBorder="1" applyAlignment="1">
      <alignment horizontal="left"/>
    </xf>
    <xf numFmtId="0" fontId="20" fillId="2" borderId="5" xfId="0" applyFont="1" applyFill="1" applyBorder="1" applyAlignment="1">
      <alignment horizontal="left" vertical="center" wrapText="1"/>
    </xf>
    <xf numFmtId="0" fontId="20" fillId="2" borderId="0" xfId="0" applyFont="1" applyFill="1" applyAlignment="1">
      <alignment horizontal="left" vertical="center" wrapText="1"/>
    </xf>
    <xf numFmtId="0" fontId="20" fillId="2" borderId="8" xfId="0" applyFont="1" applyFill="1" applyBorder="1" applyAlignment="1">
      <alignment horizontal="left" vertical="center" wrapText="1"/>
    </xf>
    <xf numFmtId="0" fontId="20" fillId="2" borderId="14" xfId="0" applyFont="1" applyFill="1" applyBorder="1" applyAlignment="1">
      <alignment horizontal="left" vertical="center" wrapText="1"/>
    </xf>
    <xf numFmtId="0" fontId="20" fillId="2" borderId="2" xfId="0" applyFont="1" applyFill="1" applyBorder="1" applyAlignment="1">
      <alignment horizontal="left" vertical="center" wrapText="1"/>
    </xf>
    <xf numFmtId="0" fontId="20" fillId="2" borderId="13" xfId="0" applyFont="1" applyFill="1" applyBorder="1" applyAlignment="1">
      <alignment horizontal="left" vertical="center" wrapText="1"/>
    </xf>
    <xf numFmtId="0" fontId="20" fillId="2" borderId="5" xfId="0" applyFont="1" applyFill="1" applyBorder="1" applyAlignment="1">
      <alignment horizontal="left" vertical="center"/>
    </xf>
    <xf numFmtId="0" fontId="20" fillId="2" borderId="0" xfId="0" applyFont="1" applyFill="1" applyAlignment="1">
      <alignment horizontal="left" vertical="center"/>
    </xf>
  </cellXfs>
  <cellStyles count="7">
    <cellStyle name="Comma" xfId="1" builtinId="3"/>
    <cellStyle name="Currency" xfId="2" builtinId="4"/>
    <cellStyle name="Hyperlink" xfId="6" builtinId="8"/>
    <cellStyle name="Normal" xfId="0" builtinId="0"/>
    <cellStyle name="Normal 46" xfId="5" xr:uid="{00000000-0005-0000-0000-000003000000}"/>
    <cellStyle name="Normal_BofADisbSheet11-5-991" xfId="4" xr:uid="{00000000-0005-0000-0000-000004000000}"/>
    <cellStyle name="Percent" xfId="3" builtinId="5"/>
  </cellStyles>
  <dxfs count="8">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
      <font>
        <color theme="0"/>
      </font>
      <fill>
        <patternFill>
          <bgColor theme="0"/>
        </patternFill>
      </fill>
    </dxf>
  </dxfs>
  <tableStyles count="0" defaultTableStyle="TableStyleMedium2" defaultPivotStyle="PivotStyleLight16"/>
  <colors>
    <mruColors>
      <color rgb="FFFFF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38100</xdr:colOff>
      <xdr:row>59</xdr:row>
      <xdr:rowOff>9525</xdr:rowOff>
    </xdr:from>
    <xdr:to>
      <xdr:col>5</xdr:col>
      <xdr:colOff>1028700</xdr:colOff>
      <xdr:row>60</xdr:row>
      <xdr:rowOff>171450</xdr:rowOff>
    </xdr:to>
    <xdr:cxnSp macro="">
      <xdr:nvCxnSpPr>
        <xdr:cNvPr id="2" name="Straight Connector 1">
          <a:extLst>
            <a:ext uri="{FF2B5EF4-FFF2-40B4-BE49-F238E27FC236}">
              <a16:creationId xmlns:a16="http://schemas.microsoft.com/office/drawing/2014/main" id="{B1C9184B-2D46-4700-999C-3C0FC23A78CB}"/>
            </a:ext>
          </a:extLst>
        </xdr:cNvPr>
        <xdr:cNvCxnSpPr>
          <a:cxnSpLocks/>
        </xdr:cNvCxnSpPr>
      </xdr:nvCxnSpPr>
      <xdr:spPr>
        <a:xfrm>
          <a:off x="5381625" y="10134600"/>
          <a:ext cx="990600" cy="342900"/>
        </a:xfrm>
        <a:prstGeom prst="line">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1352550</xdr:colOff>
      <xdr:row>28</xdr:row>
      <xdr:rowOff>28575</xdr:rowOff>
    </xdr:from>
    <xdr:to>
      <xdr:col>9</xdr:col>
      <xdr:colOff>1352550</xdr:colOff>
      <xdr:row>30</xdr:row>
      <xdr:rowOff>123825</xdr:rowOff>
    </xdr:to>
    <xdr:cxnSp macro="">
      <xdr:nvCxnSpPr>
        <xdr:cNvPr id="2" name="Straight Connector 1">
          <a:extLst>
            <a:ext uri="{FF2B5EF4-FFF2-40B4-BE49-F238E27FC236}">
              <a16:creationId xmlns:a16="http://schemas.microsoft.com/office/drawing/2014/main" id="{83207927-67F0-2612-3509-8E2DB37ED0E4}"/>
            </a:ext>
          </a:extLst>
        </xdr:cNvPr>
        <xdr:cNvCxnSpPr>
          <a:cxnSpLocks/>
        </xdr:cNvCxnSpPr>
      </xdr:nvCxnSpPr>
      <xdr:spPr>
        <a:xfrm>
          <a:off x="10601325" y="4762500"/>
          <a:ext cx="0" cy="419100"/>
        </a:xfrm>
        <a:prstGeom prst="line">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1009650</xdr:colOff>
      <xdr:row>28</xdr:row>
      <xdr:rowOff>19050</xdr:rowOff>
    </xdr:from>
    <xdr:to>
      <xdr:col>11</xdr:col>
      <xdr:colOff>1009650</xdr:colOff>
      <xdr:row>30</xdr:row>
      <xdr:rowOff>104775</xdr:rowOff>
    </xdr:to>
    <xdr:cxnSp macro="">
      <xdr:nvCxnSpPr>
        <xdr:cNvPr id="3" name="Straight Connector 2">
          <a:extLst>
            <a:ext uri="{FF2B5EF4-FFF2-40B4-BE49-F238E27FC236}">
              <a16:creationId xmlns:a16="http://schemas.microsoft.com/office/drawing/2014/main" id="{7F66197F-0BD6-4DF9-BFFC-C8BADA9C8B63}"/>
            </a:ext>
            <a:ext uri="{147F2762-F138-4A5C-976F-8EAC2B608ADB}">
              <a16:predDERef xmlns:a16="http://schemas.microsoft.com/office/drawing/2014/main" pred="{83207927-67F0-2612-3509-8E2DB37ED0E4}"/>
            </a:ext>
          </a:extLst>
        </xdr:cNvPr>
        <xdr:cNvCxnSpPr>
          <a:cxnSpLocks/>
        </xdr:cNvCxnSpPr>
      </xdr:nvCxnSpPr>
      <xdr:spPr>
        <a:xfrm flipH="1" flipV="1">
          <a:off x="12477750" y="4752975"/>
          <a:ext cx="0" cy="409575"/>
        </a:xfrm>
        <a:prstGeom prst="line">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38100</xdr:colOff>
      <xdr:row>11</xdr:row>
      <xdr:rowOff>66675</xdr:rowOff>
    </xdr:from>
    <xdr:to>
      <xdr:col>6</xdr:col>
      <xdr:colOff>552450</xdr:colOff>
      <xdr:row>11</xdr:row>
      <xdr:rowOff>66675</xdr:rowOff>
    </xdr:to>
    <xdr:sp macro="" textlink="">
      <xdr:nvSpPr>
        <xdr:cNvPr id="2" name="Line 1">
          <a:extLst>
            <a:ext uri="{FF2B5EF4-FFF2-40B4-BE49-F238E27FC236}">
              <a16:creationId xmlns:a16="http://schemas.microsoft.com/office/drawing/2014/main" id="{00000000-0008-0000-0500-000002000000}"/>
            </a:ext>
          </a:extLst>
        </xdr:cNvPr>
        <xdr:cNvSpPr>
          <a:spLocks noChangeShapeType="1"/>
        </xdr:cNvSpPr>
      </xdr:nvSpPr>
      <xdr:spPr bwMode="auto">
        <a:xfrm>
          <a:off x="6385560" y="782955"/>
          <a:ext cx="514350" cy="0"/>
        </a:xfrm>
        <a:prstGeom prst="line">
          <a:avLst/>
        </a:prstGeom>
        <a:noFill/>
        <a:ln w="9525">
          <a:solidFill>
            <a:srgbClr val="000000"/>
          </a:solidFill>
          <a:round/>
          <a:headEnd/>
          <a:tailEnd type="triangle" w="med" len="me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belonging.berkeley.edu/2025-ctcachcd-affh-mapping-too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hyperlink" Target="https://www.fs.usda.gov/science-technology/energy-forest-products/wood-innovation/grants" TargetMode="External"/><Relationship Id="rId2" Type="http://schemas.openxmlformats.org/officeDocument/2006/relationships/hyperlink" Target="https://www.slocounty.ca.gov/getmedia/607bf40e-4cdc-4743-a878-05dcc6e5b9c1/draft-title-29-report-for-fy-23-24" TargetMode="External"/><Relationship Id="rId1" Type="http://schemas.openxmlformats.org/officeDocument/2006/relationships/hyperlink" Target="https://sgc.ca.gov/grant-programs/ahsc/docs/20240703-AHSC_FAQ_BL.pdf"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static1.squarespace.com/static/538622a1e4b0eca47fbe761f/t/633df35558084b4256ed2311/1665004373746/2022+-+HASLO+Payment+Standards_ALL_2022.10.01-revised.pdf" TargetMode="External"/><Relationship Id="rId7" Type="http://schemas.openxmlformats.org/officeDocument/2006/relationships/comments" Target="../comments3.xml"/><Relationship Id="rId2" Type="http://schemas.openxmlformats.org/officeDocument/2006/relationships/hyperlink" Target="https://static1.squarespace.com/static/538622a1e4b0eca47fbe761f/t/660ac94d691b96253f1d1445/1711982925380/Utility+Allowance+-+April+1%2C+2024-March+31%2C+2025+passed+Jan-18-2024.pdf" TargetMode="External"/><Relationship Id="rId1" Type="http://schemas.openxmlformats.org/officeDocument/2006/relationships/hyperlink" Target="https://www.slocity.org/home/showpublisheddocument/34349/638238078837600000" TargetMode="External"/><Relationship Id="rId6" Type="http://schemas.openxmlformats.org/officeDocument/2006/relationships/vmlDrawing" Target="../drawings/vmlDrawing3.vml"/><Relationship Id="rId5" Type="http://schemas.openxmlformats.org/officeDocument/2006/relationships/printerSettings" Target="../printerSettings/printerSettings4.bin"/><Relationship Id="rId4" Type="http://schemas.openxmlformats.org/officeDocument/2006/relationships/hyperlink" Target="https://www.treasurer.ca.gov/ctcac/2024/supplemental/rent4124.pdf"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84BFC-E6E0-499A-A5A1-67CA2189EBD6}">
  <dimension ref="B1:G18"/>
  <sheetViews>
    <sheetView showGridLines="0" tabSelected="1" workbookViewId="0">
      <selection activeCell="C9" sqref="C9"/>
    </sheetView>
  </sheetViews>
  <sheetFormatPr baseColWidth="10" defaultColWidth="8.83203125" defaultRowHeight="13"/>
  <cols>
    <col min="2" max="2" width="19.5" customWidth="1"/>
    <col min="3" max="3" width="23.6640625" customWidth="1"/>
    <col min="6" max="6" width="8.6640625" customWidth="1"/>
  </cols>
  <sheetData>
    <row r="1" spans="2:7" ht="14" thickBot="1"/>
    <row r="2" spans="2:7" ht="17" thickBot="1">
      <c r="B2" s="348" t="s">
        <v>0</v>
      </c>
      <c r="C2" s="349"/>
      <c r="D2" s="349"/>
      <c r="E2" s="349"/>
      <c r="F2" s="349"/>
      <c r="G2" s="350"/>
    </row>
    <row r="3" spans="2:7" ht="16" thickTop="1">
      <c r="B3" s="351" t="s">
        <v>1</v>
      </c>
      <c r="C3" s="352"/>
      <c r="D3" s="352"/>
      <c r="E3" s="352"/>
      <c r="F3" s="352"/>
      <c r="G3" s="353"/>
    </row>
    <row r="4" spans="2:7" ht="14">
      <c r="B4" s="354" t="s">
        <v>2</v>
      </c>
      <c r="C4" s="355" t="s">
        <v>593</v>
      </c>
      <c r="D4" s="355"/>
      <c r="E4" s="356"/>
      <c r="F4" s="356"/>
      <c r="G4" s="357"/>
    </row>
    <row r="5" spans="2:7" ht="14">
      <c r="B5" s="354" t="s">
        <v>3</v>
      </c>
      <c r="C5" s="355" t="s">
        <v>4</v>
      </c>
      <c r="D5" s="355"/>
      <c r="E5" s="356"/>
      <c r="F5" s="356"/>
      <c r="G5" s="357"/>
    </row>
    <row r="6" spans="2:7" ht="15" thickBot="1">
      <c r="B6" s="358" t="s">
        <v>5</v>
      </c>
      <c r="C6" s="597">
        <v>45726</v>
      </c>
      <c r="D6" s="359"/>
      <c r="E6" s="360"/>
      <c r="F6" s="360"/>
      <c r="G6" s="361"/>
    </row>
    <row r="7" spans="2:7" ht="15" thickBot="1">
      <c r="B7" s="362"/>
      <c r="C7" s="362"/>
      <c r="D7" s="362"/>
      <c r="E7" s="362"/>
      <c r="F7" s="362"/>
      <c r="G7" s="362"/>
    </row>
    <row r="8" spans="2:7" ht="16">
      <c r="B8" s="363" t="s">
        <v>6</v>
      </c>
      <c r="C8" s="364"/>
      <c r="D8" s="364"/>
      <c r="E8" s="364"/>
      <c r="F8" s="364"/>
      <c r="G8" s="365" t="s">
        <v>7</v>
      </c>
    </row>
    <row r="9" spans="2:7" ht="14">
      <c r="B9" s="366" t="s">
        <v>8</v>
      </c>
      <c r="C9" s="362" t="s">
        <v>9</v>
      </c>
      <c r="D9" s="362"/>
      <c r="E9" s="362"/>
      <c r="F9" s="367"/>
      <c r="G9" s="368">
        <v>2</v>
      </c>
    </row>
    <row r="10" spans="2:7" ht="14">
      <c r="B10" s="366" t="s">
        <v>10</v>
      </c>
      <c r="C10" s="362" t="s">
        <v>9</v>
      </c>
      <c r="D10" s="362"/>
      <c r="E10" s="362"/>
      <c r="F10" s="362"/>
      <c r="G10" s="545" t="str">
        <f>"3-4"</f>
        <v>3-4</v>
      </c>
    </row>
    <row r="11" spans="2:7" ht="14">
      <c r="B11" s="366" t="s">
        <v>11</v>
      </c>
      <c r="C11" s="362" t="s">
        <v>9</v>
      </c>
      <c r="D11" s="362"/>
      <c r="E11" s="362"/>
      <c r="F11" s="362"/>
      <c r="G11" s="368">
        <v>5</v>
      </c>
    </row>
    <row r="12" spans="2:7" ht="14">
      <c r="B12" s="366" t="s">
        <v>12</v>
      </c>
      <c r="C12" s="362" t="s">
        <v>9</v>
      </c>
      <c r="D12" s="362"/>
      <c r="E12" s="362"/>
      <c r="F12" s="362"/>
      <c r="G12" s="368">
        <v>6</v>
      </c>
    </row>
    <row r="13" spans="2:7" ht="14">
      <c r="B13" s="366" t="s">
        <v>13</v>
      </c>
      <c r="C13" s="362" t="s">
        <v>9</v>
      </c>
      <c r="D13" s="362"/>
      <c r="E13" s="362"/>
      <c r="F13" s="362"/>
      <c r="G13" s="368">
        <v>7</v>
      </c>
    </row>
    <row r="14" spans="2:7" ht="14">
      <c r="B14" s="366" t="s">
        <v>14</v>
      </c>
      <c r="C14" s="362" t="s">
        <v>9</v>
      </c>
      <c r="D14" s="362"/>
      <c r="E14" s="362"/>
      <c r="F14" s="362"/>
      <c r="G14" s="368">
        <v>8</v>
      </c>
    </row>
    <row r="15" spans="2:7" ht="14">
      <c r="B15" s="366" t="s">
        <v>15</v>
      </c>
      <c r="C15" s="362" t="s">
        <v>9</v>
      </c>
      <c r="D15" s="362"/>
      <c r="E15" s="362"/>
      <c r="F15" s="362"/>
      <c r="G15" s="368">
        <v>9</v>
      </c>
    </row>
    <row r="16" spans="2:7" ht="14">
      <c r="B16" s="366" t="s">
        <v>16</v>
      </c>
      <c r="C16" s="362" t="s">
        <v>9</v>
      </c>
      <c r="D16" s="362"/>
      <c r="E16" s="362"/>
      <c r="F16" s="362"/>
      <c r="G16" s="368">
        <v>10</v>
      </c>
    </row>
    <row r="17" spans="2:7" ht="14">
      <c r="B17" s="366" t="s">
        <v>17</v>
      </c>
      <c r="C17" s="362" t="s">
        <v>9</v>
      </c>
      <c r="D17" s="362"/>
      <c r="E17" s="362"/>
      <c r="F17" s="362"/>
      <c r="G17" s="368">
        <v>11</v>
      </c>
    </row>
    <row r="18" spans="2:7" ht="15" thickBot="1">
      <c r="B18" s="369" t="s">
        <v>18</v>
      </c>
      <c r="C18" s="370" t="s">
        <v>9</v>
      </c>
      <c r="D18" s="370"/>
      <c r="E18" s="370"/>
      <c r="F18" s="370"/>
      <c r="G18" s="371">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X388"/>
  <sheetViews>
    <sheetView showGridLines="0" zoomScaleNormal="100" zoomScaleSheetLayoutView="80" workbookViewId="0">
      <selection activeCell="D74" sqref="D74"/>
    </sheetView>
  </sheetViews>
  <sheetFormatPr baseColWidth="10" defaultColWidth="8.5" defaultRowHeight="14"/>
  <cols>
    <col min="1" max="1" width="7.5" style="13" customWidth="1"/>
    <col min="2" max="2" width="17.5" style="13" customWidth="1"/>
    <col min="3" max="3" width="22.5" style="13" customWidth="1"/>
    <col min="4" max="4" width="14.5" style="13" customWidth="1"/>
    <col min="5" max="5" width="18.1640625" style="13" customWidth="1"/>
    <col min="6" max="6" width="16.5" style="13" customWidth="1"/>
    <col min="7" max="7" width="14.5" style="13" customWidth="1"/>
    <col min="8" max="8" width="5.1640625" style="15" customWidth="1"/>
    <col min="9" max="9" width="11.33203125" style="15" customWidth="1"/>
    <col min="10" max="10" width="13" style="15" customWidth="1"/>
    <col min="11" max="102" width="8.5" style="15"/>
    <col min="103" max="16384" width="8.5" style="13"/>
  </cols>
  <sheetData>
    <row r="1" spans="2:8" s="13" customFormat="1"/>
    <row r="2" spans="2:8" ht="16">
      <c r="B2" s="372" t="s">
        <v>19</v>
      </c>
      <c r="C2" s="47"/>
      <c r="D2" s="47"/>
      <c r="E2" s="59"/>
      <c r="F2" s="15"/>
    </row>
    <row r="3" spans="2:8">
      <c r="B3" s="165" t="s">
        <v>20</v>
      </c>
      <c r="C3" s="15"/>
      <c r="D3" s="339" t="str">
        <f>'Table of Contents'!B2</f>
        <v xml:space="preserve">Broadleaf Flats </v>
      </c>
      <c r="E3" s="20"/>
      <c r="F3" s="15"/>
    </row>
    <row r="4" spans="2:8">
      <c r="B4" s="165" t="s">
        <v>2</v>
      </c>
      <c r="C4" s="15"/>
      <c r="D4" s="339" t="str">
        <f>'Table of Contents'!C4</f>
        <v>Cal Poly SLO - Driftwood Propery Development</v>
      </c>
      <c r="E4" s="20"/>
      <c r="F4" s="15"/>
    </row>
    <row r="5" spans="2:8">
      <c r="B5" s="165" t="s">
        <v>21</v>
      </c>
      <c r="C5" s="15"/>
      <c r="D5" s="595">
        <f>'Table of Contents'!C6</f>
        <v>45726</v>
      </c>
      <c r="E5" s="20"/>
      <c r="F5" s="15"/>
    </row>
    <row r="6" spans="2:8">
      <c r="B6" s="341" t="s">
        <v>22</v>
      </c>
      <c r="C6" s="342"/>
      <c r="D6" s="735">
        <v>2</v>
      </c>
      <c r="E6" s="736"/>
      <c r="F6" s="15"/>
    </row>
    <row r="7" spans="2:8">
      <c r="B7" s="15"/>
      <c r="C7" s="15"/>
      <c r="D7" s="15"/>
      <c r="E7" s="15"/>
      <c r="F7" s="15"/>
    </row>
    <row r="8" spans="2:8">
      <c r="B8" s="728" t="s">
        <v>23</v>
      </c>
      <c r="C8" s="732"/>
      <c r="D8" s="732"/>
      <c r="E8" s="732"/>
      <c r="F8" s="729"/>
    </row>
    <row r="9" spans="2:8">
      <c r="B9" s="508" t="s">
        <v>20</v>
      </c>
      <c r="C9" s="509" t="str">
        <f>'Table of Contents'!B2</f>
        <v xml:space="preserve">Broadleaf Flats </v>
      </c>
      <c r="D9" s="747" t="s">
        <v>24</v>
      </c>
      <c r="E9" s="748"/>
      <c r="F9" s="596">
        <f>'Tax Credits'!D10</f>
        <v>0.09</v>
      </c>
      <c r="G9" s="375"/>
    </row>
    <row r="10" spans="2:8">
      <c r="B10" s="508" t="s">
        <v>25</v>
      </c>
      <c r="C10" s="739" t="s">
        <v>26</v>
      </c>
      <c r="D10" s="739"/>
      <c r="E10" s="739"/>
      <c r="F10" s="739"/>
      <c r="G10" s="376"/>
      <c r="H10" s="13"/>
    </row>
    <row r="11" spans="2:8">
      <c r="B11" s="508" t="s">
        <v>27</v>
      </c>
      <c r="C11" s="610" t="str">
        <f>'Tax Credits'!E32</f>
        <v>Yes</v>
      </c>
      <c r="D11" s="737" t="s">
        <v>28</v>
      </c>
      <c r="E11" s="738"/>
      <c r="F11" s="611" t="s">
        <v>29</v>
      </c>
      <c r="G11" s="654" t="s">
        <v>30</v>
      </c>
      <c r="H11" s="13"/>
    </row>
    <row r="12" spans="2:8">
      <c r="B12" s="508" t="s">
        <v>31</v>
      </c>
      <c r="C12" s="510">
        <f>Rents!G40</f>
        <v>75</v>
      </c>
      <c r="D12" s="737" t="s">
        <v>32</v>
      </c>
      <c r="E12" s="738"/>
      <c r="F12" s="511">
        <v>1.25</v>
      </c>
      <c r="G12" s="377"/>
    </row>
    <row r="13" spans="2:8">
      <c r="B13" s="508" t="s">
        <v>33</v>
      </c>
      <c r="C13" s="512">
        <f>Rents!D77</f>
        <v>74</v>
      </c>
      <c r="D13" s="508" t="s">
        <v>34</v>
      </c>
      <c r="E13" s="508"/>
      <c r="F13" s="513">
        <f>IFERROR(C12/F12,"")</f>
        <v>60</v>
      </c>
      <c r="G13" s="376"/>
    </row>
    <row r="14" spans="2:8">
      <c r="B14" s="508" t="s">
        <v>35</v>
      </c>
      <c r="C14" s="512">
        <f>Rents!D78</f>
        <v>1</v>
      </c>
      <c r="D14" s="749" t="s">
        <v>36</v>
      </c>
      <c r="E14" s="750"/>
      <c r="F14" s="514">
        <v>34</v>
      </c>
      <c r="G14" s="664"/>
    </row>
    <row r="15" spans="2:8">
      <c r="B15" s="508" t="s">
        <v>37</v>
      </c>
      <c r="C15" s="512">
        <f>Rents!O40</f>
        <v>22</v>
      </c>
      <c r="D15" s="749" t="s">
        <v>38</v>
      </c>
      <c r="E15" s="750"/>
      <c r="F15" s="515">
        <f>IFERROR(F14/Rents!G40,"")</f>
        <v>0.45333333333333331</v>
      </c>
      <c r="G15" s="378"/>
    </row>
    <row r="16" spans="2:8">
      <c r="B16" s="508" t="s">
        <v>39</v>
      </c>
      <c r="C16" s="512">
        <f>SUMIF(Rents!E9:E38, "Manager",Rents!G9:G38)</f>
        <v>1</v>
      </c>
      <c r="D16" s="509" t="s">
        <v>40</v>
      </c>
      <c r="E16" s="508"/>
      <c r="F16" s="516">
        <f>Rents!H40</f>
        <v>47850</v>
      </c>
      <c r="G16" s="379"/>
    </row>
    <row r="17" spans="2:13">
      <c r="B17" s="763" t="s">
        <v>41</v>
      </c>
      <c r="C17" s="742"/>
      <c r="D17" s="742"/>
      <c r="E17" s="742"/>
      <c r="F17" s="742"/>
      <c r="G17" s="380"/>
    </row>
    <row r="18" spans="2:13">
      <c r="B18" s="763"/>
      <c r="C18" s="742"/>
      <c r="D18" s="742"/>
      <c r="E18" s="742"/>
      <c r="F18" s="742"/>
      <c r="G18" s="380"/>
    </row>
    <row r="19" spans="2:13">
      <c r="B19" s="763"/>
      <c r="C19" s="742"/>
      <c r="D19" s="742"/>
      <c r="E19" s="742"/>
      <c r="F19" s="742"/>
      <c r="G19" s="380"/>
    </row>
    <row r="20" spans="2:13">
      <c r="B20" s="15"/>
      <c r="C20" s="15"/>
      <c r="D20" s="15"/>
      <c r="E20" s="15"/>
      <c r="F20" s="15"/>
    </row>
    <row r="21" spans="2:13">
      <c r="B21" s="706" t="s">
        <v>42</v>
      </c>
      <c r="C21" s="47"/>
      <c r="D21" s="47"/>
      <c r="E21" s="47"/>
      <c r="F21" s="59"/>
      <c r="G21" s="15"/>
    </row>
    <row r="22" spans="2:13">
      <c r="B22" s="707" t="s">
        <v>43</v>
      </c>
      <c r="C22" s="16"/>
      <c r="D22" s="268">
        <v>46023</v>
      </c>
      <c r="E22" s="269"/>
      <c r="F22" s="17"/>
    </row>
    <row r="23" spans="2:13">
      <c r="B23" s="708" t="s">
        <v>44</v>
      </c>
      <c r="C23" s="15"/>
      <c r="D23" s="49">
        <f>EDATE(D22,E23)</f>
        <v>46569</v>
      </c>
      <c r="E23" s="740">
        <v>18</v>
      </c>
      <c r="F23" s="741"/>
      <c r="G23" s="13" t="s">
        <v>45</v>
      </c>
      <c r="H23" s="13"/>
    </row>
    <row r="24" spans="2:13">
      <c r="B24" s="708" t="s">
        <v>46</v>
      </c>
      <c r="C24" s="15"/>
      <c r="D24" s="49">
        <f>IF(F9=9%,EDATE(D22,E24),"")</f>
        <v>46023</v>
      </c>
      <c r="E24" s="205"/>
      <c r="F24" s="647"/>
      <c r="G24" s="13" t="s">
        <v>45</v>
      </c>
      <c r="H24" s="13"/>
      <c r="I24" s="13"/>
    </row>
    <row r="25" spans="2:13" ht="14" customHeight="1">
      <c r="B25" s="708" t="s">
        <v>47</v>
      </c>
      <c r="C25" s="15"/>
      <c r="D25" s="49">
        <f>D23</f>
        <v>46569</v>
      </c>
      <c r="E25" s="740">
        <v>12</v>
      </c>
      <c r="F25" s="741"/>
      <c r="G25" s="627" t="s">
        <v>45</v>
      </c>
      <c r="H25" s="13"/>
      <c r="I25" s="13"/>
    </row>
    <row r="26" spans="2:13">
      <c r="B26" s="708" t="s">
        <v>48</v>
      </c>
      <c r="C26" s="15"/>
      <c r="D26" s="49">
        <f>EDATE(D25,E26)</f>
        <v>46692</v>
      </c>
      <c r="E26" s="740">
        <v>4</v>
      </c>
      <c r="F26" s="741"/>
      <c r="G26" s="627" t="s">
        <v>49</v>
      </c>
      <c r="H26" s="13"/>
      <c r="I26" s="13"/>
    </row>
    <row r="27" spans="2:13">
      <c r="B27" s="708" t="s">
        <v>50</v>
      </c>
      <c r="C27" s="15"/>
      <c r="D27" s="49">
        <f>EDATE(D26,E27)</f>
        <v>46784</v>
      </c>
      <c r="E27" s="740">
        <v>3</v>
      </c>
      <c r="F27" s="740"/>
      <c r="G27" s="481" t="s">
        <v>51</v>
      </c>
      <c r="H27" s="13"/>
      <c r="I27" s="13"/>
    </row>
    <row r="28" spans="2:13">
      <c r="B28" s="18"/>
      <c r="C28" s="15"/>
      <c r="D28" s="15"/>
      <c r="E28" s="714"/>
      <c r="F28" s="20"/>
    </row>
    <row r="29" spans="2:13">
      <c r="B29" s="708" t="s">
        <v>52</v>
      </c>
      <c r="C29" s="15"/>
      <c r="D29" s="15"/>
      <c r="E29" s="764">
        <v>4</v>
      </c>
      <c r="F29" s="765"/>
    </row>
    <row r="30" spans="2:13">
      <c r="B30" s="705" t="s">
        <v>53</v>
      </c>
      <c r="C30" s="19"/>
      <c r="D30" s="19"/>
      <c r="E30" s="722">
        <v>1</v>
      </c>
      <c r="F30" s="723"/>
      <c r="H30" s="13"/>
      <c r="I30" s="13"/>
      <c r="J30" s="13"/>
      <c r="K30" s="13"/>
      <c r="L30" s="13"/>
      <c r="M30" s="13"/>
    </row>
    <row r="31" spans="2:13">
      <c r="B31" s="706" t="s">
        <v>54</v>
      </c>
      <c r="C31" s="167"/>
      <c r="D31" s="334"/>
      <c r="E31" s="724">
        <v>24</v>
      </c>
      <c r="F31" s="725"/>
      <c r="G31" s="14" t="s">
        <v>55</v>
      </c>
      <c r="H31" s="573" t="s">
        <v>56</v>
      </c>
      <c r="I31" s="572"/>
      <c r="J31" s="573"/>
      <c r="K31" s="572"/>
      <c r="L31" s="572"/>
      <c r="M31" s="572"/>
    </row>
    <row r="32" spans="2:13">
      <c r="B32" s="239"/>
      <c r="C32" s="50"/>
      <c r="D32" s="240"/>
      <c r="E32" s="525"/>
      <c r="F32" s="50"/>
      <c r="G32" s="14"/>
      <c r="H32" s="374"/>
      <c r="I32" s="374"/>
    </row>
    <row r="33" spans="2:11" ht="16">
      <c r="B33" s="373" t="s">
        <v>57</v>
      </c>
      <c r="C33" s="381"/>
      <c r="E33" s="51"/>
      <c r="F33" s="15"/>
      <c r="G33" s="524" t="s">
        <v>58</v>
      </c>
    </row>
    <row r="34" spans="2:11">
      <c r="B34" s="239"/>
      <c r="C34" s="15"/>
      <c r="D34" s="49"/>
      <c r="E34" s="51"/>
      <c r="F34" s="15"/>
      <c r="G34" s="15"/>
    </row>
    <row r="35" spans="2:11">
      <c r="B35" s="123" t="s">
        <v>59</v>
      </c>
      <c r="C35" s="59"/>
      <c r="D35" s="477" t="s">
        <v>60</v>
      </c>
      <c r="E35" s="477" t="s">
        <v>61</v>
      </c>
      <c r="F35" s="15"/>
      <c r="G35" s="728" t="s">
        <v>62</v>
      </c>
      <c r="H35" s="732"/>
      <c r="I35" s="423" t="s">
        <v>63</v>
      </c>
      <c r="J35" s="535" t="s">
        <v>64</v>
      </c>
      <c r="K35" s="13"/>
    </row>
    <row r="36" spans="2:11">
      <c r="B36" s="761" t="s">
        <v>65</v>
      </c>
      <c r="C36" s="762"/>
      <c r="D36" s="246">
        <f>'Sources and Uses'!I104</f>
        <v>35051000</v>
      </c>
      <c r="E36" s="41">
        <f>'Sources and Uses'!I147</f>
        <v>1000000</v>
      </c>
      <c r="F36" s="63"/>
      <c r="G36" s="730" t="s">
        <v>66</v>
      </c>
      <c r="H36" s="731"/>
      <c r="I36" s="429">
        <f>'Tax Credits'!E71</f>
        <v>0.1</v>
      </c>
      <c r="J36" s="424">
        <f>'Tax Credits'!F71</f>
        <v>2124787.5</v>
      </c>
      <c r="K36" s="13"/>
    </row>
    <row r="37" spans="2:11">
      <c r="B37" s="241" t="s">
        <v>67</v>
      </c>
      <c r="C37" s="242"/>
      <c r="D37" s="658" t="str">
        <f>'Tax Credits'!F72</f>
        <v/>
      </c>
      <c r="E37" s="43">
        <f>J41</f>
        <v>21247875</v>
      </c>
      <c r="F37" s="381"/>
      <c r="G37" s="733" t="s">
        <v>60</v>
      </c>
      <c r="H37" s="734"/>
      <c r="I37" s="427">
        <f>'Tax Credits'!E72</f>
        <v>0</v>
      </c>
      <c r="J37" s="425" t="str">
        <f>'Tax Credits'!F72</f>
        <v/>
      </c>
      <c r="K37" s="13"/>
    </row>
    <row r="38" spans="2:11">
      <c r="B38" s="232" t="str">
        <f>'Sources and Uses'!D105</f>
        <v>Community Development Block Grant (CDBG)</v>
      </c>
      <c r="C38" s="206"/>
      <c r="D38" s="248">
        <f>'Sources and Uses'!I105</f>
        <v>425000</v>
      </c>
      <c r="E38" s="182"/>
      <c r="G38" s="733" t="s">
        <v>68</v>
      </c>
      <c r="H38" s="734"/>
      <c r="I38" s="427">
        <f>'Tax Credits'!E73</f>
        <v>0</v>
      </c>
      <c r="J38" s="425" t="str">
        <f>'Tax Credits'!F73</f>
        <v/>
      </c>
      <c r="K38" s="13"/>
    </row>
    <row r="39" spans="2:11">
      <c r="B39" s="232" t="str">
        <f>'Sources and Uses'!D106</f>
        <v>City of San Luis Obispo - HOME Grant</v>
      </c>
      <c r="C39" s="206"/>
      <c r="D39" s="248">
        <f>'Sources and Uses'!I106</f>
        <v>750000</v>
      </c>
      <c r="E39" s="182"/>
      <c r="F39" s="63"/>
      <c r="G39" s="733" t="s">
        <v>50</v>
      </c>
      <c r="H39" s="734"/>
      <c r="I39" s="427">
        <f>'Tax Credits'!E74</f>
        <v>0.89</v>
      </c>
      <c r="J39" s="425">
        <f>'Tax Credits'!F74</f>
        <v>18910608.75</v>
      </c>
      <c r="K39" s="13"/>
    </row>
    <row r="40" spans="2:11">
      <c r="B40" s="232" t="str">
        <f>'Sources and Uses'!D107</f>
        <v>SLO Housing Trust Fund</v>
      </c>
      <c r="C40" s="206"/>
      <c r="D40" s="248">
        <f>'Sources and Uses'!I107</f>
        <v>1500000</v>
      </c>
      <c r="E40" s="182"/>
      <c r="F40" s="63"/>
      <c r="G40" s="726">
        <v>8609</v>
      </c>
      <c r="H40" s="727"/>
      <c r="I40" s="428">
        <f>'Tax Credits'!E75</f>
        <v>0.01</v>
      </c>
      <c r="J40" s="426">
        <f>'Tax Credits'!F75</f>
        <v>212478.75</v>
      </c>
      <c r="K40" s="13"/>
    </row>
    <row r="41" spans="2:11">
      <c r="B41" s="232" t="str">
        <f>'Sources and Uses'!D108</f>
        <v>City Of San Luis Obispo Deferred Fee Loan</v>
      </c>
      <c r="C41" s="206"/>
      <c r="D41" s="248">
        <f>'Sources and Uses'!I108</f>
        <v>3233857.3499999996</v>
      </c>
      <c r="E41" s="182"/>
      <c r="F41" s="63"/>
      <c r="G41" s="728" t="s">
        <v>69</v>
      </c>
      <c r="H41" s="729"/>
      <c r="I41" s="532">
        <f>SUM(I36:I40)</f>
        <v>1</v>
      </c>
      <c r="J41" s="533">
        <f>SUM(J36:J40)</f>
        <v>21247875</v>
      </c>
      <c r="K41" s="13"/>
    </row>
    <row r="42" spans="2:11">
      <c r="B42" s="232" t="str">
        <f>'Sources and Uses'!D109</f>
        <v>City of San Luis Obispo In-Lieu Funds</v>
      </c>
      <c r="C42" s="206"/>
      <c r="D42" s="248">
        <f>'Sources and Uses'!I109</f>
        <v>1000000</v>
      </c>
      <c r="E42" s="182"/>
      <c r="F42" s="63"/>
      <c r="G42" s="239"/>
      <c r="H42" s="239"/>
      <c r="I42" s="665"/>
      <c r="J42" s="666"/>
      <c r="K42" s="13"/>
    </row>
    <row r="43" spans="2:11">
      <c r="B43" s="232" t="str">
        <f>'Sources and Uses'!D110</f>
        <v>Title 29 Funds</v>
      </c>
      <c r="C43" s="206"/>
      <c r="D43" s="248">
        <f>'Sources and Uses'!I110</f>
        <v>121518</v>
      </c>
      <c r="E43" s="182"/>
      <c r="F43" s="63"/>
      <c r="G43" s="239"/>
      <c r="H43" s="239"/>
      <c r="I43" s="665"/>
      <c r="J43" s="666"/>
      <c r="K43" s="13"/>
    </row>
    <row r="44" spans="2:11">
      <c r="B44" s="232" t="str">
        <f>'Sources and Uses'!D111</f>
        <v>Wood Innovations Grant (Mass Timber)</v>
      </c>
      <c r="C44" s="206"/>
      <c r="D44" s="248">
        <f>'Sources and Uses'!I111</f>
        <v>150000</v>
      </c>
      <c r="E44" s="182"/>
      <c r="F44" s="63"/>
      <c r="G44" s="239"/>
      <c r="H44" s="239"/>
      <c r="I44" s="665"/>
      <c r="J44" s="666"/>
      <c r="K44" s="13"/>
    </row>
    <row r="45" spans="2:11">
      <c r="B45" s="232" t="s">
        <v>70</v>
      </c>
      <c r="C45" s="206"/>
      <c r="D45" s="687">
        <f>'Tax Credits'!F71</f>
        <v>2124787.5</v>
      </c>
      <c r="E45" s="182"/>
      <c r="F45" s="63"/>
      <c r="G45" s="239"/>
      <c r="H45" s="239"/>
      <c r="I45" s="665"/>
      <c r="J45" s="666"/>
      <c r="K45" s="13"/>
    </row>
    <row r="46" spans="2:11">
      <c r="B46" s="232" t="str">
        <f>'Sources and Uses'!D148</f>
        <v>HCD - MHP</v>
      </c>
      <c r="C46" s="206"/>
      <c r="D46" s="249"/>
      <c r="E46" s="182">
        <f>'Sources and Uses'!I148</f>
        <v>9286282</v>
      </c>
      <c r="F46" s="63"/>
      <c r="G46" s="239"/>
      <c r="H46" s="239"/>
      <c r="I46" s="665"/>
      <c r="J46" s="666"/>
      <c r="K46" s="13"/>
    </row>
    <row r="47" spans="2:11">
      <c r="B47" s="232" t="str">
        <f>'Sources and Uses'!D149</f>
        <v>HCD - AHSC</v>
      </c>
      <c r="C47" s="206"/>
      <c r="D47" s="249"/>
      <c r="E47" s="182">
        <f>'Sources and Uses'!I149</f>
        <v>13459521</v>
      </c>
      <c r="F47" s="63"/>
      <c r="G47" s="381"/>
      <c r="K47" s="13"/>
    </row>
    <row r="48" spans="2:11">
      <c r="B48" s="232"/>
      <c r="C48" s="206"/>
      <c r="D48" s="249"/>
      <c r="E48" s="182"/>
      <c r="F48" s="63"/>
      <c r="G48" s="123" t="s">
        <v>71</v>
      </c>
      <c r="H48" s="254"/>
      <c r="I48" s="538" t="s">
        <v>63</v>
      </c>
      <c r="J48" s="539" t="s">
        <v>64</v>
      </c>
      <c r="K48" s="13"/>
    </row>
    <row r="49" spans="2:11">
      <c r="B49" s="207"/>
      <c r="C49" s="206"/>
      <c r="D49" s="249"/>
      <c r="E49" s="250"/>
      <c r="F49" s="63"/>
      <c r="G49" s="18" t="str">
        <f>'Sources and Uses'!M95</f>
        <v>Upfront</v>
      </c>
      <c r="H49" s="536"/>
      <c r="I49" s="429" t="str">
        <f>'Sources and Uses'!Q95</f>
        <v/>
      </c>
      <c r="J49" s="424">
        <f>'Sources and Uses'!P95</f>
        <v>0</v>
      </c>
      <c r="K49" s="13"/>
    </row>
    <row r="50" spans="2:11">
      <c r="B50" s="110" t="s">
        <v>72</v>
      </c>
      <c r="C50" s="111"/>
      <c r="D50" s="247">
        <f>'Sources and Uses'!H98</f>
        <v>3445000</v>
      </c>
      <c r="E50" s="250"/>
      <c r="F50" s="63"/>
      <c r="G50" s="18" t="str">
        <f>'Sources and Uses'!M96</f>
        <v>Construction</v>
      </c>
      <c r="H50" s="536"/>
      <c r="I50" s="427" t="str">
        <f>'Sources and Uses'!Q96</f>
        <v/>
      </c>
      <c r="J50" s="425">
        <f>'Sources and Uses'!P96</f>
        <v>0</v>
      </c>
      <c r="K50" s="13"/>
    </row>
    <row r="51" spans="2:11">
      <c r="B51" s="112" t="s">
        <v>73</v>
      </c>
      <c r="C51" s="113"/>
      <c r="D51" s="247"/>
      <c r="E51" s="46">
        <f>'Sources and Uses'!H99-'Sources and Uses'!H98</f>
        <v>4372890.129999999</v>
      </c>
      <c r="F51" s="63"/>
      <c r="G51" s="18" t="str">
        <f>'Sources and Uses'!M97</f>
        <v>Completion</v>
      </c>
      <c r="H51" s="536"/>
      <c r="I51" s="427" t="str">
        <f>'Sources and Uses'!Q97</f>
        <v/>
      </c>
      <c r="J51" s="425">
        <f>'Sources and Uses'!P97</f>
        <v>0</v>
      </c>
      <c r="K51" s="13"/>
    </row>
    <row r="52" spans="2:11">
      <c r="B52" s="333" t="s">
        <v>74</v>
      </c>
      <c r="C52" s="244"/>
      <c r="D52" s="667">
        <f>SUM(D36:D51)</f>
        <v>47801162.850000001</v>
      </c>
      <c r="E52" s="668">
        <f>SUM(E36:E51)</f>
        <v>49366568.129999995</v>
      </c>
      <c r="F52" s="63"/>
      <c r="G52" s="18" t="str">
        <f>'Sources and Uses'!M98</f>
        <v>Conversion</v>
      </c>
      <c r="H52" s="536"/>
      <c r="I52" s="427">
        <f>'Sources and Uses'!Q98</f>
        <v>1</v>
      </c>
      <c r="J52" s="425">
        <f>'Sources and Uses'!P98</f>
        <v>3445000</v>
      </c>
      <c r="K52" s="13"/>
    </row>
    <row r="53" spans="2:11">
      <c r="B53" s="262"/>
      <c r="C53" s="263"/>
      <c r="D53" s="63"/>
      <c r="E53" s="245"/>
      <c r="F53" s="63"/>
      <c r="G53" s="708">
        <f>'Sources and Uses'!M99</f>
        <v>8609</v>
      </c>
      <c r="H53" s="536"/>
      <c r="I53" s="427" t="str">
        <f>'Sources and Uses'!Q99</f>
        <v/>
      </c>
      <c r="J53" s="425">
        <f>'Sources and Uses'!P99</f>
        <v>0</v>
      </c>
      <c r="K53" s="13"/>
    </row>
    <row r="54" spans="2:11">
      <c r="B54" s="383" t="s">
        <v>75</v>
      </c>
      <c r="C54" s="265"/>
      <c r="D54" s="266" t="s">
        <v>60</v>
      </c>
      <c r="E54" s="267" t="s">
        <v>61</v>
      </c>
      <c r="F54" s="15"/>
      <c r="G54" s="38" t="str">
        <f>'Sources and Uses'!M100</f>
        <v>Deferred</v>
      </c>
      <c r="H54" s="537"/>
      <c r="I54" s="428" t="str">
        <f>'Sources and Uses'!Q100</f>
        <v/>
      </c>
      <c r="J54" s="426">
        <f>'Sources and Uses'!P100</f>
        <v>0</v>
      </c>
      <c r="K54" s="13"/>
    </row>
    <row r="55" spans="2:11">
      <c r="B55" s="713" t="s">
        <v>76</v>
      </c>
      <c r="C55" s="243"/>
      <c r="D55" s="246">
        <f>'Sources and Uses'!I16</f>
        <v>1814087.4979999999</v>
      </c>
      <c r="E55" s="41">
        <f>'Sources and Uses'!I16</f>
        <v>1814087.4979999999</v>
      </c>
      <c r="F55" s="15"/>
      <c r="G55" s="157" t="s">
        <v>69</v>
      </c>
      <c r="H55" s="533"/>
      <c r="I55" s="540">
        <f>SUM(I49:I54)</f>
        <v>1</v>
      </c>
      <c r="J55" s="533">
        <f>SUM(J49:J54)</f>
        <v>3445000</v>
      </c>
      <c r="K55" s="13"/>
    </row>
    <row r="56" spans="2:11">
      <c r="B56" s="241" t="s">
        <v>77</v>
      </c>
      <c r="C56" s="242"/>
      <c r="D56" s="247">
        <f>'Sources and Uses'!I20+'Sources and Uses'!I35</f>
        <v>34392238.329999998</v>
      </c>
      <c r="E56" s="43">
        <f>'Sources and Uses'!I20+'Sources and Uses'!I35</f>
        <v>34392238.329999998</v>
      </c>
      <c r="F56" s="15"/>
      <c r="G56" s="751"/>
      <c r="H56" s="751"/>
      <c r="I56" s="751"/>
    </row>
    <row r="57" spans="2:11">
      <c r="B57" s="115" t="s">
        <v>78</v>
      </c>
      <c r="C57" s="116"/>
      <c r="D57" s="251">
        <f>'Sources and Uses'!I61+'Sources and Uses'!I82+'Sources and Uses'!I88+'Sources and Uses'!I95+'Sources and Uses'!I98</f>
        <v>11594836.879999999</v>
      </c>
      <c r="E57" s="46">
        <f>'Sources and Uses'!F61+'Sources and Uses'!F82+'Sources and Uses'!F88+'Sources and Uses'!F95+'Sources and Uses'!F98</f>
        <v>19412727.009999998</v>
      </c>
      <c r="F57" s="15"/>
      <c r="G57" s="752"/>
      <c r="H57" s="752"/>
      <c r="I57" s="752"/>
    </row>
    <row r="58" spans="2:11">
      <c r="B58" s="117" t="s">
        <v>79</v>
      </c>
      <c r="C58" s="114" t="str">
        <f>IF(E58&lt;D58,"ERROR","")</f>
        <v/>
      </c>
      <c r="D58" s="332">
        <f>SUM(D55:D57)</f>
        <v>47801162.708000004</v>
      </c>
      <c r="E58" s="451">
        <f>SUM(E55:E57)</f>
        <v>55619052.838</v>
      </c>
      <c r="F58" s="15"/>
      <c r="G58" s="753" t="s">
        <v>80</v>
      </c>
      <c r="H58" s="754"/>
      <c r="I58" s="755"/>
      <c r="J58" s="759" t="str" cm="1">
        <f t="array" ref="J58">IFERROR(_xlfn.IFS('Long Term Proforma'!R41=0,"Yes",'Long Term Proforma'!R41&gt;0,"No"),"")</f>
        <v>Yes</v>
      </c>
    </row>
    <row r="59" spans="2:11" ht="15" thickBot="1">
      <c r="B59" s="118" t="s">
        <v>81</v>
      </c>
      <c r="C59" s="119"/>
      <c r="D59" s="677">
        <f>D52-D58</f>
        <v>0.1419999971985817</v>
      </c>
      <c r="E59" s="678">
        <f>E52-E58</f>
        <v>-6252484.7080000043</v>
      </c>
      <c r="F59" s="55"/>
      <c r="G59" s="756"/>
      <c r="H59" s="757"/>
      <c r="I59" s="758"/>
      <c r="J59" s="760"/>
    </row>
    <row r="60" spans="2:11" ht="15" thickTop="1">
      <c r="B60" s="15"/>
      <c r="C60" s="15"/>
      <c r="D60" s="63"/>
      <c r="E60" s="63"/>
      <c r="F60" s="15"/>
      <c r="G60" s="382"/>
      <c r="H60" s="63"/>
    </row>
    <row r="61" spans="2:11" ht="16">
      <c r="B61" s="478" t="s">
        <v>82</v>
      </c>
      <c r="C61" s="15"/>
      <c r="D61" s="15"/>
      <c r="E61" s="15"/>
      <c r="F61" s="15"/>
    </row>
    <row r="62" spans="2:11">
      <c r="B62" s="15"/>
      <c r="C62" s="15"/>
      <c r="D62" s="15"/>
      <c r="E62" s="15"/>
      <c r="F62" s="15"/>
      <c r="G62" s="744" t="s">
        <v>83</v>
      </c>
      <c r="H62" s="745"/>
      <c r="I62" s="745"/>
      <c r="J62" s="746"/>
    </row>
    <row r="63" spans="2:11" ht="14" customHeight="1">
      <c r="B63" s="123" t="s">
        <v>84</v>
      </c>
      <c r="C63" s="47"/>
      <c r="D63" s="47"/>
      <c r="E63" s="59"/>
      <c r="F63" s="15"/>
      <c r="G63" s="743" t="s">
        <v>85</v>
      </c>
      <c r="H63" s="743"/>
      <c r="I63" s="743"/>
      <c r="J63" s="743"/>
    </row>
    <row r="64" spans="2:11" ht="14" customHeight="1">
      <c r="B64" s="18" t="s">
        <v>86</v>
      </c>
      <c r="C64" s="15"/>
      <c r="D64" s="15"/>
      <c r="E64" s="430">
        <f>'Debt &amp; Valuation'!D11</f>
        <v>13391384.32</v>
      </c>
      <c r="G64" s="743"/>
      <c r="H64" s="743"/>
      <c r="I64" s="743"/>
      <c r="J64" s="743"/>
    </row>
    <row r="65" spans="1:12" ht="12.75" customHeight="1">
      <c r="B65" s="38" t="s">
        <v>87</v>
      </c>
      <c r="C65" s="19"/>
      <c r="D65" s="19"/>
      <c r="E65" s="431">
        <f>'Debt &amp; Valuation'!D15</f>
        <v>34639259.32</v>
      </c>
      <c r="G65" s="743"/>
      <c r="H65" s="743"/>
      <c r="I65" s="743"/>
      <c r="J65" s="743"/>
    </row>
    <row r="66" spans="1:12">
      <c r="B66" s="157" t="s">
        <v>88</v>
      </c>
      <c r="C66" s="35"/>
      <c r="D66" s="35"/>
      <c r="E66" s="534">
        <f>SUM(E64:E65)</f>
        <v>48030643.640000001</v>
      </c>
      <c r="G66" s="743"/>
      <c r="H66" s="743"/>
      <c r="I66" s="743"/>
      <c r="J66" s="743"/>
    </row>
    <row r="67" spans="1:12" ht="14" customHeight="1">
      <c r="B67" s="15"/>
      <c r="C67" s="15"/>
      <c r="D67" s="15"/>
      <c r="E67" s="15"/>
      <c r="F67" s="15"/>
      <c r="G67" s="743"/>
      <c r="H67" s="743"/>
      <c r="I67" s="743"/>
      <c r="J67" s="743"/>
    </row>
    <row r="68" spans="1:12">
      <c r="B68" s="387" t="s">
        <v>89</v>
      </c>
      <c r="C68" s="168"/>
      <c r="D68" s="335" t="s">
        <v>90</v>
      </c>
      <c r="E68" s="480" t="s">
        <v>61</v>
      </c>
      <c r="F68" s="15"/>
    </row>
    <row r="69" spans="1:12">
      <c r="B69" s="481" t="s">
        <v>91</v>
      </c>
      <c r="C69" s="166"/>
      <c r="D69" s="614">
        <f>'Interest Reserve'!D20</f>
        <v>3049437.0000000005</v>
      </c>
      <c r="E69" s="522"/>
      <c r="F69" s="374"/>
    </row>
    <row r="70" spans="1:12">
      <c r="B70" s="18" t="s">
        <v>92</v>
      </c>
      <c r="C70" s="20"/>
      <c r="D70" s="270">
        <f>IFERROR(D36/$E$66,0)</f>
        <v>0.72976327909979266</v>
      </c>
      <c r="E70" s="271">
        <f>IFERROR(E36/$E$66,0)</f>
        <v>2.0820041627907696E-2</v>
      </c>
      <c r="F70" s="571" t="s">
        <v>93</v>
      </c>
      <c r="G70" s="569"/>
      <c r="H70" s="569"/>
      <c r="I70" s="569"/>
      <c r="J70" s="569"/>
      <c r="K70" s="572"/>
    </row>
    <row r="71" spans="1:12">
      <c r="B71" s="18" t="s">
        <v>94</v>
      </c>
      <c r="C71" s="20"/>
      <c r="D71" s="270">
        <f>IFERROR(D36/'Sources and Uses'!$F$99,0)</f>
        <v>0.6301977148386908</v>
      </c>
      <c r="E71" s="271">
        <f>IFERROR(E36/'Sources and Uses'!$F$99,0)</f>
        <v>1.79794503677125E-2</v>
      </c>
      <c r="F71" s="216"/>
      <c r="G71" s="374"/>
      <c r="H71" s="13"/>
    </row>
    <row r="72" spans="1:12">
      <c r="B72" s="18" t="s">
        <v>95</v>
      </c>
      <c r="C72" s="20"/>
      <c r="D72" s="521"/>
      <c r="E72" s="384">
        <f>'Long Term Proforma'!E37</f>
        <v>1.1463182436341635</v>
      </c>
      <c r="F72" s="573" t="s">
        <v>96</v>
      </c>
      <c r="G72" s="573"/>
      <c r="H72" s="572"/>
      <c r="I72" s="572"/>
      <c r="J72" s="572"/>
      <c r="K72" s="572"/>
      <c r="L72" s="13"/>
    </row>
    <row r="73" spans="1:12">
      <c r="B73" s="18" t="s">
        <v>97</v>
      </c>
      <c r="C73" s="20"/>
      <c r="D73" s="385">
        <f>IFERROR('Sources and Uses'!F34/SUM('Sources and Uses'!F21:F33),0)</f>
        <v>0.05</v>
      </c>
      <c r="E73" s="519" t="s">
        <v>98</v>
      </c>
      <c r="F73" s="571" t="s">
        <v>99</v>
      </c>
      <c r="G73" s="571"/>
      <c r="H73" s="569"/>
      <c r="I73" s="569"/>
      <c r="J73" s="569"/>
      <c r="K73" s="569"/>
      <c r="L73"/>
    </row>
    <row r="74" spans="1:12">
      <c r="B74" s="18" t="s">
        <v>100</v>
      </c>
      <c r="C74" s="20"/>
      <c r="D74" s="385">
        <f>IFERROR('Sources and Uses'!F60/(SUM('Sources and Uses'!F36:F59)+'Sources and Uses'!F88+'Sources and Uses'!F95),0)</f>
        <v>8.4426388363166419E-2</v>
      </c>
      <c r="E74" s="519" t="s">
        <v>98</v>
      </c>
      <c r="F74" s="339"/>
      <c r="G74" s="570"/>
      <c r="H74" s="339"/>
      <c r="I74" s="339"/>
      <c r="J74" s="339"/>
      <c r="K74" s="339"/>
      <c r="L74" s="339"/>
    </row>
    <row r="75" spans="1:12">
      <c r="B75" s="38" t="s">
        <v>101</v>
      </c>
      <c r="C75" s="39"/>
      <c r="D75" s="386">
        <f>IFERROR(J52/D36,0)</f>
        <v>9.8285355624661203E-2</v>
      </c>
      <c r="E75" s="520" t="s">
        <v>98</v>
      </c>
    </row>
    <row r="76" spans="1:12">
      <c r="B76" s="15"/>
      <c r="C76" s="15"/>
      <c r="D76" s="479"/>
      <c r="E76" s="479"/>
    </row>
    <row r="77" spans="1:12" s="15" customFormat="1">
      <c r="A77" s="13"/>
      <c r="F77" s="13"/>
      <c r="G77" s="13"/>
    </row>
    <row r="78" spans="1:12" s="15" customFormat="1">
      <c r="A78" s="13"/>
      <c r="G78" s="13"/>
      <c r="H78" s="13"/>
    </row>
    <row r="79" spans="1:12" s="15" customFormat="1">
      <c r="A79" s="13"/>
      <c r="G79" s="13"/>
    </row>
    <row r="80" spans="1:12" s="15" customFormat="1">
      <c r="A80" s="13"/>
      <c r="G80" s="13"/>
    </row>
    <row r="81" spans="1:7" s="15" customFormat="1">
      <c r="A81" s="13"/>
      <c r="G81" s="13"/>
    </row>
    <row r="82" spans="1:7" s="15" customFormat="1">
      <c r="A82" s="13"/>
      <c r="G82" s="13"/>
    </row>
    <row r="83" spans="1:7" s="15" customFormat="1">
      <c r="A83" s="13"/>
      <c r="G83" s="13"/>
    </row>
    <row r="84" spans="1:7" s="15" customFormat="1">
      <c r="A84" s="13"/>
      <c r="G84" s="13"/>
    </row>
    <row r="85" spans="1:7" s="15" customFormat="1">
      <c r="A85" s="13"/>
      <c r="G85" s="13"/>
    </row>
    <row r="86" spans="1:7" s="15" customFormat="1">
      <c r="A86" s="13"/>
      <c r="G86" s="13"/>
    </row>
    <row r="87" spans="1:7" s="15" customFormat="1">
      <c r="A87" s="13"/>
      <c r="G87" s="13"/>
    </row>
    <row r="88" spans="1:7" s="15" customFormat="1">
      <c r="A88" s="13"/>
      <c r="G88" s="13"/>
    </row>
    <row r="89" spans="1:7" s="15" customFormat="1">
      <c r="A89" s="13"/>
      <c r="G89" s="13"/>
    </row>
    <row r="90" spans="1:7" s="15" customFormat="1">
      <c r="A90" s="13"/>
      <c r="G90" s="13"/>
    </row>
    <row r="91" spans="1:7" s="15" customFormat="1">
      <c r="A91" s="13"/>
      <c r="G91" s="13"/>
    </row>
    <row r="92" spans="1:7" s="15" customFormat="1">
      <c r="A92" s="13"/>
      <c r="G92" s="13"/>
    </row>
    <row r="93" spans="1:7" s="15" customFormat="1">
      <c r="A93" s="13"/>
      <c r="G93" s="13"/>
    </row>
    <row r="94" spans="1:7" s="15" customFormat="1">
      <c r="A94" s="13"/>
      <c r="G94" s="13"/>
    </row>
    <row r="95" spans="1:7" s="15" customFormat="1">
      <c r="A95" s="13"/>
      <c r="G95" s="13"/>
    </row>
    <row r="96" spans="1:7" s="15" customFormat="1">
      <c r="A96" s="13"/>
      <c r="G96" s="13"/>
    </row>
    <row r="97" spans="1:7" s="15" customFormat="1">
      <c r="A97" s="13"/>
      <c r="G97" s="13"/>
    </row>
    <row r="98" spans="1:7" s="15" customFormat="1">
      <c r="A98" s="13"/>
      <c r="G98" s="13"/>
    </row>
    <row r="99" spans="1:7" s="15" customFormat="1">
      <c r="A99" s="13"/>
      <c r="G99" s="13"/>
    </row>
    <row r="100" spans="1:7" s="15" customFormat="1">
      <c r="A100" s="13"/>
      <c r="G100" s="13"/>
    </row>
    <row r="101" spans="1:7" s="15" customFormat="1">
      <c r="A101" s="13"/>
      <c r="G101" s="13"/>
    </row>
    <row r="102" spans="1:7" s="15" customFormat="1">
      <c r="A102" s="13"/>
      <c r="G102" s="13"/>
    </row>
    <row r="103" spans="1:7" s="15" customFormat="1">
      <c r="A103" s="13"/>
      <c r="G103" s="13"/>
    </row>
    <row r="104" spans="1:7" s="15" customFormat="1">
      <c r="A104" s="13"/>
      <c r="G104" s="13"/>
    </row>
    <row r="105" spans="1:7" s="15" customFormat="1">
      <c r="A105" s="13"/>
      <c r="G105" s="13"/>
    </row>
    <row r="106" spans="1:7" s="15" customFormat="1">
      <c r="A106" s="13"/>
      <c r="G106" s="13"/>
    </row>
    <row r="107" spans="1:7" s="15" customFormat="1">
      <c r="A107" s="13"/>
      <c r="G107" s="13"/>
    </row>
    <row r="108" spans="1:7" s="15" customFormat="1">
      <c r="A108" s="13"/>
      <c r="G108" s="13"/>
    </row>
    <row r="109" spans="1:7" s="15" customFormat="1">
      <c r="A109" s="13"/>
      <c r="G109" s="13"/>
    </row>
    <row r="110" spans="1:7" s="15" customFormat="1">
      <c r="A110" s="13"/>
      <c r="G110" s="13"/>
    </row>
    <row r="111" spans="1:7" s="15" customFormat="1">
      <c r="A111" s="13"/>
      <c r="G111" s="13"/>
    </row>
    <row r="112" spans="1:7" s="15" customFormat="1">
      <c r="A112" s="13"/>
      <c r="G112" s="13"/>
    </row>
    <row r="113" spans="1:7" s="15" customFormat="1">
      <c r="A113" s="13"/>
      <c r="G113" s="13"/>
    </row>
    <row r="114" spans="1:7" s="15" customFormat="1">
      <c r="A114" s="13"/>
      <c r="G114" s="13"/>
    </row>
    <row r="115" spans="1:7" s="15" customFormat="1">
      <c r="A115" s="13"/>
      <c r="G115" s="13"/>
    </row>
    <row r="116" spans="1:7" s="15" customFormat="1">
      <c r="A116" s="13"/>
      <c r="G116" s="13"/>
    </row>
    <row r="117" spans="1:7" s="15" customFormat="1">
      <c r="A117" s="13"/>
      <c r="G117" s="13"/>
    </row>
    <row r="118" spans="1:7" s="15" customFormat="1">
      <c r="A118" s="13"/>
      <c r="G118" s="13"/>
    </row>
    <row r="119" spans="1:7" s="15" customFormat="1">
      <c r="A119" s="13"/>
      <c r="G119" s="13"/>
    </row>
    <row r="120" spans="1:7" s="15" customFormat="1">
      <c r="A120" s="13"/>
      <c r="G120" s="13"/>
    </row>
    <row r="121" spans="1:7" s="15" customFormat="1">
      <c r="A121" s="13"/>
      <c r="G121" s="13"/>
    </row>
    <row r="122" spans="1:7" s="15" customFormat="1">
      <c r="A122" s="13"/>
      <c r="G122" s="13"/>
    </row>
    <row r="123" spans="1:7" s="15" customFormat="1">
      <c r="A123" s="13"/>
      <c r="G123" s="13"/>
    </row>
    <row r="124" spans="1:7" s="15" customFormat="1">
      <c r="A124" s="13"/>
      <c r="G124" s="13"/>
    </row>
    <row r="125" spans="1:7" s="15" customFormat="1">
      <c r="A125" s="13"/>
      <c r="G125" s="13"/>
    </row>
    <row r="126" spans="1:7" s="15" customFormat="1">
      <c r="A126" s="13"/>
      <c r="G126" s="13"/>
    </row>
    <row r="127" spans="1:7" s="15" customFormat="1">
      <c r="A127" s="13"/>
      <c r="G127" s="13"/>
    </row>
    <row r="128" spans="1:7" s="15" customFormat="1">
      <c r="A128" s="13"/>
      <c r="G128" s="13"/>
    </row>
    <row r="129" spans="1:7" s="15" customFormat="1">
      <c r="A129" s="13"/>
      <c r="G129" s="13"/>
    </row>
    <row r="130" spans="1:7" s="15" customFormat="1">
      <c r="A130" s="13"/>
      <c r="G130" s="13"/>
    </row>
    <row r="131" spans="1:7" s="15" customFormat="1">
      <c r="A131" s="13"/>
      <c r="G131" s="13"/>
    </row>
    <row r="132" spans="1:7" s="15" customFormat="1">
      <c r="A132" s="13"/>
      <c r="G132" s="13"/>
    </row>
    <row r="133" spans="1:7" s="15" customFormat="1">
      <c r="A133" s="13"/>
      <c r="G133" s="13"/>
    </row>
    <row r="134" spans="1:7" s="15" customFormat="1">
      <c r="A134" s="13"/>
      <c r="G134" s="13"/>
    </row>
    <row r="135" spans="1:7" s="15" customFormat="1">
      <c r="A135" s="13"/>
      <c r="G135" s="13"/>
    </row>
    <row r="136" spans="1:7" s="15" customFormat="1">
      <c r="A136" s="13"/>
      <c r="G136" s="13"/>
    </row>
    <row r="137" spans="1:7" s="15" customFormat="1">
      <c r="A137" s="13"/>
      <c r="G137" s="13"/>
    </row>
    <row r="138" spans="1:7" s="15" customFormat="1">
      <c r="A138" s="13"/>
      <c r="G138" s="13"/>
    </row>
    <row r="139" spans="1:7" s="15" customFormat="1">
      <c r="A139" s="13"/>
      <c r="G139" s="13"/>
    </row>
    <row r="140" spans="1:7" s="15" customFormat="1">
      <c r="A140" s="13"/>
      <c r="G140" s="13"/>
    </row>
    <row r="141" spans="1:7" s="15" customFormat="1">
      <c r="A141" s="13"/>
      <c r="G141" s="13"/>
    </row>
    <row r="142" spans="1:7" s="15" customFormat="1">
      <c r="A142" s="13"/>
      <c r="G142" s="13"/>
    </row>
    <row r="143" spans="1:7" s="15" customFormat="1">
      <c r="A143" s="13"/>
      <c r="G143" s="13"/>
    </row>
    <row r="144" spans="1:7" s="15" customFormat="1">
      <c r="A144" s="13"/>
      <c r="G144" s="13"/>
    </row>
    <row r="145" spans="1:7" s="15" customFormat="1">
      <c r="A145" s="13"/>
      <c r="G145" s="13"/>
    </row>
    <row r="146" spans="1:7" s="15" customFormat="1">
      <c r="A146" s="13"/>
      <c r="G146" s="13"/>
    </row>
    <row r="147" spans="1:7" s="15" customFormat="1">
      <c r="A147" s="13"/>
      <c r="G147" s="13"/>
    </row>
    <row r="148" spans="1:7" s="15" customFormat="1">
      <c r="A148" s="13"/>
      <c r="G148" s="13"/>
    </row>
    <row r="149" spans="1:7" s="15" customFormat="1">
      <c r="A149" s="13"/>
      <c r="G149" s="13"/>
    </row>
    <row r="150" spans="1:7" s="15" customFormat="1">
      <c r="A150" s="13"/>
      <c r="G150" s="13"/>
    </row>
    <row r="151" spans="1:7" s="15" customFormat="1">
      <c r="A151" s="13"/>
      <c r="G151" s="13"/>
    </row>
    <row r="152" spans="1:7" s="15" customFormat="1">
      <c r="A152" s="13"/>
      <c r="G152" s="13"/>
    </row>
    <row r="153" spans="1:7" s="15" customFormat="1">
      <c r="A153" s="13"/>
      <c r="G153" s="13"/>
    </row>
    <row r="154" spans="1:7" s="15" customFormat="1">
      <c r="A154" s="13"/>
      <c r="G154" s="13"/>
    </row>
    <row r="155" spans="1:7" s="15" customFormat="1">
      <c r="A155" s="13"/>
      <c r="G155" s="13"/>
    </row>
    <row r="156" spans="1:7" s="15" customFormat="1">
      <c r="A156" s="13"/>
      <c r="G156" s="13"/>
    </row>
    <row r="157" spans="1:7" s="15" customFormat="1">
      <c r="A157" s="13"/>
      <c r="G157" s="13"/>
    </row>
    <row r="158" spans="1:7" s="15" customFormat="1">
      <c r="A158" s="13"/>
      <c r="G158" s="13"/>
    </row>
    <row r="159" spans="1:7" s="15" customFormat="1">
      <c r="A159" s="13"/>
      <c r="G159" s="13"/>
    </row>
    <row r="160" spans="1:7" s="15" customFormat="1">
      <c r="A160" s="13"/>
      <c r="G160" s="13"/>
    </row>
    <row r="161" spans="1:7" s="15" customFormat="1">
      <c r="A161" s="13"/>
      <c r="G161" s="13"/>
    </row>
    <row r="162" spans="1:7" s="15" customFormat="1">
      <c r="A162" s="13"/>
      <c r="G162" s="13"/>
    </row>
    <row r="163" spans="1:7" s="15" customFormat="1">
      <c r="A163" s="13"/>
      <c r="G163" s="13"/>
    </row>
    <row r="164" spans="1:7" s="15" customFormat="1">
      <c r="A164" s="13"/>
      <c r="G164" s="13"/>
    </row>
    <row r="165" spans="1:7" s="15" customFormat="1">
      <c r="A165" s="13"/>
      <c r="G165" s="13"/>
    </row>
    <row r="166" spans="1:7" s="15" customFormat="1">
      <c r="A166" s="13"/>
      <c r="G166" s="13"/>
    </row>
    <row r="167" spans="1:7" s="15" customFormat="1">
      <c r="A167" s="13"/>
      <c r="G167" s="13"/>
    </row>
    <row r="168" spans="1:7" s="15" customFormat="1">
      <c r="A168" s="13"/>
      <c r="G168" s="13"/>
    </row>
    <row r="169" spans="1:7" s="15" customFormat="1">
      <c r="A169" s="13"/>
      <c r="G169" s="13"/>
    </row>
    <row r="170" spans="1:7" s="15" customFormat="1">
      <c r="A170" s="13"/>
      <c r="G170" s="13"/>
    </row>
    <row r="171" spans="1:7" s="15" customFormat="1">
      <c r="A171" s="13"/>
      <c r="G171" s="13"/>
    </row>
    <row r="172" spans="1:7" s="15" customFormat="1">
      <c r="A172" s="13"/>
      <c r="G172" s="13"/>
    </row>
    <row r="173" spans="1:7" s="15" customFormat="1">
      <c r="A173" s="13"/>
      <c r="G173" s="13"/>
    </row>
    <row r="174" spans="1:7" s="15" customFormat="1">
      <c r="A174" s="13"/>
      <c r="G174" s="13"/>
    </row>
    <row r="175" spans="1:7" s="15" customFormat="1">
      <c r="A175" s="13"/>
      <c r="G175" s="13"/>
    </row>
    <row r="176" spans="1:7" s="15" customFormat="1">
      <c r="A176" s="13"/>
      <c r="G176" s="13"/>
    </row>
    <row r="177" spans="1:7" s="15" customFormat="1">
      <c r="A177" s="13"/>
      <c r="G177" s="13"/>
    </row>
    <row r="178" spans="1:7" s="15" customFormat="1">
      <c r="A178" s="13"/>
      <c r="G178" s="13"/>
    </row>
    <row r="179" spans="1:7" s="15" customFormat="1">
      <c r="A179" s="13"/>
      <c r="G179" s="13"/>
    </row>
    <row r="180" spans="1:7" s="15" customFormat="1">
      <c r="A180" s="13"/>
      <c r="G180" s="13"/>
    </row>
    <row r="181" spans="1:7" s="15" customFormat="1">
      <c r="A181" s="13"/>
      <c r="G181" s="13"/>
    </row>
    <row r="182" spans="1:7" s="15" customFormat="1">
      <c r="A182" s="13"/>
      <c r="G182" s="13"/>
    </row>
    <row r="183" spans="1:7" s="15" customFormat="1">
      <c r="A183" s="13"/>
      <c r="G183" s="13"/>
    </row>
    <row r="184" spans="1:7" s="15" customFormat="1">
      <c r="A184" s="13"/>
      <c r="G184" s="13"/>
    </row>
    <row r="185" spans="1:7" s="15" customFormat="1">
      <c r="A185" s="13"/>
      <c r="G185" s="13"/>
    </row>
    <row r="186" spans="1:7" s="15" customFormat="1">
      <c r="A186" s="13"/>
      <c r="G186" s="13"/>
    </row>
    <row r="187" spans="1:7" s="15" customFormat="1">
      <c r="A187" s="13"/>
      <c r="G187" s="13"/>
    </row>
    <row r="188" spans="1:7" s="15" customFormat="1">
      <c r="A188" s="13"/>
      <c r="G188" s="13"/>
    </row>
    <row r="189" spans="1:7" s="15" customFormat="1">
      <c r="A189" s="13"/>
      <c r="G189" s="13"/>
    </row>
    <row r="190" spans="1:7" s="15" customFormat="1">
      <c r="A190" s="13"/>
      <c r="G190" s="13"/>
    </row>
    <row r="191" spans="1:7" s="15" customFormat="1">
      <c r="A191" s="13"/>
      <c r="G191" s="13"/>
    </row>
    <row r="192" spans="1:7" s="15" customFormat="1">
      <c r="A192" s="13"/>
      <c r="G192" s="13"/>
    </row>
    <row r="193" spans="1:7" s="15" customFormat="1">
      <c r="A193" s="13"/>
      <c r="G193" s="13"/>
    </row>
    <row r="194" spans="1:7" s="15" customFormat="1">
      <c r="A194" s="13"/>
      <c r="G194" s="13"/>
    </row>
    <row r="195" spans="1:7" s="15" customFormat="1">
      <c r="A195" s="13"/>
      <c r="G195" s="13"/>
    </row>
    <row r="196" spans="1:7" s="15" customFormat="1">
      <c r="A196" s="13"/>
      <c r="G196" s="13"/>
    </row>
    <row r="197" spans="1:7" s="15" customFormat="1">
      <c r="A197" s="13"/>
      <c r="G197" s="13"/>
    </row>
    <row r="198" spans="1:7" s="15" customFormat="1">
      <c r="A198" s="13"/>
      <c r="G198" s="13"/>
    </row>
    <row r="199" spans="1:7" s="15" customFormat="1">
      <c r="A199" s="13"/>
      <c r="G199" s="13"/>
    </row>
    <row r="200" spans="1:7" s="15" customFormat="1">
      <c r="A200" s="13"/>
      <c r="G200" s="13"/>
    </row>
    <row r="201" spans="1:7" s="15" customFormat="1">
      <c r="A201" s="13"/>
      <c r="G201" s="13"/>
    </row>
    <row r="202" spans="1:7" s="15" customFormat="1">
      <c r="A202" s="13"/>
      <c r="G202" s="13"/>
    </row>
    <row r="203" spans="1:7" s="15" customFormat="1">
      <c r="A203" s="13"/>
      <c r="G203" s="13"/>
    </row>
    <row r="204" spans="1:7" s="15" customFormat="1">
      <c r="A204" s="13"/>
      <c r="G204" s="13"/>
    </row>
    <row r="205" spans="1:7" s="15" customFormat="1">
      <c r="A205" s="13"/>
      <c r="G205" s="13"/>
    </row>
    <row r="206" spans="1:7" s="15" customFormat="1">
      <c r="A206" s="13"/>
      <c r="G206" s="13"/>
    </row>
    <row r="207" spans="1:7" s="15" customFormat="1">
      <c r="A207" s="13"/>
      <c r="G207" s="13"/>
    </row>
    <row r="208" spans="1:7" s="15" customFormat="1">
      <c r="A208" s="13"/>
      <c r="G208" s="13"/>
    </row>
    <row r="209" spans="1:7" s="15" customFormat="1">
      <c r="A209" s="13"/>
      <c r="G209" s="13"/>
    </row>
    <row r="210" spans="1:7" s="15" customFormat="1">
      <c r="A210" s="13"/>
      <c r="G210" s="13"/>
    </row>
    <row r="211" spans="1:7" s="15" customFormat="1">
      <c r="A211" s="13"/>
      <c r="G211" s="13"/>
    </row>
    <row r="212" spans="1:7" s="15" customFormat="1">
      <c r="A212" s="13"/>
      <c r="G212" s="13"/>
    </row>
    <row r="213" spans="1:7" s="15" customFormat="1">
      <c r="A213" s="13"/>
      <c r="G213" s="13"/>
    </row>
    <row r="214" spans="1:7" s="15" customFormat="1">
      <c r="A214" s="13"/>
      <c r="G214" s="13"/>
    </row>
    <row r="215" spans="1:7" s="15" customFormat="1">
      <c r="A215" s="13"/>
      <c r="G215" s="13"/>
    </row>
    <row r="216" spans="1:7" s="15" customFormat="1">
      <c r="A216" s="13"/>
      <c r="G216" s="13"/>
    </row>
    <row r="217" spans="1:7" s="15" customFormat="1">
      <c r="A217" s="13"/>
      <c r="G217" s="13"/>
    </row>
    <row r="218" spans="1:7" s="15" customFormat="1">
      <c r="A218" s="13"/>
      <c r="G218" s="13"/>
    </row>
    <row r="219" spans="1:7" s="15" customFormat="1">
      <c r="A219" s="13"/>
      <c r="G219" s="13"/>
    </row>
    <row r="220" spans="1:7" s="15" customFormat="1">
      <c r="A220" s="13"/>
      <c r="G220" s="13"/>
    </row>
    <row r="221" spans="1:7" s="15" customFormat="1">
      <c r="A221" s="13"/>
      <c r="G221" s="13"/>
    </row>
    <row r="222" spans="1:7" s="15" customFormat="1">
      <c r="A222" s="13"/>
      <c r="G222" s="13"/>
    </row>
    <row r="223" spans="1:7" s="15" customFormat="1">
      <c r="A223" s="13"/>
      <c r="G223" s="13"/>
    </row>
    <row r="224" spans="1:7" s="15" customFormat="1">
      <c r="A224" s="13"/>
      <c r="G224" s="13"/>
    </row>
    <row r="225" spans="1:7" s="15" customFormat="1">
      <c r="A225" s="13"/>
      <c r="G225" s="13"/>
    </row>
    <row r="226" spans="1:7" s="15" customFormat="1">
      <c r="A226" s="13"/>
      <c r="G226" s="13"/>
    </row>
    <row r="227" spans="1:7" s="15" customFormat="1">
      <c r="A227" s="13"/>
      <c r="G227" s="13"/>
    </row>
    <row r="228" spans="1:7" s="15" customFormat="1">
      <c r="A228" s="13"/>
      <c r="G228" s="13"/>
    </row>
    <row r="229" spans="1:7" s="15" customFormat="1">
      <c r="A229" s="13"/>
      <c r="G229" s="13"/>
    </row>
    <row r="230" spans="1:7" s="15" customFormat="1">
      <c r="A230" s="13"/>
      <c r="G230" s="13"/>
    </row>
    <row r="231" spans="1:7" s="15" customFormat="1">
      <c r="A231" s="13"/>
      <c r="G231" s="13"/>
    </row>
    <row r="232" spans="1:7" s="15" customFormat="1">
      <c r="A232" s="13"/>
      <c r="G232" s="13"/>
    </row>
    <row r="233" spans="1:7" s="15" customFormat="1">
      <c r="A233" s="13"/>
      <c r="G233" s="13"/>
    </row>
    <row r="234" spans="1:7" s="15" customFormat="1">
      <c r="A234" s="13"/>
      <c r="G234" s="13"/>
    </row>
    <row r="235" spans="1:7" s="15" customFormat="1">
      <c r="A235" s="13"/>
      <c r="G235" s="13"/>
    </row>
    <row r="236" spans="1:7" s="15" customFormat="1">
      <c r="A236" s="13"/>
      <c r="G236" s="13"/>
    </row>
    <row r="237" spans="1:7" s="15" customFormat="1">
      <c r="A237" s="13"/>
      <c r="G237" s="13"/>
    </row>
    <row r="238" spans="1:7" s="15" customFormat="1">
      <c r="A238" s="13"/>
      <c r="G238" s="13"/>
    </row>
    <row r="239" spans="1:7" s="15" customFormat="1">
      <c r="A239" s="13"/>
      <c r="G239" s="13"/>
    </row>
    <row r="240" spans="1:7" s="15" customFormat="1">
      <c r="A240" s="13"/>
      <c r="G240" s="13"/>
    </row>
    <row r="241" spans="1:7" s="15" customFormat="1">
      <c r="A241" s="13"/>
      <c r="G241" s="13"/>
    </row>
    <row r="242" spans="1:7" s="15" customFormat="1">
      <c r="A242" s="13"/>
      <c r="G242" s="13"/>
    </row>
    <row r="243" spans="1:7" s="15" customFormat="1">
      <c r="A243" s="13"/>
      <c r="G243" s="13"/>
    </row>
    <row r="244" spans="1:7" s="15" customFormat="1">
      <c r="A244" s="13"/>
      <c r="G244" s="13"/>
    </row>
    <row r="245" spans="1:7" s="15" customFormat="1">
      <c r="A245" s="13"/>
      <c r="G245" s="13"/>
    </row>
    <row r="246" spans="1:7" s="15" customFormat="1">
      <c r="A246" s="13"/>
      <c r="G246" s="13"/>
    </row>
    <row r="247" spans="1:7" s="15" customFormat="1">
      <c r="A247" s="13"/>
      <c r="G247" s="13"/>
    </row>
    <row r="248" spans="1:7" s="15" customFormat="1">
      <c r="A248" s="13"/>
      <c r="G248" s="13"/>
    </row>
    <row r="249" spans="1:7" s="15" customFormat="1">
      <c r="A249" s="13"/>
      <c r="G249" s="13"/>
    </row>
    <row r="250" spans="1:7" s="15" customFormat="1">
      <c r="A250" s="13"/>
      <c r="G250" s="13"/>
    </row>
    <row r="251" spans="1:7" s="15" customFormat="1">
      <c r="A251" s="13"/>
      <c r="G251" s="13"/>
    </row>
    <row r="252" spans="1:7" s="15" customFormat="1">
      <c r="A252" s="13"/>
      <c r="G252" s="13"/>
    </row>
    <row r="253" spans="1:7" s="15" customFormat="1">
      <c r="A253" s="13"/>
      <c r="G253" s="13"/>
    </row>
    <row r="254" spans="1:7" s="15" customFormat="1">
      <c r="A254" s="13"/>
      <c r="G254" s="13"/>
    </row>
    <row r="255" spans="1:7" s="15" customFormat="1">
      <c r="A255" s="13"/>
      <c r="G255" s="13"/>
    </row>
    <row r="256" spans="1:7" s="15" customFormat="1">
      <c r="A256" s="13"/>
      <c r="G256" s="13"/>
    </row>
    <row r="257" spans="1:7" s="15" customFormat="1">
      <c r="A257" s="13"/>
      <c r="G257" s="13"/>
    </row>
    <row r="258" spans="1:7" s="15" customFormat="1">
      <c r="A258" s="13"/>
      <c r="G258" s="13"/>
    </row>
    <row r="259" spans="1:7" s="15" customFormat="1">
      <c r="A259" s="13"/>
      <c r="G259" s="13"/>
    </row>
    <row r="260" spans="1:7" s="15" customFormat="1">
      <c r="A260" s="13"/>
      <c r="G260" s="13"/>
    </row>
    <row r="261" spans="1:7" s="15" customFormat="1">
      <c r="A261" s="13"/>
      <c r="G261" s="13"/>
    </row>
    <row r="262" spans="1:7" s="15" customFormat="1">
      <c r="A262" s="13"/>
      <c r="G262" s="13"/>
    </row>
    <row r="263" spans="1:7" s="15" customFormat="1">
      <c r="A263" s="13"/>
      <c r="G263" s="13"/>
    </row>
    <row r="264" spans="1:7" s="15" customFormat="1">
      <c r="A264" s="13"/>
      <c r="G264" s="13"/>
    </row>
    <row r="265" spans="1:7" s="15" customFormat="1">
      <c r="A265" s="13"/>
      <c r="G265" s="13"/>
    </row>
    <row r="266" spans="1:7" s="15" customFormat="1">
      <c r="A266" s="13"/>
      <c r="G266" s="13"/>
    </row>
    <row r="267" spans="1:7" s="15" customFormat="1">
      <c r="A267" s="13"/>
      <c r="G267" s="13"/>
    </row>
    <row r="268" spans="1:7" s="15" customFormat="1">
      <c r="A268" s="13"/>
      <c r="G268" s="13"/>
    </row>
    <row r="269" spans="1:7" s="15" customFormat="1">
      <c r="A269" s="13"/>
      <c r="G269" s="13"/>
    </row>
    <row r="270" spans="1:7" s="15" customFormat="1">
      <c r="A270" s="13"/>
      <c r="G270" s="13"/>
    </row>
    <row r="271" spans="1:7" s="15" customFormat="1">
      <c r="A271" s="13"/>
      <c r="G271" s="13"/>
    </row>
    <row r="272" spans="1:7" s="15" customFormat="1">
      <c r="A272" s="13"/>
      <c r="G272" s="13"/>
    </row>
    <row r="273" spans="1:7" s="15" customFormat="1">
      <c r="A273" s="13"/>
      <c r="G273" s="13"/>
    </row>
    <row r="274" spans="1:7" s="15" customFormat="1">
      <c r="A274" s="13"/>
      <c r="G274" s="13"/>
    </row>
    <row r="275" spans="1:7" s="15" customFormat="1">
      <c r="A275" s="13"/>
      <c r="G275" s="13"/>
    </row>
    <row r="276" spans="1:7" s="15" customFormat="1">
      <c r="A276" s="13"/>
      <c r="G276" s="13"/>
    </row>
    <row r="277" spans="1:7" s="15" customFormat="1">
      <c r="A277" s="13"/>
      <c r="G277" s="13"/>
    </row>
    <row r="278" spans="1:7" s="15" customFormat="1">
      <c r="A278" s="13"/>
      <c r="G278" s="13"/>
    </row>
    <row r="279" spans="1:7" s="15" customFormat="1">
      <c r="A279" s="13"/>
      <c r="G279" s="13"/>
    </row>
    <row r="280" spans="1:7" s="15" customFormat="1">
      <c r="A280" s="13"/>
      <c r="G280" s="13"/>
    </row>
    <row r="281" spans="1:7" s="15" customFormat="1">
      <c r="A281" s="13"/>
      <c r="G281" s="13"/>
    </row>
    <row r="282" spans="1:7" s="15" customFormat="1">
      <c r="A282" s="13"/>
      <c r="G282" s="13"/>
    </row>
    <row r="283" spans="1:7" s="15" customFormat="1">
      <c r="A283" s="13"/>
      <c r="G283" s="13"/>
    </row>
    <row r="284" spans="1:7" s="15" customFormat="1">
      <c r="A284" s="13"/>
      <c r="G284" s="13"/>
    </row>
    <row r="285" spans="1:7" s="15" customFormat="1">
      <c r="A285" s="13"/>
      <c r="G285" s="13"/>
    </row>
    <row r="286" spans="1:7" s="15" customFormat="1">
      <c r="A286" s="13"/>
      <c r="G286" s="13"/>
    </row>
    <row r="287" spans="1:7" s="15" customFormat="1">
      <c r="A287" s="13"/>
      <c r="G287" s="13"/>
    </row>
    <row r="288" spans="1:7" s="15" customFormat="1">
      <c r="A288" s="13"/>
      <c r="G288" s="13"/>
    </row>
    <row r="289" spans="1:7" s="15" customFormat="1">
      <c r="A289" s="13"/>
      <c r="G289" s="13"/>
    </row>
    <row r="290" spans="1:7" s="15" customFormat="1">
      <c r="A290" s="13"/>
      <c r="G290" s="13"/>
    </row>
    <row r="291" spans="1:7" s="15" customFormat="1">
      <c r="A291" s="13"/>
      <c r="G291" s="13"/>
    </row>
    <row r="292" spans="1:7" s="15" customFormat="1">
      <c r="A292" s="13"/>
      <c r="G292" s="13"/>
    </row>
    <row r="293" spans="1:7" s="15" customFormat="1">
      <c r="A293" s="13"/>
      <c r="G293" s="13"/>
    </row>
    <row r="294" spans="1:7" s="15" customFormat="1">
      <c r="A294" s="13"/>
      <c r="G294" s="13"/>
    </row>
    <row r="295" spans="1:7" s="15" customFormat="1">
      <c r="A295" s="13"/>
      <c r="G295" s="13"/>
    </row>
    <row r="296" spans="1:7" s="15" customFormat="1">
      <c r="A296" s="13"/>
      <c r="G296" s="13"/>
    </row>
    <row r="297" spans="1:7" s="15" customFormat="1">
      <c r="A297" s="13"/>
      <c r="G297" s="13"/>
    </row>
    <row r="298" spans="1:7" s="15" customFormat="1">
      <c r="A298" s="13"/>
      <c r="G298" s="13"/>
    </row>
    <row r="299" spans="1:7" s="15" customFormat="1">
      <c r="A299" s="13"/>
      <c r="G299" s="13"/>
    </row>
    <row r="300" spans="1:7" s="15" customFormat="1">
      <c r="A300" s="13"/>
      <c r="G300" s="13"/>
    </row>
    <row r="301" spans="1:7" s="15" customFormat="1">
      <c r="A301" s="13"/>
      <c r="G301" s="13"/>
    </row>
    <row r="302" spans="1:7" s="15" customFormat="1">
      <c r="A302" s="13"/>
      <c r="G302" s="13"/>
    </row>
    <row r="303" spans="1:7" s="15" customFormat="1">
      <c r="A303" s="13"/>
      <c r="G303" s="13"/>
    </row>
    <row r="304" spans="1:7" s="15" customFormat="1">
      <c r="A304" s="13"/>
      <c r="G304" s="13"/>
    </row>
    <row r="305" spans="1:7" s="15" customFormat="1">
      <c r="A305" s="13"/>
      <c r="G305" s="13"/>
    </row>
    <row r="306" spans="1:7" s="15" customFormat="1">
      <c r="A306" s="13"/>
      <c r="G306" s="13"/>
    </row>
    <row r="307" spans="1:7" s="15" customFormat="1">
      <c r="A307" s="13"/>
      <c r="G307" s="13"/>
    </row>
    <row r="308" spans="1:7" s="15" customFormat="1">
      <c r="A308" s="13"/>
      <c r="G308" s="13"/>
    </row>
    <row r="309" spans="1:7" s="15" customFormat="1">
      <c r="A309" s="13"/>
      <c r="G309" s="13"/>
    </row>
    <row r="310" spans="1:7" s="15" customFormat="1">
      <c r="A310" s="13"/>
      <c r="G310" s="13"/>
    </row>
    <row r="311" spans="1:7" s="15" customFormat="1">
      <c r="A311" s="13"/>
      <c r="G311" s="13"/>
    </row>
    <row r="312" spans="1:7" s="15" customFormat="1">
      <c r="A312" s="13"/>
      <c r="G312" s="13"/>
    </row>
    <row r="313" spans="1:7" s="15" customFormat="1">
      <c r="A313" s="13"/>
      <c r="G313" s="13"/>
    </row>
    <row r="314" spans="1:7" s="15" customFormat="1">
      <c r="A314" s="13"/>
      <c r="G314" s="13"/>
    </row>
    <row r="315" spans="1:7" s="15" customFormat="1">
      <c r="A315" s="13"/>
      <c r="G315" s="13"/>
    </row>
    <row r="316" spans="1:7" s="15" customFormat="1">
      <c r="A316" s="13"/>
      <c r="G316" s="13"/>
    </row>
    <row r="317" spans="1:7" s="15" customFormat="1">
      <c r="A317" s="13"/>
      <c r="G317" s="13"/>
    </row>
    <row r="318" spans="1:7" s="15" customFormat="1">
      <c r="A318" s="13"/>
      <c r="G318" s="13"/>
    </row>
    <row r="319" spans="1:7" s="15" customFormat="1">
      <c r="A319" s="13"/>
      <c r="G319" s="13"/>
    </row>
    <row r="320" spans="1:7" s="15" customFormat="1">
      <c r="A320" s="13"/>
      <c r="G320" s="13"/>
    </row>
    <row r="321" spans="1:7" s="15" customFormat="1">
      <c r="A321" s="13"/>
      <c r="G321" s="13"/>
    </row>
    <row r="322" spans="1:7" s="15" customFormat="1">
      <c r="A322" s="13"/>
      <c r="G322" s="13"/>
    </row>
    <row r="323" spans="1:7" s="15" customFormat="1">
      <c r="A323" s="13"/>
      <c r="G323" s="13"/>
    </row>
    <row r="324" spans="1:7" s="15" customFormat="1">
      <c r="A324" s="13"/>
      <c r="G324" s="13"/>
    </row>
    <row r="325" spans="1:7" s="15" customFormat="1">
      <c r="A325" s="13"/>
      <c r="G325" s="13"/>
    </row>
    <row r="326" spans="1:7" s="15" customFormat="1">
      <c r="A326" s="13"/>
      <c r="G326" s="13"/>
    </row>
    <row r="327" spans="1:7" s="15" customFormat="1">
      <c r="A327" s="13"/>
      <c r="G327" s="13"/>
    </row>
    <row r="328" spans="1:7" s="15" customFormat="1">
      <c r="A328" s="13"/>
      <c r="G328" s="13"/>
    </row>
    <row r="329" spans="1:7" s="15" customFormat="1">
      <c r="A329" s="13"/>
      <c r="G329" s="13"/>
    </row>
    <row r="330" spans="1:7" s="15" customFormat="1">
      <c r="A330" s="13"/>
      <c r="G330" s="13"/>
    </row>
    <row r="331" spans="1:7" s="15" customFormat="1">
      <c r="A331" s="13"/>
      <c r="G331" s="13"/>
    </row>
    <row r="332" spans="1:7" s="15" customFormat="1">
      <c r="A332" s="13"/>
      <c r="G332" s="13"/>
    </row>
    <row r="333" spans="1:7" s="15" customFormat="1">
      <c r="A333" s="13"/>
      <c r="G333" s="13"/>
    </row>
    <row r="334" spans="1:7" s="15" customFormat="1">
      <c r="A334" s="13"/>
      <c r="G334" s="13"/>
    </row>
    <row r="335" spans="1:7" s="15" customFormat="1">
      <c r="A335" s="13"/>
      <c r="G335" s="13"/>
    </row>
    <row r="336" spans="1:7" s="15" customFormat="1">
      <c r="A336" s="13"/>
      <c r="G336" s="13"/>
    </row>
    <row r="337" spans="1:7" s="15" customFormat="1">
      <c r="A337" s="13"/>
      <c r="G337" s="13"/>
    </row>
    <row r="338" spans="1:7" s="15" customFormat="1">
      <c r="A338" s="13"/>
      <c r="G338" s="13"/>
    </row>
    <row r="339" spans="1:7" s="15" customFormat="1">
      <c r="A339" s="13"/>
      <c r="G339" s="13"/>
    </row>
    <row r="340" spans="1:7" s="15" customFormat="1">
      <c r="A340" s="13"/>
      <c r="G340" s="13"/>
    </row>
    <row r="341" spans="1:7" s="15" customFormat="1">
      <c r="A341" s="13"/>
      <c r="G341" s="13"/>
    </row>
    <row r="342" spans="1:7" s="15" customFormat="1">
      <c r="A342" s="13"/>
      <c r="G342" s="13"/>
    </row>
    <row r="343" spans="1:7" s="15" customFormat="1">
      <c r="A343" s="13"/>
      <c r="G343" s="13"/>
    </row>
    <row r="344" spans="1:7" s="15" customFormat="1">
      <c r="A344" s="13"/>
      <c r="G344" s="13"/>
    </row>
    <row r="345" spans="1:7" s="15" customFormat="1">
      <c r="A345" s="13"/>
      <c r="G345" s="13"/>
    </row>
    <row r="346" spans="1:7" s="15" customFormat="1">
      <c r="A346" s="13"/>
      <c r="G346" s="13"/>
    </row>
    <row r="347" spans="1:7" s="15" customFormat="1">
      <c r="A347" s="13"/>
      <c r="G347" s="13"/>
    </row>
    <row r="348" spans="1:7" s="15" customFormat="1">
      <c r="A348" s="13"/>
      <c r="G348" s="13"/>
    </row>
    <row r="349" spans="1:7" s="15" customFormat="1">
      <c r="A349" s="13"/>
      <c r="G349" s="13"/>
    </row>
    <row r="350" spans="1:7" s="15" customFormat="1">
      <c r="A350" s="13"/>
      <c r="G350" s="13"/>
    </row>
    <row r="351" spans="1:7" s="15" customFormat="1">
      <c r="A351" s="13"/>
      <c r="G351" s="13"/>
    </row>
    <row r="352" spans="1:7" s="15" customFormat="1">
      <c r="A352" s="13"/>
      <c r="G352" s="13"/>
    </row>
    <row r="353" spans="1:7" s="15" customFormat="1">
      <c r="A353" s="13"/>
      <c r="G353" s="13"/>
    </row>
    <row r="354" spans="1:7" s="15" customFormat="1">
      <c r="A354" s="13"/>
      <c r="G354" s="13"/>
    </row>
    <row r="355" spans="1:7" s="15" customFormat="1">
      <c r="A355" s="13"/>
      <c r="G355" s="13"/>
    </row>
    <row r="356" spans="1:7" s="15" customFormat="1">
      <c r="A356" s="13"/>
      <c r="G356" s="13"/>
    </row>
    <row r="357" spans="1:7" s="15" customFormat="1">
      <c r="A357" s="13"/>
      <c r="G357" s="13"/>
    </row>
    <row r="358" spans="1:7" s="15" customFormat="1">
      <c r="A358" s="13"/>
      <c r="G358" s="13"/>
    </row>
    <row r="359" spans="1:7" s="15" customFormat="1">
      <c r="A359" s="13"/>
      <c r="G359" s="13"/>
    </row>
    <row r="360" spans="1:7" s="15" customFormat="1">
      <c r="A360" s="13"/>
      <c r="G360" s="13"/>
    </row>
    <row r="361" spans="1:7" s="15" customFormat="1">
      <c r="A361" s="13"/>
      <c r="G361" s="13"/>
    </row>
    <row r="362" spans="1:7" s="15" customFormat="1">
      <c r="A362" s="13"/>
      <c r="G362" s="13"/>
    </row>
    <row r="363" spans="1:7" s="15" customFormat="1">
      <c r="A363" s="13"/>
      <c r="G363" s="13"/>
    </row>
    <row r="364" spans="1:7" s="15" customFormat="1">
      <c r="A364" s="13"/>
      <c r="G364" s="13"/>
    </row>
    <row r="365" spans="1:7" s="15" customFormat="1">
      <c r="A365" s="13"/>
      <c r="G365" s="13"/>
    </row>
    <row r="366" spans="1:7" s="15" customFormat="1">
      <c r="A366" s="13"/>
      <c r="G366" s="13"/>
    </row>
    <row r="367" spans="1:7" s="15" customFormat="1">
      <c r="A367" s="13"/>
      <c r="G367" s="13"/>
    </row>
    <row r="368" spans="1:7" s="15" customFormat="1">
      <c r="A368" s="13"/>
      <c r="G368" s="13"/>
    </row>
    <row r="369" spans="1:7" s="15" customFormat="1">
      <c r="A369" s="13"/>
      <c r="G369" s="13"/>
    </row>
    <row r="370" spans="1:7" s="15" customFormat="1">
      <c r="A370" s="13"/>
      <c r="G370" s="13"/>
    </row>
    <row r="371" spans="1:7" s="15" customFormat="1">
      <c r="A371" s="13"/>
      <c r="G371" s="13"/>
    </row>
    <row r="372" spans="1:7" s="15" customFormat="1">
      <c r="A372" s="13"/>
      <c r="G372" s="13"/>
    </row>
    <row r="373" spans="1:7" s="15" customFormat="1">
      <c r="A373" s="13"/>
      <c r="G373" s="13"/>
    </row>
    <row r="374" spans="1:7" s="15" customFormat="1">
      <c r="A374" s="13"/>
      <c r="G374" s="13"/>
    </row>
    <row r="375" spans="1:7" s="15" customFormat="1">
      <c r="A375" s="13"/>
      <c r="G375" s="13"/>
    </row>
    <row r="376" spans="1:7" s="15" customFormat="1">
      <c r="A376" s="13"/>
      <c r="G376" s="13"/>
    </row>
    <row r="377" spans="1:7" s="15" customFormat="1">
      <c r="A377" s="13"/>
      <c r="G377" s="13"/>
    </row>
    <row r="378" spans="1:7" s="15" customFormat="1">
      <c r="A378" s="13"/>
      <c r="G378" s="13"/>
    </row>
    <row r="379" spans="1:7" s="15" customFormat="1">
      <c r="A379" s="13"/>
      <c r="G379" s="13"/>
    </row>
    <row r="380" spans="1:7" s="15" customFormat="1">
      <c r="A380" s="13"/>
      <c r="G380" s="13"/>
    </row>
    <row r="381" spans="1:7" s="15" customFormat="1">
      <c r="A381" s="13"/>
      <c r="G381" s="13"/>
    </row>
    <row r="382" spans="1:7" s="15" customFormat="1">
      <c r="A382" s="13"/>
      <c r="G382" s="13"/>
    </row>
    <row r="383" spans="1:7" s="15" customFormat="1">
      <c r="A383" s="13"/>
      <c r="G383" s="13"/>
    </row>
    <row r="384" spans="1:7" s="15" customFormat="1">
      <c r="A384" s="13"/>
      <c r="G384" s="13"/>
    </row>
    <row r="385" spans="1:7" s="15" customFormat="1">
      <c r="A385" s="13"/>
      <c r="G385" s="13"/>
    </row>
    <row r="386" spans="1:7" s="15" customFormat="1">
      <c r="A386" s="13"/>
      <c r="G386" s="13"/>
    </row>
    <row r="387" spans="1:7" s="15" customFormat="1">
      <c r="A387" s="13"/>
      <c r="G387" s="13"/>
    </row>
    <row r="388" spans="1:7" s="15" customFormat="1">
      <c r="A388" s="13"/>
      <c r="G388" s="13"/>
    </row>
  </sheetData>
  <mergeCells count="30">
    <mergeCell ref="G63:J67"/>
    <mergeCell ref="G62:J62"/>
    <mergeCell ref="G39:H39"/>
    <mergeCell ref="B8:F8"/>
    <mergeCell ref="D9:E9"/>
    <mergeCell ref="D14:E14"/>
    <mergeCell ref="D15:E15"/>
    <mergeCell ref="E26:F26"/>
    <mergeCell ref="E25:F25"/>
    <mergeCell ref="G56:I57"/>
    <mergeCell ref="G58:I59"/>
    <mergeCell ref="J58:J59"/>
    <mergeCell ref="B36:C36"/>
    <mergeCell ref="B17:B19"/>
    <mergeCell ref="E27:F27"/>
    <mergeCell ref="E29:F29"/>
    <mergeCell ref="D6:E6"/>
    <mergeCell ref="D11:E11"/>
    <mergeCell ref="C10:F10"/>
    <mergeCell ref="D12:E12"/>
    <mergeCell ref="E23:F23"/>
    <mergeCell ref="C17:F19"/>
    <mergeCell ref="E30:F30"/>
    <mergeCell ref="E31:F31"/>
    <mergeCell ref="G40:H40"/>
    <mergeCell ref="G41:H41"/>
    <mergeCell ref="G36:H36"/>
    <mergeCell ref="G35:H35"/>
    <mergeCell ref="G37:H37"/>
    <mergeCell ref="G38:H38"/>
  </mergeCells>
  <conditionalFormatting sqref="F70:K70">
    <cfRule type="expression" dxfId="7" priority="3">
      <formula>$E$70&lt;80%</formula>
    </cfRule>
  </conditionalFormatting>
  <conditionalFormatting sqref="F72:K72">
    <cfRule type="expression" dxfId="6" priority="2">
      <formula>$E$72&gt;=1.15</formula>
    </cfRule>
  </conditionalFormatting>
  <conditionalFormatting sqref="F73:K73">
    <cfRule type="expression" dxfId="5" priority="1">
      <formula>$D$73&gt;=5%</formula>
    </cfRule>
  </conditionalFormatting>
  <conditionalFormatting sqref="H31:M31">
    <cfRule type="expression" dxfId="4" priority="4">
      <formula>$E$31&lt;=36</formula>
    </cfRule>
  </conditionalFormatting>
  <dataValidations count="2">
    <dataValidation type="list" allowBlank="1" showInputMessage="1" showErrorMessage="1" sqref="G9" xr:uid="{0347C0E8-7A79-4C93-92BC-2A06D0241D77}">
      <formula1>"4%, 9%"</formula1>
    </dataValidation>
    <dataValidation type="list" allowBlank="1" showInputMessage="1" showErrorMessage="1" sqref="F11" xr:uid="{01E92408-F439-45DA-839F-3AF6DE12C38E}">
      <formula1>OppResArea</formula1>
    </dataValidation>
  </dataValidations>
  <hyperlinks>
    <hyperlink ref="G11" r:id="rId1" xr:uid="{A3FB6376-A1A7-4B4C-B5FA-01E718A59F13}"/>
  </hyperlinks>
  <pageMargins left="0.25" right="0.25" top="0.75" bottom="0.75" header="0.3" footer="0.3"/>
  <pageSetup scale="77" orientation="portrait" horizontalDpi="1200" verticalDpi="1200"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Z511"/>
  <sheetViews>
    <sheetView showGridLines="0" zoomScale="120" zoomScaleNormal="90" workbookViewId="0">
      <pane ySplit="10" topLeftCell="A67" activePane="bottomLeft" state="frozen"/>
      <selection pane="bottomLeft" activeCell="F60" sqref="F60"/>
    </sheetView>
  </sheetViews>
  <sheetFormatPr baseColWidth="10" defaultColWidth="8.5" defaultRowHeight="14"/>
  <cols>
    <col min="1" max="1" width="8.5" style="13"/>
    <col min="2" max="2" width="9.5" style="13" customWidth="1"/>
    <col min="3" max="3" width="11" style="13" bestFit="1" customWidth="1"/>
    <col min="4" max="4" width="21.1640625" style="13" customWidth="1"/>
    <col min="5" max="5" width="11.5" style="13" customWidth="1"/>
    <col min="6" max="6" width="12.5" style="13" bestFit="1" customWidth="1"/>
    <col min="7" max="7" width="11.5" style="13" customWidth="1"/>
    <col min="8" max="8" width="14.5" style="13" customWidth="1"/>
    <col min="9" max="9" width="17.5" style="13" bestFit="1" customWidth="1"/>
    <col min="10" max="10" width="23.83203125" style="13" customWidth="1"/>
    <col min="11" max="11" width="12.5" style="13" bestFit="1" customWidth="1"/>
    <col min="12" max="12" width="5.1640625" style="13" customWidth="1"/>
    <col min="13" max="14" width="8.5" style="13"/>
    <col min="15" max="15" width="12.5" style="13" customWidth="1"/>
    <col min="16" max="16" width="11.5" style="13" customWidth="1"/>
    <col min="17" max="17" width="7.5" style="13" customWidth="1"/>
    <col min="18" max="18" width="8.5" style="13"/>
    <col min="19" max="78" width="8.5" style="15"/>
    <col min="79" max="16384" width="8.5" style="13"/>
  </cols>
  <sheetData>
    <row r="2" spans="2:20" ht="19">
      <c r="B2" s="372" t="s">
        <v>102</v>
      </c>
      <c r="C2" s="47"/>
      <c r="D2" s="47"/>
      <c r="E2" s="59"/>
      <c r="F2" s="15"/>
      <c r="G2" s="15"/>
      <c r="H2" s="15"/>
      <c r="I2" s="15"/>
      <c r="J2" s="15"/>
      <c r="K2" s="15"/>
      <c r="L2" s="15"/>
      <c r="M2" s="15"/>
      <c r="N2" s="15"/>
      <c r="O2" s="15"/>
      <c r="P2" s="346"/>
      <c r="S2" s="13"/>
      <c r="T2" s="13"/>
    </row>
    <row r="3" spans="2:20">
      <c r="B3" s="165" t="s">
        <v>20</v>
      </c>
      <c r="C3" s="15"/>
      <c r="D3" s="339" t="str">
        <f>'Table of Contents'!B2</f>
        <v xml:space="preserve">Broadleaf Flats </v>
      </c>
      <c r="E3" s="20"/>
      <c r="F3" s="15"/>
      <c r="G3" s="15"/>
      <c r="H3" s="15"/>
      <c r="I3" s="15"/>
      <c r="J3" s="15"/>
      <c r="K3" s="15"/>
      <c r="L3" s="15"/>
      <c r="M3" s="15"/>
      <c r="N3" s="15"/>
      <c r="O3" s="15"/>
      <c r="P3" s="14"/>
      <c r="R3" s="339"/>
      <c r="S3" s="13"/>
      <c r="T3" s="13"/>
    </row>
    <row r="4" spans="2:20">
      <c r="B4" s="165" t="s">
        <v>2</v>
      </c>
      <c r="C4" s="15"/>
      <c r="D4" s="339" t="str">
        <f>'Table of Contents'!C4</f>
        <v>Cal Poly SLO - Driftwood Propery Development</v>
      </c>
      <c r="E4" s="20"/>
      <c r="F4" s="15"/>
      <c r="G4" s="15"/>
      <c r="H4" s="15"/>
      <c r="I4" s="15"/>
      <c r="J4" s="15"/>
      <c r="K4" s="15"/>
      <c r="L4" s="15"/>
      <c r="M4" s="15"/>
      <c r="N4" s="15"/>
      <c r="O4" s="15"/>
      <c r="P4" s="14"/>
      <c r="R4" s="339"/>
      <c r="S4" s="13"/>
      <c r="T4" s="13"/>
    </row>
    <row r="5" spans="2:20">
      <c r="B5" s="165" t="s">
        <v>21</v>
      </c>
      <c r="C5" s="15"/>
      <c r="D5" s="595">
        <f>'Table of Contents'!C6</f>
        <v>45726</v>
      </c>
      <c r="E5" s="20"/>
      <c r="F5" s="15"/>
      <c r="G5" s="15"/>
      <c r="H5" s="15"/>
      <c r="I5" s="15"/>
      <c r="J5" s="15"/>
      <c r="K5" s="15"/>
      <c r="L5" s="15"/>
      <c r="M5" s="15"/>
      <c r="N5" s="15"/>
      <c r="O5" s="15"/>
      <c r="P5" s="14"/>
      <c r="R5" s="340"/>
      <c r="S5" s="13"/>
      <c r="T5" s="13"/>
    </row>
    <row r="6" spans="2:20">
      <c r="B6" s="344" t="s">
        <v>22</v>
      </c>
      <c r="C6" s="342"/>
      <c r="D6" s="830" t="s">
        <v>103</v>
      </c>
      <c r="E6" s="831"/>
      <c r="F6" s="15"/>
      <c r="G6" s="15"/>
      <c r="H6" s="15"/>
      <c r="I6" s="15"/>
      <c r="J6" s="15"/>
      <c r="K6" s="15"/>
      <c r="L6" s="15"/>
      <c r="M6" s="15"/>
      <c r="N6" s="15"/>
      <c r="O6" s="15"/>
      <c r="P6" s="14"/>
      <c r="R6" s="347"/>
      <c r="S6" s="13"/>
      <c r="T6" s="13"/>
    </row>
    <row r="7" spans="2:20">
      <c r="B7" s="345"/>
      <c r="C7" s="342"/>
      <c r="D7" s="343"/>
      <c r="E7" s="342"/>
      <c r="F7" s="15"/>
      <c r="G7" s="15"/>
      <c r="H7" s="15"/>
      <c r="I7" s="15"/>
      <c r="J7" s="15"/>
      <c r="K7" s="15"/>
      <c r="L7" s="15"/>
      <c r="M7" s="15"/>
      <c r="N7" s="15"/>
      <c r="O7" s="15"/>
      <c r="P7" s="14"/>
      <c r="R7" s="347"/>
      <c r="S7" s="13"/>
      <c r="T7" s="13"/>
    </row>
    <row r="8" spans="2:20">
      <c r="B8" s="157" t="s">
        <v>104</v>
      </c>
      <c r="C8" s="47"/>
      <c r="D8" s="47"/>
      <c r="E8" s="47"/>
      <c r="F8" s="47"/>
      <c r="G8" s="47"/>
      <c r="H8" s="47"/>
      <c r="I8" s="59"/>
      <c r="J8" s="15"/>
      <c r="K8" s="15"/>
      <c r="L8" s="15"/>
      <c r="M8" s="15"/>
      <c r="N8" s="15"/>
      <c r="O8" s="15"/>
      <c r="P8" s="15"/>
      <c r="Q8" s="15"/>
      <c r="R8" s="15"/>
    </row>
    <row r="9" spans="2:20" ht="23.5" customHeight="1">
      <c r="B9" s="1" t="s">
        <v>105</v>
      </c>
      <c r="C9" s="1" t="s">
        <v>105</v>
      </c>
      <c r="D9" s="772" t="s">
        <v>106</v>
      </c>
      <c r="E9" s="773"/>
      <c r="F9" s="2" t="s">
        <v>107</v>
      </c>
      <c r="G9" s="2" t="s">
        <v>108</v>
      </c>
      <c r="H9" s="2" t="s">
        <v>109</v>
      </c>
      <c r="I9" s="3" t="s">
        <v>110</v>
      </c>
      <c r="J9" s="15"/>
      <c r="K9" s="15"/>
      <c r="L9" s="15"/>
      <c r="M9" s="15"/>
      <c r="N9" s="15"/>
      <c r="O9" s="15"/>
      <c r="P9" s="15"/>
      <c r="Q9" s="15"/>
      <c r="R9" s="15"/>
    </row>
    <row r="10" spans="2:20">
      <c r="B10" s="4" t="s">
        <v>111</v>
      </c>
      <c r="C10" s="4" t="s">
        <v>112</v>
      </c>
      <c r="D10" s="774"/>
      <c r="E10" s="775"/>
      <c r="F10" s="5"/>
      <c r="G10" s="5"/>
      <c r="H10" s="209" t="s">
        <v>113</v>
      </c>
      <c r="I10" s="6" t="s">
        <v>114</v>
      </c>
      <c r="J10" s="15"/>
      <c r="K10" s="15"/>
      <c r="L10" s="15"/>
      <c r="M10" s="15"/>
      <c r="N10" s="15"/>
      <c r="O10" s="15"/>
      <c r="P10" s="15"/>
      <c r="Q10" s="15"/>
      <c r="R10" s="15"/>
    </row>
    <row r="11" spans="2:20">
      <c r="B11" s="7"/>
      <c r="C11" s="7"/>
      <c r="D11" s="776" t="s">
        <v>115</v>
      </c>
      <c r="E11" s="777"/>
      <c r="F11" s="8"/>
      <c r="G11" s="8"/>
      <c r="H11" s="9"/>
      <c r="I11" s="10" t="s">
        <v>116</v>
      </c>
      <c r="J11" s="15"/>
      <c r="K11" s="15"/>
      <c r="L11" s="15"/>
      <c r="M11" s="15"/>
      <c r="N11" s="15"/>
      <c r="O11" s="15"/>
      <c r="P11" s="15"/>
      <c r="Q11" s="15"/>
      <c r="R11" s="15"/>
    </row>
    <row r="12" spans="2:20">
      <c r="B12" s="108">
        <f>IF(F12=0,"",F12/Rents!$H$40)</f>
        <v>36.031138975966563</v>
      </c>
      <c r="C12" s="109">
        <f>IF(F12=0,"",F12/Rents!$G$40)</f>
        <v>22987.866666666665</v>
      </c>
      <c r="D12" s="778" t="s">
        <v>117</v>
      </c>
      <c r="E12" s="779"/>
      <c r="F12" s="184">
        <v>1724090</v>
      </c>
      <c r="G12" s="621"/>
      <c r="H12" s="185"/>
      <c r="I12" s="32">
        <f>IF(F12-H12&lt;0,ERROR,F12-H12)</f>
        <v>1724090</v>
      </c>
      <c r="J12" s="15"/>
      <c r="K12" s="15"/>
      <c r="L12" s="15"/>
      <c r="M12" s="15"/>
      <c r="N12" s="15"/>
      <c r="O12" s="15"/>
      <c r="P12" s="15"/>
      <c r="Q12" s="15"/>
      <c r="R12" s="15"/>
    </row>
    <row r="13" spans="2:20">
      <c r="B13" s="104" t="str">
        <f>IF(F13=0,"",F13/Rents!$H$40)</f>
        <v/>
      </c>
      <c r="C13" s="105" t="str">
        <f>IF(F13=0,"",F13/Rents!$G$40)</f>
        <v/>
      </c>
      <c r="D13" s="780" t="s">
        <v>118</v>
      </c>
      <c r="E13" s="781"/>
      <c r="F13" s="182"/>
      <c r="G13" s="186"/>
      <c r="H13" s="186"/>
      <c r="I13" s="33">
        <f>IF(F13-H13&lt;0,ERROR,F13-H13)</f>
        <v>0</v>
      </c>
      <c r="J13" s="15"/>
      <c r="K13" s="15"/>
      <c r="L13" s="15"/>
      <c r="M13" s="15"/>
      <c r="N13" s="15"/>
      <c r="O13" s="15"/>
      <c r="P13" s="15"/>
      <c r="Q13" s="15"/>
      <c r="R13" s="15"/>
    </row>
    <row r="14" spans="2:20" ht="18.75" customHeight="1">
      <c r="B14" s="104">
        <f>IF(F14=0,"",F14/Rents!$H$40)</f>
        <v>1.5205140647857889</v>
      </c>
      <c r="C14" s="105">
        <f>IF(F14=0,"",F14/Rents!$G$40)</f>
        <v>970.08797333333325</v>
      </c>
      <c r="D14" s="766" t="s">
        <v>119</v>
      </c>
      <c r="E14" s="767"/>
      <c r="F14" s="182">
        <f>F12*0.0422</f>
        <v>72756.597999999998</v>
      </c>
      <c r="G14" s="186"/>
      <c r="H14" s="186"/>
      <c r="I14" s="33">
        <f>IF(F14-H14&lt;0,ERROR,F14-H14)</f>
        <v>72756.597999999998</v>
      </c>
      <c r="J14" s="15"/>
      <c r="K14" s="648"/>
      <c r="L14" s="15"/>
      <c r="M14" s="15"/>
      <c r="N14" s="15"/>
      <c r="O14" s="15"/>
      <c r="P14" s="15"/>
      <c r="Q14" s="15"/>
      <c r="R14" s="15"/>
    </row>
    <row r="15" spans="2:20">
      <c r="B15" s="104">
        <f>IF(F15=0,"",F15/Rents!$H$40)</f>
        <v>0.36031138975966565</v>
      </c>
      <c r="C15" s="105">
        <f>IF(F15=0,"",F15/Rents!$G$40)</f>
        <v>229.87866666666667</v>
      </c>
      <c r="D15" s="782" t="s">
        <v>120</v>
      </c>
      <c r="E15" s="783"/>
      <c r="F15" s="182">
        <f>F12*0.01</f>
        <v>17240.900000000001</v>
      </c>
      <c r="G15" s="186"/>
      <c r="H15" s="186"/>
      <c r="I15" s="33">
        <f>IF(F15-H15&lt;0,ERROR,F15-H15)</f>
        <v>17240.900000000001</v>
      </c>
      <c r="J15" s="15"/>
      <c r="K15" s="15"/>
      <c r="L15" s="15"/>
      <c r="M15" s="15"/>
      <c r="N15" s="15"/>
      <c r="O15" s="15"/>
      <c r="P15" s="15"/>
      <c r="Q15" s="15"/>
      <c r="R15" s="15"/>
    </row>
    <row r="16" spans="2:20">
      <c r="B16" s="162">
        <f>IF(F16=0,"",F16/Rents!$H$40)</f>
        <v>37.911964430512015</v>
      </c>
      <c r="C16" s="163">
        <f>IF(F16=0,"",F16/Rents!$G$40)</f>
        <v>24187.833306666664</v>
      </c>
      <c r="D16" s="784" t="s">
        <v>121</v>
      </c>
      <c r="E16" s="785"/>
      <c r="F16" s="164">
        <f>SUM(F12:F15)</f>
        <v>1814087.4979999999</v>
      </c>
      <c r="G16" s="164">
        <f>SUM(G12:G15)</f>
        <v>0</v>
      </c>
      <c r="H16" s="164">
        <f>SUM(H12:H15)</f>
        <v>0</v>
      </c>
      <c r="I16" s="164">
        <f>SUM(I12:I15)</f>
        <v>1814087.4979999999</v>
      </c>
      <c r="J16" s="15"/>
      <c r="K16" s="15"/>
      <c r="L16" s="15"/>
      <c r="M16" s="15"/>
      <c r="N16" s="15"/>
      <c r="O16" s="15"/>
      <c r="P16" s="15"/>
      <c r="Q16" s="15"/>
      <c r="R16" s="15"/>
    </row>
    <row r="17" spans="2:18">
      <c r="B17" s="108">
        <f>IF(F17=0,"",F17/Rents!$H$40)</f>
        <v>1.1494252873563218</v>
      </c>
      <c r="C17" s="109">
        <f>IF(F17=0,"",F17/Rents!$G$40)</f>
        <v>733.33333333333337</v>
      </c>
      <c r="D17" s="768" t="s">
        <v>122</v>
      </c>
      <c r="E17" s="769"/>
      <c r="F17" s="184">
        <v>55000</v>
      </c>
      <c r="G17" s="188">
        <f>F17</f>
        <v>55000</v>
      </c>
      <c r="H17" s="185"/>
      <c r="I17" s="32">
        <f>IF(F17-H17&lt;0,ERROR,F17-H17)</f>
        <v>55000</v>
      </c>
      <c r="J17" s="15"/>
      <c r="K17" s="15"/>
      <c r="L17" s="15"/>
      <c r="M17" s="15"/>
      <c r="N17" s="15"/>
      <c r="O17" s="15"/>
      <c r="P17" s="15"/>
      <c r="Q17" s="15"/>
      <c r="R17" s="15"/>
    </row>
    <row r="18" spans="2:18">
      <c r="B18" s="104">
        <f>IF(F18=0,"",F18/Rents!$H$40)</f>
        <v>81.741922675026117</v>
      </c>
      <c r="C18" s="105">
        <f>IF(F18=0,"",F18/Rents!$G$40)</f>
        <v>52151.346666666665</v>
      </c>
      <c r="D18" s="766" t="s">
        <v>123</v>
      </c>
      <c r="E18" s="767"/>
      <c r="F18" s="182">
        <v>3911351</v>
      </c>
      <c r="G18" s="187">
        <f>F18</f>
        <v>3911351</v>
      </c>
      <c r="H18" s="186"/>
      <c r="I18" s="33">
        <f>IF(F18-H18&lt;0,ERROR,F18-H18)</f>
        <v>3911351</v>
      </c>
      <c r="J18" s="63"/>
      <c r="K18" s="15"/>
      <c r="L18" s="15"/>
      <c r="M18" s="15"/>
      <c r="N18" s="15"/>
      <c r="O18" s="15"/>
      <c r="P18" s="15"/>
      <c r="Q18" s="15"/>
      <c r="R18" s="15"/>
    </row>
    <row r="19" spans="2:18">
      <c r="B19" s="104">
        <f>IF(F19=0,"",F19/Rents!$H$40)</f>
        <v>4.3312434691745034</v>
      </c>
      <c r="C19" s="105">
        <f>IF(F19=0,"",F19/Rents!$G$40)</f>
        <v>2763.3333333333335</v>
      </c>
      <c r="D19" s="782" t="s">
        <v>124</v>
      </c>
      <c r="E19" s="783"/>
      <c r="F19" s="182">
        <v>207250</v>
      </c>
      <c r="G19" s="187"/>
      <c r="H19" s="186"/>
      <c r="I19" s="33">
        <f>IF(F19-H19&lt;0,ERROR,F19-H19)</f>
        <v>207250</v>
      </c>
      <c r="J19" s="15"/>
      <c r="K19" s="15"/>
      <c r="L19" s="15"/>
      <c r="M19" s="15"/>
      <c r="N19" s="15"/>
      <c r="O19" s="15"/>
      <c r="P19" s="15"/>
      <c r="Q19" s="15"/>
      <c r="R19" s="15"/>
    </row>
    <row r="20" spans="2:18">
      <c r="B20" s="162">
        <f>IF(F20=0,"",F20/Rents!$H$40)</f>
        <v>87.22259143155695</v>
      </c>
      <c r="C20" s="163">
        <f>IF(F20=0,"",F20/Rents!$G$40)</f>
        <v>55648.013333333336</v>
      </c>
      <c r="D20" s="770" t="s">
        <v>125</v>
      </c>
      <c r="E20" s="771"/>
      <c r="F20" s="164">
        <f>SUM(F17:F19)</f>
        <v>4173601</v>
      </c>
      <c r="G20" s="164">
        <f>SUM(G17:G19)</f>
        <v>3966351</v>
      </c>
      <c r="H20" s="164">
        <f>SUM(H17:H19)</f>
        <v>0</v>
      </c>
      <c r="I20" s="164">
        <f>SUM(I17:I19)</f>
        <v>4173601</v>
      </c>
      <c r="J20" s="15"/>
      <c r="K20" s="15"/>
      <c r="L20" s="15"/>
      <c r="M20" s="15"/>
      <c r="N20" s="15"/>
      <c r="O20" s="15"/>
      <c r="P20" s="15"/>
      <c r="Q20" s="15"/>
      <c r="R20" s="15"/>
    </row>
    <row r="21" spans="2:18">
      <c r="B21" s="108">
        <f>IF(F21=0,"",F21/Rents!$H$40)</f>
        <v>502.17448275862068</v>
      </c>
      <c r="C21" s="109">
        <f>IF(F21=0,"",F21/Rents!$G$40)</f>
        <v>320387.32</v>
      </c>
      <c r="D21" s="768" t="s">
        <v>126</v>
      </c>
      <c r="E21" s="769"/>
      <c r="F21" s="184">
        <v>24029049</v>
      </c>
      <c r="G21" s="188">
        <f>F21</f>
        <v>24029049</v>
      </c>
      <c r="H21" s="185"/>
      <c r="I21" s="32">
        <f>IF(F21-H21&lt;0,ERROR,F21-H21)</f>
        <v>24029049</v>
      </c>
      <c r="J21" s="63"/>
      <c r="K21" s="63"/>
      <c r="L21" s="15"/>
      <c r="M21" s="15"/>
      <c r="N21" s="15"/>
      <c r="O21" s="15"/>
      <c r="P21" s="15"/>
      <c r="Q21" s="15"/>
      <c r="R21" s="15"/>
    </row>
    <row r="22" spans="2:18">
      <c r="B22" s="104" t="str">
        <f>IF(F22=0,"",F22/Rents!$H$40)</f>
        <v/>
      </c>
      <c r="C22" s="105" t="str">
        <f>IF(F22=0,"",F22/Rents!$G$40)</f>
        <v/>
      </c>
      <c r="D22" s="766" t="s">
        <v>127</v>
      </c>
      <c r="E22" s="767"/>
      <c r="F22" s="182"/>
      <c r="G22" s="622"/>
      <c r="H22" s="186"/>
      <c r="I22" s="33">
        <f>IF(F22-H22&lt;0,ERROR,F22-H22)</f>
        <v>0</v>
      </c>
      <c r="J22" s="15"/>
      <c r="K22" s="15"/>
      <c r="L22" s="15"/>
      <c r="M22" s="15"/>
      <c r="N22" s="15"/>
      <c r="O22" s="15"/>
      <c r="P22" s="15"/>
      <c r="Q22" s="15"/>
      <c r="R22" s="15"/>
    </row>
    <row r="23" spans="2:18">
      <c r="B23" s="104" t="str">
        <f>IF(F23=0,"",F23/Rents!$H$40)</f>
        <v/>
      </c>
      <c r="C23" s="105" t="str">
        <f>IF(F23=0,"",F23/Rents!$G$40)</f>
        <v/>
      </c>
      <c r="D23" s="766" t="s">
        <v>128</v>
      </c>
      <c r="E23" s="767"/>
      <c r="F23" s="182"/>
      <c r="G23" s="186"/>
      <c r="H23" s="186"/>
      <c r="I23" s="33">
        <f>IF(F23-H23&lt;0,ERROR,F23-H23)</f>
        <v>0</v>
      </c>
      <c r="J23" s="15"/>
      <c r="K23" s="15"/>
      <c r="L23" s="15"/>
      <c r="M23" s="15"/>
      <c r="N23" s="15"/>
      <c r="O23" s="15"/>
      <c r="P23" s="15"/>
      <c r="Q23" s="15"/>
      <c r="R23" s="15"/>
    </row>
    <row r="24" spans="2:18">
      <c r="B24" s="104">
        <f>IF(F24=0,"",F24/Rents!$H$40)</f>
        <v>28.213166144200628</v>
      </c>
      <c r="C24" s="105">
        <f>IF(F24=0,"",F24/Rents!$G$40)</f>
        <v>18000</v>
      </c>
      <c r="D24" s="766" t="s">
        <v>129</v>
      </c>
      <c r="E24" s="767"/>
      <c r="F24" s="182">
        <v>1350000</v>
      </c>
      <c r="G24" s="187">
        <f>F24</f>
        <v>1350000</v>
      </c>
      <c r="H24" s="186"/>
      <c r="I24" s="33">
        <f>IF(F24-H24&lt;0,ERROR,F24-H24)</f>
        <v>1350000</v>
      </c>
      <c r="J24" s="63"/>
      <c r="K24" s="15"/>
      <c r="L24" s="15"/>
      <c r="M24" s="15"/>
      <c r="N24" s="15"/>
      <c r="O24" s="15"/>
      <c r="P24" s="15"/>
      <c r="Q24" s="15"/>
      <c r="R24" s="15"/>
    </row>
    <row r="25" spans="2:18">
      <c r="B25" s="104" t="str">
        <f>IF(F25=0,"",F25/Rents!$H$40)</f>
        <v/>
      </c>
      <c r="C25" s="105" t="str">
        <f>IF(F25=0,"",F25/Rents!$G$40)</f>
        <v/>
      </c>
      <c r="D25" s="766" t="s">
        <v>130</v>
      </c>
      <c r="E25" s="767"/>
      <c r="F25" s="182"/>
      <c r="G25" s="187"/>
      <c r="H25" s="186"/>
      <c r="I25" s="33">
        <f>IF(F25-H25&lt;0,ERROR,F25-H25)</f>
        <v>0</v>
      </c>
      <c r="J25" s="15"/>
      <c r="K25" s="15"/>
      <c r="L25" s="15"/>
      <c r="M25" s="15"/>
      <c r="N25" s="15"/>
      <c r="O25" s="15"/>
      <c r="P25" s="15"/>
      <c r="Q25" s="15"/>
      <c r="R25" s="15"/>
    </row>
    <row r="26" spans="2:18">
      <c r="B26" s="104">
        <f>IF(F26=0,"",F26/Rents!$H$40)</f>
        <v>24.007147335423198</v>
      </c>
      <c r="C26" s="105">
        <f>IF(F26=0,"",F26/Rents!$G$40)</f>
        <v>15316.56</v>
      </c>
      <c r="D26" s="766" t="s">
        <v>131</v>
      </c>
      <c r="E26" s="767"/>
      <c r="F26" s="182">
        <v>1148742</v>
      </c>
      <c r="G26" s="187">
        <f>F26</f>
        <v>1148742</v>
      </c>
      <c r="H26" s="186"/>
      <c r="I26" s="33">
        <f>IF(F26-H26&lt;0,ERROR,F26-H26)</f>
        <v>1148742</v>
      </c>
      <c r="J26" s="15"/>
      <c r="K26" s="15"/>
      <c r="L26" s="15"/>
      <c r="M26" s="15"/>
      <c r="N26" s="15"/>
      <c r="O26" s="15"/>
      <c r="P26" s="15"/>
      <c r="Q26" s="15"/>
      <c r="R26" s="15"/>
    </row>
    <row r="27" spans="2:18">
      <c r="B27" s="104">
        <f>IF(F27=0,"",F27/Rents!$H$40)</f>
        <v>7.0727648902821318</v>
      </c>
      <c r="C27" s="105">
        <f>IF(F27=0,"",F27/Rents!$G$40)</f>
        <v>4512.424</v>
      </c>
      <c r="D27" s="766" t="s">
        <v>132</v>
      </c>
      <c r="E27" s="767"/>
      <c r="F27" s="182">
        <f>(F21+F20)*0.012</f>
        <v>338431.8</v>
      </c>
      <c r="G27" s="187">
        <f>F27</f>
        <v>338431.8</v>
      </c>
      <c r="H27" s="186"/>
      <c r="I27" s="33">
        <f>IF(F27-H27&lt;0,ERROR,F27-H27)</f>
        <v>338431.8</v>
      </c>
      <c r="J27" s="15"/>
      <c r="K27" s="15"/>
      <c r="L27" s="15"/>
      <c r="M27" s="15"/>
      <c r="N27" s="15"/>
      <c r="O27" s="15"/>
      <c r="P27" s="15"/>
      <c r="Q27" s="15"/>
      <c r="R27" s="15"/>
    </row>
    <row r="28" spans="2:18" ht="12" customHeight="1">
      <c r="B28" s="104" t="str">
        <f>IF(F28=0,"",F28/Rents!$H$40)</f>
        <v/>
      </c>
      <c r="C28" s="105" t="str">
        <f>IF(F28=0,"",F28/Rents!$G$40)</f>
        <v/>
      </c>
      <c r="D28" s="780" t="s">
        <v>133</v>
      </c>
      <c r="E28" s="781"/>
      <c r="F28" s="182"/>
      <c r="G28" s="186"/>
      <c r="H28" s="186"/>
      <c r="I28" s="33">
        <f>IF(F28-H28&lt;0,ERROR,F28-H28)</f>
        <v>0</v>
      </c>
      <c r="J28" s="15"/>
      <c r="K28" s="15"/>
      <c r="L28" s="15"/>
      <c r="M28" s="15"/>
      <c r="N28" s="15"/>
      <c r="O28" s="15"/>
      <c r="P28" s="15"/>
      <c r="Q28" s="15"/>
      <c r="R28" s="15"/>
    </row>
    <row r="29" spans="2:18" ht="20.25" customHeight="1">
      <c r="B29" s="104">
        <f>IF(F29=0,"",F29/Rents!$H$40)</f>
        <v>15.67398119122257</v>
      </c>
      <c r="C29" s="105">
        <f>IF(F29=0,"",F29/Rents!$G$40)</f>
        <v>10000</v>
      </c>
      <c r="D29" s="780" t="s">
        <v>134</v>
      </c>
      <c r="E29" s="781"/>
      <c r="F29" s="182">
        <f>10000*75</f>
        <v>750000</v>
      </c>
      <c r="G29" s="187"/>
      <c r="H29" s="186"/>
      <c r="I29" s="33">
        <f>IF(F29-H29&lt;0,ERROR,F29-H29)</f>
        <v>750000</v>
      </c>
      <c r="J29" s="15"/>
      <c r="K29" s="15"/>
      <c r="L29" s="15"/>
      <c r="M29" s="15"/>
      <c r="N29" s="15"/>
      <c r="O29" s="15"/>
      <c r="P29" s="15"/>
      <c r="Q29" s="15"/>
      <c r="R29" s="15"/>
    </row>
    <row r="30" spans="2:18">
      <c r="B30" s="104">
        <f>IF(F30=0,"",F30/Rents!$H$40)</f>
        <v>7.0727648902821318</v>
      </c>
      <c r="C30" s="105">
        <f>IF(F30=0,"",F30/Rents!$G$40)</f>
        <v>4512.424</v>
      </c>
      <c r="D30" s="766" t="s">
        <v>135</v>
      </c>
      <c r="E30" s="767"/>
      <c r="F30" s="182">
        <f>0.012*(F21+F20)</f>
        <v>338431.8</v>
      </c>
      <c r="G30" s="187">
        <f>F30</f>
        <v>338431.8</v>
      </c>
      <c r="H30" s="186"/>
      <c r="I30" s="33">
        <f>IF(F30-H30&lt;0,ERROR,F30-H30)</f>
        <v>338431.8</v>
      </c>
      <c r="J30" s="15"/>
      <c r="K30" s="15"/>
      <c r="L30" s="15"/>
      <c r="M30" s="15"/>
      <c r="N30" s="15"/>
      <c r="O30" s="15"/>
      <c r="P30" s="15"/>
      <c r="Q30" s="15"/>
      <c r="R30" s="15"/>
    </row>
    <row r="31" spans="2:18">
      <c r="B31" s="104" t="str">
        <f>IF(F31=0,"",F31/Rents!$H$40)</f>
        <v/>
      </c>
      <c r="C31" s="105" t="str">
        <f>IF(F31=0,"",F31/Rents!$G$40)</f>
        <v/>
      </c>
      <c r="D31" s="766" t="s">
        <v>136</v>
      </c>
      <c r="E31" s="767"/>
      <c r="F31" s="182"/>
      <c r="G31" s="186"/>
      <c r="H31" s="186"/>
      <c r="I31" s="33">
        <f>IF(F31-H31&lt;0,ERROR,F31-H31)</f>
        <v>0</v>
      </c>
      <c r="J31" s="15"/>
      <c r="K31" s="15"/>
      <c r="L31" s="15"/>
      <c r="M31" s="15"/>
      <c r="N31" s="15"/>
      <c r="O31" s="15"/>
      <c r="P31" s="15"/>
      <c r="Q31" s="15"/>
      <c r="R31" s="15"/>
    </row>
    <row r="32" spans="2:18">
      <c r="B32" s="104">
        <f>IF(F32=0,"",F32/Rents!$H$40)</f>
        <v>15.67398119122257</v>
      </c>
      <c r="C32" s="105">
        <f>IF(F32=0,"",F32/Rents!$G$40)</f>
        <v>10000</v>
      </c>
      <c r="D32" s="766" t="s">
        <v>137</v>
      </c>
      <c r="E32" s="767"/>
      <c r="F32" s="182">
        <v>750000</v>
      </c>
      <c r="G32" s="187">
        <f>F32</f>
        <v>750000</v>
      </c>
      <c r="H32" s="186"/>
      <c r="I32" s="33">
        <f>IF(F32-H32&lt;0,ERROR,F32-H32)</f>
        <v>750000</v>
      </c>
      <c r="J32" s="15"/>
      <c r="K32" s="15"/>
      <c r="L32" s="15"/>
      <c r="M32" s="15"/>
      <c r="N32" s="15"/>
      <c r="O32" s="15"/>
      <c r="P32" s="15"/>
      <c r="Q32" s="15"/>
      <c r="R32" s="15"/>
    </row>
    <row r="33" spans="2:18">
      <c r="B33" s="104">
        <f>IF(F33=0,"",F33/Rents!$H$40)</f>
        <v>1.567398119122257</v>
      </c>
      <c r="C33" s="105">
        <f>IF(F33=0,"",F33/Rents!$G$40)</f>
        <v>1000</v>
      </c>
      <c r="D33" s="766" t="s">
        <v>138</v>
      </c>
      <c r="E33" s="767"/>
      <c r="F33" s="182">
        <v>75000</v>
      </c>
      <c r="G33" s="186"/>
      <c r="H33" s="186"/>
      <c r="I33" s="33">
        <f>IF(F33-H33&lt;0,ERROR,F33-H33)</f>
        <v>75000</v>
      </c>
      <c r="J33" s="63"/>
      <c r="K33" s="15"/>
      <c r="L33" s="15"/>
      <c r="M33" s="15"/>
      <c r="N33" s="15"/>
      <c r="O33" s="15"/>
      <c r="P33" s="15"/>
      <c r="Q33" s="15"/>
      <c r="R33" s="15"/>
    </row>
    <row r="34" spans="2:18">
      <c r="B34" s="104">
        <f>IF(F34=0,"",F34/Rents!$H$40)</f>
        <v>30.072784326018812</v>
      </c>
      <c r="C34" s="105">
        <f>IF(F34=0,"",F34/Rents!$G$40)</f>
        <v>19186.436400000002</v>
      </c>
      <c r="D34" s="787" t="s">
        <v>139</v>
      </c>
      <c r="E34" s="788"/>
      <c r="F34" s="182">
        <f>0.05*SUM(F21:F33)</f>
        <v>1438982.7300000002</v>
      </c>
      <c r="G34" s="187">
        <f>F34</f>
        <v>1438982.7300000002</v>
      </c>
      <c r="H34" s="186"/>
      <c r="I34" s="33">
        <f>IF(F34-H34&lt;0,ERROR,F34-H34)</f>
        <v>1438982.7300000002</v>
      </c>
      <c r="J34" s="15"/>
      <c r="K34" s="15"/>
      <c r="L34" s="15"/>
      <c r="M34" s="15"/>
      <c r="N34" s="15"/>
      <c r="O34" s="15"/>
      <c r="P34" s="15"/>
      <c r="Q34" s="15"/>
      <c r="R34" s="15"/>
    </row>
    <row r="35" spans="2:18">
      <c r="B35" s="162">
        <f>IF(F35=0,"",F35/Rents!$H$40)</f>
        <v>631.52847084639507</v>
      </c>
      <c r="C35" s="163">
        <f>IF(F35=0,"",F35/Rents!$G$40)</f>
        <v>402915.16440000001</v>
      </c>
      <c r="D35" s="789" t="s">
        <v>140</v>
      </c>
      <c r="E35" s="790"/>
      <c r="F35" s="164">
        <f>SUM(F21:F34)</f>
        <v>30218637.330000002</v>
      </c>
      <c r="G35" s="164">
        <f>SUM(G21:G34)</f>
        <v>29393637.330000002</v>
      </c>
      <c r="H35" s="164">
        <f>SUM(H21:H34)</f>
        <v>0</v>
      </c>
      <c r="I35" s="164">
        <f>SUM(I21:I34)</f>
        <v>30218637.330000002</v>
      </c>
      <c r="J35" s="63"/>
      <c r="K35" s="15"/>
      <c r="L35" s="15"/>
      <c r="M35" s="15"/>
      <c r="N35" s="15"/>
      <c r="O35" s="15"/>
      <c r="P35" s="15"/>
      <c r="Q35" s="15"/>
      <c r="R35" s="15"/>
    </row>
    <row r="36" spans="2:18">
      <c r="B36" s="108">
        <f>IF(F36=0,"",F36/Rents!$H$40)</f>
        <v>7.2100313479623823</v>
      </c>
      <c r="C36" s="109">
        <f>IF(F36=0,"",F36/Rents!$G$40)</f>
        <v>4600</v>
      </c>
      <c r="D36" s="791" t="s">
        <v>141</v>
      </c>
      <c r="E36" s="769"/>
      <c r="F36" s="184">
        <v>345000</v>
      </c>
      <c r="G36" s="182">
        <f>F36</f>
        <v>345000</v>
      </c>
      <c r="H36" s="189"/>
      <c r="I36" s="32">
        <f>IF(F36-H36&lt;0,ERROR,F36-H36)</f>
        <v>345000</v>
      </c>
      <c r="J36" s="15"/>
      <c r="K36" s="15"/>
      <c r="L36" s="15"/>
      <c r="M36" s="15"/>
      <c r="N36" s="15"/>
      <c r="O36" s="15"/>
      <c r="P36" s="15"/>
      <c r="Q36" s="15"/>
      <c r="R36" s="15"/>
    </row>
    <row r="37" spans="2:18">
      <c r="B37" s="104">
        <f>IF(F37=0,"",F37/Rents!$H$40)</f>
        <v>3.0543364681295717</v>
      </c>
      <c r="C37" s="105">
        <f>IF(F37=0,"",F37/Rents!$G$40)</f>
        <v>1948.6666666666667</v>
      </c>
      <c r="D37" s="786" t="s">
        <v>142</v>
      </c>
      <c r="E37" s="767"/>
      <c r="F37" s="182">
        <v>146150</v>
      </c>
      <c r="G37" s="182">
        <f>F37</f>
        <v>146150</v>
      </c>
      <c r="H37" s="190"/>
      <c r="I37" s="33">
        <f>IF(F37-H37&lt;0,ERROR,F37-H37)</f>
        <v>146150</v>
      </c>
      <c r="J37" s="15"/>
      <c r="K37" s="15"/>
      <c r="L37" s="15"/>
      <c r="M37" s="15"/>
      <c r="N37" s="15"/>
      <c r="O37" s="15"/>
      <c r="P37" s="15"/>
      <c r="Q37" s="15"/>
      <c r="R37" s="15"/>
    </row>
    <row r="38" spans="2:18">
      <c r="B38" s="104" t="str">
        <f>IF(F38=0,"",F38/Rents!$H$40)</f>
        <v/>
      </c>
      <c r="C38" s="105" t="str">
        <f>IF(F38=0,"",F38/Rents!$G$40)</f>
        <v/>
      </c>
      <c r="D38" s="786" t="s">
        <v>143</v>
      </c>
      <c r="E38" s="767"/>
      <c r="F38" s="182"/>
      <c r="G38" s="182"/>
      <c r="H38" s="190"/>
      <c r="I38" s="33">
        <f>IF(F38-H38&lt;0,ERROR,F38-H38)</f>
        <v>0</v>
      </c>
      <c r="J38" s="15"/>
      <c r="K38" s="15"/>
      <c r="L38" s="15"/>
      <c r="M38" s="15"/>
      <c r="N38" s="15"/>
      <c r="O38" s="15"/>
      <c r="P38" s="15"/>
      <c r="Q38" s="15"/>
      <c r="R38" s="15"/>
    </row>
    <row r="39" spans="2:18">
      <c r="B39" s="104">
        <f>IF(F39=0,"",F39/Rents!$H$40)</f>
        <v>2.8443051201671889</v>
      </c>
      <c r="C39" s="105">
        <f>IF(F39=0,"",F39/Rents!$G$40)</f>
        <v>1814.6666666666667</v>
      </c>
      <c r="D39" s="786" t="s">
        <v>144</v>
      </c>
      <c r="E39" s="767"/>
      <c r="F39" s="182">
        <v>136100</v>
      </c>
      <c r="G39" s="182">
        <f>F39</f>
        <v>136100</v>
      </c>
      <c r="H39" s="190"/>
      <c r="I39" s="33">
        <f>IF(F39-H39&lt;0,ERROR,F39-H39)</f>
        <v>136100</v>
      </c>
      <c r="J39" s="15"/>
      <c r="K39" s="15"/>
      <c r="L39" s="15"/>
      <c r="M39" s="15"/>
      <c r="N39" s="15"/>
      <c r="O39" s="15"/>
      <c r="P39" s="15"/>
      <c r="Q39" s="15"/>
      <c r="R39" s="15"/>
    </row>
    <row r="40" spans="2:18">
      <c r="B40" s="104">
        <f>IF(F40=0,"",F40/Rents!$H$40)</f>
        <v>0.50156739811912221</v>
      </c>
      <c r="C40" s="105">
        <f>IF(F40=0,"",F40/Rents!$G$40)</f>
        <v>320</v>
      </c>
      <c r="D40" s="786" t="s">
        <v>145</v>
      </c>
      <c r="E40" s="767"/>
      <c r="F40" s="182">
        <v>24000</v>
      </c>
      <c r="G40" s="182">
        <f>F40</f>
        <v>24000</v>
      </c>
      <c r="H40" s="190"/>
      <c r="I40" s="33">
        <f>IF(F40-H40&lt;0,ERROR,F40-H40)</f>
        <v>24000</v>
      </c>
      <c r="J40" s="15"/>
      <c r="K40" s="15"/>
      <c r="L40" s="15"/>
      <c r="M40" s="15"/>
      <c r="N40" s="15"/>
      <c r="O40" s="15"/>
      <c r="P40" s="15"/>
      <c r="Q40" s="15"/>
      <c r="R40" s="15"/>
    </row>
    <row r="41" spans="2:18">
      <c r="B41" s="104" t="str">
        <f>IF(F41=0,"",F41/Rents!$H$40)</f>
        <v/>
      </c>
      <c r="C41" s="105" t="str">
        <f>IF(F41=0,"",F41/Rents!$G$40)</f>
        <v/>
      </c>
      <c r="D41" s="338" t="s">
        <v>146</v>
      </c>
      <c r="E41" s="715"/>
      <c r="F41" s="182"/>
      <c r="G41" s="182">
        <f>F41</f>
        <v>0</v>
      </c>
      <c r="H41" s="190"/>
      <c r="I41" s="33">
        <f>IF(F41-H41&lt;0,ERROR,F41-H41)</f>
        <v>0</v>
      </c>
      <c r="J41" s="15"/>
      <c r="K41" s="15"/>
      <c r="L41" s="15"/>
      <c r="M41" s="15"/>
      <c r="N41" s="15"/>
      <c r="O41" s="15"/>
      <c r="P41" s="15"/>
      <c r="Q41" s="15"/>
      <c r="R41" s="15"/>
    </row>
    <row r="42" spans="2:18">
      <c r="B42" s="104">
        <f>IF(F42=0,"",F42/Rents!$H$40)</f>
        <v>0.2089864158829676</v>
      </c>
      <c r="C42" s="105">
        <f>IF(F42=0,"",F42/Rents!$G$40)</f>
        <v>133.33333333333334</v>
      </c>
      <c r="D42" s="786" t="s">
        <v>147</v>
      </c>
      <c r="E42" s="767"/>
      <c r="F42" s="182">
        <v>10000</v>
      </c>
      <c r="G42" s="182"/>
      <c r="H42" s="190"/>
      <c r="I42" s="33">
        <f>IF(F42-H42&lt;0,ERROR,F42-H42)</f>
        <v>10000</v>
      </c>
      <c r="J42" s="15"/>
      <c r="K42" s="15"/>
      <c r="L42" s="15"/>
      <c r="M42" s="15"/>
      <c r="N42" s="15"/>
      <c r="O42" s="15"/>
      <c r="P42" s="15"/>
      <c r="Q42" s="15"/>
      <c r="R42" s="15"/>
    </row>
    <row r="43" spans="2:18">
      <c r="B43" s="104">
        <f>IF(F43=0,"",F43/Rents!$H$40)</f>
        <v>0.85684430512016718</v>
      </c>
      <c r="C43" s="105">
        <f>IF(F43=0,"",F43/Rents!$G$40)</f>
        <v>546.66666666666663</v>
      </c>
      <c r="D43" s="786" t="s">
        <v>148</v>
      </c>
      <c r="E43" s="767"/>
      <c r="F43" s="182">
        <v>41000</v>
      </c>
      <c r="G43" s="182">
        <f>F43</f>
        <v>41000</v>
      </c>
      <c r="H43" s="190"/>
      <c r="I43" s="33">
        <f>IF(F43-H43&lt;0,ERROR,F43-H43)</f>
        <v>41000</v>
      </c>
      <c r="J43"/>
      <c r="K43" s="15"/>
      <c r="L43" s="15"/>
      <c r="M43" s="15"/>
      <c r="N43" s="15"/>
      <c r="O43" s="15"/>
      <c r="P43" s="15"/>
      <c r="Q43" s="15"/>
      <c r="R43" s="15"/>
    </row>
    <row r="44" spans="2:18">
      <c r="B44" s="104">
        <f>IF(F44=0,"",F44/Rents!$H$40)</f>
        <v>20.086979310344827</v>
      </c>
      <c r="C44" s="105">
        <f>IF(F44=0,"",F44/Rents!$G$40)</f>
        <v>12815.4928</v>
      </c>
      <c r="D44" s="786" t="s">
        <v>149</v>
      </c>
      <c r="E44" s="767"/>
      <c r="F44" s="182">
        <f>F21*4%</f>
        <v>961161.96</v>
      </c>
      <c r="G44" s="182">
        <f>F44</f>
        <v>961161.96</v>
      </c>
      <c r="H44" s="190"/>
      <c r="I44" s="33">
        <f>IF(F44-H44&lt;0,ERROR,F44-H44)</f>
        <v>961161.96</v>
      </c>
      <c r="J44" s="15"/>
      <c r="K44" s="15"/>
      <c r="L44" s="15"/>
      <c r="M44" s="15"/>
      <c r="N44" s="15"/>
      <c r="O44" s="15"/>
      <c r="P44" s="15"/>
      <c r="Q44" s="15"/>
      <c r="R44" s="15"/>
    </row>
    <row r="45" spans="2:18">
      <c r="B45" s="104">
        <f>IF(F45=0,"",F45/Rents!$H$40)</f>
        <v>0.18808777429467086</v>
      </c>
      <c r="C45" s="105">
        <f>IF(F45=0,"",F45/Rents!$G$40)</f>
        <v>120</v>
      </c>
      <c r="D45" s="786" t="s">
        <v>150</v>
      </c>
      <c r="E45" s="767"/>
      <c r="F45" s="182">
        <v>9000</v>
      </c>
      <c r="G45" s="182">
        <f>F45</f>
        <v>9000</v>
      </c>
      <c r="H45" s="190"/>
      <c r="I45" s="33">
        <f>IF(F45-H45&lt;0,ERROR,F45-H45)</f>
        <v>9000</v>
      </c>
      <c r="J45" s="15"/>
      <c r="K45" s="15"/>
      <c r="L45" s="15"/>
      <c r="M45" s="15"/>
      <c r="N45" s="15"/>
      <c r="O45" s="15"/>
      <c r="P45" s="15"/>
      <c r="Q45" s="15"/>
      <c r="R45" s="15"/>
    </row>
    <row r="46" spans="2:18">
      <c r="B46" s="104">
        <f>IF(F46=0,"",F46/Rents!$H$40)</f>
        <v>0.31347962382445144</v>
      </c>
      <c r="C46" s="105">
        <f>IF(F46=0,"",F46/Rents!$G$40)</f>
        <v>200</v>
      </c>
      <c r="D46" s="786" t="s">
        <v>151</v>
      </c>
      <c r="E46" s="767"/>
      <c r="F46" s="182">
        <v>15000</v>
      </c>
      <c r="G46" s="182">
        <f>F46</f>
        <v>15000</v>
      </c>
      <c r="H46" s="190"/>
      <c r="I46" s="33">
        <f>IF(F46-H46&lt;0,ERROR,F46-H46)</f>
        <v>15000</v>
      </c>
      <c r="J46" s="15"/>
      <c r="K46" s="15"/>
      <c r="L46" s="15"/>
      <c r="M46" s="15"/>
      <c r="N46" s="15"/>
      <c r="O46" s="15"/>
      <c r="P46" s="15"/>
      <c r="Q46" s="15"/>
      <c r="R46" s="15"/>
    </row>
    <row r="47" spans="2:18">
      <c r="B47" s="104">
        <f>IF(F47=0,"",F47/Rents!$H$40)</f>
        <v>0.41797283176593519</v>
      </c>
      <c r="C47" s="105">
        <f>IF(F47=0,"",F47/Rents!$G$40)</f>
        <v>266.66666666666669</v>
      </c>
      <c r="D47" s="786" t="s">
        <v>152</v>
      </c>
      <c r="E47" s="767"/>
      <c r="F47" s="182">
        <v>20000</v>
      </c>
      <c r="G47" s="182"/>
      <c r="H47" s="190"/>
      <c r="I47" s="33">
        <f>IF(F47-H47&lt;0,ERROR,F47-H47)</f>
        <v>20000</v>
      </c>
      <c r="J47" s="15"/>
      <c r="K47" s="15"/>
      <c r="L47" s="15"/>
      <c r="M47" s="15"/>
      <c r="N47" s="15"/>
      <c r="O47" s="15"/>
      <c r="P47" s="15"/>
      <c r="Q47" s="15"/>
      <c r="R47" s="15"/>
    </row>
    <row r="48" spans="2:18">
      <c r="B48" s="104">
        <f>IF(F48=0,"",F48/Rents!$H$40)</f>
        <v>73.410577429467068</v>
      </c>
      <c r="C48" s="105">
        <f>IF(F48=0,"",F48/Rents!$G$40)</f>
        <v>46835.948399999994</v>
      </c>
      <c r="D48" s="786" t="s">
        <v>153</v>
      </c>
      <c r="E48" s="767"/>
      <c r="F48" s="33">
        <f>'City Impact Fees'!H30</f>
        <v>3512696.1299999994</v>
      </c>
      <c r="G48" s="182">
        <f>F48</f>
        <v>3512696.1299999994</v>
      </c>
      <c r="H48" s="187">
        <f>F48</f>
        <v>3512696.1299999994</v>
      </c>
      <c r="I48" s="33">
        <f>IF(F48-H48&lt;0,ERROR,F48-H48)</f>
        <v>0</v>
      </c>
      <c r="J48" s="15"/>
      <c r="K48" s="15"/>
      <c r="L48" s="15"/>
      <c r="M48" s="15"/>
      <c r="N48" s="15"/>
      <c r="O48" s="15"/>
      <c r="P48" s="15"/>
      <c r="Q48" s="15"/>
      <c r="R48" s="15"/>
    </row>
    <row r="49" spans="2:18">
      <c r="B49" s="104">
        <f>IF(F49=0,"",F49/Rents!$H$40)</f>
        <v>3.4603552769070012</v>
      </c>
      <c r="C49" s="105">
        <f>IF(F49=0,"",F49/Rents!$G$40)</f>
        <v>2207.7066666666665</v>
      </c>
      <c r="D49" s="786" t="s">
        <v>154</v>
      </c>
      <c r="E49" s="767"/>
      <c r="F49" s="182">
        <v>165578</v>
      </c>
      <c r="G49" s="182">
        <f>F49</f>
        <v>165578</v>
      </c>
      <c r="H49" s="190"/>
      <c r="I49" s="33">
        <f>IF(F49-H49&lt;0,ERROR,F49-H49)</f>
        <v>165578</v>
      </c>
      <c r="J49" s="15"/>
      <c r="K49" s="15"/>
      <c r="L49" s="15"/>
      <c r="M49" s="15"/>
      <c r="N49" s="15"/>
      <c r="O49" s="15"/>
      <c r="P49" s="15"/>
      <c r="Q49" s="15"/>
      <c r="R49" s="15"/>
    </row>
    <row r="50" spans="2:18">
      <c r="B50" s="104">
        <f>IF(F50=0,"",F50/Rents!$H$40)</f>
        <v>0.2089864158829676</v>
      </c>
      <c r="C50" s="105">
        <f>IF(F50=0,"",F50/Rents!$G$40)</f>
        <v>133.33333333333334</v>
      </c>
      <c r="D50" s="786" t="s">
        <v>155</v>
      </c>
      <c r="E50" s="767"/>
      <c r="F50" s="182">
        <v>10000</v>
      </c>
      <c r="G50" s="182"/>
      <c r="H50" s="190"/>
      <c r="I50" s="33">
        <f>IF(F50-H50&lt;0,ERROR,F50-H50)</f>
        <v>10000</v>
      </c>
      <c r="J50" s="15"/>
      <c r="K50" s="15"/>
      <c r="L50" s="15"/>
      <c r="M50" s="15"/>
      <c r="N50" s="15"/>
      <c r="O50" s="15"/>
      <c r="P50" s="15"/>
      <c r="Q50" s="15"/>
      <c r="R50" s="15"/>
    </row>
    <row r="51" spans="2:18">
      <c r="B51" s="104" t="str">
        <f>IF(F51=0,"",F51/Rents!$H$40)</f>
        <v/>
      </c>
      <c r="C51" s="105" t="str">
        <f>IF(F51=0,"",F51/Rents!$G$40)</f>
        <v/>
      </c>
      <c r="D51" s="786" t="s">
        <v>156</v>
      </c>
      <c r="E51" s="767"/>
      <c r="F51" s="182"/>
      <c r="G51" s="182">
        <f>F51</f>
        <v>0</v>
      </c>
      <c r="H51" s="190"/>
      <c r="I51" s="33">
        <f>IF(F51-H51&lt;0,ERROR,F51-H51)</f>
        <v>0</v>
      </c>
      <c r="J51" s="15"/>
      <c r="K51" s="15"/>
      <c r="L51" s="15"/>
      <c r="M51" s="15"/>
      <c r="N51" s="15"/>
      <c r="O51" s="15"/>
      <c r="P51" s="15"/>
      <c r="Q51" s="15"/>
      <c r="R51" s="15"/>
    </row>
    <row r="52" spans="2:18">
      <c r="B52" s="104">
        <f>IF(F52=0,"",F52/Rents!$H$40)</f>
        <v>2.4869383490073145</v>
      </c>
      <c r="C52" s="105">
        <f>IF(F52=0,"",F52/Rents!$G$40)</f>
        <v>1586.6666666666667</v>
      </c>
      <c r="D52" s="786" t="s">
        <v>157</v>
      </c>
      <c r="E52" s="767"/>
      <c r="F52" s="182">
        <v>119000</v>
      </c>
      <c r="G52" s="182">
        <f>F52</f>
        <v>119000</v>
      </c>
      <c r="H52" s="190"/>
      <c r="I52" s="33">
        <f>IF(F52-H52&lt;0,ERROR,F52-H52)</f>
        <v>119000</v>
      </c>
      <c r="J52" s="15"/>
      <c r="K52" s="15"/>
      <c r="L52" s="15"/>
      <c r="M52" s="15"/>
      <c r="N52" s="15"/>
      <c r="O52" s="15"/>
      <c r="P52" s="15"/>
      <c r="Q52" s="15"/>
      <c r="R52" s="15"/>
    </row>
    <row r="53" spans="2:18">
      <c r="B53" s="104" t="str">
        <f>IF(F53=0,"",F53/Rents!$H$40)</f>
        <v/>
      </c>
      <c r="C53" s="105" t="str">
        <f>IF(F53=0,"",F53/Rents!$G$40)</f>
        <v/>
      </c>
      <c r="D53" s="792" t="s">
        <v>158</v>
      </c>
      <c r="E53" s="793"/>
      <c r="F53" s="182"/>
      <c r="G53" s="182"/>
      <c r="H53" s="190"/>
      <c r="I53" s="33">
        <f>IF(F53-H53&lt;0,ERROR,F53-H53)</f>
        <v>0</v>
      </c>
      <c r="J53" s="15"/>
      <c r="K53" s="15"/>
      <c r="L53" s="15"/>
      <c r="M53" s="15"/>
      <c r="N53" s="15"/>
      <c r="O53" s="15"/>
      <c r="P53" s="15"/>
      <c r="Q53" s="15"/>
      <c r="R53" s="15"/>
    </row>
    <row r="54" spans="2:18">
      <c r="B54" s="104">
        <f>IF(F54=0,"",F54/Rents!$H$40)</f>
        <v>0.41797283176593519</v>
      </c>
      <c r="C54" s="105">
        <f>IF(F54=0,"",F54/Rents!$G$40)</f>
        <v>266.66666666666669</v>
      </c>
      <c r="D54" s="792" t="s">
        <v>159</v>
      </c>
      <c r="E54" s="793"/>
      <c r="F54" s="182">
        <v>20000</v>
      </c>
      <c r="G54" s="182"/>
      <c r="H54" s="190"/>
      <c r="I54" s="33">
        <f>IF(F54-H54&lt;0,ERROR,F54-H54)</f>
        <v>20000</v>
      </c>
      <c r="J54" s="15"/>
      <c r="K54" s="15"/>
      <c r="L54" s="15"/>
      <c r="M54" s="15"/>
      <c r="N54" s="15"/>
      <c r="O54" s="15"/>
      <c r="P54" s="15"/>
      <c r="Q54" s="15"/>
      <c r="R54" s="15"/>
    </row>
    <row r="55" spans="2:18">
      <c r="B55" s="104">
        <f>IF(F55=0,"",F55/Rents!$H$40)</f>
        <v>6.2695924764890281</v>
      </c>
      <c r="C55" s="105">
        <f>IF(F55=0,"",F55/Rents!$G$40)</f>
        <v>4000</v>
      </c>
      <c r="D55" s="794" t="s">
        <v>160</v>
      </c>
      <c r="E55" s="795"/>
      <c r="F55" s="649">
        <v>300000</v>
      </c>
      <c r="G55" s="182">
        <f>F55</f>
        <v>300000</v>
      </c>
      <c r="H55" s="190"/>
      <c r="I55" s="33">
        <f>IF(F55-H55&lt;0,ERROR,F55-H55)</f>
        <v>300000</v>
      </c>
      <c r="J55" s="15"/>
      <c r="K55" s="15"/>
      <c r="L55" s="15"/>
      <c r="M55" s="15"/>
      <c r="N55" s="15"/>
      <c r="O55" s="15"/>
      <c r="P55" s="15"/>
      <c r="Q55" s="15"/>
      <c r="R55" s="15"/>
    </row>
    <row r="56" spans="2:18">
      <c r="B56" s="104" t="str">
        <f>IF(F56=0,"",F56/Rents!$H$40)</f>
        <v/>
      </c>
      <c r="C56" s="105" t="str">
        <f>IF(F56=0,"",F56/Rents!$G$40)</f>
        <v/>
      </c>
      <c r="D56" s="794" t="s">
        <v>161</v>
      </c>
      <c r="E56" s="795"/>
      <c r="F56" s="649"/>
      <c r="G56" s="182"/>
      <c r="H56" s="190"/>
      <c r="I56" s="33">
        <f>IF(F56-H56&lt;0,ERROR,F56-H56)</f>
        <v>0</v>
      </c>
      <c r="J56" s="15"/>
      <c r="K56" s="15"/>
      <c r="L56" s="15"/>
      <c r="M56" s="15"/>
      <c r="N56" s="15"/>
      <c r="O56" s="15"/>
      <c r="P56" s="15"/>
      <c r="Q56" s="15"/>
      <c r="R56" s="15"/>
    </row>
    <row r="57" spans="2:18">
      <c r="B57" s="104">
        <f>IF(F57=0,"",F57/Rents!$H$40)</f>
        <v>4.3887147335423196</v>
      </c>
      <c r="C57" s="105">
        <f>IF(F57=0,"",F57/Rents!$G$40)</f>
        <v>2800</v>
      </c>
      <c r="D57" s="792" t="s">
        <v>162</v>
      </c>
      <c r="E57" s="793"/>
      <c r="F57" s="649">
        <v>210000</v>
      </c>
      <c r="G57" s="182"/>
      <c r="H57" s="190"/>
      <c r="I57" s="33">
        <f>IF(F57-H57&lt;0,ERROR,F57-H57)</f>
        <v>210000</v>
      </c>
      <c r="J57" s="63"/>
      <c r="K57" s="15"/>
      <c r="L57" s="15"/>
      <c r="M57" s="15"/>
      <c r="N57" s="15"/>
      <c r="O57" s="15"/>
      <c r="P57" s="15"/>
      <c r="Q57" s="15"/>
      <c r="R57" s="15"/>
    </row>
    <row r="58" spans="2:18">
      <c r="B58" s="104">
        <f>IF(F58=0,"",F58/Rents!$H$40)</f>
        <v>3.8035527690700106</v>
      </c>
      <c r="C58" s="105">
        <f>IF(F58=0,"",F58/Rents!$G$40)</f>
        <v>2426.6666666666665</v>
      </c>
      <c r="D58" s="794" t="s">
        <v>163</v>
      </c>
      <c r="E58" s="795"/>
      <c r="F58" s="649">
        <v>182000</v>
      </c>
      <c r="G58" s="182">
        <f>F58</f>
        <v>182000</v>
      </c>
      <c r="H58" s="190"/>
      <c r="I58" s="33">
        <f>IF(F58-H58&lt;0,ERROR,F58-H58)</f>
        <v>182000</v>
      </c>
      <c r="J58" s="15"/>
      <c r="K58" s="15"/>
      <c r="L58" s="15"/>
      <c r="M58" s="15"/>
      <c r="N58" s="15"/>
      <c r="O58" s="15"/>
      <c r="P58" s="15"/>
      <c r="Q58" s="15"/>
      <c r="R58" s="15"/>
    </row>
    <row r="59" spans="2:18">
      <c r="B59" s="104">
        <f>IF(F59=0,"",F59/Rents!$H$40)</f>
        <v>25.108724137931034</v>
      </c>
      <c r="C59" s="105">
        <f>IF(F59=0,"",F59/Rents!$G$40)</f>
        <v>16019.366</v>
      </c>
      <c r="D59" s="792" t="s">
        <v>164</v>
      </c>
      <c r="E59" s="793"/>
      <c r="F59" s="649">
        <f>0.05*F21</f>
        <v>1201452.45</v>
      </c>
      <c r="G59" s="182"/>
      <c r="H59" s="190"/>
      <c r="I59" s="33">
        <f>IF(F59-H59&lt;0,ERROR,F59-H59)</f>
        <v>1201452.45</v>
      </c>
      <c r="J59" s="15"/>
      <c r="K59" s="15"/>
      <c r="L59" s="15"/>
      <c r="M59" s="15"/>
      <c r="N59" s="15"/>
      <c r="O59" s="15"/>
      <c r="P59" s="15"/>
      <c r="Q59" s="15"/>
      <c r="R59" s="15"/>
    </row>
    <row r="60" spans="2:18" ht="17">
      <c r="B60" s="104">
        <f>IF(F60=0,"",F60/Rents!$H$40)</f>
        <v>15.065234482758621</v>
      </c>
      <c r="C60" s="105">
        <f>IF(F60=0,"",F60/Rents!$G$40)</f>
        <v>9611.6196</v>
      </c>
      <c r="D60" s="798" t="s">
        <v>165</v>
      </c>
      <c r="E60" s="799"/>
      <c r="F60" s="650">
        <f>0.03*F21</f>
        <v>720871.47</v>
      </c>
      <c r="G60" s="183">
        <f>F60</f>
        <v>720871.47</v>
      </c>
      <c r="H60" s="191"/>
      <c r="I60" s="175">
        <f>IF(F60-H60&lt;0,ERROR,F60-H60)</f>
        <v>720871.47</v>
      </c>
      <c r="J60" s="15"/>
      <c r="K60" s="15"/>
      <c r="L60" s="15"/>
      <c r="M60" s="15"/>
      <c r="N60" s="15"/>
      <c r="O60" s="15"/>
      <c r="P60" s="15"/>
      <c r="Q60" s="15"/>
      <c r="R60" s="15"/>
    </row>
    <row r="61" spans="2:18" ht="15" thickBot="1">
      <c r="B61" s="162">
        <f>IF(F61=0,"",F61/Rents!$H$40)</f>
        <v>170.30323949843259</v>
      </c>
      <c r="C61" s="163">
        <f>IF(F61=0,"",F61/Rents!$G$40)</f>
        <v>108653.46679999999</v>
      </c>
      <c r="D61" s="800" t="s">
        <v>166</v>
      </c>
      <c r="E61" s="790"/>
      <c r="F61" s="164">
        <f>SUM(F36:F60)</f>
        <v>8149010.0099999998</v>
      </c>
      <c r="G61" s="164">
        <f>SUM(G36:G60)</f>
        <v>6677557.5599999996</v>
      </c>
      <c r="H61" s="164">
        <f>SUM(H36:H60)</f>
        <v>3512696.1299999994</v>
      </c>
      <c r="I61" s="164">
        <f>SUM(I36:I60)</f>
        <v>4636313.88</v>
      </c>
      <c r="J61" s="15"/>
      <c r="K61" s="15"/>
      <c r="L61" s="15"/>
      <c r="M61" s="15"/>
      <c r="N61" s="15"/>
      <c r="O61" s="15"/>
      <c r="P61" s="15"/>
      <c r="Q61" s="15"/>
      <c r="R61" s="15"/>
    </row>
    <row r="62" spans="2:18" ht="15" thickBot="1">
      <c r="B62" s="108">
        <f>IF(F62=0,"",F62/Rents!$H$40)</f>
        <v>7.3251828631138975</v>
      </c>
      <c r="C62" s="109">
        <f>IF(F62=0,"",F62/Rents!$G$40)</f>
        <v>4673.4666666666662</v>
      </c>
      <c r="D62" s="801" t="s">
        <v>167</v>
      </c>
      <c r="E62" s="802"/>
      <c r="F62" s="32">
        <f>K62*I104</f>
        <v>350510</v>
      </c>
      <c r="G62" s="187"/>
      <c r="H62" s="185"/>
      <c r="I62" s="32">
        <f>IF(F62-H62&lt;0,ERROR,F62-H62)</f>
        <v>350510</v>
      </c>
      <c r="J62" s="127" t="s">
        <v>168</v>
      </c>
      <c r="K62" s="208">
        <v>0.01</v>
      </c>
      <c r="L62" s="15"/>
      <c r="M62" s="15"/>
      <c r="N62" s="15"/>
      <c r="O62" s="15"/>
      <c r="P62" s="15"/>
      <c r="Q62" s="15"/>
      <c r="R62" s="15"/>
    </row>
    <row r="63" spans="2:18">
      <c r="B63" s="104">
        <f>IF(F63=0,"",F63/Rents!$H$40)</f>
        <v>5.2246603970741905</v>
      </c>
      <c r="C63" s="105">
        <f>IF(F63=0,"",F63/Rents!$G$40)</f>
        <v>3333.3333333333335</v>
      </c>
      <c r="D63" s="796" t="s">
        <v>169</v>
      </c>
      <c r="E63" s="797"/>
      <c r="F63" s="182">
        <v>250000</v>
      </c>
      <c r="G63" s="187"/>
      <c r="H63" s="186"/>
      <c r="I63" s="33">
        <f>IF(F63-H63&lt;0,ERROR,F63-H63)</f>
        <v>250000</v>
      </c>
      <c r="J63" s="15"/>
      <c r="K63" s="15"/>
      <c r="L63" s="15"/>
      <c r="M63" s="15"/>
      <c r="N63" s="15"/>
      <c r="O63" s="15"/>
      <c r="P63" s="15"/>
      <c r="Q63" s="15"/>
      <c r="R63" s="15"/>
    </row>
    <row r="64" spans="2:18">
      <c r="B64" s="104">
        <f>IF(F64=0,"",F64/Rents!$H$40)</f>
        <v>1.1138975966562172</v>
      </c>
      <c r="C64" s="105">
        <f>IF(F64=0,"",F64/Rents!$G$40)</f>
        <v>710.66666666666663</v>
      </c>
      <c r="D64" s="796" t="s">
        <v>170</v>
      </c>
      <c r="E64" s="797"/>
      <c r="F64" s="182">
        <v>53300</v>
      </c>
      <c r="G64" s="187"/>
      <c r="H64" s="186"/>
      <c r="I64" s="33">
        <f>IF(F64-H64&lt;0,ERROR,F64-H64)</f>
        <v>53300</v>
      </c>
      <c r="J64" s="15"/>
      <c r="K64" s="15"/>
      <c r="L64" s="15"/>
      <c r="N64" s="15"/>
      <c r="O64" s="15"/>
      <c r="P64" s="15"/>
      <c r="Q64" s="15"/>
      <c r="R64" s="15"/>
    </row>
    <row r="65" spans="2:18">
      <c r="B65" s="104">
        <f>IF(F65=0,"",F65/Rents!$H$40)</f>
        <v>1.2539184952978057</v>
      </c>
      <c r="C65" s="105">
        <f>IF(F65=0,"",F65/Rents!$G$40)</f>
        <v>800</v>
      </c>
      <c r="D65" s="803" t="s">
        <v>171</v>
      </c>
      <c r="E65" s="804"/>
      <c r="F65" s="649">
        <v>60000</v>
      </c>
      <c r="G65" s="187"/>
      <c r="H65" s="186"/>
      <c r="I65" s="33">
        <f>IF(F65-H65&lt;0,ERROR,F65-H65)</f>
        <v>60000</v>
      </c>
      <c r="J65" s="15"/>
      <c r="K65" s="15"/>
      <c r="L65" s="15"/>
      <c r="N65" s="15"/>
      <c r="O65" s="15"/>
      <c r="P65" s="15"/>
      <c r="Q65" s="15"/>
      <c r="R65" s="15"/>
    </row>
    <row r="66" spans="2:18">
      <c r="B66" s="104">
        <f>IF(F66=0,"",F66/Rents!$H$40)</f>
        <v>1.1275653082549635</v>
      </c>
      <c r="C66" s="105">
        <f>IF(F66=0,"",F66/Rents!$G$40)</f>
        <v>719.38666666666666</v>
      </c>
      <c r="D66" s="803" t="s">
        <v>172</v>
      </c>
      <c r="E66" s="804"/>
      <c r="F66" s="649">
        <v>53954</v>
      </c>
      <c r="G66" s="187"/>
      <c r="H66" s="186"/>
      <c r="I66" s="33">
        <f>IF(F66-H66&lt;0,ERROR,F66-H66)</f>
        <v>53954</v>
      </c>
      <c r="J66" s="15"/>
      <c r="K66" s="15"/>
      <c r="L66" s="15"/>
      <c r="N66" s="15"/>
      <c r="O66" s="15"/>
      <c r="P66" s="15"/>
      <c r="Q66" s="15"/>
      <c r="R66" s="15"/>
    </row>
    <row r="67" spans="2:18">
      <c r="B67" s="104">
        <f>IF(F67=0,"",F67/Rents!$H$40)</f>
        <v>7.523510971786834</v>
      </c>
      <c r="C67" s="105">
        <f>IF(F67=0,"",F67/Rents!$G$40)</f>
        <v>4800</v>
      </c>
      <c r="D67" s="805" t="s">
        <v>173</v>
      </c>
      <c r="E67" s="806"/>
      <c r="F67" s="649">
        <v>360000</v>
      </c>
      <c r="G67" s="685"/>
      <c r="H67" s="186"/>
      <c r="I67" s="33">
        <f>IF(F67-H67&lt;0,ERROR,F67-H67)</f>
        <v>360000</v>
      </c>
      <c r="J67" s="15"/>
      <c r="K67" s="15"/>
      <c r="L67" s="15"/>
      <c r="M67" s="15"/>
      <c r="N67" s="15"/>
      <c r="O67" s="15"/>
      <c r="P67" s="15"/>
      <c r="Q67" s="15"/>
      <c r="R67" s="15"/>
    </row>
    <row r="68" spans="2:18">
      <c r="B68" s="104">
        <f>IF(F68=0,"",F68/Rents!$H$40)</f>
        <v>11.494252873563218</v>
      </c>
      <c r="C68" s="105">
        <f>IF(F68=0,"",F68/Rents!$G$40)</f>
        <v>7333.333333333333</v>
      </c>
      <c r="D68" s="796" t="s">
        <v>174</v>
      </c>
      <c r="E68" s="797"/>
      <c r="F68" s="651">
        <v>550000</v>
      </c>
      <c r="G68" s="186"/>
      <c r="H68" s="186"/>
      <c r="I68" s="33">
        <f>IF(F68-H68&lt;0,ERROR,F68-H68)</f>
        <v>550000</v>
      </c>
      <c r="J68" s="15"/>
      <c r="K68" s="15"/>
      <c r="L68" s="15"/>
      <c r="M68" s="15"/>
      <c r="N68" s="15"/>
      <c r="O68" s="15"/>
      <c r="P68" s="15"/>
      <c r="Q68" s="15"/>
      <c r="R68" s="15"/>
    </row>
    <row r="69" spans="2:18">
      <c r="B69" s="104" t="str">
        <f>IF(F69=0,"",F69/Rents!$H$40)</f>
        <v/>
      </c>
      <c r="C69" s="105" t="str">
        <f>IF(F69=0,"",F69/Rents!$G$40)</f>
        <v/>
      </c>
      <c r="D69" s="796" t="s">
        <v>175</v>
      </c>
      <c r="E69" s="797"/>
      <c r="F69" s="652"/>
      <c r="G69" s="186"/>
      <c r="H69" s="186"/>
      <c r="I69" s="33">
        <f>IF(F69-H69&lt;0,ERROR,F69-H69)</f>
        <v>0</v>
      </c>
      <c r="J69" s="127" t="s">
        <v>168</v>
      </c>
      <c r="K69" s="208">
        <v>0.01</v>
      </c>
      <c r="N69" s="15"/>
      <c r="O69" s="15"/>
      <c r="P69" s="15"/>
      <c r="Q69" s="15"/>
      <c r="R69" s="15"/>
    </row>
    <row r="70" spans="2:18">
      <c r="B70" s="104">
        <f>IF(F70=0,"",F70/Rents!$H$40)</f>
        <v>0.73145245559038663</v>
      </c>
      <c r="C70" s="105">
        <f>IF(F70=0,"",F70/Rents!$G$40)</f>
        <v>466.66666666666669</v>
      </c>
      <c r="D70" s="805" t="s">
        <v>176</v>
      </c>
      <c r="E70" s="806"/>
      <c r="F70" s="649">
        <v>35000</v>
      </c>
      <c r="G70" s="186"/>
      <c r="H70" s="186"/>
      <c r="I70" s="33">
        <f>IF(F70-H70&lt;0,ERROR,F70-H70)</f>
        <v>35000</v>
      </c>
      <c r="J70" s="15"/>
      <c r="K70" s="15"/>
      <c r="L70" s="15"/>
      <c r="M70" s="15"/>
      <c r="N70" s="15"/>
      <c r="O70" s="15"/>
      <c r="P70" s="15"/>
      <c r="Q70" s="15"/>
      <c r="R70" s="15"/>
    </row>
    <row r="71" spans="2:18">
      <c r="B71" s="104">
        <f>IF(F71=0,"",F71/Rents!$H$40)</f>
        <v>0.52246603970741901</v>
      </c>
      <c r="C71" s="105">
        <f>IF(F71=0,"",F71/Rents!$G$40)</f>
        <v>333.33333333333331</v>
      </c>
      <c r="D71" s="780" t="s">
        <v>177</v>
      </c>
      <c r="E71" s="781"/>
      <c r="F71" s="649">
        <v>25000</v>
      </c>
      <c r="G71" s="186"/>
      <c r="H71" s="187">
        <f>F71</f>
        <v>25000</v>
      </c>
      <c r="I71" s="33">
        <f>IF(F71-H71&lt;0,ERROR,F71-H71)</f>
        <v>0</v>
      </c>
      <c r="J71" s="15"/>
      <c r="K71" s="15"/>
      <c r="L71" s="15"/>
      <c r="M71" s="15"/>
      <c r="N71" s="15"/>
      <c r="O71" s="15"/>
      <c r="P71" s="15"/>
      <c r="Q71" s="15"/>
      <c r="R71" s="15"/>
    </row>
    <row r="72" spans="2:18">
      <c r="B72" s="104">
        <f>IF(F72=0,"",F72/Rents!$H$40)</f>
        <v>0.73145245559038663</v>
      </c>
      <c r="C72" s="105">
        <f>IF(F72=0,"",F72/Rents!$G$40)</f>
        <v>466.66666666666669</v>
      </c>
      <c r="D72" s="805" t="s">
        <v>178</v>
      </c>
      <c r="E72" s="806"/>
      <c r="F72" s="649">
        <v>35000</v>
      </c>
      <c r="G72" s="186"/>
      <c r="H72" s="187">
        <f>F72</f>
        <v>35000</v>
      </c>
      <c r="I72" s="33">
        <f>IF(F72-H72&lt;0,ERROR,F72-H72)</f>
        <v>0</v>
      </c>
      <c r="J72" s="15"/>
      <c r="K72" s="15"/>
      <c r="L72" s="15"/>
      <c r="M72" s="15"/>
      <c r="N72" s="15"/>
      <c r="O72" s="15"/>
      <c r="P72" s="15"/>
      <c r="Q72" s="15"/>
      <c r="R72" s="15"/>
    </row>
    <row r="73" spans="2:18">
      <c r="B73" s="104">
        <f>IF(F73=0,"",F73/Rents!$H$40)</f>
        <v>1.2539184952978057</v>
      </c>
      <c r="C73" s="105">
        <f>IF(F73=0,"",F73/Rents!$G$40)</f>
        <v>800</v>
      </c>
      <c r="D73" s="805" t="s">
        <v>179</v>
      </c>
      <c r="E73" s="806"/>
      <c r="F73" s="649">
        <v>60000</v>
      </c>
      <c r="G73" s="186"/>
      <c r="H73" s="186"/>
      <c r="I73" s="33">
        <f>IF(F73-H73&lt;0,ERROR,F73-H73)</f>
        <v>60000</v>
      </c>
      <c r="J73" s="15"/>
      <c r="K73" s="15"/>
      <c r="L73" s="15"/>
      <c r="M73" s="15"/>
      <c r="N73" s="15"/>
      <c r="O73" s="15"/>
      <c r="P73" s="15"/>
      <c r="Q73" s="15"/>
      <c r="R73" s="15"/>
    </row>
    <row r="74" spans="2:18">
      <c r="B74" s="104" t="str">
        <f>IF(F74=0,"",F74/Rents!$H$40)</f>
        <v/>
      </c>
      <c r="C74" s="105" t="str">
        <f>IF(F74=0,"",F74/Rents!$G$40)</f>
        <v/>
      </c>
      <c r="D74" s="805" t="s">
        <v>180</v>
      </c>
      <c r="E74" s="806"/>
      <c r="F74" s="651"/>
      <c r="G74" s="186"/>
      <c r="H74" s="186"/>
      <c r="I74" s="33">
        <f>IF(F74-H74&lt;0,ERROR,F74-H74)</f>
        <v>0</v>
      </c>
      <c r="J74" s="15"/>
      <c r="K74" s="15"/>
      <c r="L74" s="15"/>
      <c r="M74" s="15"/>
      <c r="N74" s="15"/>
      <c r="O74" s="15"/>
      <c r="P74" s="15"/>
      <c r="Q74" s="15"/>
      <c r="R74" s="15"/>
    </row>
    <row r="75" spans="2:18">
      <c r="B75" s="104" t="str">
        <f>IF(F75=0,"",F75/Rents!$H$40)</f>
        <v/>
      </c>
      <c r="C75" s="105" t="str">
        <f>IF(F75=0,"",F75/Rents!$G$40)</f>
        <v/>
      </c>
      <c r="D75" s="803" t="s">
        <v>181</v>
      </c>
      <c r="E75" s="804"/>
      <c r="F75" s="651"/>
      <c r="G75" s="186"/>
      <c r="H75" s="186"/>
      <c r="I75" s="33">
        <f>IF(F75-H75&lt;0,ERROR,F75-H75)</f>
        <v>0</v>
      </c>
      <c r="J75" s="15"/>
      <c r="K75" s="15"/>
      <c r="L75" s="15"/>
      <c r="M75" s="15"/>
      <c r="N75" s="15"/>
      <c r="O75" s="15"/>
      <c r="P75" s="15"/>
      <c r="Q75" s="15"/>
      <c r="R75" s="15"/>
    </row>
    <row r="76" spans="2:18" ht="24" customHeight="1">
      <c r="B76" s="104" t="str">
        <f>IF(F76=0,"",F76/Rents!$H$40)</f>
        <v/>
      </c>
      <c r="C76" s="105" t="str">
        <f>IF(F76=0,"",F76/Rents!$G$40)</f>
        <v/>
      </c>
      <c r="D76" s="808" t="s">
        <v>182</v>
      </c>
      <c r="E76" s="809"/>
      <c r="F76" s="651"/>
      <c r="G76" s="186"/>
      <c r="H76" s="186"/>
      <c r="I76" s="33">
        <f>IF(F76-H76&lt;0,ERROR,F76-H76)</f>
        <v>0</v>
      </c>
      <c r="J76" s="15"/>
      <c r="K76" s="15"/>
      <c r="L76" s="15"/>
      <c r="M76" s="15"/>
      <c r="N76" s="15"/>
      <c r="O76" s="15"/>
      <c r="P76" s="15"/>
      <c r="Q76" s="15"/>
      <c r="R76" s="15"/>
    </row>
    <row r="77" spans="2:18" ht="24" customHeight="1">
      <c r="B77" s="104" t="str">
        <f>IF(F77=0,"",F77/Rents!$H$40)</f>
        <v/>
      </c>
      <c r="C77" s="105" t="str">
        <f>IF(F77=0,"",F77/Rents!$G$40)</f>
        <v/>
      </c>
      <c r="D77" s="808" t="s">
        <v>183</v>
      </c>
      <c r="E77" s="809"/>
      <c r="F77" s="651"/>
      <c r="G77" s="186"/>
      <c r="H77" s="186"/>
      <c r="I77" s="33">
        <f>IF(F77-H77&lt;0,ERROR,F77-H77)</f>
        <v>0</v>
      </c>
      <c r="J77" s="15"/>
      <c r="K77" s="15"/>
      <c r="L77" s="15"/>
      <c r="M77" s="15"/>
      <c r="N77" s="15"/>
      <c r="O77" s="15"/>
      <c r="P77" s="15"/>
      <c r="Q77" s="15"/>
      <c r="R77" s="15"/>
    </row>
    <row r="78" spans="2:18">
      <c r="B78" s="104">
        <f>IF(F78=0,"",F78/Rents!$H$40)</f>
        <v>4.8984535005224661</v>
      </c>
      <c r="C78" s="105">
        <f>IF(F78=0,"",F78/Rents!$G$40)</f>
        <v>3125.2133333333331</v>
      </c>
      <c r="D78" s="810" t="s">
        <v>184</v>
      </c>
      <c r="E78" s="795"/>
      <c r="F78" s="649">
        <v>234391</v>
      </c>
      <c r="G78" s="187">
        <f>F78</f>
        <v>234391</v>
      </c>
      <c r="H78" s="187">
        <f>F78</f>
        <v>234391</v>
      </c>
      <c r="I78" s="33">
        <f>IF(F78-H78&lt;0,ERROR,F78-H78)</f>
        <v>0</v>
      </c>
      <c r="J78" s="15"/>
      <c r="K78" s="15"/>
      <c r="L78" s="15"/>
      <c r="M78" s="15"/>
      <c r="N78" s="15"/>
      <c r="O78" s="15"/>
      <c r="P78" s="15"/>
      <c r="Q78" s="15"/>
      <c r="R78" s="15"/>
    </row>
    <row r="79" spans="2:18">
      <c r="B79" s="104">
        <f>IF(F79=0,"",F79/Rents!$H$40)</f>
        <v>31.176635318704285</v>
      </c>
      <c r="C79" s="105">
        <f>IF(F79=0,"",F79/Rents!$G$40)</f>
        <v>19890.693333333333</v>
      </c>
      <c r="D79" s="810" t="s">
        <v>138</v>
      </c>
      <c r="E79" s="795"/>
      <c r="F79" s="649">
        <v>1491802</v>
      </c>
      <c r="G79" s="186"/>
      <c r="H79" s="186"/>
      <c r="I79" s="33">
        <f>IF(F79-H79&lt;0,ERROR,F79-H79)</f>
        <v>1491802</v>
      </c>
      <c r="J79" s="15"/>
      <c r="K79" s="15"/>
      <c r="L79" s="15"/>
      <c r="M79" s="15"/>
      <c r="N79" s="15"/>
      <c r="O79" s="15"/>
      <c r="P79" s="15"/>
      <c r="Q79" s="15"/>
      <c r="R79" s="15"/>
    </row>
    <row r="80" spans="2:18">
      <c r="B80" s="104" t="str">
        <f>IF(F80=0,"",F80/Rents!$H$40)</f>
        <v/>
      </c>
      <c r="C80" s="105" t="str">
        <f>IF(F80=0,"",F80/Rents!$G$40)</f>
        <v/>
      </c>
      <c r="D80" s="810"/>
      <c r="E80" s="795"/>
      <c r="F80" s="649"/>
      <c r="G80" s="186"/>
      <c r="H80" s="186"/>
      <c r="I80" s="33">
        <f>IF(F80-H80&lt;0,ERROR,F80-H80)</f>
        <v>0</v>
      </c>
      <c r="J80" s="63"/>
      <c r="K80" s="15"/>
      <c r="L80" s="15"/>
      <c r="M80" s="15"/>
      <c r="N80" s="15"/>
      <c r="O80" s="15"/>
      <c r="P80" s="15"/>
      <c r="Q80" s="15"/>
      <c r="R80" s="15"/>
    </row>
    <row r="81" spans="2:18" ht="17">
      <c r="B81" s="104">
        <f>IF(F81=0,"",F81/Rents!$H$40)</f>
        <v>63.729090909090921</v>
      </c>
      <c r="C81" s="105">
        <f>IF(F81=0,"",F81/Rents!$G$40)</f>
        <v>40659.160000000003</v>
      </c>
      <c r="D81" s="807" t="s">
        <v>185</v>
      </c>
      <c r="E81" s="799"/>
      <c r="F81" s="175">
        <f>'Interest Reserve'!D20</f>
        <v>3049437.0000000005</v>
      </c>
      <c r="G81" s="183"/>
      <c r="H81" s="192"/>
      <c r="I81" s="175">
        <f>IF(F81-H81&lt;0,ERROR,F81-H81)</f>
        <v>3049437.0000000005</v>
      </c>
      <c r="J81" s="15"/>
      <c r="K81" s="15"/>
      <c r="L81" s="15"/>
      <c r="M81" s="15"/>
      <c r="N81" s="15"/>
      <c r="O81" s="15"/>
      <c r="P81" s="15"/>
      <c r="Q81" s="15"/>
      <c r="R81" s="15"/>
    </row>
    <row r="82" spans="2:18">
      <c r="B82" s="162">
        <f>IF(F82=0,"",F82/Rents!$H$40)</f>
        <v>138.10645768025077</v>
      </c>
      <c r="C82" s="163">
        <f>IF(F82=0,"",F82/Rents!$G$40)</f>
        <v>88111.92</v>
      </c>
      <c r="D82" s="818" t="s">
        <v>186</v>
      </c>
      <c r="E82" s="819"/>
      <c r="F82" s="164">
        <f>SUM(F62:F81)</f>
        <v>6608394</v>
      </c>
      <c r="G82" s="164">
        <f>SUM(G62:G81)</f>
        <v>234391</v>
      </c>
      <c r="H82" s="164">
        <f>SUM(H62:H81)</f>
        <v>294391</v>
      </c>
      <c r="I82" s="164">
        <f>SUM(I62:I81)</f>
        <v>6314003</v>
      </c>
      <c r="J82" s="15"/>
      <c r="K82" s="15"/>
      <c r="L82" s="15"/>
      <c r="M82" s="15"/>
      <c r="N82" s="15"/>
      <c r="O82" s="15"/>
      <c r="P82" s="15"/>
      <c r="Q82" s="15"/>
      <c r="R82" s="15"/>
    </row>
    <row r="83" spans="2:18" ht="13.25" customHeight="1">
      <c r="B83" s="108">
        <f>IF(F83=0,"",F83/Rents!$H$40)</f>
        <v>1.7972831765935213</v>
      </c>
      <c r="C83" s="109">
        <f>IF(F83=0,"",F83/Rents!$G$40)</f>
        <v>1146.6666666666667</v>
      </c>
      <c r="D83" s="835" t="s">
        <v>187</v>
      </c>
      <c r="E83" s="836"/>
      <c r="F83" s="184">
        <v>86000</v>
      </c>
      <c r="G83" s="620">
        <v>0</v>
      </c>
      <c r="H83" s="185"/>
      <c r="I83" s="32">
        <f>IF(F83-H83&lt;0,ERROR,F83-H83)</f>
        <v>86000</v>
      </c>
      <c r="J83" s="15"/>
      <c r="K83" s="15"/>
      <c r="L83" s="15"/>
      <c r="M83" s="15"/>
      <c r="N83" s="15"/>
      <c r="O83" s="15"/>
      <c r="P83" s="15"/>
      <c r="Q83" s="15"/>
      <c r="R83" s="15"/>
    </row>
    <row r="84" spans="2:18" ht="13.25" customHeight="1">
      <c r="B84" s="104">
        <f>IF(F84=0,"",F84/Rents!$H$40)</f>
        <v>0.83594566353187039</v>
      </c>
      <c r="C84" s="105">
        <f>IF(F84=0,"",F84/Rents!$G$40)</f>
        <v>533.33333333333337</v>
      </c>
      <c r="D84" s="808" t="s">
        <v>188</v>
      </c>
      <c r="E84" s="809"/>
      <c r="F84" s="182">
        <v>40000</v>
      </c>
      <c r="G84" s="620">
        <v>0</v>
      </c>
      <c r="H84" s="186"/>
      <c r="I84" s="33">
        <f>IF(F84-H84&lt;0,ERROR,F84-H84)</f>
        <v>40000</v>
      </c>
      <c r="J84" s="63"/>
      <c r="K84" s="15"/>
      <c r="L84" s="15"/>
      <c r="M84" s="15"/>
      <c r="N84" s="15"/>
      <c r="O84" s="15"/>
      <c r="P84" s="15"/>
      <c r="Q84" s="15"/>
      <c r="R84" s="15"/>
    </row>
    <row r="85" spans="2:18" ht="13.25" customHeight="1">
      <c r="B85" s="104">
        <f>IF(F85=0,"",F85/Rents!$H$40)</f>
        <v>1.8808777429467085</v>
      </c>
      <c r="C85" s="105">
        <f>IF(F85=0,"",F85/Rents!$G$40)</f>
        <v>1200</v>
      </c>
      <c r="D85" s="808" t="s">
        <v>189</v>
      </c>
      <c r="E85" s="809"/>
      <c r="F85" s="182">
        <v>90000</v>
      </c>
      <c r="G85" s="620">
        <v>0</v>
      </c>
      <c r="H85" s="186"/>
      <c r="I85" s="33">
        <f>IF(F85-H85&lt;0,ERROR,F85-H85)</f>
        <v>90000</v>
      </c>
      <c r="J85" s="15"/>
      <c r="K85" s="15"/>
      <c r="L85" s="15"/>
      <c r="M85" s="123" t="s">
        <v>190</v>
      </c>
      <c r="N85" s="47"/>
      <c r="O85" s="47"/>
      <c r="P85" s="59"/>
      <c r="Q85" s="15"/>
      <c r="R85" s="15"/>
    </row>
    <row r="86" spans="2:18">
      <c r="B86" s="104">
        <f>IF(F86=0,"",F86/Rents!$H$40)</f>
        <v>2.089864158829676</v>
      </c>
      <c r="C86" s="105">
        <f>IF(F86=0,"",F86/Rents!$G$40)</f>
        <v>1333.3333333333333</v>
      </c>
      <c r="D86" s="808" t="s">
        <v>191</v>
      </c>
      <c r="E86" s="809"/>
      <c r="F86" s="182">
        <v>100000</v>
      </c>
      <c r="G86" s="187">
        <f>F86</f>
        <v>100000</v>
      </c>
      <c r="H86" s="186"/>
      <c r="I86" s="33">
        <f>IF(F86-H86&lt;0,ERROR,F86-H86)</f>
        <v>100000</v>
      </c>
      <c r="J86" s="15"/>
      <c r="K86" s="15"/>
      <c r="L86" s="15"/>
      <c r="M86" s="58"/>
      <c r="N86" s="167"/>
      <c r="O86" s="171" t="s">
        <v>192</v>
      </c>
      <c r="P86" s="168"/>
      <c r="Q86" s="15"/>
      <c r="R86" s="15"/>
    </row>
    <row r="87" spans="2:18" ht="13.25" customHeight="1">
      <c r="B87" s="104">
        <f>IF(F87=0,"",F87/Rents!$H$40)</f>
        <v>1.5573667711598747</v>
      </c>
      <c r="C87" s="105">
        <f>IF(F87=0,"",F87/Rents!$G$40)</f>
        <v>993.6</v>
      </c>
      <c r="D87" s="837" t="s">
        <v>193</v>
      </c>
      <c r="E87" s="838"/>
      <c r="F87" s="193">
        <v>74520</v>
      </c>
      <c r="G87" s="620">
        <v>0</v>
      </c>
      <c r="H87" s="194"/>
      <c r="I87" s="33">
        <f>IF(F87-H87&lt;0,ERROR,F87-H87)</f>
        <v>74520</v>
      </c>
      <c r="J87" s="15"/>
      <c r="K87" s="15"/>
      <c r="L87" s="15"/>
      <c r="M87" s="18" t="s">
        <v>194</v>
      </c>
      <c r="N87" s="15"/>
      <c r="O87" s="646"/>
      <c r="P87" s="37">
        <f>'Proforma - Base Year'!D66*(O87/12)</f>
        <v>0</v>
      </c>
      <c r="Q87" s="15"/>
      <c r="R87" s="15"/>
    </row>
    <row r="88" spans="2:18" ht="13.25" customHeight="1">
      <c r="B88" s="162">
        <f>IF(F88=0,"",F88/Rents!$H$40)</f>
        <v>8.1613375130616514</v>
      </c>
      <c r="C88" s="163">
        <f>IF(F88=0,"",F88/Rents!$G$40)</f>
        <v>5206.9333333333334</v>
      </c>
      <c r="D88" s="818" t="s">
        <v>195</v>
      </c>
      <c r="E88" s="819"/>
      <c r="F88" s="164">
        <f>SUM(F83:F87)</f>
        <v>390520</v>
      </c>
      <c r="G88" s="164">
        <f>SUM(G83:G87)</f>
        <v>100000</v>
      </c>
      <c r="H88" s="164">
        <f>SUM(H83:H87)</f>
        <v>0</v>
      </c>
      <c r="I88" s="164">
        <f>SUM(I83:I87)</f>
        <v>390520</v>
      </c>
      <c r="J88" s="15"/>
      <c r="K88" s="15"/>
      <c r="L88" s="15"/>
      <c r="M88" s="18" t="s">
        <v>196</v>
      </c>
      <c r="N88" s="15"/>
      <c r="O88" s="711"/>
      <c r="P88" s="37">
        <f>'Debt &amp; Valuation'!J27*(O88/12)</f>
        <v>0</v>
      </c>
      <c r="Q88" s="15"/>
      <c r="R88" s="15"/>
    </row>
    <row r="89" spans="2:18" ht="24" customHeight="1">
      <c r="B89" s="108" t="str">
        <f>IF(F89=0,"",F89/Rents!$H$40)</f>
        <v/>
      </c>
      <c r="C89" s="109" t="str">
        <f>IF(F89=0,"",F89/Rents!$G$40)</f>
        <v/>
      </c>
      <c r="D89" s="839" t="s">
        <v>197</v>
      </c>
      <c r="E89" s="840"/>
      <c r="F89" s="184"/>
      <c r="G89" s="620">
        <v>0</v>
      </c>
      <c r="H89" s="185"/>
      <c r="I89" s="32">
        <f>IF(F89-H89&lt;0,ERROR,F89-H89)</f>
        <v>0</v>
      </c>
      <c r="J89" s="15"/>
      <c r="K89" s="15"/>
      <c r="L89" s="15"/>
      <c r="M89" s="18" t="s">
        <v>198</v>
      </c>
      <c r="N89" s="15"/>
      <c r="O89" s="711">
        <v>0</v>
      </c>
      <c r="P89" s="37">
        <f>'Proforma - Base Year'!D68*(O89/12)</f>
        <v>0</v>
      </c>
      <c r="Q89" s="15"/>
      <c r="R89" s="15"/>
    </row>
    <row r="90" spans="2:18" ht="13.25" customHeight="1">
      <c r="B90" s="104">
        <f>IF(F90=0,"",F90/Rents!$H$40)</f>
        <v>0.71055381400208983</v>
      </c>
      <c r="C90" s="105">
        <f>IF(F90=0,"",F90/Rents!$G$40)</f>
        <v>453.33333333333331</v>
      </c>
      <c r="D90" s="805" t="s">
        <v>199</v>
      </c>
      <c r="E90" s="806"/>
      <c r="F90" s="182">
        <v>34000</v>
      </c>
      <c r="G90" s="620">
        <v>0</v>
      </c>
      <c r="H90" s="186"/>
      <c r="I90" s="33">
        <f>IF(F90-H90&lt;0,ERROR,F90-H90)</f>
        <v>34000</v>
      </c>
      <c r="J90" s="15"/>
      <c r="K90" s="15"/>
      <c r="L90" s="15"/>
      <c r="M90" s="38" t="s">
        <v>138</v>
      </c>
      <c r="N90" s="19"/>
      <c r="O90" s="196"/>
      <c r="P90" s="39"/>
      <c r="Q90" s="15"/>
      <c r="R90" s="15"/>
    </row>
    <row r="91" spans="2:18" ht="13.25" customHeight="1">
      <c r="B91" s="104">
        <f>IF(F91=0,"",F91/Rents!$H$40)</f>
        <v>8.2717450365726233</v>
      </c>
      <c r="C91" s="105">
        <f>IF(F91=0,"",F91/Rents!$G$40)</f>
        <v>5277.373333333333</v>
      </c>
      <c r="D91" s="805" t="s">
        <v>200</v>
      </c>
      <c r="E91" s="806"/>
      <c r="F91" s="182">
        <v>395803</v>
      </c>
      <c r="G91" s="620">
        <v>0</v>
      </c>
      <c r="H91" s="187">
        <f>F91</f>
        <v>395803</v>
      </c>
      <c r="I91" s="33">
        <f>IF(F91-H91&lt;0,ERROR,F91-H91)</f>
        <v>0</v>
      </c>
      <c r="J91" s="127" t="s">
        <v>201</v>
      </c>
      <c r="K91" s="15"/>
      <c r="L91" s="15"/>
      <c r="M91" s="157" t="s">
        <v>202</v>
      </c>
      <c r="N91" s="35"/>
      <c r="O91" s="35"/>
      <c r="P91" s="158">
        <f>SUM(P87:P90)</f>
        <v>0</v>
      </c>
      <c r="Q91" s="15"/>
      <c r="R91" s="15"/>
    </row>
    <row r="92" spans="2:18" ht="13.25" customHeight="1">
      <c r="B92" s="104">
        <f>IF(F92=0,"",F92/Rents!$H$40)</f>
        <v>2.5078369905956115</v>
      </c>
      <c r="C92" s="105">
        <f>IF(F92=0,"",F92/Rents!$G$40)</f>
        <v>1600</v>
      </c>
      <c r="D92" s="805" t="s">
        <v>203</v>
      </c>
      <c r="E92" s="806"/>
      <c r="F92" s="182">
        <v>120000</v>
      </c>
      <c r="G92" s="620">
        <v>0</v>
      </c>
      <c r="H92" s="186"/>
      <c r="I92" s="33">
        <f>IF(F92-H92&lt;0,ERROR,F92-H92)</f>
        <v>120000</v>
      </c>
      <c r="J92" s="15"/>
      <c r="K92" s="15"/>
      <c r="L92" s="15"/>
      <c r="M92" s="15"/>
      <c r="N92" s="15"/>
      <c r="O92" s="15"/>
      <c r="P92" s="15"/>
      <c r="Q92" s="15"/>
      <c r="R92" s="15"/>
    </row>
    <row r="93" spans="2:18" ht="13.25" customHeight="1">
      <c r="B93" s="104">
        <f>IF(F93=0,"",F93/Rents!$H$40)</f>
        <v>3.5527690700104495</v>
      </c>
      <c r="C93" s="105">
        <f>IF(F93=0,"",F93/Rents!$G$40)</f>
        <v>2266.6666666666665</v>
      </c>
      <c r="D93" s="805" t="s">
        <v>204</v>
      </c>
      <c r="E93" s="806"/>
      <c r="F93" s="182">
        <v>170000</v>
      </c>
      <c r="G93" s="620">
        <v>0</v>
      </c>
      <c r="H93" s="187">
        <f>F93</f>
        <v>170000</v>
      </c>
      <c r="I93" s="33">
        <f>IF(F93-H93&lt;0,ERROR,F93-H93)</f>
        <v>0</v>
      </c>
      <c r="J93" s="63"/>
      <c r="K93" s="15"/>
      <c r="L93" s="15"/>
      <c r="M93" s="123" t="s">
        <v>205</v>
      </c>
      <c r="N93" s="47"/>
      <c r="O93" s="47"/>
      <c r="P93" s="47"/>
      <c r="Q93" s="59"/>
      <c r="R93" s="15"/>
    </row>
    <row r="94" spans="2:18">
      <c r="B94" s="104" t="str">
        <f>IF(F94=0,"",F94/Rents!$H$40)</f>
        <v/>
      </c>
      <c r="C94" s="105" t="str">
        <f>IF(F94=0,"",F94/Rents!$G$40)</f>
        <v/>
      </c>
      <c r="D94" s="816" t="s">
        <v>206</v>
      </c>
      <c r="E94" s="817"/>
      <c r="F94" s="182"/>
      <c r="G94" s="620">
        <v>0</v>
      </c>
      <c r="H94" s="186"/>
      <c r="I94" s="33">
        <f>IF(F94-H94&lt;0,ERROR,F94-H94)</f>
        <v>0</v>
      </c>
      <c r="J94" s="15"/>
      <c r="K94" s="15"/>
      <c r="L94" s="15"/>
      <c r="M94" s="123" t="s">
        <v>207</v>
      </c>
      <c r="N94" s="61"/>
      <c r="O94" s="167"/>
      <c r="P94" s="171" t="s">
        <v>64</v>
      </c>
      <c r="Q94" s="172" t="s">
        <v>63</v>
      </c>
      <c r="R94" s="15"/>
    </row>
    <row r="95" spans="2:18" ht="13.25" customHeight="1">
      <c r="B95" s="162">
        <f>IF(F95=0,"",F95/Rents!$H$40)</f>
        <v>15.042904911180774</v>
      </c>
      <c r="C95" s="163">
        <f>IF(F95=0,"",F95/Rents!$G$40)</f>
        <v>9597.373333333333</v>
      </c>
      <c r="D95" s="818" t="s">
        <v>208</v>
      </c>
      <c r="E95" s="819"/>
      <c r="F95" s="164">
        <f>SUM(F89:F94)</f>
        <v>719803</v>
      </c>
      <c r="G95" s="164">
        <f>SUM(G89:G94)</f>
        <v>0</v>
      </c>
      <c r="H95" s="164">
        <f>SUM(H89:H94)</f>
        <v>565803</v>
      </c>
      <c r="I95" s="164">
        <f>SUM(I89:I94)</f>
        <v>154000</v>
      </c>
      <c r="J95" s="15">
        <f>F95/F35</f>
        <v>2.3819836484996127E-2</v>
      </c>
      <c r="K95" s="15"/>
      <c r="L95" s="15"/>
      <c r="M95" s="232" t="s">
        <v>209</v>
      </c>
      <c r="N95" s="237"/>
      <c r="O95" s="15"/>
      <c r="P95" s="195"/>
      <c r="Q95" s="62" t="str">
        <f t="shared" ref="Q95:Q101" si="0">IF(P95=0,"",P95/$P$101)</f>
        <v/>
      </c>
      <c r="R95" s="15"/>
    </row>
    <row r="96" spans="2:18">
      <c r="B96" s="108">
        <f>IF(F96=0,"",F96/Rents!$H$40)</f>
        <v>2.089864158829676</v>
      </c>
      <c r="C96" s="109">
        <f>IF(F96=0,"",F96/Rents!$G$40)</f>
        <v>1333.3333333333333</v>
      </c>
      <c r="D96" s="820" t="s">
        <v>210</v>
      </c>
      <c r="E96" s="821"/>
      <c r="F96" s="184">
        <v>100000</v>
      </c>
      <c r="G96" s="188"/>
      <c r="H96" s="184"/>
      <c r="I96" s="32">
        <f>IF(F96-H96&lt;0,ERROR,F96-H96)</f>
        <v>100000</v>
      </c>
      <c r="J96" s="15"/>
      <c r="K96" s="15"/>
      <c r="L96" s="15"/>
      <c r="M96" s="232" t="s">
        <v>60</v>
      </c>
      <c r="N96" s="223"/>
      <c r="O96" s="15"/>
      <c r="P96" s="195">
        <v>0</v>
      </c>
      <c r="Q96" s="62" t="str">
        <f t="shared" si="0"/>
        <v/>
      </c>
      <c r="R96" s="15"/>
    </row>
    <row r="97" spans="2:18" ht="13.25" customHeight="1">
      <c r="B97" s="104">
        <f>IF(F97=0,"",F97/Rents!$H$40)</f>
        <v>71.995820271682334</v>
      </c>
      <c r="C97" s="105">
        <f>IF(F97=0,"",F97/Rents!$G$40)</f>
        <v>45933.333333333336</v>
      </c>
      <c r="D97" s="822" t="s">
        <v>211</v>
      </c>
      <c r="E97" s="823"/>
      <c r="F97" s="182">
        <f>6.5%*53000000</f>
        <v>3445000</v>
      </c>
      <c r="G97" s="187">
        <f>F97</f>
        <v>3445000</v>
      </c>
      <c r="H97" s="187">
        <f>F97</f>
        <v>3445000</v>
      </c>
      <c r="I97" s="33">
        <f>IF(F97-H97&lt;0,ERROR,F97-H97)</f>
        <v>0</v>
      </c>
      <c r="J97" s="127" t="s">
        <v>201</v>
      </c>
      <c r="K97" s="15"/>
      <c r="L97" s="15"/>
      <c r="M97" s="232" t="s">
        <v>68</v>
      </c>
      <c r="N97" s="223"/>
      <c r="O97" s="15"/>
      <c r="P97" s="195">
        <f>P96</f>
        <v>0</v>
      </c>
      <c r="Q97" s="62" t="str">
        <f t="shared" si="0"/>
        <v/>
      </c>
      <c r="R97" s="15"/>
    </row>
    <row r="98" spans="2:18" ht="25.5" customHeight="1">
      <c r="B98" s="106">
        <f>IF(F98=0,"",F98/Rents!$H$40)</f>
        <v>74.085684430512018</v>
      </c>
      <c r="C98" s="107">
        <f>IF(F98=0,"",F98/Rents!$G$40)</f>
        <v>47266.666666666664</v>
      </c>
      <c r="D98" s="824" t="s">
        <v>212</v>
      </c>
      <c r="E98" s="825"/>
      <c r="F98" s="34">
        <f>SUM(F96:F97)</f>
        <v>3545000</v>
      </c>
      <c r="G98" s="34">
        <f>SUM(G96:G97)</f>
        <v>3445000</v>
      </c>
      <c r="H98" s="34">
        <f>SUM(H96:H97)</f>
        <v>3445000</v>
      </c>
      <c r="I98" s="34">
        <f>SUM(I96:I97)</f>
        <v>100000</v>
      </c>
      <c r="J98" s="15"/>
      <c r="K98" s="15"/>
      <c r="L98" s="15"/>
      <c r="M98" s="232" t="s">
        <v>50</v>
      </c>
      <c r="N98" s="223"/>
      <c r="O98" s="15"/>
      <c r="P98" s="122">
        <f>P101-P96-P97-P95-P99-P100</f>
        <v>3445000</v>
      </c>
      <c r="Q98" s="62">
        <f t="shared" si="0"/>
        <v>1</v>
      </c>
      <c r="R98" s="15"/>
    </row>
    <row r="99" spans="2:18">
      <c r="B99" s="159">
        <f>IF(F99=0,"",F99/Rents!$H$40)</f>
        <v>1162.3626507419017</v>
      </c>
      <c r="C99" s="160">
        <f>IF(F99=0,"",F99/Rents!$G$40)</f>
        <v>741587.37117333338</v>
      </c>
      <c r="D99" s="826" t="s">
        <v>213</v>
      </c>
      <c r="E99" s="827"/>
      <c r="F99" s="161">
        <f>F16+F20+F35+F61+F82+F88+F95+F98</f>
        <v>55619052.838</v>
      </c>
      <c r="G99" s="161">
        <f>G16+G20+G35+G61+G82+G88+G95+G98</f>
        <v>43816936.890000001</v>
      </c>
      <c r="H99" s="161">
        <f>H16+H20+H35+H61+H82+H88+H95+H98</f>
        <v>7817890.129999999</v>
      </c>
      <c r="I99" s="161">
        <f>I16+I20+I35+I61+I82+I88+I95+I98</f>
        <v>47801162.708000004</v>
      </c>
      <c r="J99" s="127" t="s">
        <v>214</v>
      </c>
      <c r="K99" s="57" t="s">
        <v>215</v>
      </c>
      <c r="L99" s="15"/>
      <c r="M99" s="233">
        <v>8609</v>
      </c>
      <c r="N99" s="223"/>
      <c r="O99" s="15"/>
      <c r="P99" s="195"/>
      <c r="Q99" s="62" t="str">
        <f t="shared" si="0"/>
        <v/>
      </c>
      <c r="R99" s="15"/>
    </row>
    <row r="100" spans="2:18">
      <c r="B100" s="15"/>
      <c r="C100" s="15"/>
      <c r="D100" s="15"/>
      <c r="E100" s="63"/>
      <c r="F100" s="63"/>
      <c r="H100" s="659"/>
      <c r="I100" s="63"/>
      <c r="J100" s="15"/>
      <c r="K100" s="714"/>
      <c r="L100" s="15"/>
      <c r="M100" s="232" t="s">
        <v>216</v>
      </c>
      <c r="N100" s="223"/>
      <c r="O100" s="15"/>
      <c r="P100" s="195">
        <v>0</v>
      </c>
      <c r="Q100" s="62" t="str">
        <f t="shared" si="0"/>
        <v/>
      </c>
      <c r="R100" s="15"/>
    </row>
    <row r="101" spans="2:18">
      <c r="B101" s="15"/>
      <c r="C101" s="15"/>
      <c r="D101" s="15"/>
      <c r="E101" s="63"/>
      <c r="F101" s="656"/>
      <c r="G101" s="669"/>
      <c r="H101" s="63"/>
      <c r="I101" s="656"/>
      <c r="J101" s="15"/>
      <c r="K101" s="714"/>
      <c r="L101" s="15"/>
      <c r="M101" s="123" t="s">
        <v>69</v>
      </c>
      <c r="N101" s="167"/>
      <c r="O101" s="167"/>
      <c r="P101" s="173">
        <f>F97</f>
        <v>3445000</v>
      </c>
      <c r="Q101" s="174">
        <f t="shared" si="0"/>
        <v>1</v>
      </c>
      <c r="R101" s="15"/>
    </row>
    <row r="102" spans="2:18">
      <c r="B102" s="123" t="s">
        <v>217</v>
      </c>
      <c r="C102" s="47"/>
      <c r="D102" s="47"/>
      <c r="E102" s="47"/>
      <c r="F102" s="47"/>
      <c r="G102" s="47"/>
      <c r="H102" s="47"/>
      <c r="I102" s="59"/>
      <c r="J102" s="15"/>
      <c r="K102" s="714"/>
      <c r="L102" s="15"/>
      <c r="M102" s="15"/>
      <c r="N102" s="15"/>
      <c r="O102" s="15"/>
      <c r="P102" s="15"/>
      <c r="Q102" s="15"/>
      <c r="R102" s="15"/>
    </row>
    <row r="103" spans="2:18">
      <c r="B103" s="828" t="s">
        <v>218</v>
      </c>
      <c r="C103" s="829"/>
      <c r="D103" s="320" t="s">
        <v>219</v>
      </c>
      <c r="E103" s="50" t="s">
        <v>220</v>
      </c>
      <c r="F103" s="50"/>
      <c r="G103" s="50"/>
      <c r="H103" s="50"/>
      <c r="I103" s="50" t="s">
        <v>64</v>
      </c>
      <c r="J103" s="683" t="s">
        <v>221</v>
      </c>
      <c r="K103" s="676"/>
      <c r="L103" s="15"/>
      <c r="M103" s="15"/>
      <c r="N103" s="15"/>
      <c r="O103" s="15"/>
      <c r="P103" s="15"/>
      <c r="Q103" s="15"/>
      <c r="R103" s="15"/>
    </row>
    <row r="104" spans="2:18">
      <c r="B104" s="236" t="s">
        <v>209</v>
      </c>
      <c r="C104" s="222"/>
      <c r="D104" s="15" t="s">
        <v>222</v>
      </c>
      <c r="E104" s="16"/>
      <c r="F104" s="16"/>
      <c r="G104" s="16"/>
      <c r="H104" s="16"/>
      <c r="I104" s="682">
        <v>35051000</v>
      </c>
      <c r="J104" s="684">
        <f>I104/F99</f>
        <v>0.6301977148386908</v>
      </c>
      <c r="L104" s="15"/>
      <c r="M104" s="15"/>
      <c r="N104" s="15"/>
      <c r="O104" s="15"/>
      <c r="P104" s="15"/>
      <c r="Q104" s="15"/>
      <c r="R104" s="15"/>
    </row>
    <row r="105" spans="2:18">
      <c r="B105" s="232" t="s">
        <v>60</v>
      </c>
      <c r="C105" s="223"/>
      <c r="D105" s="205" t="s">
        <v>223</v>
      </c>
      <c r="E105" s="205"/>
      <c r="F105" s="205"/>
      <c r="G105" s="205"/>
      <c r="H105" s="205"/>
      <c r="I105" s="182">
        <v>425000</v>
      </c>
      <c r="J105" s="660"/>
      <c r="K105" s="714"/>
      <c r="L105" s="15"/>
      <c r="M105" s="655"/>
      <c r="N105" s="15"/>
      <c r="O105" s="15"/>
      <c r="P105" s="15"/>
      <c r="Q105" s="15"/>
      <c r="R105" s="15"/>
    </row>
    <row r="106" spans="2:18">
      <c r="B106" s="232" t="s">
        <v>60</v>
      </c>
      <c r="C106" s="223"/>
      <c r="D106" s="205" t="s">
        <v>224</v>
      </c>
      <c r="E106" s="205"/>
      <c r="F106" s="205"/>
      <c r="G106" s="205"/>
      <c r="H106" s="205"/>
      <c r="I106" s="182">
        <v>750000</v>
      </c>
      <c r="P106" s="15"/>
      <c r="Q106" s="15"/>
      <c r="R106" s="15"/>
    </row>
    <row r="107" spans="2:18">
      <c r="B107" s="232" t="s">
        <v>60</v>
      </c>
      <c r="C107" s="223"/>
      <c r="D107" s="205" t="s">
        <v>225</v>
      </c>
      <c r="E107" s="205"/>
      <c r="F107" s="205"/>
      <c r="G107" s="205"/>
      <c r="H107" s="205"/>
      <c r="I107" s="182">
        <v>1500000</v>
      </c>
      <c r="J107" s="63"/>
      <c r="K107" s="714"/>
      <c r="L107" s="15"/>
      <c r="M107" s="15"/>
      <c r="N107" s="15"/>
      <c r="O107" s="15"/>
      <c r="P107" s="15"/>
      <c r="Q107" s="15"/>
      <c r="R107" s="15"/>
    </row>
    <row r="108" spans="2:18">
      <c r="B108" s="232" t="s">
        <v>209</v>
      </c>
      <c r="C108" s="223"/>
      <c r="D108" s="205" t="s">
        <v>226</v>
      </c>
      <c r="E108" s="205"/>
      <c r="F108" s="205"/>
      <c r="G108" s="205"/>
      <c r="H108" s="205"/>
      <c r="I108" s="182">
        <f>F48-'City Impact Fees'!H25</f>
        <v>3233857.3499999996</v>
      </c>
      <c r="K108" s="714"/>
      <c r="L108" s="15"/>
      <c r="M108" s="15"/>
      <c r="N108" s="15"/>
      <c r="O108" s="15"/>
      <c r="P108" s="15"/>
      <c r="Q108" s="15"/>
      <c r="R108" s="15"/>
    </row>
    <row r="109" spans="2:18">
      <c r="B109" s="232" t="s">
        <v>60</v>
      </c>
      <c r="C109" s="223"/>
      <c r="D109" s="205" t="s">
        <v>227</v>
      </c>
      <c r="E109" s="205"/>
      <c r="F109" s="205"/>
      <c r="G109" s="205"/>
      <c r="H109" s="205"/>
      <c r="I109" s="182">
        <v>1000000</v>
      </c>
      <c r="J109" s="15"/>
      <c r="K109" s="714"/>
      <c r="L109" s="15"/>
      <c r="M109" s="15"/>
      <c r="N109" s="15"/>
      <c r="O109" s="15"/>
      <c r="P109" s="15"/>
      <c r="Q109" s="15"/>
      <c r="R109" s="15"/>
    </row>
    <row r="110" spans="2:18">
      <c r="B110" s="232" t="s">
        <v>60</v>
      </c>
      <c r="C110" s="223"/>
      <c r="D110" s="205" t="s">
        <v>228</v>
      </c>
      <c r="E110" s="205"/>
      <c r="F110" s="205"/>
      <c r="G110" s="205"/>
      <c r="H110" s="205"/>
      <c r="I110" s="182">
        <v>121518</v>
      </c>
      <c r="J110" s="655" t="s">
        <v>229</v>
      </c>
      <c r="K110" s="714"/>
      <c r="L110" s="15"/>
      <c r="M110" s="15"/>
      <c r="N110" s="15"/>
      <c r="O110" s="15"/>
      <c r="P110" s="15"/>
      <c r="Q110" s="15"/>
      <c r="R110" s="15"/>
    </row>
    <row r="111" spans="2:18">
      <c r="B111" s="232" t="s">
        <v>60</v>
      </c>
      <c r="C111" s="223"/>
      <c r="D111" s="205" t="s">
        <v>230</v>
      </c>
      <c r="E111" s="205"/>
      <c r="F111" s="205"/>
      <c r="G111" s="205"/>
      <c r="H111" s="205"/>
      <c r="I111" s="187">
        <v>150000</v>
      </c>
      <c r="J111" s="655" t="s">
        <v>231</v>
      </c>
      <c r="K111" s="714"/>
      <c r="L111" s="15"/>
      <c r="M111" s="15"/>
      <c r="N111" s="15"/>
      <c r="O111" s="15"/>
      <c r="P111" s="15"/>
      <c r="Q111" s="15"/>
      <c r="R111" s="15"/>
    </row>
    <row r="112" spans="2:18">
      <c r="B112" s="232" t="s">
        <v>209</v>
      </c>
      <c r="C112" s="223"/>
      <c r="D112" s="205" t="s">
        <v>232</v>
      </c>
      <c r="E112" s="205"/>
      <c r="F112" s="205"/>
      <c r="G112" s="205"/>
      <c r="H112" s="205"/>
      <c r="I112" s="187">
        <f>H97</f>
        <v>3445000</v>
      </c>
      <c r="K112" s="714"/>
      <c r="L112" s="15"/>
      <c r="M112" s="15"/>
      <c r="N112" s="15"/>
      <c r="O112" s="15"/>
      <c r="P112" s="15"/>
      <c r="Q112" s="15"/>
      <c r="R112" s="15"/>
    </row>
    <row r="113" spans="2:18">
      <c r="B113" s="232" t="s">
        <v>60</v>
      </c>
      <c r="C113" s="223"/>
      <c r="D113" s="205" t="s">
        <v>70</v>
      </c>
      <c r="E113" s="205"/>
      <c r="F113" s="205"/>
      <c r="G113" s="205"/>
      <c r="H113" s="205"/>
      <c r="I113" s="187">
        <f>'Tax Credits'!F71</f>
        <v>2124787.5</v>
      </c>
      <c r="P113" s="15"/>
      <c r="Q113" s="15"/>
      <c r="R113" s="15"/>
    </row>
    <row r="114" spans="2:18">
      <c r="B114" s="232"/>
      <c r="C114" s="223"/>
      <c r="D114" s="205"/>
      <c r="E114" s="205"/>
      <c r="F114" s="205"/>
      <c r="G114" s="205"/>
      <c r="H114" s="205"/>
      <c r="I114" s="187"/>
      <c r="J114" s="63"/>
      <c r="K114" s="714"/>
      <c r="L114" s="15"/>
      <c r="M114" s="15"/>
      <c r="N114" s="15"/>
      <c r="O114" s="15"/>
      <c r="P114" s="15"/>
      <c r="Q114" s="15"/>
      <c r="R114" s="15"/>
    </row>
    <row r="115" spans="2:18">
      <c r="B115" s="232"/>
      <c r="C115" s="223"/>
      <c r="D115" s="205"/>
      <c r="E115" s="205"/>
      <c r="F115" s="205"/>
      <c r="G115" s="205"/>
      <c r="H115" s="205"/>
      <c r="I115" s="187"/>
      <c r="J115" s="63"/>
      <c r="K115" s="714"/>
      <c r="L115" s="15"/>
      <c r="M115" s="15"/>
      <c r="N115" s="15"/>
      <c r="O115" s="15"/>
      <c r="P115" s="15"/>
      <c r="Q115" s="15"/>
      <c r="R115" s="15"/>
    </row>
    <row r="116" spans="2:18">
      <c r="B116" s="232"/>
      <c r="C116" s="223"/>
      <c r="D116" s="205"/>
      <c r="E116" s="205"/>
      <c r="F116" s="205"/>
      <c r="G116" s="205"/>
      <c r="H116" s="205"/>
      <c r="I116" s="187"/>
      <c r="J116" s="15"/>
      <c r="K116" s="714"/>
      <c r="L116" s="15"/>
      <c r="M116" s="15"/>
      <c r="N116" s="15"/>
      <c r="O116" s="15"/>
      <c r="P116" s="15"/>
      <c r="Q116" s="15"/>
      <c r="R116" s="15"/>
    </row>
    <row r="117" spans="2:18">
      <c r="B117" s="123" t="s">
        <v>233</v>
      </c>
      <c r="C117" s="167"/>
      <c r="D117" s="167"/>
      <c r="E117" s="167"/>
      <c r="F117" s="167"/>
      <c r="G117" s="167"/>
      <c r="H117" s="167"/>
      <c r="I117" s="549">
        <f>SUM(I104:I116)</f>
        <v>47801162.850000001</v>
      </c>
      <c r="J117" s="127" t="s">
        <v>168</v>
      </c>
      <c r="K117" s="523" t="s">
        <v>234</v>
      </c>
      <c r="L117" s="15"/>
      <c r="M117" s="15"/>
      <c r="N117" s="15"/>
      <c r="O117" s="15"/>
      <c r="P117" s="15"/>
      <c r="Q117" s="15"/>
      <c r="R117" s="15"/>
    </row>
    <row r="118" spans="2:18">
      <c r="B118" s="50"/>
      <c r="C118" s="50"/>
      <c r="D118" s="50"/>
      <c r="E118" s="50"/>
      <c r="F118" s="50"/>
      <c r="G118" s="50"/>
      <c r="H118" s="50"/>
      <c r="I118" s="544"/>
      <c r="J118" s="127"/>
      <c r="K118" s="523"/>
      <c r="L118" s="15"/>
      <c r="M118" s="15"/>
      <c r="N118" s="15"/>
      <c r="O118" s="15"/>
      <c r="P118" s="15"/>
      <c r="Q118" s="15"/>
      <c r="R118" s="15"/>
    </row>
    <row r="119" spans="2:18">
      <c r="B119" s="546" t="str">
        <f>B117</f>
        <v>TOTAL SOURCES THROUGH CONSTRUCTION</v>
      </c>
      <c r="C119" s="547"/>
      <c r="D119" s="547"/>
      <c r="E119" s="547"/>
      <c r="F119" s="547"/>
      <c r="G119" s="547"/>
      <c r="H119" s="547"/>
      <c r="I119" s="548">
        <f>I117</f>
        <v>47801162.850000001</v>
      </c>
      <c r="J119" s="127"/>
      <c r="K119" s="523"/>
      <c r="L119" s="15"/>
      <c r="M119" s="15"/>
      <c r="N119" s="15"/>
      <c r="O119" s="15"/>
      <c r="P119" s="15"/>
      <c r="Q119" s="15"/>
      <c r="R119" s="15"/>
    </row>
    <row r="120" spans="2:18">
      <c r="B120" s="157" t="s">
        <v>235</v>
      </c>
      <c r="C120" s="35"/>
      <c r="D120" s="35"/>
      <c r="E120" s="35"/>
      <c r="F120" s="35"/>
      <c r="G120" s="35"/>
      <c r="H120" s="35"/>
      <c r="I120" s="228">
        <f>I99</f>
        <v>47801162.708000004</v>
      </c>
      <c r="J120" s="679"/>
      <c r="K120" s="523"/>
      <c r="L120" s="15"/>
      <c r="M120" s="15"/>
      <c r="N120" s="15"/>
      <c r="O120" s="15"/>
      <c r="P120" s="15"/>
      <c r="Q120" s="15"/>
      <c r="R120" s="15"/>
    </row>
    <row r="121" spans="2:18">
      <c r="B121" s="541" t="s">
        <v>236</v>
      </c>
      <c r="C121" s="542"/>
      <c r="D121" s="542"/>
      <c r="E121" s="542"/>
      <c r="F121" s="542"/>
      <c r="G121" s="542"/>
      <c r="H121" s="542"/>
      <c r="I121" s="543">
        <f>I119-I120</f>
        <v>0.1419999971985817</v>
      </c>
      <c r="J121" s="127" t="s">
        <v>168</v>
      </c>
      <c r="K121" s="523" t="s">
        <v>237</v>
      </c>
      <c r="L121" s="15"/>
      <c r="M121" s="15"/>
      <c r="N121" s="15"/>
      <c r="O121" s="15"/>
      <c r="P121" s="15"/>
      <c r="Q121" s="15"/>
      <c r="R121" s="15"/>
    </row>
    <row r="122" spans="2:18">
      <c r="B122" s="15"/>
      <c r="C122" s="15"/>
      <c r="D122" s="15"/>
      <c r="E122" s="15"/>
      <c r="F122" s="15"/>
      <c r="G122" s="15"/>
      <c r="H122" s="15"/>
      <c r="I122" s="15"/>
      <c r="J122" s="15"/>
      <c r="K122" s="712"/>
      <c r="L122" s="15"/>
      <c r="M122" s="15"/>
      <c r="N122" s="15"/>
      <c r="O122" s="15"/>
      <c r="P122" s="15"/>
      <c r="Q122" s="15"/>
      <c r="R122" s="15"/>
    </row>
    <row r="123" spans="2:18">
      <c r="B123" s="21"/>
      <c r="C123" s="21"/>
      <c r="D123" s="21"/>
      <c r="E123" s="21"/>
      <c r="F123" s="21"/>
      <c r="G123" s="21"/>
      <c r="H123" s="21"/>
      <c r="I123" s="21"/>
      <c r="J123" s="15"/>
      <c r="K123" s="712"/>
      <c r="L123" s="15"/>
      <c r="M123" s="15"/>
      <c r="N123" s="15"/>
      <c r="O123" s="15"/>
      <c r="P123" s="15"/>
      <c r="Q123" s="15"/>
      <c r="R123" s="15"/>
    </row>
    <row r="124" spans="2:18">
      <c r="B124" s="15"/>
      <c r="C124" s="15"/>
      <c r="D124" s="15"/>
      <c r="E124" s="15"/>
      <c r="F124" s="15"/>
      <c r="G124" s="15"/>
      <c r="H124" s="15"/>
      <c r="I124" s="15"/>
      <c r="J124" s="15"/>
      <c r="K124" s="714"/>
      <c r="L124" s="15"/>
      <c r="M124" s="15"/>
      <c r="N124" s="15"/>
      <c r="O124" s="15"/>
      <c r="P124" s="15"/>
      <c r="Q124" s="15"/>
      <c r="R124" s="15"/>
    </row>
    <row r="125" spans="2:18">
      <c r="B125" s="387" t="s">
        <v>238</v>
      </c>
      <c r="C125" s="388"/>
      <c r="D125" s="388"/>
      <c r="E125" s="388"/>
      <c r="F125" s="388"/>
      <c r="G125" s="388"/>
      <c r="H125" s="388"/>
      <c r="I125" s="389"/>
      <c r="J125" s="15"/>
      <c r="K125" s="714"/>
      <c r="L125" s="15"/>
      <c r="M125" s="15"/>
      <c r="N125" s="15"/>
      <c r="O125" s="15"/>
      <c r="P125" s="15"/>
      <c r="Q125" s="15"/>
      <c r="R125" s="15"/>
    </row>
    <row r="126" spans="2:18" ht="17" customHeight="1">
      <c r="B126" s="36"/>
      <c r="C126" s="16"/>
      <c r="D126" s="16"/>
      <c r="E126" s="17"/>
      <c r="F126" s="812" t="s">
        <v>239</v>
      </c>
      <c r="G126" s="716"/>
      <c r="H126" s="812" t="s">
        <v>240</v>
      </c>
      <c r="I126" s="814" t="s">
        <v>241</v>
      </c>
      <c r="J126" s="15"/>
      <c r="K126" s="714"/>
      <c r="L126" s="15"/>
      <c r="M126" s="15"/>
      <c r="N126" s="15"/>
      <c r="O126" s="15"/>
      <c r="P126" s="15"/>
      <c r="Q126" s="15"/>
      <c r="R126" s="15"/>
    </row>
    <row r="127" spans="2:18" ht="17" customHeight="1">
      <c r="B127" s="38" t="s">
        <v>115</v>
      </c>
      <c r="C127" s="19"/>
      <c r="D127" s="19"/>
      <c r="E127" s="39"/>
      <c r="F127" s="813"/>
      <c r="G127" s="717"/>
      <c r="H127" s="813"/>
      <c r="I127" s="815"/>
      <c r="J127" s="63"/>
      <c r="K127" s="714"/>
      <c r="L127" s="15"/>
      <c r="M127" s="15"/>
      <c r="N127" s="15"/>
      <c r="O127" s="15"/>
      <c r="P127" s="15"/>
      <c r="Q127" s="15"/>
      <c r="R127" s="15"/>
    </row>
    <row r="128" spans="2:18">
      <c r="B128" s="36"/>
      <c r="C128" s="16" t="str">
        <f>D78</f>
        <v>Soft Cost + HTF Interest</v>
      </c>
      <c r="D128" s="16"/>
      <c r="E128" s="16"/>
      <c r="F128" s="40">
        <f>H82</f>
        <v>294391</v>
      </c>
      <c r="G128" s="16"/>
      <c r="H128" s="230"/>
      <c r="I128" s="41">
        <f>IF(F128-H128&lt;0,"Error",F128-H128)</f>
        <v>294391</v>
      </c>
      <c r="J128" s="15"/>
      <c r="K128" s="714"/>
      <c r="L128" s="15"/>
      <c r="M128" s="15"/>
      <c r="N128" s="15"/>
      <c r="O128" s="15"/>
      <c r="P128" s="15"/>
      <c r="Q128" s="15"/>
      <c r="R128" s="15"/>
    </row>
    <row r="129" spans="2:18">
      <c r="B129" s="18"/>
      <c r="C129" s="15" t="str">
        <f>D91</f>
        <v>Operating Reserve</v>
      </c>
      <c r="D129" s="15"/>
      <c r="E129" s="15"/>
      <c r="F129" s="42">
        <f>H91</f>
        <v>395803</v>
      </c>
      <c r="G129" s="15"/>
      <c r="H129" s="205"/>
      <c r="I129" s="43">
        <f>IF(F129-H129&lt;0,"Error",F129-H129)</f>
        <v>395803</v>
      </c>
      <c r="J129" s="15"/>
      <c r="K129" s="714"/>
      <c r="L129" s="15"/>
      <c r="M129" s="15"/>
      <c r="N129" s="15"/>
      <c r="O129" s="15"/>
      <c r="P129" s="15"/>
      <c r="Q129" s="15"/>
      <c r="R129" s="15"/>
    </row>
    <row r="130" spans="2:18">
      <c r="B130" s="18"/>
      <c r="C130" s="15" t="str">
        <f>D93</f>
        <v>Transition Reserves</v>
      </c>
      <c r="D130" s="15"/>
      <c r="E130" s="15"/>
      <c r="F130" s="42">
        <f>H93</f>
        <v>170000</v>
      </c>
      <c r="G130" s="15"/>
      <c r="H130" s="205"/>
      <c r="I130" s="43">
        <f>IF(F130-H130&lt;0,"Error",F130-H130)</f>
        <v>170000</v>
      </c>
      <c r="J130" s="15"/>
      <c r="K130" s="714"/>
      <c r="L130" s="15"/>
      <c r="M130" s="15"/>
      <c r="N130" s="15"/>
      <c r="O130" s="15"/>
      <c r="P130" s="15"/>
      <c r="Q130" s="15"/>
      <c r="R130" s="15"/>
    </row>
    <row r="131" spans="2:18">
      <c r="B131" s="18"/>
      <c r="C131" s="44" t="str">
        <f>D97</f>
        <v>Developer Fees</v>
      </c>
      <c r="D131" s="15"/>
      <c r="E131" s="15"/>
      <c r="F131" s="42">
        <f>H97</f>
        <v>3445000</v>
      </c>
      <c r="G131" s="15"/>
      <c r="H131" s="205"/>
      <c r="I131" s="43">
        <f>IF(F131-H131&lt;0,"Error",F131-H131)</f>
        <v>3445000</v>
      </c>
      <c r="J131" s="63"/>
      <c r="K131" s="714"/>
      <c r="L131" s="15"/>
      <c r="M131" s="15"/>
      <c r="N131" s="15"/>
      <c r="O131" s="15"/>
      <c r="P131" s="15"/>
      <c r="Q131" s="15"/>
      <c r="R131" s="15"/>
    </row>
    <row r="132" spans="2:18">
      <c r="B132" s="18"/>
      <c r="C132" s="205" t="s">
        <v>242</v>
      </c>
      <c r="D132" s="205"/>
      <c r="E132" s="205"/>
      <c r="F132" s="187">
        <f>H48</f>
        <v>3512696.1299999994</v>
      </c>
      <c r="G132" s="205"/>
      <c r="H132" s="187"/>
      <c r="I132" s="43">
        <f>IF(F132-H132&lt;0,"Error",F132-H132)</f>
        <v>3512696.1299999994</v>
      </c>
      <c r="J132" s="15"/>
      <c r="K132" s="714"/>
      <c r="L132" s="15"/>
      <c r="M132" s="15"/>
      <c r="N132" s="15"/>
      <c r="O132" s="15"/>
      <c r="P132" s="15"/>
      <c r="Q132" s="15"/>
      <c r="R132" s="15"/>
    </row>
    <row r="133" spans="2:18">
      <c r="B133" s="18"/>
      <c r="C133" s="205"/>
      <c r="D133" s="205"/>
      <c r="E133" s="205"/>
      <c r="F133" s="186"/>
      <c r="G133" s="205"/>
      <c r="H133" s="205"/>
      <c r="I133" s="43">
        <f t="shared" ref="I133:I137" si="1">IF(F133-H133&lt;0,"Error",F133-H133)</f>
        <v>0</v>
      </c>
      <c r="J133" s="15"/>
      <c r="K133" s="714"/>
      <c r="L133" s="15"/>
      <c r="M133" s="15"/>
      <c r="N133" s="15"/>
      <c r="O133" s="15"/>
      <c r="P133" s="15"/>
      <c r="Q133" s="15"/>
      <c r="R133" s="15"/>
    </row>
    <row r="134" spans="2:18">
      <c r="B134" s="18"/>
      <c r="C134" s="205"/>
      <c r="D134" s="205"/>
      <c r="E134" s="205"/>
      <c r="F134" s="186"/>
      <c r="G134" s="205"/>
      <c r="H134" s="205"/>
      <c r="I134" s="43">
        <f t="shared" si="1"/>
        <v>0</v>
      </c>
      <c r="J134" s="63"/>
      <c r="K134" s="714"/>
      <c r="L134" s="15"/>
      <c r="M134" s="15"/>
      <c r="N134" s="15"/>
      <c r="O134" s="15"/>
      <c r="P134" s="15"/>
      <c r="Q134" s="15"/>
      <c r="R134" s="15"/>
    </row>
    <row r="135" spans="2:18">
      <c r="B135" s="18"/>
      <c r="C135" s="205"/>
      <c r="D135" s="205"/>
      <c r="E135" s="205"/>
      <c r="F135" s="186"/>
      <c r="G135" s="205"/>
      <c r="H135" s="205"/>
      <c r="I135" s="43">
        <f t="shared" si="1"/>
        <v>0</v>
      </c>
      <c r="J135" s="15"/>
      <c r="K135" s="714"/>
      <c r="L135" s="15"/>
      <c r="M135" s="15"/>
      <c r="N135" s="15"/>
      <c r="O135" s="15"/>
      <c r="P135" s="15"/>
      <c r="Q135" s="15"/>
      <c r="R135" s="15"/>
    </row>
    <row r="136" spans="2:18">
      <c r="B136" s="18"/>
      <c r="C136" s="205"/>
      <c r="D136" s="205"/>
      <c r="E136" s="205"/>
      <c r="F136" s="186"/>
      <c r="G136" s="205"/>
      <c r="H136" s="205"/>
      <c r="I136" s="43">
        <f t="shared" si="1"/>
        <v>0</v>
      </c>
      <c r="J136" s="63"/>
      <c r="K136" s="714"/>
      <c r="L136" s="15"/>
      <c r="M136" s="15"/>
      <c r="N136" s="15"/>
      <c r="O136" s="15"/>
      <c r="P136" s="15"/>
      <c r="Q136" s="15"/>
      <c r="R136" s="15"/>
    </row>
    <row r="137" spans="2:18">
      <c r="B137" s="38"/>
      <c r="C137" s="199"/>
      <c r="D137" s="199"/>
      <c r="E137" s="199"/>
      <c r="F137" s="229"/>
      <c r="G137" s="199"/>
      <c r="H137" s="199"/>
      <c r="I137" s="46">
        <f t="shared" si="1"/>
        <v>0</v>
      </c>
      <c r="J137" s="63"/>
      <c r="K137" s="714"/>
      <c r="L137" s="15"/>
      <c r="M137" s="15"/>
      <c r="N137" s="15"/>
      <c r="O137" s="15"/>
      <c r="P137" s="15"/>
      <c r="Q137" s="15"/>
      <c r="R137" s="15"/>
    </row>
    <row r="138" spans="2:18">
      <c r="B138" s="18"/>
      <c r="C138" s="15" t="s">
        <v>69</v>
      </c>
      <c r="D138" s="15"/>
      <c r="E138" s="15"/>
      <c r="F138" s="42">
        <f>SUM(F128:F137)</f>
        <v>7817890.129999999</v>
      </c>
      <c r="G138" s="15"/>
      <c r="H138" s="15">
        <f>SUM(H128:H137)</f>
        <v>0</v>
      </c>
      <c r="I138" s="42">
        <f>SUM(I128:I137)</f>
        <v>7817890.129999999</v>
      </c>
      <c r="J138" s="680"/>
      <c r="K138" s="714"/>
      <c r="L138" s="15"/>
      <c r="M138" s="15"/>
      <c r="N138" s="15"/>
      <c r="O138" s="15"/>
      <c r="P138" s="15"/>
      <c r="Q138" s="15"/>
      <c r="R138" s="15"/>
    </row>
    <row r="139" spans="2:18">
      <c r="B139" s="18"/>
      <c r="C139" s="15"/>
      <c r="D139" s="15"/>
      <c r="E139" s="15"/>
      <c r="F139" s="42"/>
      <c r="G139" s="15"/>
      <c r="H139" s="15"/>
      <c r="I139" s="45"/>
      <c r="J139" s="15"/>
      <c r="K139" s="714"/>
      <c r="L139" s="15"/>
      <c r="M139" s="15"/>
      <c r="N139" s="15"/>
      <c r="O139" s="15"/>
      <c r="P139" s="15"/>
      <c r="Q139" s="15"/>
      <c r="R139" s="15"/>
    </row>
    <row r="140" spans="2:18">
      <c r="B140" s="165" t="s">
        <v>243</v>
      </c>
      <c r="C140" s="50"/>
      <c r="D140" s="50"/>
      <c r="E140" s="50"/>
      <c r="F140" s="170"/>
      <c r="G140" s="50"/>
      <c r="H140" s="50"/>
      <c r="I140" s="169">
        <f>I104</f>
        <v>35051000</v>
      </c>
      <c r="J140" s="381"/>
      <c r="K140" s="712"/>
      <c r="M140" s="15"/>
      <c r="N140" s="15"/>
      <c r="O140" s="15"/>
      <c r="P140" s="15"/>
      <c r="Q140" s="15"/>
      <c r="R140" s="15"/>
    </row>
    <row r="141" spans="2:18">
      <c r="B141" s="336" t="s">
        <v>244</v>
      </c>
      <c r="C141" s="12"/>
      <c r="D141" s="12"/>
      <c r="E141" s="12"/>
      <c r="F141" s="12"/>
      <c r="G141" s="12"/>
      <c r="H141" s="167"/>
      <c r="I141" s="169">
        <f>SUM(I138:I140)</f>
        <v>42868890.129999995</v>
      </c>
      <c r="J141" s="127" t="s">
        <v>168</v>
      </c>
      <c r="K141" s="523" t="s">
        <v>245</v>
      </c>
      <c r="L141" s="15"/>
      <c r="M141" s="15"/>
      <c r="N141" s="15"/>
      <c r="O141" s="15"/>
      <c r="P141" s="15"/>
      <c r="Q141" s="15"/>
      <c r="R141" s="15"/>
    </row>
    <row r="142" spans="2:18">
      <c r="B142" s="15"/>
      <c r="C142" s="15"/>
      <c r="D142" s="15"/>
      <c r="E142" s="15"/>
      <c r="F142" s="15"/>
      <c r="G142" s="15"/>
      <c r="H142" s="15"/>
      <c r="I142" s="15"/>
      <c r="J142" s="15"/>
      <c r="K142" s="714"/>
      <c r="L142" s="15"/>
      <c r="M142" s="15"/>
      <c r="N142" s="15"/>
      <c r="O142" s="15"/>
      <c r="P142" s="15"/>
      <c r="Q142" s="15"/>
      <c r="R142" s="15"/>
    </row>
    <row r="143" spans="2:18">
      <c r="B143" s="123" t="s">
        <v>246</v>
      </c>
      <c r="C143" s="47"/>
      <c r="D143" s="47"/>
      <c r="E143" s="47"/>
      <c r="F143" s="47"/>
      <c r="G143" s="47"/>
      <c r="H143" s="47"/>
      <c r="I143" s="59"/>
      <c r="J143" s="15"/>
      <c r="K143" s="714"/>
      <c r="L143" s="15"/>
      <c r="M143" s="15"/>
      <c r="N143" s="15"/>
      <c r="O143" s="15"/>
      <c r="P143" s="15"/>
      <c r="Q143" s="15"/>
      <c r="R143" s="15"/>
    </row>
    <row r="144" spans="2:18">
      <c r="B144" s="123" t="s">
        <v>247</v>
      </c>
      <c r="C144" s="167"/>
      <c r="D144" s="167"/>
      <c r="E144" s="167"/>
      <c r="F144" s="167"/>
      <c r="G144" s="167"/>
      <c r="H144" s="167"/>
      <c r="I144" s="168" t="s">
        <v>64</v>
      </c>
      <c r="J144" s="15"/>
      <c r="K144" s="714"/>
      <c r="L144" s="15"/>
      <c r="M144" s="15"/>
      <c r="N144" s="15"/>
      <c r="O144" s="15"/>
      <c r="P144" s="15"/>
      <c r="Q144" s="15"/>
      <c r="R144" s="15"/>
    </row>
    <row r="145" spans="2:18">
      <c r="B145" s="36" t="s">
        <v>248</v>
      </c>
      <c r="C145" s="16"/>
      <c r="D145" s="16" t="s">
        <v>249</v>
      </c>
      <c r="E145" s="16"/>
      <c r="F145" s="16"/>
      <c r="G145" s="16"/>
      <c r="H145" s="16"/>
      <c r="I145" s="224">
        <f>'Debt &amp; Valuation'!D20</f>
        <v>1000000</v>
      </c>
      <c r="J145" s="15"/>
      <c r="K145" s="714"/>
      <c r="L145" s="15"/>
      <c r="M145" s="15"/>
      <c r="N145" s="15"/>
      <c r="O145" s="15"/>
      <c r="P145" s="15"/>
      <c r="Q145" s="15"/>
      <c r="R145" s="15"/>
    </row>
    <row r="146" spans="2:18">
      <c r="B146" s="18"/>
      <c r="C146" s="15"/>
      <c r="D146" s="15" t="s">
        <v>250</v>
      </c>
      <c r="E146" s="15"/>
      <c r="F146" s="15"/>
      <c r="G146" s="15"/>
      <c r="H146" s="15"/>
      <c r="I146" s="225">
        <f>'Debt &amp; Valuation'!F20</f>
        <v>0</v>
      </c>
      <c r="J146" s="15"/>
      <c r="K146" s="714"/>
      <c r="L146" s="15"/>
      <c r="M146" s="15"/>
      <c r="N146" s="15"/>
      <c r="O146" s="15"/>
      <c r="P146" s="15"/>
      <c r="Q146" s="15"/>
      <c r="R146" s="15"/>
    </row>
    <row r="147" spans="2:18">
      <c r="B147" s="123" t="s">
        <v>251</v>
      </c>
      <c r="C147" s="167"/>
      <c r="D147" s="167"/>
      <c r="E147" s="167"/>
      <c r="F147" s="167"/>
      <c r="G147" s="167"/>
      <c r="H147" s="167"/>
      <c r="I147" s="226">
        <f>SUM(I145:I146)</f>
        <v>1000000</v>
      </c>
      <c r="J147" s="15"/>
      <c r="K147" s="714"/>
      <c r="L147" s="15"/>
      <c r="M147" s="15"/>
      <c r="N147" s="15"/>
      <c r="O147" s="15"/>
      <c r="P147" s="15"/>
      <c r="Q147" s="15"/>
      <c r="R147" s="15"/>
    </row>
    <row r="148" spans="2:18">
      <c r="B148" s="18" t="s">
        <v>252</v>
      </c>
      <c r="C148" s="15"/>
      <c r="D148" s="205" t="str">
        <f>'Debt &amp; Valuation'!J19</f>
        <v>HCD - MHP</v>
      </c>
      <c r="E148" s="205"/>
      <c r="F148" s="205"/>
      <c r="G148" s="205"/>
      <c r="H148" s="205"/>
      <c r="I148" s="187">
        <f>'Debt &amp; Valuation'!J20</f>
        <v>9286282</v>
      </c>
      <c r="J148" s="15"/>
      <c r="K148" s="714"/>
      <c r="L148" s="15"/>
      <c r="M148" s="655" t="s">
        <v>253</v>
      </c>
      <c r="O148" s="15"/>
      <c r="P148" s="15"/>
      <c r="Q148" s="15"/>
      <c r="R148" s="15"/>
    </row>
    <row r="149" spans="2:18">
      <c r="B149" s="18"/>
      <c r="C149" s="15"/>
      <c r="D149" s="205" t="str">
        <f>'Debt &amp; Valuation'!H19</f>
        <v>HCD - AHSC</v>
      </c>
      <c r="E149" s="205"/>
      <c r="F149" s="205"/>
      <c r="G149" s="205"/>
      <c r="H149" s="205"/>
      <c r="I149" s="182">
        <f>'Debt &amp; Valuation'!H20</f>
        <v>13459521</v>
      </c>
      <c r="J149" s="15"/>
      <c r="K149" s="714"/>
      <c r="L149" s="15"/>
      <c r="M149" s="15" t="s">
        <v>254</v>
      </c>
      <c r="N149" s="15"/>
      <c r="O149" s="15"/>
      <c r="P149" s="15"/>
      <c r="Q149" s="15"/>
      <c r="R149" s="15"/>
    </row>
    <row r="150" spans="2:18">
      <c r="B150" s="38"/>
      <c r="C150" s="19"/>
      <c r="D150" s="199"/>
      <c r="E150" s="199"/>
      <c r="F150" s="199"/>
      <c r="G150" s="199"/>
      <c r="H150" s="199"/>
      <c r="I150" s="182"/>
      <c r="N150" s="15"/>
      <c r="O150" s="15"/>
      <c r="P150" s="15"/>
      <c r="Q150" s="15"/>
      <c r="R150" s="15"/>
    </row>
    <row r="151" spans="2:18">
      <c r="B151" s="123" t="s">
        <v>255</v>
      </c>
      <c r="C151" s="167"/>
      <c r="D151" s="167"/>
      <c r="E151" s="167"/>
      <c r="F151" s="167"/>
      <c r="G151" s="167"/>
      <c r="H151" s="167"/>
      <c r="I151" s="227">
        <f>SUM(I147:I149)</f>
        <v>23745803</v>
      </c>
      <c r="J151" s="15"/>
      <c r="K151" s="712"/>
      <c r="L151" s="15"/>
      <c r="M151" s="15"/>
      <c r="N151" s="15"/>
      <c r="O151" s="15"/>
      <c r="P151" s="15"/>
      <c r="Q151" s="15"/>
      <c r="R151" s="15"/>
    </row>
    <row r="152" spans="2:18">
      <c r="B152" s="18"/>
      <c r="C152" s="15"/>
      <c r="D152" s="15"/>
      <c r="E152" s="15"/>
      <c r="F152" s="15"/>
      <c r="G152" s="15"/>
      <c r="H152" s="15"/>
      <c r="I152" s="59"/>
      <c r="J152" s="15"/>
      <c r="K152" s="714"/>
      <c r="L152" s="15"/>
      <c r="M152" s="15"/>
      <c r="N152" s="15"/>
      <c r="O152" s="15"/>
      <c r="P152" s="15"/>
      <c r="Q152" s="15"/>
      <c r="R152" s="15"/>
    </row>
    <row r="153" spans="2:18">
      <c r="B153" s="123" t="s">
        <v>256</v>
      </c>
      <c r="C153" s="167"/>
      <c r="D153" s="167"/>
      <c r="E153" s="167"/>
      <c r="F153" s="167"/>
      <c r="G153" s="167"/>
      <c r="H153" s="167"/>
      <c r="I153" s="168"/>
      <c r="J153" s="15"/>
      <c r="K153" s="714"/>
      <c r="L153" s="15"/>
      <c r="M153" s="15"/>
      <c r="N153" s="15"/>
      <c r="O153" s="15"/>
      <c r="P153" s="15"/>
      <c r="Q153" s="15"/>
      <c r="R153" s="15"/>
    </row>
    <row r="154" spans="2:18">
      <c r="B154" s="123" t="s">
        <v>257</v>
      </c>
      <c r="C154" s="167"/>
      <c r="D154" s="123" t="s">
        <v>219</v>
      </c>
      <c r="E154" s="167"/>
      <c r="F154" s="167"/>
      <c r="G154" s="123" t="s">
        <v>258</v>
      </c>
      <c r="H154" s="168"/>
      <c r="I154" s="168" t="s">
        <v>64</v>
      </c>
      <c r="J154" s="15"/>
      <c r="K154" s="714"/>
      <c r="L154" s="15"/>
      <c r="M154" s="15"/>
      <c r="N154" s="15"/>
      <c r="O154" s="15"/>
      <c r="P154" s="15"/>
      <c r="Q154" s="15"/>
      <c r="R154" s="15"/>
    </row>
    <row r="155" spans="2:18">
      <c r="B155" s="832" t="s">
        <v>50</v>
      </c>
      <c r="C155" s="833"/>
      <c r="D155" s="231" t="s">
        <v>70</v>
      </c>
      <c r="E155" s="205"/>
      <c r="F155" s="205"/>
      <c r="G155" s="233"/>
      <c r="H155" s="205"/>
      <c r="I155" s="182">
        <f>'Tax Credits'!F74</f>
        <v>18910608.75</v>
      </c>
      <c r="J155" s="15"/>
      <c r="K155" s="714"/>
      <c r="L155" s="15"/>
      <c r="M155" s="15"/>
      <c r="N155" s="15"/>
      <c r="O155" s="15"/>
      <c r="P155" s="15"/>
      <c r="Q155" s="15"/>
      <c r="R155" s="15"/>
    </row>
    <row r="156" spans="2:18">
      <c r="B156" s="834">
        <v>8609</v>
      </c>
      <c r="C156" s="741"/>
      <c r="D156" s="231" t="s">
        <v>70</v>
      </c>
      <c r="E156" s="205"/>
      <c r="F156" s="205"/>
      <c r="G156" s="232"/>
      <c r="H156" s="205"/>
      <c r="I156" s="182">
        <f>'Tax Credits'!F75</f>
        <v>212478.75</v>
      </c>
      <c r="J156" s="63"/>
      <c r="K156" s="714"/>
      <c r="L156" s="15"/>
      <c r="M156" s="15"/>
      <c r="N156" s="15"/>
      <c r="O156" s="15"/>
      <c r="P156" s="15"/>
      <c r="Q156" s="15"/>
      <c r="R156" s="15"/>
    </row>
    <row r="157" spans="2:18">
      <c r="B157" s="811"/>
      <c r="C157" s="811"/>
      <c r="D157" s="231"/>
      <c r="E157" s="205"/>
      <c r="F157" s="205"/>
      <c r="G157" s="233"/>
      <c r="H157" s="205"/>
      <c r="I157" s="182"/>
      <c r="J157" s="15"/>
      <c r="K157" s="714"/>
      <c r="L157" s="15"/>
      <c r="M157" s="15"/>
      <c r="N157" s="15"/>
      <c r="O157" s="15"/>
      <c r="P157" s="15"/>
      <c r="Q157" s="15"/>
      <c r="R157" s="15"/>
    </row>
    <row r="158" spans="2:18">
      <c r="B158" s="811"/>
      <c r="C158" s="811"/>
      <c r="D158" s="205"/>
      <c r="E158" s="205"/>
      <c r="F158" s="205"/>
      <c r="G158" s="233"/>
      <c r="H158" s="205"/>
      <c r="I158" s="182"/>
      <c r="J158" s="15"/>
      <c r="K158" s="714"/>
      <c r="L158" s="15"/>
      <c r="M158" s="15"/>
      <c r="N158" s="15"/>
      <c r="O158" s="15"/>
      <c r="P158" s="15"/>
      <c r="Q158" s="15"/>
      <c r="R158" s="15"/>
    </row>
    <row r="159" spans="2:18">
      <c r="B159" s="811"/>
      <c r="C159" s="811"/>
      <c r="D159" s="205"/>
      <c r="E159" s="205"/>
      <c r="F159" s="205"/>
      <c r="G159" s="234"/>
      <c r="H159" s="205"/>
      <c r="I159" s="235"/>
      <c r="J159" s="15"/>
      <c r="K159" s="714"/>
      <c r="L159" s="15"/>
      <c r="M159" s="15"/>
      <c r="N159" s="15"/>
      <c r="O159" s="15"/>
      <c r="P159" s="15"/>
      <c r="Q159" s="15"/>
      <c r="R159" s="15"/>
    </row>
    <row r="160" spans="2:18">
      <c r="B160" s="336" t="s">
        <v>259</v>
      </c>
      <c r="C160" s="120"/>
      <c r="D160" s="120"/>
      <c r="E160" s="120"/>
      <c r="F160" s="47"/>
      <c r="G160" s="47"/>
      <c r="H160" s="59"/>
      <c r="I160" s="227">
        <f>I151+SUM(I155:I159)</f>
        <v>42868890.5</v>
      </c>
      <c r="J160" s="127" t="s">
        <v>168</v>
      </c>
      <c r="K160" s="523" t="s">
        <v>260</v>
      </c>
      <c r="L160" s="15"/>
      <c r="M160" s="15"/>
      <c r="N160" s="15"/>
      <c r="O160" s="15"/>
      <c r="P160" s="15"/>
      <c r="Q160" s="15"/>
      <c r="R160" s="15"/>
    </row>
    <row r="161" spans="2:18">
      <c r="B161" s="527"/>
      <c r="C161" s="528"/>
      <c r="D161" s="528"/>
      <c r="E161" s="528"/>
      <c r="F161" s="15"/>
      <c r="G161" s="15"/>
      <c r="H161" s="15"/>
      <c r="I161" s="332"/>
      <c r="J161" s="127"/>
      <c r="K161" s="523"/>
      <c r="L161" s="15"/>
      <c r="M161" s="15"/>
      <c r="N161" s="15"/>
      <c r="O161" s="15"/>
      <c r="P161" s="15"/>
      <c r="Q161" s="15"/>
      <c r="R161" s="15"/>
    </row>
    <row r="162" spans="2:18">
      <c r="B162" s="529" t="str">
        <f>B160</f>
        <v>TOTAL SOURCES AFTER COMPLETION THROUGH CONVERSION</v>
      </c>
      <c r="C162" s="526"/>
      <c r="D162" s="526"/>
      <c r="E162" s="526"/>
      <c r="F162" s="16"/>
      <c r="G162" s="16"/>
      <c r="H162" s="16"/>
      <c r="I162" s="531">
        <f>I160</f>
        <v>42868890.5</v>
      </c>
      <c r="J162" s="127"/>
      <c r="K162" s="523"/>
      <c r="L162" s="15"/>
      <c r="M162" s="15"/>
      <c r="N162" s="15"/>
      <c r="O162" s="15"/>
      <c r="P162" s="15"/>
      <c r="Q162" s="15"/>
      <c r="R162" s="15"/>
    </row>
    <row r="163" spans="2:18">
      <c r="B163" s="530" t="str">
        <f>"(-)  "&amp;B141</f>
        <v>(-)  TOTAL USES AT COMPLETION THROUGH CONVERSION</v>
      </c>
      <c r="C163" s="528"/>
      <c r="D163" s="528"/>
      <c r="E163" s="528"/>
      <c r="F163" s="15"/>
      <c r="G163" s="15"/>
      <c r="H163" s="15"/>
      <c r="I163" s="169">
        <f>I141</f>
        <v>42868890.129999995</v>
      </c>
      <c r="J163" s="679"/>
      <c r="K163" s="523"/>
      <c r="L163" s="15"/>
      <c r="M163" s="15"/>
      <c r="N163" s="15"/>
      <c r="O163" s="15"/>
      <c r="P163" s="15"/>
      <c r="Q163" s="15"/>
      <c r="R163" s="15"/>
    </row>
    <row r="164" spans="2:18">
      <c r="B164" s="124" t="s">
        <v>261</v>
      </c>
      <c r="C164" s="125"/>
      <c r="D164" s="125"/>
      <c r="E164" s="125"/>
      <c r="F164" s="125"/>
      <c r="G164" s="125"/>
      <c r="H164" s="125"/>
      <c r="I164" s="126">
        <f>I160-I141</f>
        <v>0.37000000476837158</v>
      </c>
      <c r="J164" s="127" t="s">
        <v>168</v>
      </c>
      <c r="K164" s="523" t="s">
        <v>262</v>
      </c>
      <c r="L164" s="15"/>
      <c r="M164" s="15"/>
      <c r="N164" s="15"/>
      <c r="O164" s="15"/>
      <c r="P164" s="15"/>
      <c r="Q164" s="15"/>
      <c r="R164" s="15"/>
    </row>
    <row r="165" spans="2:18">
      <c r="B165" s="15"/>
      <c r="C165" s="15"/>
      <c r="D165" s="15"/>
      <c r="E165" s="15"/>
      <c r="F165" s="15"/>
      <c r="G165" s="15"/>
      <c r="H165" s="15"/>
      <c r="I165" s="15"/>
      <c r="J165" s="15"/>
      <c r="K165" s="15"/>
      <c r="L165" s="15"/>
      <c r="M165" s="15"/>
      <c r="N165" s="15"/>
      <c r="O165" s="15"/>
      <c r="P165" s="15"/>
      <c r="Q165" s="15"/>
      <c r="R165" s="15"/>
    </row>
    <row r="166" spans="2:18" s="15" customFormat="1"/>
    <row r="167" spans="2:18" s="15" customFormat="1"/>
    <row r="168" spans="2:18" s="15" customFormat="1">
      <c r="I168" s="63"/>
    </row>
    <row r="169" spans="2:18" s="15" customFormat="1"/>
    <row r="170" spans="2:18" s="15" customFormat="1"/>
    <row r="171" spans="2:18" s="15" customFormat="1"/>
    <row r="172" spans="2:18" s="15" customFormat="1"/>
    <row r="173" spans="2:18" s="15" customFormat="1"/>
    <row r="174" spans="2:18" s="15" customFormat="1"/>
    <row r="175" spans="2:18" s="15" customFormat="1"/>
    <row r="176" spans="2:18" s="15" customFormat="1"/>
    <row r="177" s="15" customFormat="1"/>
    <row r="178" s="15" customFormat="1"/>
    <row r="179" s="15" customFormat="1"/>
    <row r="180" s="15" customFormat="1"/>
    <row r="181" s="15" customFormat="1"/>
    <row r="182" s="15" customFormat="1"/>
    <row r="183" s="15" customFormat="1"/>
    <row r="184" s="15" customFormat="1"/>
    <row r="185" s="15" customFormat="1"/>
    <row r="186" s="15" customFormat="1"/>
    <row r="187" s="15" customFormat="1"/>
    <row r="188" s="15" customFormat="1"/>
    <row r="189" s="15" customFormat="1"/>
    <row r="190" s="15" customFormat="1"/>
    <row r="191" s="15" customFormat="1"/>
    <row r="192" s="15" customFormat="1"/>
    <row r="193" s="15" customFormat="1"/>
    <row r="194" s="15" customFormat="1"/>
    <row r="195" s="15" customFormat="1"/>
    <row r="196" s="15" customFormat="1"/>
    <row r="197" s="15" customFormat="1"/>
    <row r="198" s="15" customFormat="1"/>
    <row r="199" s="15" customFormat="1"/>
    <row r="200" s="15" customFormat="1"/>
    <row r="201" s="15" customFormat="1"/>
    <row r="202" s="15" customFormat="1"/>
    <row r="203" s="15" customFormat="1"/>
    <row r="204" s="15" customFormat="1"/>
    <row r="205" s="15" customFormat="1"/>
    <row r="206" s="15" customFormat="1"/>
    <row r="207" s="15" customFormat="1"/>
    <row r="208" s="15" customFormat="1"/>
    <row r="209" s="15" customFormat="1"/>
    <row r="210" s="15" customFormat="1"/>
    <row r="211" s="15" customFormat="1"/>
    <row r="212" s="15" customFormat="1"/>
    <row r="213" s="15" customFormat="1"/>
    <row r="214" s="15" customFormat="1"/>
    <row r="215" s="15" customFormat="1"/>
    <row r="216" s="15" customFormat="1"/>
    <row r="217" s="15" customFormat="1"/>
    <row r="218" s="15" customFormat="1"/>
    <row r="219" s="15" customFormat="1"/>
    <row r="220" s="15" customFormat="1"/>
    <row r="221" s="15" customFormat="1"/>
    <row r="222" s="15" customFormat="1"/>
    <row r="223" s="15" customFormat="1"/>
    <row r="224" s="15" customFormat="1"/>
    <row r="225" s="15" customFormat="1"/>
    <row r="226" s="15" customFormat="1"/>
    <row r="227" s="15" customFormat="1"/>
    <row r="228" s="15" customFormat="1"/>
    <row r="229" s="15" customFormat="1"/>
    <row r="230" s="15" customFormat="1"/>
    <row r="231" s="15" customFormat="1"/>
    <row r="232" s="15" customFormat="1"/>
    <row r="233" s="15" customFormat="1"/>
    <row r="234" s="15" customFormat="1"/>
    <row r="235" s="15" customFormat="1"/>
    <row r="236" s="15" customFormat="1"/>
    <row r="237" s="15" customFormat="1"/>
    <row r="238" s="15" customFormat="1"/>
    <row r="239" s="15" customFormat="1"/>
    <row r="240" s="15" customFormat="1"/>
    <row r="241" s="15" customFormat="1"/>
    <row r="242" s="15" customFormat="1"/>
    <row r="243" s="15" customFormat="1"/>
    <row r="244" s="15" customFormat="1"/>
    <row r="245" s="15" customFormat="1"/>
    <row r="246" s="15" customFormat="1"/>
    <row r="247" s="15" customFormat="1"/>
    <row r="248" s="15" customFormat="1"/>
    <row r="249" s="15" customFormat="1"/>
    <row r="250" s="15" customFormat="1"/>
    <row r="251" s="15" customFormat="1"/>
    <row r="252" s="15" customFormat="1"/>
    <row r="253" s="15" customFormat="1"/>
    <row r="254" s="15" customFormat="1"/>
    <row r="255" s="15" customFormat="1"/>
    <row r="256" s="15" customFormat="1"/>
    <row r="257" s="15" customFormat="1"/>
    <row r="258" s="15" customFormat="1"/>
    <row r="259" s="15" customFormat="1"/>
    <row r="260" s="15" customFormat="1"/>
    <row r="261" s="15" customFormat="1"/>
    <row r="262" s="15" customFormat="1"/>
    <row r="263" s="15" customFormat="1"/>
    <row r="264" s="15" customFormat="1"/>
    <row r="265" s="15" customFormat="1"/>
    <row r="266" s="15" customFormat="1"/>
    <row r="267" s="15" customFormat="1"/>
    <row r="268" s="15" customFormat="1"/>
    <row r="269" s="15" customFormat="1"/>
    <row r="270" s="15" customFormat="1"/>
    <row r="271" s="15" customFormat="1"/>
    <row r="272" s="15" customFormat="1"/>
    <row r="273" s="15" customFormat="1"/>
    <row r="274" s="15" customFormat="1"/>
    <row r="275" s="15" customFormat="1"/>
    <row r="276" s="15" customFormat="1"/>
    <row r="277" s="15" customFormat="1"/>
    <row r="278" s="15" customFormat="1"/>
    <row r="279" s="15" customFormat="1"/>
    <row r="280" s="15" customFormat="1"/>
    <row r="281" s="15" customFormat="1"/>
    <row r="282" s="15" customFormat="1"/>
    <row r="283" s="15" customFormat="1"/>
    <row r="284" s="15" customFormat="1"/>
    <row r="285" s="15" customFormat="1"/>
    <row r="286" s="15" customFormat="1"/>
    <row r="287" s="15" customFormat="1"/>
    <row r="288" s="15" customFormat="1"/>
    <row r="289" s="15" customFormat="1"/>
    <row r="290" s="15" customFormat="1"/>
    <row r="291" s="15" customFormat="1"/>
    <row r="292" s="15" customFormat="1"/>
    <row r="293" s="15" customFormat="1"/>
    <row r="294" s="15" customFormat="1"/>
    <row r="295" s="15" customFormat="1"/>
    <row r="296" s="15" customFormat="1"/>
    <row r="297" s="15" customFormat="1"/>
    <row r="298" s="15" customFormat="1"/>
    <row r="299" s="15" customFormat="1"/>
    <row r="300" s="15" customFormat="1"/>
    <row r="301" s="15" customFormat="1"/>
    <row r="302" s="15" customFormat="1"/>
    <row r="303" s="15" customFormat="1"/>
    <row r="304" s="15" customFormat="1"/>
    <row r="305" s="15" customFormat="1"/>
    <row r="306" s="15" customFormat="1"/>
    <row r="307" s="15" customFormat="1"/>
    <row r="308" s="15" customFormat="1"/>
    <row r="309" s="15" customFormat="1"/>
    <row r="310" s="15" customFormat="1"/>
    <row r="311" s="15" customFormat="1"/>
    <row r="312" s="15" customFormat="1"/>
    <row r="313" s="15" customFormat="1"/>
    <row r="314" s="15" customFormat="1"/>
    <row r="315" s="15" customFormat="1"/>
    <row r="316" s="15" customFormat="1"/>
    <row r="317" s="15" customFormat="1"/>
    <row r="318" s="15" customFormat="1"/>
    <row r="319" s="15" customFormat="1"/>
    <row r="320" s="15" customFormat="1"/>
    <row r="321" s="15" customFormat="1"/>
    <row r="322" s="15" customFormat="1"/>
    <row r="323" s="15" customFormat="1"/>
    <row r="324" s="15" customFormat="1"/>
    <row r="325" s="15" customFormat="1"/>
    <row r="326" s="15" customFormat="1"/>
    <row r="327" s="15" customFormat="1"/>
    <row r="328" s="15" customFormat="1"/>
    <row r="329" s="15" customFormat="1"/>
    <row r="330" s="15" customFormat="1"/>
    <row r="331" s="15" customFormat="1"/>
    <row r="332" s="15" customFormat="1"/>
    <row r="333" s="15" customFormat="1"/>
    <row r="334" s="15" customFormat="1"/>
    <row r="335" s="15" customFormat="1"/>
    <row r="336" s="15" customFormat="1"/>
    <row r="337" s="15" customFormat="1"/>
    <row r="338" s="15" customFormat="1"/>
    <row r="339" s="15" customFormat="1"/>
    <row r="340" s="15" customFormat="1"/>
    <row r="341" s="15" customFormat="1"/>
    <row r="342" s="15" customFormat="1"/>
    <row r="343" s="15" customFormat="1"/>
    <row r="344" s="15" customFormat="1"/>
    <row r="345" s="15" customFormat="1"/>
    <row r="346" s="15" customFormat="1"/>
    <row r="347" s="15" customFormat="1"/>
    <row r="348" s="15" customFormat="1"/>
    <row r="349" s="15" customFormat="1"/>
    <row r="350" s="15" customFormat="1"/>
    <row r="351" s="15" customFormat="1"/>
    <row r="352" s="15" customFormat="1"/>
    <row r="353" s="15" customFormat="1"/>
    <row r="354" s="15" customFormat="1"/>
    <row r="355" s="15" customFormat="1"/>
    <row r="356" s="15" customFormat="1"/>
    <row r="357" s="15" customFormat="1"/>
    <row r="358" s="15" customFormat="1"/>
    <row r="359" s="15" customFormat="1"/>
    <row r="360" s="15" customFormat="1"/>
    <row r="361" s="15" customFormat="1"/>
    <row r="362" s="15" customFormat="1"/>
    <row r="363" s="15" customFormat="1"/>
    <row r="364" s="15" customFormat="1"/>
    <row r="365" s="15" customFormat="1"/>
    <row r="366" s="15" customFormat="1"/>
    <row r="367" s="15" customFormat="1"/>
    <row r="368" s="15" customFormat="1"/>
    <row r="369" s="15" customFormat="1"/>
    <row r="370" s="15" customFormat="1"/>
    <row r="371" s="15" customFormat="1"/>
    <row r="372" s="15" customFormat="1"/>
    <row r="373" s="15" customFormat="1"/>
    <row r="374" s="15" customFormat="1"/>
    <row r="375" s="15" customFormat="1"/>
    <row r="376" s="15" customFormat="1"/>
    <row r="377" s="15" customFormat="1"/>
    <row r="378" s="15" customFormat="1"/>
    <row r="379" s="15" customFormat="1"/>
    <row r="380" s="15" customFormat="1"/>
    <row r="381" s="15" customFormat="1"/>
    <row r="382" s="15" customFormat="1"/>
    <row r="383" s="15" customFormat="1"/>
    <row r="384" s="15" customFormat="1"/>
    <row r="385" s="15" customFormat="1"/>
    <row r="386" s="15" customFormat="1"/>
    <row r="387" s="15" customFormat="1"/>
    <row r="388" s="15" customFormat="1"/>
    <row r="389" s="15" customFormat="1"/>
    <row r="390" s="15" customFormat="1"/>
    <row r="391" s="15" customFormat="1"/>
    <row r="392" s="15" customFormat="1"/>
    <row r="393" s="15" customFormat="1"/>
    <row r="394" s="15" customFormat="1"/>
    <row r="395" s="15" customFormat="1"/>
    <row r="396" s="15" customFormat="1"/>
    <row r="397" s="15" customFormat="1"/>
    <row r="398" s="15" customFormat="1"/>
    <row r="399" s="15" customFormat="1"/>
    <row r="400" s="15" customFormat="1"/>
    <row r="401" s="15" customFormat="1"/>
    <row r="402" s="15" customFormat="1"/>
    <row r="403" s="15" customFormat="1"/>
    <row r="404" s="15" customFormat="1"/>
    <row r="405" s="15" customFormat="1"/>
    <row r="406" s="15" customFormat="1"/>
    <row r="407" s="15" customFormat="1"/>
    <row r="408" s="15" customFormat="1"/>
    <row r="409" s="15" customFormat="1"/>
    <row r="410" s="15" customFormat="1"/>
    <row r="411" s="15" customFormat="1"/>
    <row r="412" s="15" customFormat="1"/>
    <row r="413" s="15" customFormat="1"/>
    <row r="414" s="15" customFormat="1"/>
    <row r="415" s="15" customFormat="1"/>
    <row r="416" s="15" customFormat="1"/>
    <row r="417" s="15" customFormat="1"/>
    <row r="418" s="15" customFormat="1"/>
    <row r="419" s="15" customFormat="1"/>
    <row r="420" s="15" customFormat="1"/>
    <row r="421" s="15" customFormat="1"/>
    <row r="422" s="15" customFormat="1"/>
    <row r="423" s="15" customFormat="1"/>
    <row r="424" s="15" customFormat="1"/>
    <row r="425" s="15" customFormat="1"/>
    <row r="426" s="15" customFormat="1"/>
    <row r="427" s="15" customFormat="1"/>
    <row r="428" s="15" customFormat="1"/>
    <row r="429" s="15" customFormat="1"/>
    <row r="430" s="15" customFormat="1"/>
    <row r="431" s="15" customFormat="1"/>
    <row r="432" s="15" customFormat="1"/>
    <row r="433" s="15" customFormat="1"/>
    <row r="434" s="15" customFormat="1"/>
    <row r="435" s="15" customFormat="1"/>
    <row r="436" s="15" customFormat="1"/>
    <row r="437" s="15" customFormat="1"/>
    <row r="438" s="15" customFormat="1"/>
    <row r="439" s="15" customFormat="1"/>
    <row r="440" s="15" customFormat="1"/>
    <row r="441" s="15" customFormat="1"/>
    <row r="442" s="15" customFormat="1"/>
    <row r="443" s="15" customFormat="1"/>
    <row r="444" s="15" customFormat="1"/>
    <row r="445" s="15" customFormat="1"/>
    <row r="446" s="15" customFormat="1"/>
    <row r="447" s="15" customFormat="1"/>
    <row r="448" s="15" customFormat="1"/>
    <row r="449" s="15" customFormat="1"/>
    <row r="450" s="15" customFormat="1"/>
    <row r="451" s="15" customFormat="1"/>
    <row r="452" s="15" customFormat="1"/>
    <row r="453" s="15" customFormat="1"/>
    <row r="454" s="15" customFormat="1"/>
    <row r="455" s="15" customFormat="1"/>
    <row r="456" s="15" customFormat="1"/>
    <row r="457" s="15" customFormat="1"/>
    <row r="458" s="15" customFormat="1"/>
    <row r="459" s="15" customFormat="1"/>
    <row r="460" s="15" customFormat="1"/>
    <row r="461" s="15" customFormat="1"/>
    <row r="462" s="15" customFormat="1"/>
    <row r="463" s="15" customFormat="1"/>
    <row r="464" s="15" customFormat="1"/>
    <row r="465" s="15" customFormat="1"/>
    <row r="466" s="15" customFormat="1"/>
    <row r="467" s="15" customFormat="1"/>
    <row r="468" s="15" customFormat="1"/>
    <row r="469" s="15" customFormat="1"/>
    <row r="470" s="15" customFormat="1"/>
    <row r="471" s="15" customFormat="1"/>
    <row r="472" s="15" customFormat="1"/>
    <row r="473" s="15" customFormat="1"/>
    <row r="474" s="15" customFormat="1"/>
    <row r="475" s="15" customFormat="1"/>
    <row r="476" s="15" customFormat="1"/>
    <row r="477" s="15" customFormat="1"/>
    <row r="478" s="15" customFormat="1"/>
    <row r="479" s="15" customFormat="1"/>
    <row r="480" s="15" customFormat="1"/>
    <row r="481" s="15" customFormat="1"/>
    <row r="482" s="15" customFormat="1"/>
    <row r="483" s="15" customFormat="1"/>
    <row r="484" s="15" customFormat="1"/>
    <row r="485" s="15" customFormat="1"/>
    <row r="486" s="15" customFormat="1"/>
    <row r="487" s="15" customFormat="1"/>
    <row r="488" s="15" customFormat="1"/>
    <row r="489" s="15" customFormat="1"/>
    <row r="490" s="15" customFormat="1"/>
    <row r="491" s="15" customFormat="1"/>
    <row r="492" s="15" customFormat="1"/>
    <row r="493" s="15" customFormat="1"/>
    <row r="494" s="15" customFormat="1"/>
    <row r="495" s="15" customFormat="1"/>
    <row r="496" s="15" customFormat="1"/>
    <row r="497" s="15" customFormat="1"/>
    <row r="498" s="15" customFormat="1"/>
    <row r="499" s="15" customFormat="1"/>
    <row r="500" s="15" customFormat="1"/>
    <row r="501" s="15" customFormat="1"/>
    <row r="502" s="15" customFormat="1"/>
    <row r="503" s="15" customFormat="1"/>
    <row r="504" s="15" customFormat="1"/>
    <row r="505" s="15" customFormat="1"/>
    <row r="506" s="15" customFormat="1"/>
    <row r="507" s="15" customFormat="1"/>
    <row r="508" s="15" customFormat="1"/>
    <row r="509" s="15" customFormat="1"/>
    <row r="510" s="15" customFormat="1"/>
    <row r="511" s="15" customFormat="1"/>
  </sheetData>
  <mergeCells count="100">
    <mergeCell ref="D6:E6"/>
    <mergeCell ref="B155:C155"/>
    <mergeCell ref="B156:C156"/>
    <mergeCell ref="B157:C157"/>
    <mergeCell ref="B158:C158"/>
    <mergeCell ref="D93:E93"/>
    <mergeCell ref="D82:E82"/>
    <mergeCell ref="D83:E83"/>
    <mergeCell ref="D84:E84"/>
    <mergeCell ref="D85:E85"/>
    <mergeCell ref="D86:E86"/>
    <mergeCell ref="D87:E87"/>
    <mergeCell ref="D88:E88"/>
    <mergeCell ref="D89:E89"/>
    <mergeCell ref="D90:E90"/>
    <mergeCell ref="D91:E91"/>
    <mergeCell ref="B159:C159"/>
    <mergeCell ref="F126:F127"/>
    <mergeCell ref="H126:H127"/>
    <mergeCell ref="I126:I127"/>
    <mergeCell ref="D94:E94"/>
    <mergeCell ref="D95:E95"/>
    <mergeCell ref="D96:E96"/>
    <mergeCell ref="D97:E97"/>
    <mergeCell ref="D98:E98"/>
    <mergeCell ref="D99:E99"/>
    <mergeCell ref="B103:C103"/>
    <mergeCell ref="D92:E92"/>
    <mergeCell ref="D81:E81"/>
    <mergeCell ref="D70:E70"/>
    <mergeCell ref="D71:E71"/>
    <mergeCell ref="D72:E72"/>
    <mergeCell ref="D73:E73"/>
    <mergeCell ref="D74:E74"/>
    <mergeCell ref="D75:E75"/>
    <mergeCell ref="D76:E76"/>
    <mergeCell ref="D77:E77"/>
    <mergeCell ref="D78:E78"/>
    <mergeCell ref="D79:E79"/>
    <mergeCell ref="D80:E80"/>
    <mergeCell ref="D69:E69"/>
    <mergeCell ref="D58:E58"/>
    <mergeCell ref="D59:E59"/>
    <mergeCell ref="D60:E60"/>
    <mergeCell ref="D61:E61"/>
    <mergeCell ref="D62:E62"/>
    <mergeCell ref="D63:E63"/>
    <mergeCell ref="D64:E64"/>
    <mergeCell ref="D65:E65"/>
    <mergeCell ref="D66:E66"/>
    <mergeCell ref="D67:E67"/>
    <mergeCell ref="D68:E68"/>
    <mergeCell ref="D57:E57"/>
    <mergeCell ref="D46:E46"/>
    <mergeCell ref="D47:E47"/>
    <mergeCell ref="D48:E48"/>
    <mergeCell ref="D49:E49"/>
    <mergeCell ref="D50:E50"/>
    <mergeCell ref="D51:E51"/>
    <mergeCell ref="D52:E52"/>
    <mergeCell ref="D53:E53"/>
    <mergeCell ref="D54:E54"/>
    <mergeCell ref="D55:E55"/>
    <mergeCell ref="D56:E56"/>
    <mergeCell ref="D29:E29"/>
    <mergeCell ref="D30:E30"/>
    <mergeCell ref="D31:E31"/>
    <mergeCell ref="D45:E45"/>
    <mergeCell ref="D33:E33"/>
    <mergeCell ref="D34:E34"/>
    <mergeCell ref="D35:E35"/>
    <mergeCell ref="D36:E36"/>
    <mergeCell ref="D37:E37"/>
    <mergeCell ref="D38:E38"/>
    <mergeCell ref="D39:E39"/>
    <mergeCell ref="D40:E40"/>
    <mergeCell ref="D42:E42"/>
    <mergeCell ref="D43:E43"/>
    <mergeCell ref="D44:E44"/>
    <mergeCell ref="D32:E32"/>
    <mergeCell ref="D24:E24"/>
    <mergeCell ref="D25:E25"/>
    <mergeCell ref="D26:E26"/>
    <mergeCell ref="D27:E27"/>
    <mergeCell ref="D28:E28"/>
    <mergeCell ref="D23:E23"/>
    <mergeCell ref="D21:E21"/>
    <mergeCell ref="D22:E22"/>
    <mergeCell ref="D20:E20"/>
    <mergeCell ref="D9:E9"/>
    <mergeCell ref="D10:E10"/>
    <mergeCell ref="D11:E11"/>
    <mergeCell ref="D12:E12"/>
    <mergeCell ref="D13:E13"/>
    <mergeCell ref="D14:E14"/>
    <mergeCell ref="D15:E15"/>
    <mergeCell ref="D16:E16"/>
    <mergeCell ref="D17:E17"/>
    <mergeCell ref="D18:E18"/>
    <mergeCell ref="D19:E19"/>
  </mergeCells>
  <hyperlinks>
    <hyperlink ref="M148" r:id="rId1" xr:uid="{237FE109-9F57-4EC9-9CA9-EC4FB9E26326}"/>
    <hyperlink ref="J110" r:id="rId2" location=":~:text=On%20February%206%2C%202024%2C%20the,Land%20Use%20Ordinance%20Section%2022.12" xr:uid="{ED16E38B-1E7E-44BA-A139-1188BB7A0616}"/>
    <hyperlink ref="J111" r:id="rId3" xr:uid="{12C2CD25-1BFF-4883-B424-530181B4EFF4}"/>
  </hyperlinks>
  <pageMargins left="0.25" right="0.25" top="0.75" bottom="0.75" header="0.3" footer="0.3"/>
  <pageSetup scale="50" fitToHeight="2" orientation="portrait" horizontalDpi="1200" verticalDpi="1200" r:id="rId4"/>
  <rowBreaks count="1" manualBreakCount="1">
    <brk id="101" min="1" max="16" man="1"/>
  </rowBreaks>
  <legacyDrawing r:id="rId5"/>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 Down Menus'!$D$4:$D$5</xm:f>
          </x14:formula1>
          <xm:sqref>B104:B116</xm:sqref>
        </x14:dataValidation>
        <x14:dataValidation type="list" allowBlank="1" showInputMessage="1" showErrorMessage="1" xr:uid="{00000000-0002-0000-0100-000001000000}">
          <x14:formula1>
            <xm:f>'Drop Down Menus'!$D$8:$D$11</xm:f>
          </x14:formula1>
          <xm:sqref>B155:B159</xm:sqref>
        </x14:dataValidation>
        <x14:dataValidation type="list" allowBlank="1" showInputMessage="1" showErrorMessage="1" xr:uid="{00000000-0002-0000-0100-000002000000}">
          <x14:formula1>
            <xm:f>'Drop Down Menus'!$D$14:$D$20</xm:f>
          </x14:formula1>
          <xm:sqref>M95:M100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CW598"/>
  <sheetViews>
    <sheetView showGridLines="0" zoomScale="85" zoomScaleNormal="85" workbookViewId="0">
      <pane xSplit="6" ySplit="8" topLeftCell="J77" activePane="bottomRight" state="frozen"/>
      <selection pane="topRight" activeCell="F1" sqref="F1"/>
      <selection pane="bottomLeft" activeCell="A7" sqref="A7"/>
      <selection pane="bottomRight" activeCell="J77" sqref="J77"/>
    </sheetView>
  </sheetViews>
  <sheetFormatPr baseColWidth="10" defaultColWidth="8.83203125" defaultRowHeight="14"/>
  <cols>
    <col min="1" max="1" width="5.1640625" customWidth="1"/>
    <col min="2" max="2" width="13.83203125" style="362" customWidth="1"/>
    <col min="3" max="3" width="12" customWidth="1"/>
    <col min="4" max="4" width="21.5" customWidth="1"/>
    <col min="5" max="5" width="11.5" customWidth="1"/>
    <col min="7" max="7" width="10.5" bestFit="1" customWidth="1"/>
    <col min="8" max="9" width="11" bestFit="1" customWidth="1"/>
    <col min="10" max="10" width="11.5" customWidth="1"/>
    <col min="11" max="11" width="11" bestFit="1" customWidth="1"/>
    <col min="12" max="12" width="11.33203125" customWidth="1"/>
    <col min="13" max="13" width="9" customWidth="1"/>
    <col min="15" max="15" width="10" bestFit="1" customWidth="1"/>
    <col min="16" max="16" width="10.5" bestFit="1" customWidth="1"/>
    <col min="17" max="17" width="11.5" bestFit="1" customWidth="1"/>
    <col min="18" max="18" width="11.33203125" style="11" customWidth="1"/>
    <col min="19" max="100" width="8.83203125" style="11"/>
  </cols>
  <sheetData>
    <row r="2" spans="1:101" ht="16">
      <c r="B2" s="576" t="s">
        <v>263</v>
      </c>
      <c r="C2" s="47"/>
      <c r="D2" s="47"/>
      <c r="E2" s="59"/>
      <c r="F2" s="15"/>
      <c r="G2" s="15"/>
      <c r="H2" s="15"/>
      <c r="I2" s="11"/>
      <c r="J2" s="11"/>
      <c r="K2" s="11"/>
      <c r="L2" s="11"/>
      <c r="M2" s="11"/>
      <c r="N2" s="11"/>
      <c r="O2" s="11"/>
      <c r="P2" s="11"/>
      <c r="Q2" s="11"/>
    </row>
    <row r="3" spans="1:101">
      <c r="B3" s="577" t="s">
        <v>20</v>
      </c>
      <c r="C3" s="15"/>
      <c r="D3" s="339" t="str">
        <f>'Table of Contents'!B2</f>
        <v xml:space="preserve">Broadleaf Flats </v>
      </c>
      <c r="E3" s="20"/>
      <c r="F3" s="15"/>
      <c r="G3" s="15"/>
      <c r="H3" s="15"/>
      <c r="I3" s="11"/>
      <c r="J3" s="11"/>
      <c r="K3" s="11"/>
      <c r="L3" s="11"/>
      <c r="M3" s="11"/>
      <c r="N3" s="11"/>
      <c r="O3" s="11"/>
      <c r="P3" s="11"/>
      <c r="Q3" s="11"/>
    </row>
    <row r="4" spans="1:101">
      <c r="B4" s="577" t="s">
        <v>2</v>
      </c>
      <c r="C4" s="15"/>
      <c r="D4" s="339" t="str">
        <f>'Table of Contents'!C4</f>
        <v>Cal Poly SLO - Driftwood Propery Development</v>
      </c>
      <c r="E4" s="20"/>
      <c r="F4" s="15"/>
      <c r="G4" s="15"/>
      <c r="H4" s="15"/>
      <c r="I4" s="11"/>
      <c r="J4" s="11"/>
      <c r="K4" s="11"/>
      <c r="L4" s="11"/>
      <c r="M4" s="11"/>
      <c r="N4" s="11"/>
      <c r="O4" s="11"/>
      <c r="P4" s="11"/>
      <c r="Q4" s="11"/>
    </row>
    <row r="5" spans="1:101">
      <c r="B5" s="577" t="s">
        <v>21</v>
      </c>
      <c r="C5" s="15"/>
      <c r="D5" s="595">
        <f>'Table of Contents'!C6</f>
        <v>45726</v>
      </c>
      <c r="E5" s="20"/>
      <c r="G5" s="15"/>
      <c r="H5" s="15"/>
      <c r="I5" s="15"/>
      <c r="J5" s="15"/>
      <c r="K5" s="15"/>
      <c r="L5" s="15"/>
      <c r="M5" s="15"/>
      <c r="N5" s="15"/>
      <c r="O5" s="15"/>
      <c r="P5" s="15"/>
      <c r="Q5" s="15"/>
      <c r="R5" s="15"/>
      <c r="S5" s="15"/>
      <c r="T5" s="15"/>
    </row>
    <row r="6" spans="1:101">
      <c r="B6" s="578" t="s">
        <v>22</v>
      </c>
      <c r="C6" s="342"/>
      <c r="D6" s="735">
        <v>5</v>
      </c>
      <c r="E6" s="736"/>
      <c r="F6" s="15"/>
      <c r="G6" s="15"/>
      <c r="H6" s="15"/>
      <c r="I6" s="15"/>
      <c r="J6" s="13"/>
      <c r="K6" s="15"/>
      <c r="L6" s="15"/>
      <c r="M6" s="15"/>
      <c r="N6" s="15"/>
      <c r="O6" s="15"/>
      <c r="P6" s="15"/>
      <c r="Q6" s="15"/>
      <c r="R6" s="15"/>
      <c r="S6" s="15"/>
      <c r="T6" s="15"/>
    </row>
    <row r="7" spans="1:101">
      <c r="B7" s="579"/>
      <c r="C7" s="15"/>
      <c r="D7" s="15"/>
      <c r="E7" s="15"/>
      <c r="F7" s="15"/>
      <c r="G7" s="15"/>
      <c r="H7" s="15"/>
      <c r="I7" s="15"/>
      <c r="J7" s="714"/>
      <c r="K7" s="15"/>
      <c r="L7" s="15"/>
      <c r="M7" s="13"/>
      <c r="N7" s="54"/>
      <c r="O7" s="50" t="s">
        <v>264</v>
      </c>
      <c r="P7" s="15"/>
      <c r="Q7" s="15"/>
      <c r="R7" s="15"/>
      <c r="S7" s="15"/>
      <c r="T7" s="15"/>
    </row>
    <row r="8" spans="1:101" ht="45">
      <c r="B8" s="580" t="s">
        <v>265</v>
      </c>
      <c r="C8" s="272" t="s">
        <v>266</v>
      </c>
      <c r="D8" s="272" t="s">
        <v>267</v>
      </c>
      <c r="E8" s="272" t="s">
        <v>268</v>
      </c>
      <c r="F8" s="272" t="s">
        <v>269</v>
      </c>
      <c r="G8" s="272" t="s">
        <v>270</v>
      </c>
      <c r="H8" s="272" t="s">
        <v>111</v>
      </c>
      <c r="I8" s="273" t="s">
        <v>271</v>
      </c>
      <c r="J8" s="272" t="s">
        <v>272</v>
      </c>
      <c r="K8" s="272" t="s">
        <v>273</v>
      </c>
      <c r="L8" s="273" t="s">
        <v>274</v>
      </c>
      <c r="M8" s="272" t="s">
        <v>275</v>
      </c>
      <c r="N8" s="274"/>
      <c r="O8" s="272" t="s">
        <v>276</v>
      </c>
      <c r="P8" s="272" t="s">
        <v>277</v>
      </c>
      <c r="Q8" s="272" t="s">
        <v>278</v>
      </c>
      <c r="R8" s="275" t="s">
        <v>279</v>
      </c>
      <c r="S8" s="213"/>
      <c r="T8" s="15"/>
      <c r="U8" s="15"/>
      <c r="CW8" s="11"/>
    </row>
    <row r="9" spans="1:101">
      <c r="A9" s="675"/>
      <c r="B9" s="616" t="str" cm="1">
        <f t="array" ref="B9">_xlfn.IFS(E9=""," ",E9="LIHTC", C9&amp;", "&amp;(F9*100)&amp;"% AMI",E9="Non-LIHTC Rent Restricted", C9&amp;", "&amp;(F9*100)&amp;"% AMI",E9="Market Rate",C9&amp;" "&amp;E9,E9="Manager",C9&amp;" "&amp;E9, E9="Workforce", C9&amp;", "&amp;(F9*100)&amp;"% AMI")</f>
        <v>Studio, 20% AMI</v>
      </c>
      <c r="C9" s="711" t="s">
        <v>280</v>
      </c>
      <c r="D9" s="711"/>
      <c r="E9" s="711" t="s">
        <v>281</v>
      </c>
      <c r="F9" s="197">
        <v>0.2</v>
      </c>
      <c r="G9" s="198">
        <v>1</v>
      </c>
      <c r="H9" s="198">
        <v>375</v>
      </c>
      <c r="I9" s="552">
        <v>446</v>
      </c>
      <c r="J9" s="661">
        <f>$C$54</f>
        <v>110</v>
      </c>
      <c r="K9" s="634">
        <f>IFERROR(I9-J9,"")</f>
        <v>336</v>
      </c>
      <c r="L9" s="552">
        <v>1600</v>
      </c>
      <c r="M9" s="52">
        <f t="shared" ref="M9:M32" si="0">IFERROR(IF(E9="Market Rate","",(L9-K9)/L9),"")</f>
        <v>0.79</v>
      </c>
      <c r="N9" s="54"/>
      <c r="O9" s="711">
        <v>1</v>
      </c>
      <c r="P9" s="555">
        <f t="shared" ref="P9:P32" si="1">IF(O9&gt;0,L9-K9,"")</f>
        <v>1264</v>
      </c>
      <c r="Q9" s="555">
        <f>IF(O9&gt;0,P9*O9,"")</f>
        <v>1264</v>
      </c>
      <c r="R9" s="556">
        <f>IF(O9&gt;0,Q9*12,"")</f>
        <v>15168</v>
      </c>
      <c r="S9" s="15"/>
      <c r="T9" s="15"/>
      <c r="U9" s="15"/>
      <c r="CW9" s="11"/>
    </row>
    <row r="10" spans="1:101">
      <c r="A10" s="675"/>
      <c r="B10" s="616" t="str" cm="1">
        <f t="array" ref="B10">_xlfn.IFS(E10=""," ",E10="LIHTC", C10&amp;", "&amp;(F10*100)&amp;"% AMI",E10="Non-LIHTC Rent Restricted", C10&amp;", "&amp;(F10*100)&amp;"% AMI",E10="Market Rate",C10&amp;" "&amp;E10,E10="Manager",C10&amp;" "&amp;E10, E10="Workforce", C10&amp;", "&amp;(F10*100)&amp;"% AMI")</f>
        <v>1 BD, 20% AMI</v>
      </c>
      <c r="C10" s="711" t="s">
        <v>282</v>
      </c>
      <c r="D10" s="711"/>
      <c r="E10" s="711" t="s">
        <v>281</v>
      </c>
      <c r="F10" s="197">
        <v>0.2</v>
      </c>
      <c r="G10" s="198">
        <v>1</v>
      </c>
      <c r="H10" s="198">
        <v>450</v>
      </c>
      <c r="I10" s="552">
        <v>477</v>
      </c>
      <c r="J10" s="661">
        <f>$D$54</f>
        <v>152</v>
      </c>
      <c r="K10" s="634">
        <f t="shared" ref="K10:K24" si="2">IFERROR(I10-J10,"")</f>
        <v>325</v>
      </c>
      <c r="L10" s="552">
        <v>1800</v>
      </c>
      <c r="M10" s="52">
        <f t="shared" si="0"/>
        <v>0.81944444444444442</v>
      </c>
      <c r="N10" s="54"/>
      <c r="O10" s="711">
        <v>1</v>
      </c>
      <c r="P10" s="555">
        <f t="shared" si="1"/>
        <v>1475</v>
      </c>
      <c r="Q10" s="555">
        <f t="shared" ref="Q10:Q39" si="3">IF(O10&gt;0,P10*O10,"")</f>
        <v>1475</v>
      </c>
      <c r="R10" s="557">
        <f t="shared" ref="R10:R39" si="4">IF(O10&gt;0,Q10*12,"")</f>
        <v>17700</v>
      </c>
      <c r="S10" s="15"/>
      <c r="T10" s="15"/>
      <c r="U10" s="15"/>
      <c r="CW10" s="11"/>
    </row>
    <row r="11" spans="1:101">
      <c r="A11" s="675"/>
      <c r="B11" s="616" t="str" cm="1">
        <f t="array" ref="B11">_xlfn.IFS(E11=""," ",E11="LIHTC", C11&amp;", "&amp;(F11*100)&amp;"% AMI",E11="Non-LIHTC Rent Restricted", C11&amp;", "&amp;(F11*100)&amp;"% AMI",E11="Market Rate",C11&amp;" "&amp;E11,E11="Manager",C11&amp;" "&amp;E11, E11="Workforce", C11&amp;", "&amp;(F11*100)&amp;"% AMI")</f>
        <v>2 BD, 20% AMI</v>
      </c>
      <c r="C11" s="711" t="s">
        <v>283</v>
      </c>
      <c r="D11" s="711"/>
      <c r="E11" s="711" t="s">
        <v>281</v>
      </c>
      <c r="F11" s="197">
        <v>0.2</v>
      </c>
      <c r="G11" s="198">
        <v>8</v>
      </c>
      <c r="H11" s="198">
        <v>750</v>
      </c>
      <c r="I11" s="552">
        <v>573</v>
      </c>
      <c r="J11" s="661">
        <f>$E$54</f>
        <v>216</v>
      </c>
      <c r="K11" s="634">
        <f t="shared" si="2"/>
        <v>357</v>
      </c>
      <c r="L11" s="552">
        <v>2400</v>
      </c>
      <c r="M11" s="52">
        <f t="shared" si="0"/>
        <v>0.85124999999999995</v>
      </c>
      <c r="N11" s="54"/>
      <c r="O11" s="711">
        <v>8</v>
      </c>
      <c r="P11" s="555">
        <f t="shared" si="1"/>
        <v>2043</v>
      </c>
      <c r="Q11" s="555">
        <f t="shared" si="3"/>
        <v>16344</v>
      </c>
      <c r="R11" s="557">
        <f t="shared" si="4"/>
        <v>196128</v>
      </c>
      <c r="S11" s="15"/>
      <c r="T11" s="15"/>
      <c r="U11" s="15"/>
      <c r="CW11" s="11"/>
    </row>
    <row r="12" spans="1:101">
      <c r="A12" s="675"/>
      <c r="B12" s="616" t="str" cm="1">
        <f t="array" ref="B12">_xlfn.IFS(E12=""," ",E12="LIHTC", C12&amp;", "&amp;(F12*100)&amp;"% AMI",E12="Non-LIHTC Rent Restricted", C12&amp;", "&amp;(F12*100)&amp;"% AMI",E12="Market Rate",C12&amp;" "&amp;E12,E12="Manager",C12&amp;" "&amp;E12, E12="Workforce", C12&amp;", "&amp;(F12*100)&amp;"% AMI")</f>
        <v>3 BD, 20% AMI</v>
      </c>
      <c r="C12" s="711" t="s">
        <v>284</v>
      </c>
      <c r="D12" s="711"/>
      <c r="E12" s="711" t="s">
        <v>281</v>
      </c>
      <c r="F12" s="197">
        <v>0.2</v>
      </c>
      <c r="G12" s="198">
        <v>12</v>
      </c>
      <c r="H12" s="198">
        <v>900</v>
      </c>
      <c r="I12" s="552">
        <v>662</v>
      </c>
      <c r="J12" s="661">
        <f>$F$54</f>
        <v>284</v>
      </c>
      <c r="K12" s="634">
        <f t="shared" si="2"/>
        <v>378</v>
      </c>
      <c r="L12" s="552">
        <v>3000</v>
      </c>
      <c r="M12" s="52">
        <f t="shared" si="0"/>
        <v>0.874</v>
      </c>
      <c r="N12" s="54"/>
      <c r="O12" s="711">
        <v>12</v>
      </c>
      <c r="P12" s="555">
        <f t="shared" si="1"/>
        <v>2622</v>
      </c>
      <c r="Q12" s="555">
        <f t="shared" si="3"/>
        <v>31464</v>
      </c>
      <c r="R12" s="557">
        <f t="shared" si="4"/>
        <v>377568</v>
      </c>
      <c r="S12" s="15"/>
      <c r="T12" s="15"/>
      <c r="U12" s="15"/>
      <c r="CW12" s="11"/>
    </row>
    <row r="13" spans="1:101">
      <c r="A13" s="675"/>
      <c r="B13" s="616" t="str" cm="1">
        <f t="array" ref="B13">_xlfn.IFS(E13=""," ",E13="LIHTC", C13&amp;", "&amp;(F13*100)&amp;"% AMI",E13="Non-LIHTC Rent Restricted", C13&amp;", "&amp;(F13*100)&amp;"% AMI",E13="Market Rate",C13&amp;" "&amp;E13,E13="Manager",C13&amp;" "&amp;E13, E13="Workforce", C13&amp;", "&amp;(F13*100)&amp;"% AMI")</f>
        <v xml:space="preserve"> </v>
      </c>
      <c r="C13" s="711"/>
      <c r="D13" s="711"/>
      <c r="E13" s="711"/>
      <c r="F13" s="197"/>
      <c r="G13" s="198"/>
      <c r="H13" s="198"/>
      <c r="I13" s="552"/>
      <c r="J13" s="631"/>
      <c r="K13" s="634"/>
      <c r="L13" s="552"/>
      <c r="M13" s="52" t="str">
        <f t="shared" si="0"/>
        <v/>
      </c>
      <c r="N13" s="54"/>
      <c r="O13" s="711"/>
      <c r="P13" s="555" t="str">
        <f t="shared" si="1"/>
        <v/>
      </c>
      <c r="Q13" s="555" t="str">
        <f t="shared" si="3"/>
        <v/>
      </c>
      <c r="R13" s="557" t="str">
        <f t="shared" si="4"/>
        <v/>
      </c>
      <c r="S13" s="15"/>
      <c r="T13" s="15"/>
      <c r="U13" s="15"/>
      <c r="CW13" s="11"/>
    </row>
    <row r="14" spans="1:101">
      <c r="B14" s="616" t="str" cm="1">
        <f t="array" ref="B14">_xlfn.IFS(E14=""," ",E14="LIHTC", C14&amp;", "&amp;(F14*100)&amp;"% AMI",E14="Non-LIHTC Rent Restricted", C14&amp;", "&amp;(F14*100)&amp;"% AMI",E14="Market Rate",C14&amp;" "&amp;E14,E14="Manager",C14&amp;" "&amp;E14, E14="Workforce", C14&amp;", "&amp;(F14*100)&amp;"% AMI")</f>
        <v>Studio, 40% AMI</v>
      </c>
      <c r="C14" s="711" t="s">
        <v>280</v>
      </c>
      <c r="D14" s="711"/>
      <c r="E14" s="711" t="s">
        <v>281</v>
      </c>
      <c r="F14" s="197">
        <v>0.4</v>
      </c>
      <c r="G14" s="198">
        <v>3</v>
      </c>
      <c r="H14" s="198">
        <v>375</v>
      </c>
      <c r="I14" s="552">
        <v>892</v>
      </c>
      <c r="J14" s="661">
        <f>$C$54</f>
        <v>110</v>
      </c>
      <c r="K14" s="634">
        <f t="shared" si="2"/>
        <v>782</v>
      </c>
      <c r="L14" s="552">
        <v>1600</v>
      </c>
      <c r="M14" s="52">
        <f t="shared" si="0"/>
        <v>0.51124999999999998</v>
      </c>
      <c r="N14" s="54"/>
      <c r="O14" s="711"/>
      <c r="P14" s="555" t="str">
        <f t="shared" si="1"/>
        <v/>
      </c>
      <c r="Q14" s="555" t="str">
        <f t="shared" si="3"/>
        <v/>
      </c>
      <c r="R14" s="557" t="str">
        <f t="shared" si="4"/>
        <v/>
      </c>
      <c r="S14" s="15"/>
      <c r="T14" s="15"/>
      <c r="U14" s="15"/>
      <c r="CW14" s="11"/>
    </row>
    <row r="15" spans="1:101">
      <c r="B15" s="616" t="str" cm="1">
        <f t="array" ref="B15">_xlfn.IFS(E15=""," ",E15="LIHTC", C15&amp;", "&amp;(F15*100)&amp;"% AMI",E15="Non-LIHTC Rent Restricted", C15&amp;", "&amp;(F15*100)&amp;"% AMI",E15="Market Rate",C15&amp;" "&amp;E15,E15="Manager",C15&amp;" "&amp;E15, E15="Workforce", C15&amp;", "&amp;(F15*100)&amp;"% AMI")</f>
        <v>1 BD, 40% AMI</v>
      </c>
      <c r="C15" s="711" t="s">
        <v>282</v>
      </c>
      <c r="D15" s="711"/>
      <c r="E15" s="711" t="s">
        <v>281</v>
      </c>
      <c r="F15" s="197">
        <v>0.4</v>
      </c>
      <c r="G15" s="198">
        <v>7</v>
      </c>
      <c r="H15" s="198">
        <v>450</v>
      </c>
      <c r="I15" s="552">
        <v>955</v>
      </c>
      <c r="J15" s="661">
        <f>$D$54</f>
        <v>152</v>
      </c>
      <c r="K15" s="634">
        <f t="shared" si="2"/>
        <v>803</v>
      </c>
      <c r="L15" s="552">
        <v>1800</v>
      </c>
      <c r="M15" s="52">
        <f t="shared" si="0"/>
        <v>0.55388888888888888</v>
      </c>
      <c r="N15" s="54"/>
      <c r="O15" s="711"/>
      <c r="P15" s="555" t="str">
        <f t="shared" si="1"/>
        <v/>
      </c>
      <c r="Q15" s="555" t="str">
        <f t="shared" si="3"/>
        <v/>
      </c>
      <c r="R15" s="557" t="str">
        <f t="shared" si="4"/>
        <v/>
      </c>
      <c r="S15" s="15"/>
      <c r="T15" s="15"/>
      <c r="U15" s="15"/>
      <c r="CW15" s="11"/>
    </row>
    <row r="16" spans="1:101">
      <c r="B16" s="616" t="str" cm="1">
        <f t="array" ref="B16">_xlfn.IFS(E16=""," ",E16="LIHTC", C16&amp;", "&amp;(F16*100)&amp;"% AMI",E16="Non-LIHTC Rent Restricted", C16&amp;", "&amp;(F16*100)&amp;"% AMI",E16="Market Rate",C16&amp;" "&amp;E16,E16="Manager",C16&amp;" "&amp;E16, E16="Workforce", C16&amp;", "&amp;(F16*100)&amp;"% AMI")</f>
        <v>2 BD, 40% AMI</v>
      </c>
      <c r="C16" s="711" t="s">
        <v>283</v>
      </c>
      <c r="D16" s="711"/>
      <c r="E16" s="711" t="s">
        <v>281</v>
      </c>
      <c r="F16" s="197">
        <v>0.4</v>
      </c>
      <c r="G16" s="198">
        <v>4</v>
      </c>
      <c r="H16" s="198">
        <v>750</v>
      </c>
      <c r="I16" s="552">
        <v>1146</v>
      </c>
      <c r="J16" s="661">
        <f>$E$54</f>
        <v>216</v>
      </c>
      <c r="K16" s="634">
        <f t="shared" si="2"/>
        <v>930</v>
      </c>
      <c r="L16" s="552">
        <v>2400</v>
      </c>
      <c r="M16" s="52">
        <f t="shared" si="0"/>
        <v>0.61250000000000004</v>
      </c>
      <c r="N16" s="54"/>
      <c r="O16" s="711"/>
      <c r="P16" s="674"/>
      <c r="Q16" s="555" t="str">
        <f t="shared" si="3"/>
        <v/>
      </c>
      <c r="R16" s="557" t="str">
        <f t="shared" si="4"/>
        <v/>
      </c>
      <c r="S16" s="15"/>
      <c r="T16" s="15"/>
      <c r="U16" s="15"/>
      <c r="CW16" s="11"/>
    </row>
    <row r="17" spans="2:101">
      <c r="B17" s="616" t="str" cm="1">
        <f t="array" ref="B17">_xlfn.IFS(E17=""," ",E17="LIHTC", C17&amp;", "&amp;(F17*100)&amp;"% AMI",E17="Non-LIHTC Rent Restricted", C17&amp;", "&amp;(F17*100)&amp;"% AMI",E17="Market Rate",C17&amp;" "&amp;E17,E17="Manager",C17&amp;" "&amp;E17, E17="Workforce", C17&amp;", "&amp;(F17*100)&amp;"% AMI")</f>
        <v>3 BD, 40% AMI</v>
      </c>
      <c r="C17" s="711" t="s">
        <v>284</v>
      </c>
      <c r="D17" s="711"/>
      <c r="E17" s="711" t="s">
        <v>281</v>
      </c>
      <c r="F17" s="197">
        <v>0.4</v>
      </c>
      <c r="G17" s="198">
        <v>2</v>
      </c>
      <c r="H17" s="198">
        <v>900</v>
      </c>
      <c r="I17" s="552">
        <v>1324</v>
      </c>
      <c r="J17" s="661">
        <f>$F$54</f>
        <v>284</v>
      </c>
      <c r="K17" s="634">
        <f t="shared" si="2"/>
        <v>1040</v>
      </c>
      <c r="L17" s="552">
        <v>3000</v>
      </c>
      <c r="M17" s="52">
        <f t="shared" si="0"/>
        <v>0.65333333333333332</v>
      </c>
      <c r="N17" s="54"/>
      <c r="O17" s="711"/>
      <c r="P17" s="555" t="str">
        <f t="shared" si="1"/>
        <v/>
      </c>
      <c r="Q17" s="555" t="str">
        <f t="shared" si="3"/>
        <v/>
      </c>
      <c r="R17" s="557" t="str">
        <f t="shared" si="4"/>
        <v/>
      </c>
      <c r="S17" s="15"/>
      <c r="T17" s="15"/>
      <c r="U17" s="15"/>
      <c r="CW17" s="11"/>
    </row>
    <row r="18" spans="2:101">
      <c r="B18" s="616" t="str" cm="1">
        <f t="array" ref="B18">_xlfn.IFS(E18=""," ",E18="LIHTC", C18&amp;", "&amp;(F18*100)&amp;"% AMI",E18="Non-LIHTC Rent Restricted", C18&amp;", "&amp;(F18*100)&amp;"% AMI",E18="Market Rate",C18&amp;" "&amp;E18,E18="Manager",C18&amp;" "&amp;E18, E18="Workforce", C18&amp;", "&amp;(F18*100)&amp;"% AMI")</f>
        <v xml:space="preserve"> </v>
      </c>
      <c r="C18" s="711"/>
      <c r="D18" s="711"/>
      <c r="E18" s="711"/>
      <c r="F18" s="197"/>
      <c r="G18" s="198"/>
      <c r="H18" s="198"/>
      <c r="I18" s="552"/>
      <c r="J18" s="631"/>
      <c r="K18" s="634"/>
      <c r="L18" s="552"/>
      <c r="M18" s="52" t="str">
        <f t="shared" si="0"/>
        <v/>
      </c>
      <c r="N18" s="54"/>
      <c r="O18" s="711"/>
      <c r="P18" s="555" t="str">
        <f t="shared" si="1"/>
        <v/>
      </c>
      <c r="Q18" s="555" t="str">
        <f t="shared" si="3"/>
        <v/>
      </c>
      <c r="R18" s="557" t="str">
        <f t="shared" si="4"/>
        <v/>
      </c>
      <c r="S18" s="15"/>
      <c r="T18" s="15"/>
      <c r="U18" s="15"/>
      <c r="CW18" s="11"/>
    </row>
    <row r="19" spans="2:101">
      <c r="B19" s="616" t="str" cm="1">
        <f t="array" ref="B19">_xlfn.IFS(E19=""," ",E19="LIHTC", C19&amp;", "&amp;(F19*100)&amp;"% AMI",E19="Non-LIHTC Rent Restricted", C19&amp;", "&amp;(F19*100)&amp;"% AMI",E19="Market Rate",C19&amp;" "&amp;E19,E19="Manager",C19&amp;" "&amp;E19, E19="Workforce", C19&amp;", "&amp;(F19*100)&amp;"% AMI")</f>
        <v>Studio, 60% AMI</v>
      </c>
      <c r="C19" s="711" t="s">
        <v>280</v>
      </c>
      <c r="D19" s="711"/>
      <c r="E19" s="711" t="s">
        <v>281</v>
      </c>
      <c r="F19" s="197">
        <v>0.6</v>
      </c>
      <c r="G19" s="198">
        <v>8</v>
      </c>
      <c r="H19" s="198">
        <v>375</v>
      </c>
      <c r="I19" s="552">
        <v>1338</v>
      </c>
      <c r="J19" s="661">
        <f>$C$54</f>
        <v>110</v>
      </c>
      <c r="K19" s="634">
        <f t="shared" si="2"/>
        <v>1228</v>
      </c>
      <c r="L19" s="552">
        <v>1600</v>
      </c>
      <c r="M19" s="52">
        <f t="shared" si="0"/>
        <v>0.23250000000000001</v>
      </c>
      <c r="N19" s="54"/>
      <c r="O19" s="711"/>
      <c r="P19" s="555" t="str">
        <f t="shared" si="1"/>
        <v/>
      </c>
      <c r="Q19" s="555"/>
      <c r="R19" s="557" t="str">
        <f t="shared" si="4"/>
        <v/>
      </c>
      <c r="S19" s="15"/>
      <c r="T19" s="15"/>
      <c r="U19" s="15"/>
      <c r="CW19" s="11"/>
    </row>
    <row r="20" spans="2:101">
      <c r="B20" s="616" t="str" cm="1">
        <f t="array" ref="B20">_xlfn.IFS(E20=""," ",E20="LIHTC", C20&amp;", "&amp;(F20*100)&amp;"% AMI",E20="Non-LIHTC Rent Restricted", C20&amp;", "&amp;(F20*100)&amp;"% AMI",E20="Market Rate",C20&amp;" "&amp;E20,E20="Manager",C20&amp;" "&amp;E20, E20="Workforce", C20&amp;", "&amp;(F20*100)&amp;"% AMI")</f>
        <v>1 BD, 60% AMI</v>
      </c>
      <c r="C20" s="711" t="s">
        <v>282</v>
      </c>
      <c r="D20" s="711"/>
      <c r="E20" s="711" t="s">
        <v>281</v>
      </c>
      <c r="F20" s="197">
        <v>0.6</v>
      </c>
      <c r="G20" s="198">
        <v>15</v>
      </c>
      <c r="H20" s="198">
        <v>450</v>
      </c>
      <c r="I20" s="552">
        <v>1433</v>
      </c>
      <c r="J20" s="661">
        <f>$D$54</f>
        <v>152</v>
      </c>
      <c r="K20" s="634">
        <f t="shared" si="2"/>
        <v>1281</v>
      </c>
      <c r="L20" s="552">
        <v>1800</v>
      </c>
      <c r="M20" s="52">
        <f t="shared" si="0"/>
        <v>0.28833333333333333</v>
      </c>
      <c r="N20" s="54"/>
      <c r="O20" s="711"/>
      <c r="P20" s="555" t="str">
        <f t="shared" si="1"/>
        <v/>
      </c>
      <c r="Q20" s="555" t="str">
        <f t="shared" si="3"/>
        <v/>
      </c>
      <c r="R20" s="557" t="str">
        <f t="shared" si="4"/>
        <v/>
      </c>
      <c r="S20" s="15"/>
      <c r="T20" s="15"/>
      <c r="U20" s="15"/>
      <c r="CW20" s="11"/>
    </row>
    <row r="21" spans="2:101">
      <c r="B21" s="616" t="str" cm="1">
        <f t="array" ref="B21">_xlfn.IFS(E21=""," ",E21="LIHTC", C21&amp;", "&amp;(F21*100)&amp;"% AMI",E21="Non-LIHTC Rent Restricted", C21&amp;", "&amp;(F21*100)&amp;"% AMI",E21="Market Rate",C21&amp;" "&amp;E21,E21="Manager",C21&amp;" "&amp;E21, E21="Workforce", C21&amp;", "&amp;(F21*100)&amp;"% AMI")</f>
        <v>2 BD, 60% AMI</v>
      </c>
      <c r="C21" s="711" t="s">
        <v>283</v>
      </c>
      <c r="D21" s="711"/>
      <c r="E21" s="711" t="s">
        <v>281</v>
      </c>
      <c r="F21" s="197">
        <v>0.6</v>
      </c>
      <c r="G21" s="198">
        <v>7</v>
      </c>
      <c r="H21" s="198">
        <v>750</v>
      </c>
      <c r="I21" s="552">
        <v>1719</v>
      </c>
      <c r="J21" s="661">
        <f>$E$54</f>
        <v>216</v>
      </c>
      <c r="K21" s="634">
        <f t="shared" si="2"/>
        <v>1503</v>
      </c>
      <c r="L21" s="552">
        <v>2400</v>
      </c>
      <c r="M21" s="52">
        <f t="shared" si="0"/>
        <v>0.37375000000000003</v>
      </c>
      <c r="N21" s="54"/>
      <c r="O21" s="711"/>
      <c r="P21" s="555" t="str">
        <f t="shared" si="1"/>
        <v/>
      </c>
      <c r="Q21" s="555" t="str">
        <f t="shared" si="3"/>
        <v/>
      </c>
      <c r="R21" s="557" t="str">
        <f t="shared" si="4"/>
        <v/>
      </c>
      <c r="S21" s="15"/>
      <c r="T21" s="15"/>
      <c r="U21" s="15"/>
      <c r="CW21" s="11"/>
    </row>
    <row r="22" spans="2:101">
      <c r="B22" s="616" t="str" cm="1">
        <f t="array" ref="B22">_xlfn.IFS(E22=""," ",E22="LIHTC", C22&amp;", "&amp;(F22*100)&amp;"% AMI",E22="Non-LIHTC Rent Restricted", C22&amp;", "&amp;(F22*100)&amp;"% AMI",E22="Market Rate",C22&amp;" "&amp;E22,E22="Manager",C22&amp;" "&amp;E22, E22="Workforce", C22&amp;", "&amp;(F22*100)&amp;"% AMI")</f>
        <v>3 BD, 60% AMI</v>
      </c>
      <c r="C22" s="711" t="s">
        <v>284</v>
      </c>
      <c r="D22" s="711"/>
      <c r="E22" s="711" t="s">
        <v>281</v>
      </c>
      <c r="F22" s="197">
        <v>0.6</v>
      </c>
      <c r="G22" s="198">
        <v>6</v>
      </c>
      <c r="H22" s="198">
        <v>900</v>
      </c>
      <c r="I22" s="552">
        <v>1986</v>
      </c>
      <c r="J22" s="661">
        <f>$F$54</f>
        <v>284</v>
      </c>
      <c r="K22" s="634">
        <f t="shared" si="2"/>
        <v>1702</v>
      </c>
      <c r="L22" s="552">
        <v>3000</v>
      </c>
      <c r="M22" s="52">
        <f t="shared" si="0"/>
        <v>0.43266666666666664</v>
      </c>
      <c r="N22" s="54"/>
      <c r="O22" s="711"/>
      <c r="P22" s="555" t="str">
        <f t="shared" si="1"/>
        <v/>
      </c>
      <c r="Q22" s="555" t="str">
        <f t="shared" si="3"/>
        <v/>
      </c>
      <c r="R22" s="557" t="str">
        <f t="shared" si="4"/>
        <v/>
      </c>
      <c r="S22" s="15"/>
      <c r="T22" s="15"/>
      <c r="U22" s="15"/>
      <c r="CW22" s="11"/>
    </row>
    <row r="23" spans="2:101">
      <c r="B23" s="616" t="str" cm="1">
        <f t="array" ref="B23">_xlfn.IFS(E23=""," ",E23="LIHTC", C23&amp;", "&amp;(F23*100)&amp;"% AMI",E23="Non-LIHTC Rent Restricted", C23&amp;", "&amp;(F23*100)&amp;"% AMI",E23="Market Rate",C23&amp;" "&amp;E23,E23="Manager",C23&amp;" "&amp;E23, E23="Workforce", C23&amp;", "&amp;(F23*100)&amp;"% AMI")</f>
        <v xml:space="preserve"> </v>
      </c>
      <c r="C23" s="711"/>
      <c r="D23" s="711"/>
      <c r="E23" s="711"/>
      <c r="F23" s="197"/>
      <c r="G23" s="198"/>
      <c r="H23" s="198"/>
      <c r="I23" s="552"/>
      <c r="J23" s="631"/>
      <c r="K23" s="634"/>
      <c r="L23" s="552"/>
      <c r="M23" s="52" t="str">
        <f t="shared" si="0"/>
        <v/>
      </c>
      <c r="N23" s="54"/>
      <c r="O23" s="711"/>
      <c r="P23" s="555" t="str">
        <f t="shared" si="1"/>
        <v/>
      </c>
      <c r="Q23" s="555" t="str">
        <f t="shared" si="3"/>
        <v/>
      </c>
      <c r="R23" s="557" t="str">
        <f t="shared" si="4"/>
        <v/>
      </c>
      <c r="S23" s="15"/>
      <c r="T23" s="15"/>
      <c r="U23" s="15"/>
      <c r="CW23" s="11"/>
    </row>
    <row r="24" spans="2:101">
      <c r="B24" s="616" t="str" cm="1">
        <f t="array" ref="B24">_xlfn.IFS(E24=""," ",E24="LIHTC", C24&amp;", "&amp;(F24*100)&amp;"% AMI",E24="Non-LIHTC Rent Restricted", C24&amp;", "&amp;(F24*100)&amp;"% AMI",E24="Market Rate",C24&amp;" "&amp;E24,E24="Manager",C24&amp;" "&amp;E24, E24="Workforce", C24&amp;", "&amp;(F24*100)&amp;"% AMI")</f>
        <v>2 BD Manager</v>
      </c>
      <c r="C24" s="711" t="s">
        <v>283</v>
      </c>
      <c r="D24" s="711"/>
      <c r="E24" s="711" t="s">
        <v>285</v>
      </c>
      <c r="F24" s="197"/>
      <c r="G24" s="198">
        <v>1</v>
      </c>
      <c r="H24" s="198">
        <v>750</v>
      </c>
      <c r="I24" s="552"/>
      <c r="J24" s="631"/>
      <c r="K24" s="634">
        <f t="shared" si="2"/>
        <v>0</v>
      </c>
      <c r="L24" s="552" t="s">
        <v>286</v>
      </c>
      <c r="M24" s="52" t="str">
        <f t="shared" si="0"/>
        <v/>
      </c>
      <c r="N24" s="54"/>
      <c r="O24" s="711"/>
      <c r="P24" s="555" t="str">
        <f t="shared" si="1"/>
        <v/>
      </c>
      <c r="Q24" s="555" t="str">
        <f t="shared" si="3"/>
        <v/>
      </c>
      <c r="R24" s="557" t="str">
        <f t="shared" si="4"/>
        <v/>
      </c>
      <c r="S24" s="15"/>
      <c r="T24" s="15"/>
      <c r="U24" s="15"/>
      <c r="CW24" s="11"/>
    </row>
    <row r="25" spans="2:101">
      <c r="B25" s="616">
        <v>0.8</v>
      </c>
      <c r="C25" s="711"/>
      <c r="D25" s="711"/>
      <c r="E25" s="711"/>
      <c r="F25" s="197"/>
      <c r="G25" s="198"/>
      <c r="H25" s="198"/>
      <c r="I25" s="552"/>
      <c r="J25" s="631"/>
      <c r="K25" s="634"/>
      <c r="L25" s="552"/>
      <c r="M25" s="52" t="str">
        <f t="shared" si="0"/>
        <v/>
      </c>
      <c r="N25" s="54"/>
      <c r="O25" s="711"/>
      <c r="P25" s="555" t="str">
        <f t="shared" si="1"/>
        <v/>
      </c>
      <c r="Q25" s="555" t="str">
        <f t="shared" si="3"/>
        <v/>
      </c>
      <c r="R25" s="557" t="str">
        <f t="shared" si="4"/>
        <v/>
      </c>
      <c r="S25" s="15"/>
      <c r="T25" s="15"/>
      <c r="U25" s="15"/>
      <c r="CW25" s="11"/>
    </row>
    <row r="26" spans="2:101">
      <c r="B26" s="616" t="str" cm="1">
        <f t="array" ref="B26">_xlfn.IFS(E26=""," ",E26="LIHTC", C26&amp;", "&amp;(F26*100)&amp;"% AMI",E26="Non-LIHTC Rent Restricted", C26&amp;", "&amp;(F26*100)&amp;"% AMI",E26="Market Rate",C26&amp;" "&amp;E26,E26="Manager",C26&amp;" "&amp;E26, E26="Workforce", C26&amp;", "&amp;(F26*100)&amp;"% AMI")</f>
        <v xml:space="preserve"> </v>
      </c>
      <c r="C26" s="711"/>
      <c r="D26" s="711"/>
      <c r="E26" s="711"/>
      <c r="F26" s="197"/>
      <c r="G26" s="198"/>
      <c r="H26" s="198"/>
      <c r="I26" s="552"/>
      <c r="J26" s="631"/>
      <c r="K26" s="634"/>
      <c r="L26" s="552"/>
      <c r="M26" s="52" t="str">
        <f t="shared" si="0"/>
        <v/>
      </c>
      <c r="N26" s="54"/>
      <c r="O26" s="711"/>
      <c r="P26" s="555" t="str">
        <f t="shared" si="1"/>
        <v/>
      </c>
      <c r="Q26" s="555" t="str">
        <f t="shared" si="3"/>
        <v/>
      </c>
      <c r="R26" s="557" t="str">
        <f t="shared" si="4"/>
        <v/>
      </c>
      <c r="S26" s="15"/>
      <c r="T26" s="15"/>
      <c r="U26" s="15"/>
      <c r="CW26" s="11"/>
    </row>
    <row r="27" spans="2:101">
      <c r="B27" s="616" t="str" cm="1">
        <f t="array" ref="B27">_xlfn.IFS(E27=""," ",E27="LIHTC", C27&amp;", "&amp;(F27*100)&amp;"% AMI",E27="Non-LIHTC Rent Restricted", C27&amp;", "&amp;(F27*100)&amp;"% AMI",E27="Market Rate",C27&amp;" "&amp;E27,E27="Manager",C27&amp;" "&amp;E27, E27="Workforce", C27&amp;", "&amp;(F27*100)&amp;"% AMI")</f>
        <v xml:space="preserve"> </v>
      </c>
      <c r="C27" s="711"/>
      <c r="D27" s="711"/>
      <c r="E27" s="711"/>
      <c r="F27" s="197"/>
      <c r="G27" s="198"/>
      <c r="H27" s="198"/>
      <c r="I27" s="552"/>
      <c r="J27" s="631"/>
      <c r="K27" s="634"/>
      <c r="L27" s="552"/>
      <c r="M27" s="52" t="str">
        <f t="shared" si="0"/>
        <v/>
      </c>
      <c r="N27" s="54"/>
      <c r="O27" s="711"/>
      <c r="P27" s="555" t="str">
        <f t="shared" si="1"/>
        <v/>
      </c>
      <c r="Q27" s="555" t="str">
        <f t="shared" si="3"/>
        <v/>
      </c>
      <c r="R27" s="557" t="str">
        <f t="shared" si="4"/>
        <v/>
      </c>
      <c r="S27" s="15"/>
      <c r="T27" s="15"/>
      <c r="U27" s="15"/>
      <c r="CW27" s="11"/>
    </row>
    <row r="28" spans="2:101">
      <c r="B28" s="616" t="str" cm="1">
        <f t="array" ref="B28">_xlfn.IFS(E28=""," ",E28="LIHTC", C28&amp;", "&amp;(F28*100)&amp;"% AMI",E28="Non-LIHTC Rent Restricted", C28&amp;", "&amp;(F28*100)&amp;"% AMI",E28="Market Rate",C28&amp;" "&amp;E28,E28="Manager",C28&amp;" "&amp;E28, E28="Workforce", C28&amp;", "&amp;(F28*100)&amp;"% AMI")</f>
        <v xml:space="preserve"> </v>
      </c>
      <c r="C28" s="711"/>
      <c r="D28" s="711"/>
      <c r="E28" s="711"/>
      <c r="F28" s="197"/>
      <c r="G28" s="198"/>
      <c r="H28" s="198"/>
      <c r="I28" s="552"/>
      <c r="J28" s="631"/>
      <c r="K28" s="634"/>
      <c r="L28" s="552"/>
      <c r="M28" s="52" t="str">
        <f t="shared" si="0"/>
        <v/>
      </c>
      <c r="N28" s="54"/>
      <c r="O28" s="711"/>
      <c r="P28" s="555" t="str">
        <f t="shared" si="1"/>
        <v/>
      </c>
      <c r="Q28" s="555" t="str">
        <f t="shared" si="3"/>
        <v/>
      </c>
      <c r="R28" s="557" t="str">
        <f t="shared" si="4"/>
        <v/>
      </c>
      <c r="S28" s="15"/>
      <c r="T28" s="15"/>
      <c r="U28" s="15"/>
      <c r="CW28" s="11"/>
    </row>
    <row r="29" spans="2:101">
      <c r="B29" s="616" t="str" cm="1">
        <f t="array" ref="B29">_xlfn.IFS(E29=""," ",E29="LIHTC", C29&amp;", "&amp;(F29*100)&amp;"% AMI",E29="Non-LIHTC Rent Restricted", C29&amp;", "&amp;(F29*100)&amp;"% AMI",E29="Market Rate",C29&amp;" "&amp;E29,E29="Manager",C29&amp;" "&amp;E29, E29="Workforce", C29&amp;", "&amp;(F29*100)&amp;"% AMI")</f>
        <v xml:space="preserve"> </v>
      </c>
      <c r="C29" s="711"/>
      <c r="D29" s="711"/>
      <c r="E29" s="711"/>
      <c r="F29" s="197"/>
      <c r="G29" s="198"/>
      <c r="H29" s="198"/>
      <c r="I29" s="552"/>
      <c r="J29" s="631"/>
      <c r="K29" s="634"/>
      <c r="L29" s="552"/>
      <c r="M29" s="52" t="str">
        <f t="shared" si="0"/>
        <v/>
      </c>
      <c r="N29" s="54"/>
      <c r="O29" s="711"/>
      <c r="P29" s="555" t="str">
        <f t="shared" si="1"/>
        <v/>
      </c>
      <c r="Q29" s="555" t="str">
        <f t="shared" si="3"/>
        <v/>
      </c>
      <c r="R29" s="557" t="str">
        <f t="shared" si="4"/>
        <v/>
      </c>
      <c r="S29" s="15"/>
      <c r="T29" s="15"/>
      <c r="U29" s="15"/>
      <c r="CW29" s="11"/>
    </row>
    <row r="30" spans="2:101">
      <c r="B30" s="616" t="str" cm="1">
        <f t="array" ref="B30">_xlfn.IFS(E30=""," ",E30="LIHTC", C30&amp;", "&amp;(F30*100)&amp;"% AMI",E30="Non-LIHTC Rent Restricted", C30&amp;", "&amp;(F30*100)&amp;"% AMI",E30="Market Rate",C30&amp;" "&amp;E30,E30="Manager",C30&amp;" "&amp;E30, E30="Workforce", C30&amp;", "&amp;(F30*100)&amp;"% AMI")</f>
        <v xml:space="preserve"> </v>
      </c>
      <c r="C30" s="711"/>
      <c r="D30" s="711"/>
      <c r="E30" s="711"/>
      <c r="F30" s="197"/>
      <c r="G30" s="198"/>
      <c r="H30" s="198"/>
      <c r="I30" s="552"/>
      <c r="J30" s="631"/>
      <c r="K30" s="634"/>
      <c r="L30" s="552"/>
      <c r="M30" s="52" t="str">
        <f t="shared" si="0"/>
        <v/>
      </c>
      <c r="N30" s="54"/>
      <c r="O30" s="711"/>
      <c r="P30" s="555" t="str">
        <f t="shared" si="1"/>
        <v/>
      </c>
      <c r="Q30" s="555" t="str">
        <f t="shared" si="3"/>
        <v/>
      </c>
      <c r="R30" s="557" t="str">
        <f t="shared" si="4"/>
        <v/>
      </c>
      <c r="S30" s="15"/>
      <c r="T30" s="15"/>
      <c r="U30" s="15"/>
      <c r="CW30" s="11"/>
    </row>
    <row r="31" spans="2:101">
      <c r="B31" s="616" t="str" cm="1">
        <f t="array" ref="B31">_xlfn.IFS(E31=""," ",E31="LIHTC", C31&amp;", "&amp;(F31*100)&amp;"% AMI",E31="Non-LIHTC Rent Restricted", C31&amp;", "&amp;(F31*100)&amp;"% AMI",E31="Market Rate",C31&amp;" "&amp;E31,E31="Manager",C31&amp;" "&amp;E31, E31="Workforce", C31&amp;", "&amp;(F31*100)&amp;"% AMI")</f>
        <v xml:space="preserve"> </v>
      </c>
      <c r="C31" s="711"/>
      <c r="D31" s="711"/>
      <c r="E31" s="711"/>
      <c r="F31" s="197"/>
      <c r="G31" s="198"/>
      <c r="H31" s="198"/>
      <c r="I31" s="552"/>
      <c r="J31" s="631"/>
      <c r="K31" s="634"/>
      <c r="L31" s="552"/>
      <c r="M31" s="52" t="str">
        <f t="shared" si="0"/>
        <v/>
      </c>
      <c r="N31" s="54"/>
      <c r="O31" s="711"/>
      <c r="P31" s="555" t="str">
        <f t="shared" si="1"/>
        <v/>
      </c>
      <c r="Q31" s="555" t="str">
        <f t="shared" si="3"/>
        <v/>
      </c>
      <c r="R31" s="557" t="str">
        <f t="shared" si="4"/>
        <v/>
      </c>
      <c r="S31" s="15"/>
      <c r="T31" s="15"/>
      <c r="U31" s="15"/>
      <c r="CW31" s="11"/>
    </row>
    <row r="32" spans="2:101">
      <c r="B32" s="616" t="str" cm="1">
        <f t="array" ref="B32">_xlfn.IFS(E32=""," ",E32="LIHTC", C32&amp;", "&amp;(F32*100)&amp;"% AMI",E32="Non-LIHTC Rent Restricted", C32&amp;", "&amp;(F32*100)&amp;"% AMI",E32="Market Rate",C32&amp;" "&amp;E32,E32="Manager",C32&amp;" "&amp;E32, E32="Workforce", C32&amp;", "&amp;(F32*100)&amp;"% AMI")</f>
        <v xml:space="preserve"> </v>
      </c>
      <c r="C32" s="711"/>
      <c r="D32" s="711"/>
      <c r="E32" s="711"/>
      <c r="F32" s="197"/>
      <c r="G32" s="198"/>
      <c r="H32" s="198"/>
      <c r="I32" s="552"/>
      <c r="J32" s="631"/>
      <c r="K32" s="634"/>
      <c r="L32" s="552"/>
      <c r="M32" s="52" t="str">
        <f t="shared" si="0"/>
        <v/>
      </c>
      <c r="N32" s="54"/>
      <c r="O32" s="711"/>
      <c r="P32" s="555" t="str">
        <f t="shared" si="1"/>
        <v/>
      </c>
      <c r="Q32" s="555" t="str">
        <f t="shared" si="3"/>
        <v/>
      </c>
      <c r="R32" s="557" t="str">
        <f t="shared" si="4"/>
        <v/>
      </c>
      <c r="S32" s="15"/>
      <c r="T32" s="15"/>
      <c r="U32" s="15"/>
      <c r="CW32" s="11"/>
    </row>
    <row r="33" spans="2:101">
      <c r="B33" s="616" t="str" cm="1">
        <f t="array" ref="B33">_xlfn.IFS(E33=""," ",E33="LIHTC", C33&amp;", "&amp;(F33*100)&amp;"% AMI",E33="Non-LIHTC Rent Restricted", C33&amp;", "&amp;(F33*100)&amp;"% AMI",E33="Market Rate",C33&amp;" "&amp;E33,E33="Manager",C33&amp;" "&amp;E33, E33="Workforce", C33&amp;", "&amp;(F33*100)&amp;"% AMI")</f>
        <v xml:space="preserve"> </v>
      </c>
      <c r="C33" s="711"/>
      <c r="D33" s="711"/>
      <c r="E33" s="711"/>
      <c r="F33" s="197"/>
      <c r="G33" s="198"/>
      <c r="H33" s="198"/>
      <c r="I33" s="552"/>
      <c r="J33" s="631"/>
      <c r="K33" s="634"/>
      <c r="L33" s="552"/>
      <c r="M33" s="52"/>
      <c r="N33" s="54"/>
      <c r="O33" s="711"/>
      <c r="P33" s="555"/>
      <c r="Q33" s="555"/>
      <c r="R33" s="557"/>
      <c r="S33" s="15"/>
      <c r="T33" s="15"/>
      <c r="U33" s="15"/>
      <c r="CW33" s="11"/>
    </row>
    <row r="34" spans="2:101">
      <c r="B34" s="616" t="str" cm="1">
        <f t="array" ref="B34">_xlfn.IFS(E34=""," ",E34="LIHTC", C34&amp;", "&amp;(F34*100)&amp;"% AMI",E34="Non-LIHTC Rent Restricted", C34&amp;", "&amp;(F34*100)&amp;"% AMI",E34="Market Rate",C34&amp;" "&amp;E34,E34="Manager",C34&amp;" "&amp;E34, E34="Workforce", C34&amp;", "&amp;(F34*100)&amp;"% AMI")</f>
        <v xml:space="preserve"> </v>
      </c>
      <c r="C34" s="711"/>
      <c r="D34" s="711"/>
      <c r="E34" s="711"/>
      <c r="F34" s="197"/>
      <c r="G34" s="198"/>
      <c r="H34" s="198"/>
      <c r="I34" s="552"/>
      <c r="J34" s="631"/>
      <c r="K34" s="634"/>
      <c r="L34" s="552"/>
      <c r="M34" s="52"/>
      <c r="N34" s="54"/>
      <c r="O34" s="711"/>
      <c r="P34" s="555"/>
      <c r="Q34" s="555"/>
      <c r="R34" s="557"/>
      <c r="S34" s="15"/>
      <c r="T34" s="15"/>
      <c r="U34" s="15"/>
      <c r="CW34" s="11"/>
    </row>
    <row r="35" spans="2:101">
      <c r="B35" s="616" t="str" cm="1">
        <f t="array" ref="B35">_xlfn.IFS(E35=""," ",E35="LIHTC", C35&amp;", "&amp;(F35*100)&amp;"% AMI",E35="Non-LIHTC Rent Restricted", C35&amp;", "&amp;(F35*100)&amp;"% AMI",E35="Market Rate",C35&amp;" "&amp;E35,E35="Manager",C35&amp;" "&amp;E35, E35="Workforce", C35&amp;", "&amp;(F35*100)&amp;"% AMI")</f>
        <v xml:space="preserve"> </v>
      </c>
      <c r="C35" s="711"/>
      <c r="D35" s="711"/>
      <c r="E35" s="711"/>
      <c r="F35" s="197"/>
      <c r="G35" s="198"/>
      <c r="H35" s="198"/>
      <c r="I35" s="552"/>
      <c r="J35" s="631"/>
      <c r="K35" s="634"/>
      <c r="L35" s="552"/>
      <c r="M35" s="52"/>
      <c r="N35" s="54"/>
      <c r="O35" s="711"/>
      <c r="P35" s="555"/>
      <c r="Q35" s="555"/>
      <c r="R35" s="557"/>
      <c r="S35" s="15"/>
      <c r="T35" s="15"/>
      <c r="U35" s="15"/>
      <c r="CW35" s="11"/>
    </row>
    <row r="36" spans="2:101">
      <c r="B36" s="616" t="str" cm="1">
        <f t="array" ref="B36">_xlfn.IFS(E36=""," ",E36="LIHTC", C36&amp;", "&amp;(F36*100)&amp;"% AMI",E36="Non-LIHTC Rent Restricted", C36&amp;", "&amp;(F36*100)&amp;"% AMI",E36="Market Rate",C36&amp;" "&amp;E36,E36="Manager",C36&amp;" "&amp;E36, E36="Workforce", C36&amp;", "&amp;(F36*100)&amp;"% AMI")</f>
        <v xml:space="preserve"> </v>
      </c>
      <c r="C36" s="711"/>
      <c r="D36" s="711"/>
      <c r="E36" s="711"/>
      <c r="F36" s="197"/>
      <c r="G36" s="198"/>
      <c r="H36" s="198"/>
      <c r="I36" s="552"/>
      <c r="J36" s="631"/>
      <c r="K36" s="634"/>
      <c r="L36" s="552"/>
      <c r="M36" s="52"/>
      <c r="N36" s="54"/>
      <c r="O36" s="711"/>
      <c r="P36" s="555"/>
      <c r="Q36" s="555"/>
      <c r="R36" s="557"/>
      <c r="S36" s="15"/>
      <c r="T36" s="15"/>
      <c r="U36" s="15"/>
      <c r="CW36" s="11"/>
    </row>
    <row r="37" spans="2:101">
      <c r="B37" s="616" t="str" cm="1">
        <f t="array" ref="B37">_xlfn.IFS(E37=""," ",E37="LIHTC", C37&amp;", "&amp;(F37*100)&amp;"% AMI",E37="Non-LIHTC Rent Restricted", C37&amp;", "&amp;(F37*100)&amp;"% AMI",E37="Market Rate",C37&amp;" "&amp;E37,E37="Manager",C37&amp;" "&amp;E37, E37="Workforce", C37&amp;", "&amp;(F37*100)&amp;"% AMI")</f>
        <v xml:space="preserve"> </v>
      </c>
      <c r="C37" s="711"/>
      <c r="D37" s="711"/>
      <c r="E37" s="711"/>
      <c r="F37" s="197"/>
      <c r="G37" s="198"/>
      <c r="H37" s="198"/>
      <c r="I37" s="552"/>
      <c r="J37" s="631"/>
      <c r="K37" s="634"/>
      <c r="L37" s="552"/>
      <c r="M37" s="52" t="str">
        <f>IFERROR(IF(E37="Market Rate","",(L37-K37)/L37),"")</f>
        <v/>
      </c>
      <c r="N37" s="54"/>
      <c r="O37" s="711"/>
      <c r="P37" s="555" t="str">
        <f>IF(O37&gt;0,L37-K37,"")</f>
        <v/>
      </c>
      <c r="Q37" s="555" t="str">
        <f t="shared" si="3"/>
        <v/>
      </c>
      <c r="R37" s="557" t="str">
        <f t="shared" si="4"/>
        <v/>
      </c>
      <c r="S37" s="15"/>
      <c r="T37" s="15"/>
      <c r="U37" s="15"/>
      <c r="CW37" s="11"/>
    </row>
    <row r="38" spans="2:101">
      <c r="B38" s="616" t="str">
        <f t="shared" ref="B38" si="5">IF(OR(E38= "Manager",E38=""), C38&amp;" "&amp;E38,C38&amp;", "&amp;(F38*100)&amp;"% AMI")</f>
        <v xml:space="preserve"> </v>
      </c>
      <c r="C38" s="711"/>
      <c r="D38" s="711"/>
      <c r="E38" s="711"/>
      <c r="F38" s="197"/>
      <c r="G38" s="198"/>
      <c r="H38" s="198"/>
      <c r="I38" s="552"/>
      <c r="J38" s="631"/>
      <c r="K38" s="634"/>
      <c r="L38" s="552"/>
      <c r="M38" s="52" t="str">
        <f>IFERROR(IF(E38="Market Rate","",(L38-K38)/L38),"")</f>
        <v/>
      </c>
      <c r="N38" s="54"/>
      <c r="O38" s="711"/>
      <c r="P38" s="555" t="str">
        <f>IF(O38&gt;0,L38-K38,"")</f>
        <v/>
      </c>
      <c r="Q38" s="555" t="str">
        <f t="shared" si="3"/>
        <v/>
      </c>
      <c r="R38" s="557" t="str">
        <f t="shared" si="4"/>
        <v/>
      </c>
      <c r="S38" s="15"/>
      <c r="T38" s="15"/>
      <c r="U38" s="15"/>
      <c r="CW38" s="11"/>
    </row>
    <row r="39" spans="2:101">
      <c r="B39" s="592"/>
      <c r="C39" s="574"/>
      <c r="D39" s="321"/>
      <c r="E39" s="321"/>
      <c r="F39" s="322"/>
      <c r="G39" s="323"/>
      <c r="H39" s="323"/>
      <c r="I39" s="553"/>
      <c r="J39" s="632"/>
      <c r="K39" s="635"/>
      <c r="L39" s="553"/>
      <c r="M39" s="324" t="str">
        <f>IFERROR(IF(E39="Market Rate","",(L39-K39)/L39),"")</f>
        <v/>
      </c>
      <c r="N39" s="325"/>
      <c r="O39" s="321"/>
      <c r="P39" s="558" t="str">
        <f>IF(O39&gt;0,L39-K39,"")</f>
        <v/>
      </c>
      <c r="Q39" s="558" t="str">
        <f t="shared" si="3"/>
        <v/>
      </c>
      <c r="R39" s="559" t="str">
        <f t="shared" si="4"/>
        <v/>
      </c>
      <c r="S39" s="15"/>
      <c r="T39" s="15"/>
      <c r="U39" s="15"/>
      <c r="CW39" s="11"/>
    </row>
    <row r="40" spans="2:101">
      <c r="B40" s="582" t="s">
        <v>69</v>
      </c>
      <c r="C40" s="35"/>
      <c r="D40" s="132"/>
      <c r="E40" s="132"/>
      <c r="F40" s="132"/>
      <c r="G40" s="326">
        <f>SUM(G9:G39)</f>
        <v>75</v>
      </c>
      <c r="H40" s="327">
        <f>SUMPRODUCT($G9:$G39,H9:H39)</f>
        <v>47850</v>
      </c>
      <c r="I40" s="554">
        <f>SUMPRODUCT($G9:$G39,I9:I39)</f>
        <v>86192</v>
      </c>
      <c r="J40" s="633">
        <f>SUMPRODUCT($G9:$G39,J9:J39)</f>
        <v>14600</v>
      </c>
      <c r="K40" s="633">
        <f>SUMPRODUCT($G9:$G39,K9:K39)</f>
        <v>71592</v>
      </c>
      <c r="L40" s="554">
        <f>SUMPRODUCT($G9:$G39,L9:L39)</f>
        <v>166200</v>
      </c>
      <c r="M40" s="35"/>
      <c r="N40" s="329"/>
      <c r="O40" s="326">
        <f>SUM(O9:O39)</f>
        <v>22</v>
      </c>
      <c r="P40" s="328"/>
      <c r="Q40" s="328">
        <f>SUM(Q9:Q39)</f>
        <v>50547</v>
      </c>
      <c r="R40" s="158">
        <f>SUM(R9:R39)</f>
        <v>606564</v>
      </c>
      <c r="S40" s="15"/>
      <c r="T40" s="15"/>
      <c r="U40" s="15"/>
      <c r="CW40" s="11"/>
    </row>
    <row r="41" spans="2:101">
      <c r="B41" s="579"/>
      <c r="C41" s="15"/>
      <c r="D41" s="15"/>
      <c r="E41" s="15"/>
      <c r="F41" s="15"/>
      <c r="G41" s="15"/>
      <c r="H41" s="15"/>
      <c r="I41" s="655" t="s">
        <v>287</v>
      </c>
      <c r="J41" s="15"/>
      <c r="K41" s="15"/>
      <c r="L41" s="15"/>
      <c r="M41" s="15"/>
      <c r="N41" s="15"/>
      <c r="O41" s="15"/>
      <c r="P41" s="15"/>
      <c r="Q41" s="63"/>
      <c r="R41" s="15"/>
      <c r="S41" s="15"/>
      <c r="T41" s="15"/>
    </row>
    <row r="42" spans="2:101">
      <c r="B42" s="579"/>
      <c r="C42" s="15"/>
      <c r="D42" s="15"/>
      <c r="E42" s="15"/>
      <c r="F42" s="15"/>
      <c r="G42" s="15"/>
      <c r="H42" s="15"/>
      <c r="I42" s="655" t="s">
        <v>288</v>
      </c>
      <c r="J42" s="15"/>
      <c r="K42" s="15"/>
      <c r="L42" s="15"/>
      <c r="M42" s="15"/>
      <c r="N42" s="15"/>
      <c r="O42" s="15"/>
      <c r="P42" s="15"/>
      <c r="Q42" s="15"/>
      <c r="R42" s="15"/>
      <c r="S42" s="15"/>
      <c r="T42" s="15"/>
    </row>
    <row r="43" spans="2:101">
      <c r="B43" s="579"/>
      <c r="C43" s="15"/>
      <c r="D43" s="15"/>
      <c r="E43" s="15"/>
      <c r="F43" s="15"/>
      <c r="G43" s="15"/>
      <c r="H43" s="15"/>
      <c r="I43" s="655" t="s">
        <v>289</v>
      </c>
      <c r="J43" s="15"/>
      <c r="K43" s="15"/>
      <c r="L43" s="15"/>
      <c r="M43" s="15"/>
      <c r="N43" s="15"/>
      <c r="O43" s="15"/>
      <c r="P43" s="15"/>
      <c r="Q43" s="15"/>
      <c r="R43" s="15"/>
      <c r="S43" s="15"/>
      <c r="T43" s="15"/>
    </row>
    <row r="44" spans="2:101">
      <c r="B44" s="564" t="s">
        <v>290</v>
      </c>
      <c r="C44" s="47"/>
      <c r="D44" s="47"/>
      <c r="E44" s="47"/>
      <c r="F44" s="47"/>
      <c r="G44" s="59"/>
      <c r="H44" s="15"/>
      <c r="I44" s="15"/>
      <c r="J44" s="15"/>
      <c r="K44" s="15"/>
      <c r="L44" s="15"/>
      <c r="M44" s="15"/>
      <c r="N44" s="655" t="s">
        <v>291</v>
      </c>
      <c r="O44" s="15"/>
      <c r="P44" s="15"/>
      <c r="Q44" s="15"/>
      <c r="R44" s="15"/>
      <c r="S44" s="15"/>
      <c r="T44" s="15"/>
    </row>
    <row r="45" spans="2:101">
      <c r="B45" s="575"/>
      <c r="C45" s="53" t="s">
        <v>280</v>
      </c>
      <c r="D45" s="53" t="s">
        <v>292</v>
      </c>
      <c r="E45" s="53" t="s">
        <v>293</v>
      </c>
      <c r="F45" s="53" t="s">
        <v>294</v>
      </c>
      <c r="G45" s="390" t="s">
        <v>295</v>
      </c>
      <c r="H45" s="15"/>
      <c r="I45" s="15"/>
      <c r="J45" s="15"/>
      <c r="K45" s="15"/>
      <c r="L45" s="15"/>
      <c r="M45" s="15"/>
      <c r="N45" s="15"/>
      <c r="O45" s="15"/>
      <c r="P45" s="15"/>
      <c r="Q45" s="15"/>
      <c r="R45" s="15"/>
      <c r="S45" s="15"/>
      <c r="T45" s="15"/>
    </row>
    <row r="46" spans="2:101">
      <c r="B46" s="518" t="s">
        <v>296</v>
      </c>
      <c r="C46" s="560">
        <v>62</v>
      </c>
      <c r="D46" s="200">
        <v>90</v>
      </c>
      <c r="E46" s="200">
        <v>145</v>
      </c>
      <c r="F46" s="200">
        <v>178</v>
      </c>
      <c r="G46" s="718"/>
      <c r="H46" s="15"/>
      <c r="I46" s="15"/>
      <c r="J46" s="15"/>
      <c r="K46" s="15"/>
      <c r="L46" s="15"/>
      <c r="M46" s="15"/>
      <c r="N46" s="15"/>
      <c r="O46" s="15"/>
      <c r="P46" s="15"/>
      <c r="Q46" s="15"/>
      <c r="R46" s="15"/>
      <c r="S46" s="15"/>
      <c r="T46" s="15"/>
    </row>
    <row r="47" spans="2:101">
      <c r="B47" s="518" t="s">
        <v>297</v>
      </c>
      <c r="C47" s="560">
        <v>37</v>
      </c>
      <c r="D47" s="200">
        <v>46</v>
      </c>
      <c r="E47" s="200">
        <v>55</v>
      </c>
      <c r="F47" s="200">
        <v>74</v>
      </c>
      <c r="G47" s="330"/>
      <c r="H47" s="11"/>
      <c r="I47" s="11"/>
      <c r="J47" s="11"/>
      <c r="K47" s="11"/>
      <c r="L47" s="11"/>
      <c r="M47" s="11"/>
      <c r="N47" s="11"/>
      <c r="O47" s="11"/>
      <c r="P47" s="11"/>
      <c r="Q47" s="11"/>
    </row>
    <row r="48" spans="2:101">
      <c r="B48" s="518" t="s">
        <v>298</v>
      </c>
      <c r="C48" s="560">
        <v>11</v>
      </c>
      <c r="D48" s="200">
        <v>16</v>
      </c>
      <c r="E48" s="200">
        <v>16</v>
      </c>
      <c r="F48" s="200">
        <v>32</v>
      </c>
      <c r="G48" s="330"/>
      <c r="H48" s="11"/>
      <c r="I48" s="11"/>
      <c r="J48" s="11"/>
      <c r="K48" s="11"/>
      <c r="L48" s="11"/>
      <c r="M48" s="11"/>
      <c r="N48" s="11"/>
      <c r="O48" s="11"/>
      <c r="P48" s="11"/>
      <c r="Q48" s="11"/>
    </row>
    <row r="49" spans="2:17">
      <c r="B49" s="518"/>
      <c r="C49" s="560"/>
      <c r="D49" s="200"/>
      <c r="E49" s="200"/>
      <c r="F49" s="200"/>
      <c r="G49" s="330"/>
      <c r="H49" s="11"/>
      <c r="I49" s="11"/>
      <c r="J49" s="11"/>
      <c r="K49" s="11"/>
      <c r="L49" s="11"/>
      <c r="M49" s="11"/>
      <c r="N49" s="11"/>
      <c r="O49" s="11"/>
      <c r="P49" s="11"/>
      <c r="Q49" s="11"/>
    </row>
    <row r="50" spans="2:17">
      <c r="B50" s="518"/>
      <c r="C50" s="560"/>
      <c r="D50" s="200"/>
      <c r="E50" s="200"/>
      <c r="F50" s="200"/>
      <c r="G50" s="330"/>
      <c r="H50" s="11"/>
      <c r="I50" s="11"/>
      <c r="J50" s="11"/>
      <c r="K50" s="11"/>
      <c r="L50" s="11"/>
      <c r="M50" s="11"/>
      <c r="N50" s="11"/>
      <c r="O50" s="11"/>
      <c r="P50" s="11"/>
      <c r="Q50" s="11"/>
    </row>
    <row r="51" spans="2:17" ht="14.5" customHeight="1">
      <c r="B51" s="518"/>
      <c r="C51" s="560"/>
      <c r="D51" s="200"/>
      <c r="E51" s="200"/>
      <c r="F51" s="200"/>
      <c r="G51" s="330"/>
      <c r="H51" s="11"/>
      <c r="I51" s="11"/>
      <c r="J51" s="11"/>
      <c r="K51" s="11"/>
      <c r="L51" s="11"/>
      <c r="M51" s="11"/>
      <c r="N51" s="11"/>
      <c r="O51" s="11"/>
      <c r="P51" s="11"/>
      <c r="Q51" s="11"/>
    </row>
    <row r="52" spans="2:17">
      <c r="B52" s="518"/>
      <c r="C52" s="560"/>
      <c r="D52" s="200"/>
      <c r="E52" s="200"/>
      <c r="F52" s="200"/>
      <c r="G52" s="330"/>
      <c r="H52" s="11"/>
      <c r="I52" s="11"/>
      <c r="J52" s="11"/>
      <c r="K52" s="11"/>
      <c r="L52" s="11"/>
      <c r="M52" s="11"/>
      <c r="N52" s="11"/>
      <c r="O52" s="11"/>
      <c r="P52" s="11"/>
      <c r="Q52" s="11"/>
    </row>
    <row r="53" spans="2:17">
      <c r="B53" s="636"/>
      <c r="C53" s="561"/>
      <c r="D53" s="201"/>
      <c r="E53" s="201"/>
      <c r="F53" s="201"/>
      <c r="G53" s="331"/>
      <c r="H53" s="11"/>
      <c r="I53" s="11"/>
      <c r="J53" s="11"/>
      <c r="K53" s="11"/>
      <c r="L53" s="11"/>
      <c r="M53" s="11"/>
      <c r="N53" s="11"/>
      <c r="O53" s="11"/>
      <c r="P53" s="11"/>
      <c r="Q53" s="11"/>
    </row>
    <row r="54" spans="2:17">
      <c r="B54" s="583" t="s">
        <v>69</v>
      </c>
      <c r="C54" s="562">
        <f>SUM(C46:C53)</f>
        <v>110</v>
      </c>
      <c r="D54" s="550">
        <f>SUM(D46:D53)</f>
        <v>152</v>
      </c>
      <c r="E54" s="550">
        <f>SUM(E46:E53)</f>
        <v>216</v>
      </c>
      <c r="F54" s="550">
        <f>SUM(F46:F53)</f>
        <v>284</v>
      </c>
      <c r="G54" s="551">
        <f>SUM(G46:G53)</f>
        <v>0</v>
      </c>
      <c r="H54" s="11"/>
      <c r="I54" s="11"/>
      <c r="J54" s="11"/>
      <c r="K54" s="11"/>
      <c r="L54" s="11"/>
      <c r="M54" s="11"/>
      <c r="N54" s="11"/>
      <c r="O54" s="11"/>
      <c r="P54" s="11"/>
      <c r="Q54" s="11"/>
    </row>
    <row r="55" spans="2:17">
      <c r="B55" s="579"/>
      <c r="C55" s="11"/>
      <c r="D55" s="11"/>
      <c r="E55" s="11"/>
      <c r="F55" s="11"/>
      <c r="G55" s="11"/>
      <c r="H55" s="11"/>
      <c r="I55" s="11"/>
      <c r="J55" s="11"/>
      <c r="K55" s="11"/>
      <c r="L55" s="11"/>
      <c r="M55" s="11"/>
      <c r="N55" s="11"/>
      <c r="O55" s="11"/>
      <c r="P55" s="11"/>
      <c r="Q55" s="11"/>
    </row>
    <row r="56" spans="2:17">
      <c r="B56" s="579"/>
      <c r="C56" s="11"/>
      <c r="D56" s="11"/>
      <c r="E56" s="11"/>
      <c r="F56" s="11"/>
      <c r="G56" s="11"/>
      <c r="H56" s="11"/>
      <c r="I56" s="11"/>
      <c r="J56" s="11"/>
      <c r="K56" s="11"/>
      <c r="L56" s="11"/>
      <c r="M56" s="11"/>
      <c r="N56" s="11"/>
      <c r="O56" s="11"/>
      <c r="P56" s="11"/>
      <c r="Q56" s="11"/>
    </row>
    <row r="57" spans="2:17">
      <c r="B57" s="579"/>
      <c r="C57" s="11"/>
      <c r="D57" s="11"/>
      <c r="E57" s="11"/>
      <c r="F57" s="11"/>
      <c r="G57" s="11"/>
      <c r="H57" s="11"/>
      <c r="I57" s="11"/>
      <c r="J57" s="11"/>
      <c r="K57" s="11"/>
      <c r="L57" s="11"/>
      <c r="M57" s="11"/>
      <c r="N57" s="11"/>
      <c r="O57" s="11"/>
      <c r="P57" s="11"/>
      <c r="Q57" s="11"/>
    </row>
    <row r="58" spans="2:17" ht="16">
      <c r="B58" s="584" t="s">
        <v>299</v>
      </c>
      <c r="C58" s="11"/>
      <c r="D58" s="11"/>
      <c r="E58" s="11"/>
      <c r="F58" s="11"/>
      <c r="G58" s="11"/>
      <c r="H58" s="11"/>
      <c r="I58" s="11"/>
      <c r="J58" s="11"/>
      <c r="K58" s="11"/>
      <c r="L58" s="11"/>
      <c r="M58" s="11"/>
      <c r="N58" s="11"/>
      <c r="O58" s="11"/>
      <c r="P58" s="11"/>
      <c r="Q58" s="11"/>
    </row>
    <row r="59" spans="2:17" ht="43">
      <c r="B59" s="564" t="s">
        <v>290</v>
      </c>
      <c r="C59" s="288"/>
      <c r="D59" s="288"/>
      <c r="E59" s="288" t="s">
        <v>300</v>
      </c>
      <c r="F59" s="400" t="s">
        <v>301</v>
      </c>
      <c r="G59" s="288" t="s">
        <v>302</v>
      </c>
      <c r="H59" s="400" t="s">
        <v>303</v>
      </c>
      <c r="I59" s="401" t="s">
        <v>304</v>
      </c>
      <c r="J59" s="11"/>
      <c r="K59" s="11"/>
      <c r="L59" s="11"/>
      <c r="M59" s="11"/>
      <c r="N59" s="11"/>
      <c r="O59" s="11"/>
      <c r="P59" s="11"/>
      <c r="Q59" s="11"/>
    </row>
    <row r="60" spans="2:17">
      <c r="B60" s="581"/>
      <c r="C60" s="337"/>
      <c r="D60" s="337"/>
      <c r="E60" s="337"/>
      <c r="F60" s="398"/>
      <c r="G60" s="11" t="str">
        <f>IF(E60=0, "",F60/E60)</f>
        <v/>
      </c>
      <c r="H60" s="398"/>
      <c r="I60" s="393"/>
      <c r="J60" s="11"/>
      <c r="K60" s="11"/>
      <c r="L60" s="11"/>
      <c r="M60" s="11"/>
      <c r="N60" s="11"/>
      <c r="O60" s="11"/>
      <c r="P60" s="11"/>
      <c r="Q60" s="11"/>
    </row>
    <row r="61" spans="2:17">
      <c r="B61" s="581"/>
      <c r="C61" s="337"/>
      <c r="D61" s="337"/>
      <c r="E61" s="337"/>
      <c r="F61" s="398"/>
      <c r="G61" s="11" t="str">
        <f t="shared" ref="G61:G65" si="6">IF(E61=0, "",F61/E61)</f>
        <v/>
      </c>
      <c r="H61" s="398"/>
      <c r="I61" s="393"/>
      <c r="J61" s="11"/>
      <c r="K61" s="11"/>
      <c r="L61" s="11"/>
      <c r="M61" s="11"/>
      <c r="N61" s="11"/>
      <c r="O61" s="11"/>
      <c r="P61" s="11"/>
      <c r="Q61" s="11"/>
    </row>
    <row r="62" spans="2:17">
      <c r="B62" s="581"/>
      <c r="C62" s="337"/>
      <c r="D62" s="337"/>
      <c r="E62" s="337"/>
      <c r="F62" s="398"/>
      <c r="G62" s="11" t="str">
        <f t="shared" si="6"/>
        <v/>
      </c>
      <c r="H62" s="398"/>
      <c r="I62" s="393"/>
      <c r="J62" s="11"/>
      <c r="K62" s="11"/>
      <c r="L62" s="11"/>
      <c r="M62" s="11"/>
      <c r="N62" s="11"/>
      <c r="O62" s="11"/>
      <c r="P62" s="11"/>
      <c r="Q62" s="11"/>
    </row>
    <row r="63" spans="2:17">
      <c r="B63" s="581"/>
      <c r="C63" s="337"/>
      <c r="D63" s="337"/>
      <c r="E63" s="337"/>
      <c r="F63" s="398"/>
      <c r="G63" s="11" t="str">
        <f t="shared" si="6"/>
        <v/>
      </c>
      <c r="H63" s="398"/>
      <c r="I63" s="393"/>
      <c r="J63" s="11"/>
      <c r="K63" s="11"/>
      <c r="L63" s="11"/>
      <c r="M63" s="11"/>
      <c r="N63" s="11"/>
      <c r="O63" s="11"/>
      <c r="P63" s="11"/>
      <c r="Q63" s="11"/>
    </row>
    <row r="64" spans="2:17">
      <c r="B64" s="581"/>
      <c r="C64" s="337"/>
      <c r="D64" s="337"/>
      <c r="E64" s="337"/>
      <c r="F64" s="398"/>
      <c r="G64" s="11" t="str">
        <f t="shared" si="6"/>
        <v/>
      </c>
      <c r="H64" s="398"/>
      <c r="I64" s="393"/>
      <c r="J64" s="11"/>
      <c r="K64" s="11"/>
      <c r="L64" s="11"/>
      <c r="M64" s="11"/>
      <c r="N64" s="11"/>
      <c r="O64" s="11"/>
      <c r="P64" s="11"/>
      <c r="Q64" s="11"/>
    </row>
    <row r="65" spans="2:17">
      <c r="B65" s="581"/>
      <c r="C65" s="337"/>
      <c r="D65" s="337"/>
      <c r="E65" s="337"/>
      <c r="F65" s="398"/>
      <c r="G65" s="11" t="str">
        <f t="shared" si="6"/>
        <v/>
      </c>
      <c r="H65" s="398"/>
      <c r="I65" s="393"/>
      <c r="J65" s="11"/>
      <c r="K65" s="11"/>
      <c r="L65" s="11"/>
      <c r="M65" s="11"/>
      <c r="N65" s="11"/>
      <c r="O65" s="11"/>
      <c r="P65" s="11"/>
      <c r="Q65" s="11"/>
    </row>
    <row r="66" spans="2:17">
      <c r="B66" s="585" t="s">
        <v>69</v>
      </c>
      <c r="C66" s="286"/>
      <c r="D66" s="286"/>
      <c r="E66" s="286">
        <f>SUM(E60:E65)</f>
        <v>0</v>
      </c>
      <c r="F66" s="286">
        <f>SUM(F60:F65)</f>
        <v>0</v>
      </c>
      <c r="G66" s="286"/>
      <c r="H66" s="286">
        <f>SUM(H60:H65)</f>
        <v>0</v>
      </c>
      <c r="I66" s="287"/>
      <c r="J66" s="11"/>
      <c r="K66" s="11"/>
      <c r="L66" s="11"/>
      <c r="M66" s="11"/>
      <c r="N66" s="11"/>
      <c r="O66" s="11"/>
      <c r="P66" s="11"/>
      <c r="Q66" s="11"/>
    </row>
    <row r="67" spans="2:17">
      <c r="B67" s="579"/>
      <c r="C67" s="11"/>
      <c r="D67" s="11"/>
      <c r="E67" s="11"/>
      <c r="F67" s="11"/>
      <c r="G67" s="11"/>
      <c r="H67" s="11"/>
      <c r="I67" s="11"/>
      <c r="J67" s="11"/>
      <c r="K67" s="11"/>
      <c r="L67" s="11"/>
      <c r="M67" s="11"/>
      <c r="N67" s="11"/>
      <c r="O67" s="11"/>
      <c r="P67" s="11"/>
      <c r="Q67" s="11"/>
    </row>
    <row r="68" spans="2:17">
      <c r="B68" s="586" t="s">
        <v>305</v>
      </c>
      <c r="C68" s="276"/>
      <c r="D68" s="392"/>
      <c r="E68" s="11"/>
      <c r="F68" s="11"/>
      <c r="G68" s="11"/>
      <c r="H68" s="11"/>
      <c r="I68" s="11"/>
      <c r="J68" s="11"/>
      <c r="K68" s="11"/>
      <c r="L68" s="11"/>
      <c r="M68" s="11"/>
      <c r="N68" s="11"/>
      <c r="O68" s="11"/>
      <c r="P68" s="11"/>
      <c r="Q68" s="11"/>
    </row>
    <row r="69" spans="2:17" s="11" customFormat="1">
      <c r="B69" s="587" t="s">
        <v>306</v>
      </c>
      <c r="C69" s="286"/>
      <c r="D69" s="394" t="s">
        <v>307</v>
      </c>
      <c r="E69"/>
      <c r="F69"/>
    </row>
    <row r="70" spans="2:17" s="11" customFormat="1">
      <c r="B70" s="588">
        <v>0.2</v>
      </c>
      <c r="D70" s="395">
        <f>SUMIF(F$9:F$38,B70,G$9:G$38)</f>
        <v>22</v>
      </c>
      <c r="E70"/>
      <c r="F70"/>
    </row>
    <row r="71" spans="2:17" s="11" customFormat="1">
      <c r="B71" s="628">
        <v>0.3</v>
      </c>
      <c r="C71"/>
      <c r="D71" s="629">
        <f>SUMIF(F$9:F$38,B71,G$9:G$38)</f>
        <v>0</v>
      </c>
    </row>
    <row r="72" spans="2:17" s="11" customFormat="1">
      <c r="B72" s="628">
        <v>0.4</v>
      </c>
      <c r="C72"/>
      <c r="D72" s="629">
        <f t="shared" ref="D72:D76" si="7">SUMIF(F$9:F$38,B72,G$9:G$38)</f>
        <v>16</v>
      </c>
    </row>
    <row r="73" spans="2:17" s="11" customFormat="1">
      <c r="B73" s="588">
        <v>0.5</v>
      </c>
      <c r="D73" s="395">
        <f t="shared" si="7"/>
        <v>0</v>
      </c>
      <c r="E73" s="215" t="s">
        <v>308</v>
      </c>
      <c r="F73" s="215"/>
      <c r="G73" s="215"/>
      <c r="H73" s="215"/>
      <c r="I73" s="215"/>
      <c r="J73" s="215"/>
      <c r="K73" s="215"/>
      <c r="L73" s="215"/>
      <c r="M73" s="215"/>
      <c r="N73" s="215"/>
      <c r="O73" s="215"/>
    </row>
    <row r="74" spans="2:17" s="11" customFormat="1">
      <c r="B74" s="588">
        <v>0.6</v>
      </c>
      <c r="D74" s="395">
        <f t="shared" si="7"/>
        <v>36</v>
      </c>
      <c r="E74" s="215" t="s">
        <v>309</v>
      </c>
      <c r="F74" s="215"/>
      <c r="G74" s="215"/>
      <c r="H74" s="215"/>
      <c r="I74" s="215"/>
      <c r="J74" s="215"/>
      <c r="K74" s="215"/>
      <c r="L74" s="215"/>
      <c r="M74" s="215"/>
      <c r="N74" s="215"/>
      <c r="O74" s="215"/>
    </row>
    <row r="75" spans="2:17" s="11" customFormat="1">
      <c r="B75" s="588">
        <v>0.7</v>
      </c>
      <c r="D75" s="395">
        <f t="shared" si="7"/>
        <v>0</v>
      </c>
    </row>
    <row r="76" spans="2:17" s="11" customFormat="1">
      <c r="B76" s="588">
        <v>0.8</v>
      </c>
      <c r="D76" s="395">
        <f t="shared" si="7"/>
        <v>0</v>
      </c>
    </row>
    <row r="77" spans="2:17" s="11" customFormat="1">
      <c r="B77" s="589" t="s">
        <v>310</v>
      </c>
      <c r="C77" s="276"/>
      <c r="D77" s="396">
        <f>SUM(D70:D76)</f>
        <v>74</v>
      </c>
    </row>
    <row r="78" spans="2:17" s="11" customFormat="1">
      <c r="B78" s="590" t="s">
        <v>311</v>
      </c>
      <c r="D78" s="397">
        <f>G40-D77</f>
        <v>1</v>
      </c>
    </row>
    <row r="79" spans="2:17" s="11" customFormat="1">
      <c r="B79" s="589" t="s">
        <v>31</v>
      </c>
      <c r="C79" s="276"/>
      <c r="D79" s="396">
        <f>SUM(D77:D78)</f>
        <v>75</v>
      </c>
    </row>
    <row r="80" spans="2:17" s="11" customFormat="1">
      <c r="B80" s="591" t="s">
        <v>312</v>
      </c>
      <c r="C80" s="129"/>
      <c r="D80" s="567">
        <f>(IF(D71&gt;0,B71*D71,0)+IF(D72&gt;0,B72*D72,0)+IF(D73&gt;0,B73*D73,0)+IF(D74&gt;0,B74*D74,0)+IF(D75&gt;0,B75*D75,0)+IF(D76&gt;0,B76*D76,0))/D79</f>
        <v>0.37333333333333335</v>
      </c>
      <c r="E80" s="215" t="s">
        <v>313</v>
      </c>
      <c r="F80" s="215"/>
      <c r="G80" s="215"/>
      <c r="H80" s="215"/>
      <c r="I80" s="215"/>
      <c r="J80" s="215"/>
    </row>
    <row r="81" spans="2:6" s="11" customFormat="1">
      <c r="B81" s="579"/>
    </row>
    <row r="82" spans="2:6" s="11" customFormat="1">
      <c r="B82" s="564" t="s">
        <v>314</v>
      </c>
      <c r="C82" s="286"/>
      <c r="D82" s="286"/>
      <c r="E82" s="287"/>
    </row>
    <row r="83" spans="2:6" s="11" customFormat="1">
      <c r="B83" s="575" t="s">
        <v>315</v>
      </c>
      <c r="C83" s="128"/>
      <c r="D83" s="53" t="s">
        <v>307</v>
      </c>
      <c r="E83" s="396" t="s">
        <v>63</v>
      </c>
    </row>
    <row r="84" spans="2:6" s="11" customFormat="1">
      <c r="B84" s="630" t="s">
        <v>280</v>
      </c>
      <c r="D84" s="563">
        <f>SUMIF(C$9:C$38, "Studio",G$9:G$38)</f>
        <v>12</v>
      </c>
      <c r="E84" s="606">
        <f>IFERROR(D84/$G$40,0)</f>
        <v>0.16</v>
      </c>
    </row>
    <row r="85" spans="2:6" s="11" customFormat="1">
      <c r="B85" s="518">
        <v>1</v>
      </c>
      <c r="D85" s="604">
        <f>SUMIF(C$9:C$38, "1 BD",G$9:G$38)</f>
        <v>23</v>
      </c>
      <c r="E85" s="607">
        <f t="shared" ref="E85:E89" si="8">IFERROR(D85/$G$40,0)</f>
        <v>0.30666666666666664</v>
      </c>
      <c r="F85"/>
    </row>
    <row r="86" spans="2:6" s="11" customFormat="1">
      <c r="B86" s="518">
        <v>2</v>
      </c>
      <c r="D86" s="604">
        <f>SUMIF(C$9:C$38, "2 BD",G$9:G$38)</f>
        <v>20</v>
      </c>
      <c r="E86" s="607">
        <f t="shared" si="8"/>
        <v>0.26666666666666666</v>
      </c>
    </row>
    <row r="87" spans="2:6" s="11" customFormat="1">
      <c r="B87" s="518">
        <v>3</v>
      </c>
      <c r="D87" s="604">
        <f>SUMIF(C$9:C$38, "3 BD",G$9:G$38)</f>
        <v>20</v>
      </c>
      <c r="E87" s="607">
        <f t="shared" si="8"/>
        <v>0.26666666666666666</v>
      </c>
    </row>
    <row r="88" spans="2:6" s="11" customFormat="1">
      <c r="B88" s="518">
        <v>4</v>
      </c>
      <c r="D88" s="604">
        <f>SUMIF(C$9:C$38, "4 BD",G$9:G$38)</f>
        <v>0</v>
      </c>
      <c r="E88" s="607">
        <f t="shared" si="8"/>
        <v>0</v>
      </c>
    </row>
    <row r="89" spans="2:6" s="11" customFormat="1">
      <c r="B89" s="575">
        <v>5</v>
      </c>
      <c r="C89" s="128"/>
      <c r="D89" s="605">
        <f>SUMIF(C$9:C$38, "5 BD",G$9:G$38)</f>
        <v>0</v>
      </c>
      <c r="E89" s="608">
        <f t="shared" si="8"/>
        <v>0</v>
      </c>
    </row>
    <row r="90" spans="2:6" s="11" customFormat="1">
      <c r="B90" s="583" t="s">
        <v>69</v>
      </c>
      <c r="C90" s="129"/>
      <c r="D90" s="550">
        <f>SUM(D84:D89)</f>
        <v>75</v>
      </c>
      <c r="E90" s="609">
        <f>SUM(E84:E89)</f>
        <v>1</v>
      </c>
    </row>
    <row r="91" spans="2:6" s="11" customFormat="1">
      <c r="B91" s="579"/>
    </row>
    <row r="92" spans="2:6" s="11" customFormat="1">
      <c r="B92" s="579"/>
    </row>
    <row r="93" spans="2:6" s="11" customFormat="1">
      <c r="B93" s="579"/>
    </row>
    <row r="94" spans="2:6" s="11" customFormat="1">
      <c r="B94" s="579"/>
    </row>
    <row r="95" spans="2:6" s="11" customFormat="1">
      <c r="B95" s="579"/>
    </row>
    <row r="96" spans="2:6" s="11" customFormat="1">
      <c r="B96" s="579"/>
    </row>
    <row r="97" spans="2:2" s="11" customFormat="1">
      <c r="B97" s="579"/>
    </row>
    <row r="98" spans="2:2" s="11" customFormat="1">
      <c r="B98" s="579"/>
    </row>
    <row r="99" spans="2:2" s="11" customFormat="1">
      <c r="B99" s="579"/>
    </row>
    <row r="100" spans="2:2" s="11" customFormat="1">
      <c r="B100" s="579"/>
    </row>
    <row r="101" spans="2:2" s="11" customFormat="1">
      <c r="B101" s="579"/>
    </row>
    <row r="102" spans="2:2" s="11" customFormat="1">
      <c r="B102" s="579"/>
    </row>
    <row r="103" spans="2:2" s="11" customFormat="1">
      <c r="B103" s="579"/>
    </row>
    <row r="104" spans="2:2" s="11" customFormat="1">
      <c r="B104" s="579"/>
    </row>
    <row r="105" spans="2:2" s="11" customFormat="1">
      <c r="B105" s="579"/>
    </row>
    <row r="106" spans="2:2" s="11" customFormat="1">
      <c r="B106" s="579"/>
    </row>
    <row r="107" spans="2:2" s="11" customFormat="1">
      <c r="B107" s="579"/>
    </row>
    <row r="108" spans="2:2" s="11" customFormat="1">
      <c r="B108" s="579"/>
    </row>
    <row r="109" spans="2:2" s="11" customFormat="1">
      <c r="B109" s="579"/>
    </row>
    <row r="110" spans="2:2" s="11" customFormat="1">
      <c r="B110" s="579"/>
    </row>
    <row r="111" spans="2:2" s="11" customFormat="1">
      <c r="B111" s="579"/>
    </row>
    <row r="112" spans="2:2" s="11" customFormat="1">
      <c r="B112" s="579"/>
    </row>
    <row r="113" spans="2:2" s="11" customFormat="1">
      <c r="B113" s="579"/>
    </row>
    <row r="114" spans="2:2" s="11" customFormat="1">
      <c r="B114" s="579"/>
    </row>
    <row r="115" spans="2:2" s="11" customFormat="1">
      <c r="B115" s="579"/>
    </row>
    <row r="116" spans="2:2" s="11" customFormat="1">
      <c r="B116" s="579"/>
    </row>
    <row r="117" spans="2:2" s="11" customFormat="1">
      <c r="B117" s="579"/>
    </row>
    <row r="118" spans="2:2" s="11" customFormat="1">
      <c r="B118" s="579"/>
    </row>
    <row r="119" spans="2:2" s="11" customFormat="1">
      <c r="B119" s="579"/>
    </row>
    <row r="120" spans="2:2" s="11" customFormat="1">
      <c r="B120" s="579"/>
    </row>
    <row r="121" spans="2:2" s="11" customFormat="1">
      <c r="B121" s="579"/>
    </row>
    <row r="122" spans="2:2" s="11" customFormat="1">
      <c r="B122" s="579"/>
    </row>
    <row r="123" spans="2:2" s="11" customFormat="1">
      <c r="B123" s="579"/>
    </row>
    <row r="124" spans="2:2" s="11" customFormat="1">
      <c r="B124" s="579"/>
    </row>
    <row r="125" spans="2:2" s="11" customFormat="1">
      <c r="B125" s="579"/>
    </row>
    <row r="126" spans="2:2" s="11" customFormat="1">
      <c r="B126" s="579"/>
    </row>
    <row r="127" spans="2:2" s="11" customFormat="1">
      <c r="B127" s="579"/>
    </row>
    <row r="128" spans="2:2" s="11" customFormat="1">
      <c r="B128" s="579"/>
    </row>
    <row r="129" spans="2:2" s="11" customFormat="1">
      <c r="B129" s="579"/>
    </row>
    <row r="130" spans="2:2" s="11" customFormat="1">
      <c r="B130" s="579"/>
    </row>
    <row r="131" spans="2:2" s="11" customFormat="1">
      <c r="B131" s="579"/>
    </row>
    <row r="132" spans="2:2" s="11" customFormat="1">
      <c r="B132" s="579"/>
    </row>
    <row r="133" spans="2:2" s="11" customFormat="1">
      <c r="B133" s="579"/>
    </row>
    <row r="134" spans="2:2" s="11" customFormat="1">
      <c r="B134" s="579"/>
    </row>
    <row r="135" spans="2:2" s="11" customFormat="1">
      <c r="B135" s="579"/>
    </row>
    <row r="136" spans="2:2" s="11" customFormat="1">
      <c r="B136" s="579"/>
    </row>
    <row r="137" spans="2:2" s="11" customFormat="1">
      <c r="B137" s="579"/>
    </row>
    <row r="138" spans="2:2" s="11" customFormat="1">
      <c r="B138" s="579"/>
    </row>
    <row r="139" spans="2:2" s="11" customFormat="1">
      <c r="B139" s="579"/>
    </row>
    <row r="140" spans="2:2" s="11" customFormat="1">
      <c r="B140" s="579"/>
    </row>
    <row r="141" spans="2:2" s="11" customFormat="1">
      <c r="B141" s="579"/>
    </row>
    <row r="142" spans="2:2" s="11" customFormat="1">
      <c r="B142" s="579"/>
    </row>
    <row r="143" spans="2:2" s="11" customFormat="1">
      <c r="B143" s="579"/>
    </row>
    <row r="144" spans="2:2" s="11" customFormat="1">
      <c r="B144" s="579"/>
    </row>
    <row r="145" spans="2:2" s="11" customFormat="1">
      <c r="B145" s="579"/>
    </row>
    <row r="146" spans="2:2" s="11" customFormat="1">
      <c r="B146" s="579"/>
    </row>
    <row r="147" spans="2:2" s="11" customFormat="1">
      <c r="B147" s="579"/>
    </row>
    <row r="148" spans="2:2" s="11" customFormat="1">
      <c r="B148" s="579"/>
    </row>
    <row r="149" spans="2:2" s="11" customFormat="1">
      <c r="B149" s="579"/>
    </row>
    <row r="150" spans="2:2" s="11" customFormat="1">
      <c r="B150" s="579"/>
    </row>
    <row r="151" spans="2:2" s="11" customFormat="1">
      <c r="B151" s="579"/>
    </row>
    <row r="152" spans="2:2" s="11" customFormat="1">
      <c r="B152" s="579"/>
    </row>
    <row r="153" spans="2:2" s="11" customFormat="1">
      <c r="B153" s="579"/>
    </row>
    <row r="154" spans="2:2" s="11" customFormat="1">
      <c r="B154" s="579"/>
    </row>
    <row r="155" spans="2:2" s="11" customFormat="1">
      <c r="B155" s="579"/>
    </row>
    <row r="156" spans="2:2" s="11" customFormat="1">
      <c r="B156" s="579"/>
    </row>
    <row r="157" spans="2:2" s="11" customFormat="1">
      <c r="B157" s="579"/>
    </row>
    <row r="158" spans="2:2" s="11" customFormat="1">
      <c r="B158" s="579"/>
    </row>
    <row r="159" spans="2:2" s="11" customFormat="1">
      <c r="B159" s="579"/>
    </row>
    <row r="160" spans="2:2" s="11" customFormat="1">
      <c r="B160" s="579"/>
    </row>
    <row r="161" spans="2:2" s="11" customFormat="1">
      <c r="B161" s="579"/>
    </row>
    <row r="162" spans="2:2" s="11" customFormat="1">
      <c r="B162" s="579"/>
    </row>
    <row r="163" spans="2:2" s="11" customFormat="1">
      <c r="B163" s="579"/>
    </row>
    <row r="164" spans="2:2" s="11" customFormat="1">
      <c r="B164" s="579"/>
    </row>
    <row r="165" spans="2:2" s="11" customFormat="1">
      <c r="B165" s="579"/>
    </row>
    <row r="166" spans="2:2" s="11" customFormat="1">
      <c r="B166" s="579"/>
    </row>
    <row r="167" spans="2:2" s="11" customFormat="1">
      <c r="B167" s="579"/>
    </row>
    <row r="168" spans="2:2" s="11" customFormat="1">
      <c r="B168" s="579"/>
    </row>
    <row r="169" spans="2:2" s="11" customFormat="1">
      <c r="B169" s="579"/>
    </row>
    <row r="170" spans="2:2" s="11" customFormat="1">
      <c r="B170" s="579"/>
    </row>
    <row r="171" spans="2:2" s="11" customFormat="1">
      <c r="B171" s="579"/>
    </row>
    <row r="172" spans="2:2" s="11" customFormat="1">
      <c r="B172" s="579"/>
    </row>
    <row r="173" spans="2:2" s="11" customFormat="1">
      <c r="B173" s="579"/>
    </row>
    <row r="174" spans="2:2" s="11" customFormat="1">
      <c r="B174" s="579"/>
    </row>
    <row r="175" spans="2:2" s="11" customFormat="1">
      <c r="B175" s="579"/>
    </row>
    <row r="176" spans="2:2" s="11" customFormat="1">
      <c r="B176" s="579"/>
    </row>
    <row r="177" spans="2:2" s="11" customFormat="1">
      <c r="B177" s="579"/>
    </row>
    <row r="178" spans="2:2" s="11" customFormat="1">
      <c r="B178" s="579"/>
    </row>
    <row r="179" spans="2:2" s="11" customFormat="1">
      <c r="B179" s="579"/>
    </row>
    <row r="180" spans="2:2" s="11" customFormat="1">
      <c r="B180" s="579"/>
    </row>
    <row r="181" spans="2:2" s="11" customFormat="1">
      <c r="B181" s="579"/>
    </row>
    <row r="182" spans="2:2" s="11" customFormat="1">
      <c r="B182" s="579"/>
    </row>
    <row r="183" spans="2:2" s="11" customFormat="1">
      <c r="B183" s="579"/>
    </row>
    <row r="184" spans="2:2" s="11" customFormat="1">
      <c r="B184" s="579"/>
    </row>
    <row r="185" spans="2:2" s="11" customFormat="1">
      <c r="B185" s="579"/>
    </row>
    <row r="186" spans="2:2" s="11" customFormat="1">
      <c r="B186" s="579"/>
    </row>
    <row r="187" spans="2:2" s="11" customFormat="1">
      <c r="B187" s="579"/>
    </row>
    <row r="188" spans="2:2" s="11" customFormat="1">
      <c r="B188" s="579"/>
    </row>
    <row r="189" spans="2:2" s="11" customFormat="1">
      <c r="B189" s="579"/>
    </row>
    <row r="190" spans="2:2" s="11" customFormat="1">
      <c r="B190" s="579"/>
    </row>
    <row r="191" spans="2:2" s="11" customFormat="1">
      <c r="B191" s="579"/>
    </row>
    <row r="192" spans="2:2" s="11" customFormat="1">
      <c r="B192" s="579"/>
    </row>
    <row r="193" spans="2:2" s="11" customFormat="1">
      <c r="B193" s="579"/>
    </row>
    <row r="194" spans="2:2" s="11" customFormat="1">
      <c r="B194" s="579"/>
    </row>
    <row r="195" spans="2:2" s="11" customFormat="1">
      <c r="B195" s="579"/>
    </row>
    <row r="196" spans="2:2" s="11" customFormat="1">
      <c r="B196" s="579"/>
    </row>
    <row r="197" spans="2:2" s="11" customFormat="1">
      <c r="B197" s="579"/>
    </row>
    <row r="198" spans="2:2" s="11" customFormat="1">
      <c r="B198" s="579"/>
    </row>
    <row r="199" spans="2:2" s="11" customFormat="1">
      <c r="B199" s="579"/>
    </row>
    <row r="200" spans="2:2" s="11" customFormat="1">
      <c r="B200" s="579"/>
    </row>
    <row r="201" spans="2:2" s="11" customFormat="1">
      <c r="B201" s="579"/>
    </row>
    <row r="202" spans="2:2" s="11" customFormat="1">
      <c r="B202" s="579"/>
    </row>
    <row r="203" spans="2:2" s="11" customFormat="1">
      <c r="B203" s="579"/>
    </row>
    <row r="204" spans="2:2" s="11" customFormat="1">
      <c r="B204" s="579"/>
    </row>
    <row r="205" spans="2:2" s="11" customFormat="1">
      <c r="B205" s="579"/>
    </row>
    <row r="206" spans="2:2" s="11" customFormat="1">
      <c r="B206" s="579"/>
    </row>
    <row r="207" spans="2:2" s="11" customFormat="1">
      <c r="B207" s="579"/>
    </row>
    <row r="208" spans="2:2" s="11" customFormat="1">
      <c r="B208" s="579"/>
    </row>
    <row r="209" spans="2:2" s="11" customFormat="1">
      <c r="B209" s="579"/>
    </row>
    <row r="210" spans="2:2" s="11" customFormat="1">
      <c r="B210" s="579"/>
    </row>
    <row r="211" spans="2:2" s="11" customFormat="1">
      <c r="B211" s="579"/>
    </row>
    <row r="212" spans="2:2" s="11" customFormat="1">
      <c r="B212" s="579"/>
    </row>
    <row r="213" spans="2:2" s="11" customFormat="1">
      <c r="B213" s="579"/>
    </row>
    <row r="214" spans="2:2" s="11" customFormat="1">
      <c r="B214" s="579"/>
    </row>
    <row r="215" spans="2:2" s="11" customFormat="1">
      <c r="B215" s="579"/>
    </row>
    <row r="216" spans="2:2" s="11" customFormat="1">
      <c r="B216" s="579"/>
    </row>
    <row r="217" spans="2:2" s="11" customFormat="1">
      <c r="B217" s="579"/>
    </row>
    <row r="218" spans="2:2" s="11" customFormat="1">
      <c r="B218" s="579"/>
    </row>
    <row r="219" spans="2:2" s="11" customFormat="1">
      <c r="B219" s="579"/>
    </row>
    <row r="220" spans="2:2" s="11" customFormat="1">
      <c r="B220" s="579"/>
    </row>
    <row r="221" spans="2:2" s="11" customFormat="1">
      <c r="B221" s="579"/>
    </row>
    <row r="222" spans="2:2" s="11" customFormat="1">
      <c r="B222" s="579"/>
    </row>
    <row r="223" spans="2:2" s="11" customFormat="1">
      <c r="B223" s="579"/>
    </row>
    <row r="224" spans="2:2" s="11" customFormat="1">
      <c r="B224" s="579"/>
    </row>
    <row r="225" spans="2:2" s="11" customFormat="1">
      <c r="B225" s="579"/>
    </row>
    <row r="226" spans="2:2" s="11" customFormat="1">
      <c r="B226" s="579"/>
    </row>
    <row r="227" spans="2:2" s="11" customFormat="1">
      <c r="B227" s="579"/>
    </row>
    <row r="228" spans="2:2" s="11" customFormat="1">
      <c r="B228" s="579"/>
    </row>
    <row r="229" spans="2:2" s="11" customFormat="1">
      <c r="B229" s="579"/>
    </row>
    <row r="230" spans="2:2" s="11" customFormat="1">
      <c r="B230" s="579"/>
    </row>
    <row r="231" spans="2:2" s="11" customFormat="1">
      <c r="B231" s="579"/>
    </row>
    <row r="232" spans="2:2" s="11" customFormat="1">
      <c r="B232" s="579"/>
    </row>
    <row r="233" spans="2:2" s="11" customFormat="1">
      <c r="B233" s="579"/>
    </row>
    <row r="234" spans="2:2" s="11" customFormat="1">
      <c r="B234" s="579"/>
    </row>
    <row r="235" spans="2:2" s="11" customFormat="1">
      <c r="B235" s="579"/>
    </row>
    <row r="236" spans="2:2" s="11" customFormat="1">
      <c r="B236" s="579"/>
    </row>
    <row r="237" spans="2:2" s="11" customFormat="1">
      <c r="B237" s="579"/>
    </row>
    <row r="238" spans="2:2" s="11" customFormat="1">
      <c r="B238" s="579"/>
    </row>
    <row r="239" spans="2:2" s="11" customFormat="1">
      <c r="B239" s="579"/>
    </row>
    <row r="240" spans="2:2" s="11" customFormat="1">
      <c r="B240" s="579"/>
    </row>
    <row r="241" spans="2:2" s="11" customFormat="1">
      <c r="B241" s="579"/>
    </row>
    <row r="242" spans="2:2" s="11" customFormat="1">
      <c r="B242" s="579"/>
    </row>
    <row r="243" spans="2:2" s="11" customFormat="1">
      <c r="B243" s="579"/>
    </row>
    <row r="244" spans="2:2" s="11" customFormat="1">
      <c r="B244" s="579"/>
    </row>
    <row r="245" spans="2:2" s="11" customFormat="1">
      <c r="B245" s="579"/>
    </row>
    <row r="246" spans="2:2" s="11" customFormat="1">
      <c r="B246" s="579"/>
    </row>
    <row r="247" spans="2:2" s="11" customFormat="1">
      <c r="B247" s="579"/>
    </row>
    <row r="248" spans="2:2" s="11" customFormat="1">
      <c r="B248" s="579"/>
    </row>
    <row r="249" spans="2:2" s="11" customFormat="1">
      <c r="B249" s="579"/>
    </row>
    <row r="250" spans="2:2" s="11" customFormat="1">
      <c r="B250" s="579"/>
    </row>
    <row r="251" spans="2:2" s="11" customFormat="1">
      <c r="B251" s="579"/>
    </row>
    <row r="252" spans="2:2" s="11" customFormat="1">
      <c r="B252" s="579"/>
    </row>
    <row r="253" spans="2:2" s="11" customFormat="1">
      <c r="B253" s="579"/>
    </row>
    <row r="254" spans="2:2" s="11" customFormat="1">
      <c r="B254" s="579"/>
    </row>
    <row r="255" spans="2:2" s="11" customFormat="1">
      <c r="B255" s="579"/>
    </row>
    <row r="256" spans="2:2" s="11" customFormat="1">
      <c r="B256" s="579"/>
    </row>
    <row r="257" spans="2:2" s="11" customFormat="1">
      <c r="B257" s="579"/>
    </row>
    <row r="258" spans="2:2" s="11" customFormat="1">
      <c r="B258" s="579"/>
    </row>
    <row r="259" spans="2:2" s="11" customFormat="1">
      <c r="B259" s="579"/>
    </row>
    <row r="260" spans="2:2" s="11" customFormat="1">
      <c r="B260" s="579"/>
    </row>
    <row r="261" spans="2:2" s="11" customFormat="1">
      <c r="B261" s="579"/>
    </row>
    <row r="262" spans="2:2" s="11" customFormat="1">
      <c r="B262" s="579"/>
    </row>
    <row r="263" spans="2:2" s="11" customFormat="1">
      <c r="B263" s="579"/>
    </row>
    <row r="264" spans="2:2" s="11" customFormat="1">
      <c r="B264" s="579"/>
    </row>
    <row r="265" spans="2:2" s="11" customFormat="1">
      <c r="B265" s="579"/>
    </row>
    <row r="266" spans="2:2" s="11" customFormat="1">
      <c r="B266" s="579"/>
    </row>
    <row r="267" spans="2:2" s="11" customFormat="1">
      <c r="B267" s="579"/>
    </row>
    <row r="268" spans="2:2" s="11" customFormat="1">
      <c r="B268" s="579"/>
    </row>
    <row r="269" spans="2:2" s="11" customFormat="1">
      <c r="B269" s="579"/>
    </row>
    <row r="270" spans="2:2" s="11" customFormat="1">
      <c r="B270" s="579"/>
    </row>
    <row r="271" spans="2:2" s="11" customFormat="1">
      <c r="B271" s="579"/>
    </row>
    <row r="272" spans="2:2" s="11" customFormat="1">
      <c r="B272" s="579"/>
    </row>
    <row r="273" spans="2:2" s="11" customFormat="1">
      <c r="B273" s="579"/>
    </row>
    <row r="274" spans="2:2" s="11" customFormat="1">
      <c r="B274" s="579"/>
    </row>
    <row r="275" spans="2:2" s="11" customFormat="1">
      <c r="B275" s="579"/>
    </row>
    <row r="276" spans="2:2" s="11" customFormat="1">
      <c r="B276" s="579"/>
    </row>
    <row r="277" spans="2:2" s="11" customFormat="1">
      <c r="B277" s="579"/>
    </row>
    <row r="278" spans="2:2" s="11" customFormat="1">
      <c r="B278" s="579"/>
    </row>
    <row r="279" spans="2:2" s="11" customFormat="1">
      <c r="B279" s="579"/>
    </row>
    <row r="280" spans="2:2" s="11" customFormat="1">
      <c r="B280" s="579"/>
    </row>
    <row r="281" spans="2:2" s="11" customFormat="1">
      <c r="B281" s="579"/>
    </row>
    <row r="282" spans="2:2" s="11" customFormat="1">
      <c r="B282" s="579"/>
    </row>
    <row r="283" spans="2:2" s="11" customFormat="1">
      <c r="B283" s="579"/>
    </row>
    <row r="284" spans="2:2" s="11" customFormat="1">
      <c r="B284" s="579"/>
    </row>
    <row r="285" spans="2:2" s="11" customFormat="1">
      <c r="B285" s="579"/>
    </row>
    <row r="286" spans="2:2" s="11" customFormat="1">
      <c r="B286" s="579"/>
    </row>
    <row r="287" spans="2:2" s="11" customFormat="1">
      <c r="B287" s="579"/>
    </row>
    <row r="288" spans="2:2" s="11" customFormat="1">
      <c r="B288" s="579"/>
    </row>
    <row r="289" spans="2:2" s="11" customFormat="1">
      <c r="B289" s="579"/>
    </row>
    <row r="290" spans="2:2" s="11" customFormat="1">
      <c r="B290" s="579"/>
    </row>
    <row r="291" spans="2:2" s="11" customFormat="1">
      <c r="B291" s="579"/>
    </row>
    <row r="292" spans="2:2" s="11" customFormat="1">
      <c r="B292" s="579"/>
    </row>
    <row r="293" spans="2:2" s="11" customFormat="1">
      <c r="B293" s="579"/>
    </row>
    <row r="294" spans="2:2" s="11" customFormat="1">
      <c r="B294" s="579"/>
    </row>
    <row r="295" spans="2:2" s="11" customFormat="1">
      <c r="B295" s="579"/>
    </row>
    <row r="296" spans="2:2" s="11" customFormat="1">
      <c r="B296" s="579"/>
    </row>
    <row r="297" spans="2:2" s="11" customFormat="1">
      <c r="B297" s="579"/>
    </row>
    <row r="298" spans="2:2" s="11" customFormat="1">
      <c r="B298" s="579"/>
    </row>
    <row r="299" spans="2:2" s="11" customFormat="1">
      <c r="B299" s="579"/>
    </row>
    <row r="300" spans="2:2" s="11" customFormat="1">
      <c r="B300" s="579"/>
    </row>
    <row r="301" spans="2:2" s="11" customFormat="1">
      <c r="B301" s="579"/>
    </row>
    <row r="302" spans="2:2" s="11" customFormat="1">
      <c r="B302" s="579"/>
    </row>
    <row r="303" spans="2:2" s="11" customFormat="1">
      <c r="B303" s="579"/>
    </row>
    <row r="304" spans="2:2" s="11" customFormat="1">
      <c r="B304" s="579"/>
    </row>
    <row r="305" spans="2:2" s="11" customFormat="1">
      <c r="B305" s="579"/>
    </row>
    <row r="306" spans="2:2" s="11" customFormat="1">
      <c r="B306" s="579"/>
    </row>
    <row r="307" spans="2:2" s="11" customFormat="1">
      <c r="B307" s="579"/>
    </row>
    <row r="308" spans="2:2" s="11" customFormat="1">
      <c r="B308" s="579"/>
    </row>
    <row r="309" spans="2:2" s="11" customFormat="1">
      <c r="B309" s="579"/>
    </row>
    <row r="310" spans="2:2" s="11" customFormat="1">
      <c r="B310" s="579"/>
    </row>
    <row r="311" spans="2:2" s="11" customFormat="1">
      <c r="B311" s="579"/>
    </row>
    <row r="312" spans="2:2" s="11" customFormat="1">
      <c r="B312" s="579"/>
    </row>
    <row r="313" spans="2:2" s="11" customFormat="1">
      <c r="B313" s="579"/>
    </row>
    <row r="314" spans="2:2" s="11" customFormat="1">
      <c r="B314" s="579"/>
    </row>
    <row r="315" spans="2:2" s="11" customFormat="1">
      <c r="B315" s="579"/>
    </row>
    <row r="316" spans="2:2" s="11" customFormat="1">
      <c r="B316" s="579"/>
    </row>
    <row r="317" spans="2:2" s="11" customFormat="1">
      <c r="B317" s="579"/>
    </row>
    <row r="318" spans="2:2" s="11" customFormat="1">
      <c r="B318" s="579"/>
    </row>
    <row r="319" spans="2:2" s="11" customFormat="1">
      <c r="B319" s="579"/>
    </row>
    <row r="320" spans="2:2" s="11" customFormat="1">
      <c r="B320" s="579"/>
    </row>
    <row r="321" spans="2:2" s="11" customFormat="1">
      <c r="B321" s="579"/>
    </row>
    <row r="322" spans="2:2" s="11" customFormat="1">
      <c r="B322" s="579"/>
    </row>
    <row r="323" spans="2:2" s="11" customFormat="1">
      <c r="B323" s="579"/>
    </row>
    <row r="324" spans="2:2" s="11" customFormat="1">
      <c r="B324" s="579"/>
    </row>
    <row r="325" spans="2:2" s="11" customFormat="1">
      <c r="B325" s="579"/>
    </row>
    <row r="326" spans="2:2" s="11" customFormat="1">
      <c r="B326" s="579"/>
    </row>
    <row r="327" spans="2:2" s="11" customFormat="1">
      <c r="B327" s="579"/>
    </row>
    <row r="328" spans="2:2" s="11" customFormat="1">
      <c r="B328" s="579"/>
    </row>
    <row r="329" spans="2:2" s="11" customFormat="1">
      <c r="B329" s="579"/>
    </row>
    <row r="330" spans="2:2" s="11" customFormat="1">
      <c r="B330" s="579"/>
    </row>
    <row r="331" spans="2:2" s="11" customFormat="1">
      <c r="B331" s="579"/>
    </row>
    <row r="332" spans="2:2" s="11" customFormat="1">
      <c r="B332" s="579"/>
    </row>
    <row r="333" spans="2:2" s="11" customFormat="1">
      <c r="B333" s="579"/>
    </row>
    <row r="334" spans="2:2" s="11" customFormat="1">
      <c r="B334" s="579"/>
    </row>
    <row r="335" spans="2:2" s="11" customFormat="1">
      <c r="B335" s="579"/>
    </row>
    <row r="336" spans="2:2" s="11" customFormat="1">
      <c r="B336" s="579"/>
    </row>
    <row r="337" spans="2:2" s="11" customFormat="1">
      <c r="B337" s="579"/>
    </row>
    <row r="338" spans="2:2" s="11" customFormat="1">
      <c r="B338" s="579"/>
    </row>
    <row r="339" spans="2:2" s="11" customFormat="1">
      <c r="B339" s="579"/>
    </row>
    <row r="340" spans="2:2" s="11" customFormat="1">
      <c r="B340" s="579"/>
    </row>
    <row r="341" spans="2:2" s="11" customFormat="1">
      <c r="B341" s="579"/>
    </row>
    <row r="342" spans="2:2" s="11" customFormat="1">
      <c r="B342" s="579"/>
    </row>
    <row r="343" spans="2:2" s="11" customFormat="1">
      <c r="B343" s="579"/>
    </row>
    <row r="344" spans="2:2" s="11" customFormat="1">
      <c r="B344" s="579"/>
    </row>
    <row r="345" spans="2:2" s="11" customFormat="1">
      <c r="B345" s="579"/>
    </row>
    <row r="346" spans="2:2" s="11" customFormat="1">
      <c r="B346" s="579"/>
    </row>
    <row r="347" spans="2:2" s="11" customFormat="1">
      <c r="B347" s="579"/>
    </row>
    <row r="348" spans="2:2" s="11" customFormat="1">
      <c r="B348" s="579"/>
    </row>
    <row r="349" spans="2:2" s="11" customFormat="1">
      <c r="B349" s="579"/>
    </row>
    <row r="350" spans="2:2" s="11" customFormat="1">
      <c r="B350" s="579"/>
    </row>
    <row r="351" spans="2:2" s="11" customFormat="1">
      <c r="B351" s="579"/>
    </row>
    <row r="352" spans="2:2" s="11" customFormat="1">
      <c r="B352" s="579"/>
    </row>
    <row r="353" spans="2:2" s="11" customFormat="1">
      <c r="B353" s="579"/>
    </row>
    <row r="354" spans="2:2" s="11" customFormat="1">
      <c r="B354" s="579"/>
    </row>
    <row r="355" spans="2:2" s="11" customFormat="1">
      <c r="B355" s="579"/>
    </row>
    <row r="356" spans="2:2" s="11" customFormat="1">
      <c r="B356" s="579"/>
    </row>
    <row r="357" spans="2:2" s="11" customFormat="1">
      <c r="B357" s="579"/>
    </row>
    <row r="358" spans="2:2" s="11" customFormat="1">
      <c r="B358" s="579"/>
    </row>
    <row r="359" spans="2:2" s="11" customFormat="1">
      <c r="B359" s="579"/>
    </row>
    <row r="360" spans="2:2" s="11" customFormat="1">
      <c r="B360" s="579"/>
    </row>
    <row r="361" spans="2:2" s="11" customFormat="1">
      <c r="B361" s="579"/>
    </row>
    <row r="362" spans="2:2" s="11" customFormat="1">
      <c r="B362" s="579"/>
    </row>
    <row r="363" spans="2:2" s="11" customFormat="1">
      <c r="B363" s="579"/>
    </row>
    <row r="364" spans="2:2" s="11" customFormat="1">
      <c r="B364" s="579"/>
    </row>
    <row r="365" spans="2:2" s="11" customFormat="1">
      <c r="B365" s="579"/>
    </row>
    <row r="366" spans="2:2" s="11" customFormat="1">
      <c r="B366" s="579"/>
    </row>
    <row r="367" spans="2:2" s="11" customFormat="1">
      <c r="B367" s="579"/>
    </row>
    <row r="368" spans="2:2" s="11" customFormat="1">
      <c r="B368" s="579"/>
    </row>
    <row r="369" spans="2:2" s="11" customFormat="1">
      <c r="B369" s="579"/>
    </row>
    <row r="370" spans="2:2" s="11" customFormat="1">
      <c r="B370" s="579"/>
    </row>
    <row r="371" spans="2:2" s="11" customFormat="1">
      <c r="B371" s="579"/>
    </row>
    <row r="372" spans="2:2" s="11" customFormat="1">
      <c r="B372" s="579"/>
    </row>
    <row r="373" spans="2:2" s="11" customFormat="1">
      <c r="B373" s="579"/>
    </row>
    <row r="374" spans="2:2" s="11" customFormat="1">
      <c r="B374" s="579"/>
    </row>
    <row r="375" spans="2:2" s="11" customFormat="1">
      <c r="B375" s="579"/>
    </row>
    <row r="376" spans="2:2" s="11" customFormat="1">
      <c r="B376" s="579"/>
    </row>
    <row r="377" spans="2:2" s="11" customFormat="1">
      <c r="B377" s="579"/>
    </row>
    <row r="378" spans="2:2" s="11" customFormat="1">
      <c r="B378" s="579"/>
    </row>
    <row r="379" spans="2:2" s="11" customFormat="1">
      <c r="B379" s="579"/>
    </row>
    <row r="380" spans="2:2" s="11" customFormat="1">
      <c r="B380" s="579"/>
    </row>
    <row r="381" spans="2:2" s="11" customFormat="1">
      <c r="B381" s="579"/>
    </row>
    <row r="382" spans="2:2" s="11" customFormat="1">
      <c r="B382" s="579"/>
    </row>
    <row r="383" spans="2:2" s="11" customFormat="1">
      <c r="B383" s="579"/>
    </row>
    <row r="384" spans="2:2" s="11" customFormat="1">
      <c r="B384" s="579"/>
    </row>
    <row r="385" spans="2:2" s="11" customFormat="1">
      <c r="B385" s="579"/>
    </row>
    <row r="386" spans="2:2" s="11" customFormat="1">
      <c r="B386" s="579"/>
    </row>
    <row r="387" spans="2:2" s="11" customFormat="1">
      <c r="B387" s="579"/>
    </row>
    <row r="388" spans="2:2" s="11" customFormat="1">
      <c r="B388" s="579"/>
    </row>
    <row r="389" spans="2:2" s="11" customFormat="1">
      <c r="B389" s="579"/>
    </row>
    <row r="390" spans="2:2" s="11" customFormat="1">
      <c r="B390" s="579"/>
    </row>
    <row r="391" spans="2:2" s="11" customFormat="1">
      <c r="B391" s="579"/>
    </row>
    <row r="392" spans="2:2" s="11" customFormat="1">
      <c r="B392" s="579"/>
    </row>
    <row r="393" spans="2:2" s="11" customFormat="1">
      <c r="B393" s="579"/>
    </row>
    <row r="394" spans="2:2" s="11" customFormat="1">
      <c r="B394" s="579"/>
    </row>
    <row r="395" spans="2:2" s="11" customFormat="1">
      <c r="B395" s="579"/>
    </row>
    <row r="396" spans="2:2" s="11" customFormat="1">
      <c r="B396" s="579"/>
    </row>
    <row r="397" spans="2:2" s="11" customFormat="1">
      <c r="B397" s="579"/>
    </row>
    <row r="398" spans="2:2" s="11" customFormat="1">
      <c r="B398" s="579"/>
    </row>
    <row r="399" spans="2:2" s="11" customFormat="1">
      <c r="B399" s="579"/>
    </row>
    <row r="400" spans="2:2" s="11" customFormat="1">
      <c r="B400" s="579"/>
    </row>
    <row r="401" spans="2:2" s="11" customFormat="1">
      <c r="B401" s="579"/>
    </row>
    <row r="402" spans="2:2" s="11" customFormat="1">
      <c r="B402" s="579"/>
    </row>
    <row r="403" spans="2:2" s="11" customFormat="1">
      <c r="B403" s="579"/>
    </row>
    <row r="404" spans="2:2" s="11" customFormat="1">
      <c r="B404" s="579"/>
    </row>
    <row r="405" spans="2:2" s="11" customFormat="1">
      <c r="B405" s="579"/>
    </row>
    <row r="406" spans="2:2" s="11" customFormat="1">
      <c r="B406" s="579"/>
    </row>
    <row r="407" spans="2:2" s="11" customFormat="1">
      <c r="B407" s="579"/>
    </row>
    <row r="408" spans="2:2" s="11" customFormat="1">
      <c r="B408" s="579"/>
    </row>
    <row r="409" spans="2:2" s="11" customFormat="1">
      <c r="B409" s="579"/>
    </row>
    <row r="410" spans="2:2" s="11" customFormat="1">
      <c r="B410" s="579"/>
    </row>
    <row r="411" spans="2:2" s="11" customFormat="1">
      <c r="B411" s="579"/>
    </row>
    <row r="412" spans="2:2" s="11" customFormat="1">
      <c r="B412" s="579"/>
    </row>
    <row r="413" spans="2:2" s="11" customFormat="1">
      <c r="B413" s="579"/>
    </row>
    <row r="414" spans="2:2" s="11" customFormat="1">
      <c r="B414" s="579"/>
    </row>
    <row r="415" spans="2:2" s="11" customFormat="1">
      <c r="B415" s="579"/>
    </row>
    <row r="416" spans="2:2" s="11" customFormat="1">
      <c r="B416" s="579"/>
    </row>
    <row r="417" spans="2:2" s="11" customFormat="1">
      <c r="B417" s="579"/>
    </row>
    <row r="418" spans="2:2" s="11" customFormat="1">
      <c r="B418" s="579"/>
    </row>
    <row r="419" spans="2:2" s="11" customFormat="1">
      <c r="B419" s="579"/>
    </row>
    <row r="420" spans="2:2" s="11" customFormat="1">
      <c r="B420" s="579"/>
    </row>
    <row r="421" spans="2:2" s="11" customFormat="1">
      <c r="B421" s="579"/>
    </row>
    <row r="422" spans="2:2" s="11" customFormat="1">
      <c r="B422" s="579"/>
    </row>
    <row r="423" spans="2:2" s="11" customFormat="1">
      <c r="B423" s="579"/>
    </row>
    <row r="424" spans="2:2" s="11" customFormat="1">
      <c r="B424" s="579"/>
    </row>
    <row r="425" spans="2:2" s="11" customFormat="1">
      <c r="B425" s="579"/>
    </row>
    <row r="426" spans="2:2" s="11" customFormat="1">
      <c r="B426" s="579"/>
    </row>
    <row r="427" spans="2:2" s="11" customFormat="1">
      <c r="B427" s="579"/>
    </row>
    <row r="428" spans="2:2" s="11" customFormat="1">
      <c r="B428" s="579"/>
    </row>
    <row r="429" spans="2:2" s="11" customFormat="1">
      <c r="B429" s="579"/>
    </row>
    <row r="430" spans="2:2" s="11" customFormat="1">
      <c r="B430" s="579"/>
    </row>
    <row r="431" spans="2:2" s="11" customFormat="1">
      <c r="B431" s="579"/>
    </row>
    <row r="432" spans="2:2" s="11" customFormat="1">
      <c r="B432" s="579"/>
    </row>
    <row r="433" spans="2:2" s="11" customFormat="1">
      <c r="B433" s="579"/>
    </row>
    <row r="434" spans="2:2" s="11" customFormat="1">
      <c r="B434" s="579"/>
    </row>
    <row r="435" spans="2:2" s="11" customFormat="1">
      <c r="B435" s="579"/>
    </row>
    <row r="436" spans="2:2" s="11" customFormat="1">
      <c r="B436" s="579"/>
    </row>
    <row r="437" spans="2:2" s="11" customFormat="1">
      <c r="B437" s="579"/>
    </row>
    <row r="438" spans="2:2" s="11" customFormat="1">
      <c r="B438" s="579"/>
    </row>
    <row r="439" spans="2:2" s="11" customFormat="1">
      <c r="B439" s="579"/>
    </row>
    <row r="440" spans="2:2" s="11" customFormat="1">
      <c r="B440" s="579"/>
    </row>
    <row r="441" spans="2:2" s="11" customFormat="1">
      <c r="B441" s="579"/>
    </row>
    <row r="442" spans="2:2" s="11" customFormat="1">
      <c r="B442" s="579"/>
    </row>
    <row r="443" spans="2:2" s="11" customFormat="1">
      <c r="B443" s="579"/>
    </row>
    <row r="444" spans="2:2" s="11" customFormat="1">
      <c r="B444" s="579"/>
    </row>
    <row r="445" spans="2:2" s="11" customFormat="1">
      <c r="B445" s="579"/>
    </row>
    <row r="446" spans="2:2" s="11" customFormat="1">
      <c r="B446" s="579"/>
    </row>
    <row r="447" spans="2:2" s="11" customFormat="1">
      <c r="B447" s="579"/>
    </row>
    <row r="448" spans="2:2" s="11" customFormat="1">
      <c r="B448" s="579"/>
    </row>
    <row r="449" spans="2:2" s="11" customFormat="1">
      <c r="B449" s="579"/>
    </row>
    <row r="450" spans="2:2" s="11" customFormat="1">
      <c r="B450" s="579"/>
    </row>
    <row r="451" spans="2:2" s="11" customFormat="1">
      <c r="B451" s="579"/>
    </row>
    <row r="452" spans="2:2" s="11" customFormat="1">
      <c r="B452" s="579"/>
    </row>
    <row r="453" spans="2:2" s="11" customFormat="1">
      <c r="B453" s="579"/>
    </row>
    <row r="454" spans="2:2" s="11" customFormat="1">
      <c r="B454" s="579"/>
    </row>
    <row r="455" spans="2:2" s="11" customFormat="1">
      <c r="B455" s="579"/>
    </row>
    <row r="456" spans="2:2" s="11" customFormat="1">
      <c r="B456" s="579"/>
    </row>
    <row r="457" spans="2:2" s="11" customFormat="1">
      <c r="B457" s="579"/>
    </row>
    <row r="458" spans="2:2" s="11" customFormat="1">
      <c r="B458" s="579"/>
    </row>
    <row r="459" spans="2:2" s="11" customFormat="1">
      <c r="B459" s="579"/>
    </row>
    <row r="460" spans="2:2" s="11" customFormat="1">
      <c r="B460" s="579"/>
    </row>
    <row r="461" spans="2:2" s="11" customFormat="1">
      <c r="B461" s="579"/>
    </row>
    <row r="462" spans="2:2" s="11" customFormat="1">
      <c r="B462" s="579"/>
    </row>
    <row r="463" spans="2:2" s="11" customFormat="1">
      <c r="B463" s="579"/>
    </row>
    <row r="464" spans="2:2" s="11" customFormat="1">
      <c r="B464" s="579"/>
    </row>
    <row r="465" spans="2:2" s="11" customFormat="1">
      <c r="B465" s="579"/>
    </row>
    <row r="466" spans="2:2" s="11" customFormat="1">
      <c r="B466" s="579"/>
    </row>
    <row r="467" spans="2:2" s="11" customFormat="1">
      <c r="B467" s="579"/>
    </row>
    <row r="468" spans="2:2" s="11" customFormat="1">
      <c r="B468" s="579"/>
    </row>
    <row r="469" spans="2:2" s="11" customFormat="1">
      <c r="B469" s="579"/>
    </row>
    <row r="470" spans="2:2" s="11" customFormat="1">
      <c r="B470" s="579"/>
    </row>
    <row r="471" spans="2:2" s="11" customFormat="1">
      <c r="B471" s="579"/>
    </row>
    <row r="472" spans="2:2" s="11" customFormat="1">
      <c r="B472" s="579"/>
    </row>
    <row r="473" spans="2:2" s="11" customFormat="1">
      <c r="B473" s="579"/>
    </row>
    <row r="474" spans="2:2" s="11" customFormat="1">
      <c r="B474" s="579"/>
    </row>
    <row r="475" spans="2:2" s="11" customFormat="1">
      <c r="B475" s="579"/>
    </row>
    <row r="476" spans="2:2" s="11" customFormat="1">
      <c r="B476" s="579"/>
    </row>
    <row r="477" spans="2:2" s="11" customFormat="1">
      <c r="B477" s="579"/>
    </row>
    <row r="478" spans="2:2" s="11" customFormat="1">
      <c r="B478" s="579"/>
    </row>
    <row r="479" spans="2:2" s="11" customFormat="1">
      <c r="B479" s="579"/>
    </row>
    <row r="480" spans="2:2" s="11" customFormat="1">
      <c r="B480" s="579"/>
    </row>
    <row r="481" spans="2:2" s="11" customFormat="1">
      <c r="B481" s="579"/>
    </row>
    <row r="482" spans="2:2" s="11" customFormat="1">
      <c r="B482" s="579"/>
    </row>
    <row r="483" spans="2:2" s="11" customFormat="1">
      <c r="B483" s="579"/>
    </row>
    <row r="484" spans="2:2" s="11" customFormat="1">
      <c r="B484" s="579"/>
    </row>
    <row r="485" spans="2:2" s="11" customFormat="1">
      <c r="B485" s="579"/>
    </row>
    <row r="486" spans="2:2" s="11" customFormat="1">
      <c r="B486" s="579"/>
    </row>
    <row r="487" spans="2:2" s="11" customFormat="1">
      <c r="B487" s="579"/>
    </row>
    <row r="488" spans="2:2" s="11" customFormat="1">
      <c r="B488" s="579"/>
    </row>
    <row r="489" spans="2:2" s="11" customFormat="1">
      <c r="B489" s="579"/>
    </row>
    <row r="490" spans="2:2" s="11" customFormat="1">
      <c r="B490" s="579"/>
    </row>
    <row r="491" spans="2:2" s="11" customFormat="1">
      <c r="B491" s="579"/>
    </row>
    <row r="492" spans="2:2" s="11" customFormat="1">
      <c r="B492" s="579"/>
    </row>
    <row r="493" spans="2:2" s="11" customFormat="1">
      <c r="B493" s="579"/>
    </row>
    <row r="494" spans="2:2" s="11" customFormat="1">
      <c r="B494" s="579"/>
    </row>
    <row r="495" spans="2:2" s="11" customFormat="1">
      <c r="B495" s="579"/>
    </row>
    <row r="496" spans="2:2" s="11" customFormat="1">
      <c r="B496" s="579"/>
    </row>
    <row r="497" spans="2:2" s="11" customFormat="1">
      <c r="B497" s="579"/>
    </row>
    <row r="498" spans="2:2" s="11" customFormat="1">
      <c r="B498" s="579"/>
    </row>
    <row r="499" spans="2:2" s="11" customFormat="1">
      <c r="B499" s="579"/>
    </row>
    <row r="500" spans="2:2" s="11" customFormat="1">
      <c r="B500" s="579"/>
    </row>
    <row r="501" spans="2:2" s="11" customFormat="1">
      <c r="B501" s="579"/>
    </row>
    <row r="502" spans="2:2" s="11" customFormat="1">
      <c r="B502" s="579"/>
    </row>
    <row r="503" spans="2:2" s="11" customFormat="1">
      <c r="B503" s="579"/>
    </row>
    <row r="504" spans="2:2" s="11" customFormat="1">
      <c r="B504" s="579"/>
    </row>
    <row r="505" spans="2:2" s="11" customFormat="1">
      <c r="B505" s="579"/>
    </row>
    <row r="506" spans="2:2" s="11" customFormat="1">
      <c r="B506" s="579"/>
    </row>
    <row r="507" spans="2:2" s="11" customFormat="1">
      <c r="B507" s="579"/>
    </row>
    <row r="508" spans="2:2" s="11" customFormat="1">
      <c r="B508" s="579"/>
    </row>
    <row r="509" spans="2:2" s="11" customFormat="1">
      <c r="B509" s="579"/>
    </row>
    <row r="510" spans="2:2" s="11" customFormat="1">
      <c r="B510" s="579"/>
    </row>
    <row r="511" spans="2:2" s="11" customFormat="1">
      <c r="B511" s="579"/>
    </row>
    <row r="512" spans="2:2" s="11" customFormat="1">
      <c r="B512" s="579"/>
    </row>
    <row r="513" spans="2:2" s="11" customFormat="1">
      <c r="B513" s="579"/>
    </row>
    <row r="514" spans="2:2" s="11" customFormat="1">
      <c r="B514" s="579"/>
    </row>
    <row r="515" spans="2:2" s="11" customFormat="1">
      <c r="B515" s="579"/>
    </row>
    <row r="516" spans="2:2" s="11" customFormat="1">
      <c r="B516" s="579"/>
    </row>
    <row r="517" spans="2:2" s="11" customFormat="1">
      <c r="B517" s="579"/>
    </row>
    <row r="518" spans="2:2" s="11" customFormat="1">
      <c r="B518" s="579"/>
    </row>
    <row r="519" spans="2:2" s="11" customFormat="1">
      <c r="B519" s="579"/>
    </row>
    <row r="520" spans="2:2" s="11" customFormat="1">
      <c r="B520" s="579"/>
    </row>
    <row r="521" spans="2:2" s="11" customFormat="1">
      <c r="B521" s="579"/>
    </row>
    <row r="522" spans="2:2" s="11" customFormat="1">
      <c r="B522" s="579"/>
    </row>
    <row r="523" spans="2:2" s="11" customFormat="1">
      <c r="B523" s="579"/>
    </row>
    <row r="524" spans="2:2" s="11" customFormat="1">
      <c r="B524" s="579"/>
    </row>
    <row r="525" spans="2:2" s="11" customFormat="1">
      <c r="B525" s="579"/>
    </row>
    <row r="526" spans="2:2" s="11" customFormat="1">
      <c r="B526" s="579"/>
    </row>
    <row r="527" spans="2:2" s="11" customFormat="1">
      <c r="B527" s="579"/>
    </row>
    <row r="528" spans="2:2" s="11" customFormat="1">
      <c r="B528" s="579"/>
    </row>
    <row r="529" spans="2:2" s="11" customFormat="1">
      <c r="B529" s="579"/>
    </row>
    <row r="530" spans="2:2" s="11" customFormat="1">
      <c r="B530" s="579"/>
    </row>
    <row r="531" spans="2:2" s="11" customFormat="1">
      <c r="B531" s="579"/>
    </row>
    <row r="532" spans="2:2" s="11" customFormat="1">
      <c r="B532" s="579"/>
    </row>
    <row r="533" spans="2:2" s="11" customFormat="1">
      <c r="B533" s="579"/>
    </row>
    <row r="534" spans="2:2" s="11" customFormat="1">
      <c r="B534" s="579"/>
    </row>
    <row r="535" spans="2:2" s="11" customFormat="1">
      <c r="B535" s="579"/>
    </row>
    <row r="536" spans="2:2" s="11" customFormat="1">
      <c r="B536" s="579"/>
    </row>
    <row r="537" spans="2:2" s="11" customFormat="1">
      <c r="B537" s="579"/>
    </row>
    <row r="538" spans="2:2" s="11" customFormat="1">
      <c r="B538" s="579"/>
    </row>
    <row r="539" spans="2:2" s="11" customFormat="1">
      <c r="B539" s="579"/>
    </row>
    <row r="540" spans="2:2" s="11" customFormat="1">
      <c r="B540" s="579"/>
    </row>
    <row r="541" spans="2:2" s="11" customFormat="1">
      <c r="B541" s="579"/>
    </row>
    <row r="542" spans="2:2" s="11" customFormat="1">
      <c r="B542" s="579"/>
    </row>
    <row r="543" spans="2:2" s="11" customFormat="1">
      <c r="B543" s="579"/>
    </row>
    <row r="544" spans="2:2" s="11" customFormat="1">
      <c r="B544" s="579"/>
    </row>
    <row r="545" spans="2:2" s="11" customFormat="1">
      <c r="B545" s="579"/>
    </row>
    <row r="546" spans="2:2" s="11" customFormat="1">
      <c r="B546" s="579"/>
    </row>
    <row r="547" spans="2:2" s="11" customFormat="1">
      <c r="B547" s="579"/>
    </row>
    <row r="548" spans="2:2" s="11" customFormat="1">
      <c r="B548" s="579"/>
    </row>
    <row r="549" spans="2:2" s="11" customFormat="1">
      <c r="B549" s="579"/>
    </row>
    <row r="550" spans="2:2" s="11" customFormat="1">
      <c r="B550" s="579"/>
    </row>
    <row r="551" spans="2:2" s="11" customFormat="1">
      <c r="B551" s="579"/>
    </row>
    <row r="552" spans="2:2" s="11" customFormat="1">
      <c r="B552" s="579"/>
    </row>
    <row r="553" spans="2:2" s="11" customFormat="1">
      <c r="B553" s="579"/>
    </row>
    <row r="554" spans="2:2" s="11" customFormat="1">
      <c r="B554" s="579"/>
    </row>
    <row r="555" spans="2:2" s="11" customFormat="1">
      <c r="B555" s="579"/>
    </row>
    <row r="556" spans="2:2" s="11" customFormat="1">
      <c r="B556" s="579"/>
    </row>
    <row r="557" spans="2:2" s="11" customFormat="1">
      <c r="B557" s="579"/>
    </row>
    <row r="558" spans="2:2" s="11" customFormat="1">
      <c r="B558" s="579"/>
    </row>
    <row r="559" spans="2:2" s="11" customFormat="1">
      <c r="B559" s="579"/>
    </row>
    <row r="560" spans="2:2" s="11" customFormat="1">
      <c r="B560" s="579"/>
    </row>
    <row r="561" spans="2:2" s="11" customFormat="1">
      <c r="B561" s="579"/>
    </row>
    <row r="562" spans="2:2" s="11" customFormat="1">
      <c r="B562" s="579"/>
    </row>
    <row r="563" spans="2:2" s="11" customFormat="1">
      <c r="B563" s="579"/>
    </row>
    <row r="564" spans="2:2" s="11" customFormat="1">
      <c r="B564" s="579"/>
    </row>
    <row r="565" spans="2:2" s="11" customFormat="1">
      <c r="B565" s="579"/>
    </row>
    <row r="566" spans="2:2" s="11" customFormat="1">
      <c r="B566" s="579"/>
    </row>
    <row r="567" spans="2:2" s="11" customFormat="1">
      <c r="B567" s="579"/>
    </row>
    <row r="568" spans="2:2" s="11" customFormat="1">
      <c r="B568" s="579"/>
    </row>
    <row r="569" spans="2:2" s="11" customFormat="1">
      <c r="B569" s="579"/>
    </row>
    <row r="570" spans="2:2" s="11" customFormat="1">
      <c r="B570" s="579"/>
    </row>
    <row r="571" spans="2:2" s="11" customFormat="1">
      <c r="B571" s="579"/>
    </row>
    <row r="572" spans="2:2" s="11" customFormat="1">
      <c r="B572" s="579"/>
    </row>
    <row r="573" spans="2:2" s="11" customFormat="1">
      <c r="B573" s="579"/>
    </row>
    <row r="574" spans="2:2" s="11" customFormat="1">
      <c r="B574" s="579"/>
    </row>
    <row r="575" spans="2:2" s="11" customFormat="1">
      <c r="B575" s="579"/>
    </row>
    <row r="576" spans="2:2" s="11" customFormat="1">
      <c r="B576" s="579"/>
    </row>
    <row r="577" spans="2:2" s="11" customFormat="1">
      <c r="B577" s="579"/>
    </row>
    <row r="578" spans="2:2" s="11" customFormat="1">
      <c r="B578" s="579"/>
    </row>
    <row r="579" spans="2:2" s="11" customFormat="1">
      <c r="B579" s="579"/>
    </row>
    <row r="580" spans="2:2" s="11" customFormat="1">
      <c r="B580" s="579"/>
    </row>
    <row r="581" spans="2:2" s="11" customFormat="1">
      <c r="B581" s="579"/>
    </row>
    <row r="582" spans="2:2" s="11" customFormat="1">
      <c r="B582" s="579"/>
    </row>
    <row r="583" spans="2:2" s="11" customFormat="1">
      <c r="B583" s="579"/>
    </row>
    <row r="584" spans="2:2" s="11" customFormat="1">
      <c r="B584" s="579"/>
    </row>
    <row r="585" spans="2:2" s="11" customFormat="1">
      <c r="B585" s="579"/>
    </row>
    <row r="586" spans="2:2" s="11" customFormat="1">
      <c r="B586" s="579"/>
    </row>
    <row r="587" spans="2:2" s="11" customFormat="1">
      <c r="B587" s="579"/>
    </row>
    <row r="588" spans="2:2" s="11" customFormat="1">
      <c r="B588" s="579"/>
    </row>
    <row r="589" spans="2:2" s="11" customFormat="1">
      <c r="B589" s="579"/>
    </row>
    <row r="590" spans="2:2" s="11" customFormat="1">
      <c r="B590" s="579"/>
    </row>
    <row r="591" spans="2:2" s="11" customFormat="1">
      <c r="B591" s="579"/>
    </row>
    <row r="592" spans="2:2" s="11" customFormat="1">
      <c r="B592" s="579"/>
    </row>
    <row r="593" spans="2:2" s="11" customFormat="1">
      <c r="B593" s="579"/>
    </row>
    <row r="594" spans="2:2" s="11" customFormat="1">
      <c r="B594" s="579"/>
    </row>
    <row r="595" spans="2:2" s="11" customFormat="1">
      <c r="B595" s="579"/>
    </row>
    <row r="596" spans="2:2" s="11" customFormat="1">
      <c r="B596" s="579"/>
    </row>
    <row r="597" spans="2:2" s="11" customFormat="1">
      <c r="B597" s="579"/>
    </row>
    <row r="598" spans="2:2" s="11" customFormat="1">
      <c r="B598" s="579"/>
    </row>
  </sheetData>
  <mergeCells count="1">
    <mergeCell ref="D6:E6"/>
  </mergeCells>
  <conditionalFormatting sqref="E80:J80">
    <cfRule type="expression" dxfId="3" priority="1">
      <formula>$D$80&lt;=60%</formula>
    </cfRule>
  </conditionalFormatting>
  <conditionalFormatting sqref="E73:O73">
    <cfRule type="expression" dxfId="2" priority="3">
      <formula>SUM($D$70:$D$73)/$D$77&gt;=20%</formula>
    </cfRule>
  </conditionalFormatting>
  <conditionalFormatting sqref="E74:O74">
    <cfRule type="expression" dxfId="1" priority="2">
      <formula>SUM($D$70:$D$74)/$D$79&gt;=40%</formula>
    </cfRule>
  </conditionalFormatting>
  <hyperlinks>
    <hyperlink ref="I41" r:id="rId1" xr:uid="{7DBBB5DE-07E6-4A98-BC01-29D60E9EB43D}"/>
    <hyperlink ref="I42" r:id="rId2" xr:uid="{4977A467-779E-401C-A36B-1CA2E5D02721}"/>
    <hyperlink ref="N44" r:id="rId3" xr:uid="{414DD3A4-E4CB-44E8-8188-61833A7B6FAE}"/>
    <hyperlink ref="I43" r:id="rId4" xr:uid="{9E096886-3EAC-4C88-8FB8-948104BA2956}"/>
  </hyperlinks>
  <pageMargins left="0.7" right="0.7" top="0.75" bottom="0.75" header="0.3" footer="0.3"/>
  <pageSetup scale="42" orientation="portrait" horizontalDpi="1200" verticalDpi="1200" r:id="rId5"/>
  <legacyDrawing r:id="rId6"/>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'Drop Down Menus'!$F$4:$F$9</xm:f>
          </x14:formula1>
          <xm:sqref>C9:C39</xm:sqref>
        </x14:dataValidation>
        <x14:dataValidation type="list" allowBlank="1" showInputMessage="1" showErrorMessage="1" xr:uid="{00000000-0002-0000-0200-000001000000}">
          <x14:formula1>
            <xm:f>'Drop Down Menus'!$F$12:$F$16</xm:f>
          </x14:formula1>
          <xm:sqref>E9:E39</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2:BA885"/>
  <sheetViews>
    <sheetView showGridLines="0" zoomScaleNormal="100" workbookViewId="0">
      <pane ySplit="11" topLeftCell="A58" activePane="bottomLeft" state="frozen"/>
      <selection pane="bottomLeft" activeCell="J82" sqref="J82"/>
    </sheetView>
  </sheetViews>
  <sheetFormatPr baseColWidth="10" defaultColWidth="8.83203125" defaultRowHeight="13"/>
  <cols>
    <col min="2" max="2" width="31.5" customWidth="1"/>
    <col min="3" max="3" width="8.5" customWidth="1"/>
    <col min="4" max="4" width="11.5" bestFit="1" customWidth="1"/>
    <col min="5" max="5" width="9.5" bestFit="1" customWidth="1"/>
    <col min="6" max="6" width="8.83203125" customWidth="1"/>
    <col min="7" max="7" width="10.1640625" style="11" bestFit="1" customWidth="1"/>
    <col min="8" max="53" width="8.83203125" style="11"/>
  </cols>
  <sheetData>
    <row r="2" spans="2:53" ht="16">
      <c r="B2" s="372" t="s">
        <v>316</v>
      </c>
      <c r="C2" s="47"/>
      <c r="D2" s="47"/>
      <c r="E2" s="59"/>
      <c r="F2" s="15"/>
      <c r="G2" s="15"/>
      <c r="H2" s="15"/>
    </row>
    <row r="3" spans="2:53" ht="14">
      <c r="B3" s="165" t="s">
        <v>20</v>
      </c>
      <c r="C3" s="15"/>
      <c r="D3" s="339" t="str">
        <f>'Table of Contents'!B2</f>
        <v xml:space="preserve">Broadleaf Flats </v>
      </c>
      <c r="E3" s="20"/>
      <c r="F3" s="15"/>
      <c r="G3" s="15"/>
      <c r="H3" s="15"/>
    </row>
    <row r="4" spans="2:53" ht="14">
      <c r="B4" s="165" t="s">
        <v>2</v>
      </c>
      <c r="C4" s="15"/>
      <c r="D4" s="339" t="str">
        <f>'Table of Contents'!C4</f>
        <v>Cal Poly SLO - Driftwood Propery Development</v>
      </c>
      <c r="E4" s="20"/>
      <c r="F4" s="15"/>
      <c r="G4" s="15"/>
      <c r="H4" s="15"/>
    </row>
    <row r="5" spans="2:53" ht="14">
      <c r="B5" s="165" t="s">
        <v>21</v>
      </c>
      <c r="C5" s="15"/>
      <c r="D5" s="595">
        <f>'Table of Contents'!C6</f>
        <v>45726</v>
      </c>
      <c r="E5" s="20"/>
      <c r="F5" s="15"/>
      <c r="G5" s="15"/>
      <c r="H5" s="15"/>
    </row>
    <row r="6" spans="2:53" ht="14">
      <c r="B6" s="341" t="s">
        <v>22</v>
      </c>
      <c r="C6" s="342"/>
      <c r="D6" s="735">
        <v>6</v>
      </c>
      <c r="E6" s="736"/>
      <c r="F6" s="15"/>
      <c r="G6" s="15"/>
      <c r="H6" s="15"/>
    </row>
    <row r="7" spans="2:53" ht="14">
      <c r="B7" s="48"/>
      <c r="C7" s="48"/>
      <c r="D7" s="15"/>
      <c r="E7" s="49"/>
      <c r="F7" s="15"/>
      <c r="G7" s="15"/>
      <c r="H7" s="15"/>
    </row>
    <row r="8" spans="2:53" ht="16">
      <c r="B8" s="432" t="s">
        <v>317</v>
      </c>
      <c r="C8" s="48"/>
      <c r="D8" s="15"/>
      <c r="E8" s="49"/>
      <c r="F8" s="15"/>
      <c r="G8" s="15"/>
      <c r="H8" s="15"/>
    </row>
    <row r="9" spans="2:53" ht="14">
      <c r="B9" s="48"/>
      <c r="C9" s="48"/>
      <c r="D9" s="15"/>
      <c r="E9" s="49"/>
      <c r="F9" s="15"/>
    </row>
    <row r="10" spans="2:53" ht="14">
      <c r="B10" s="402" t="s">
        <v>318</v>
      </c>
      <c r="C10" s="403"/>
      <c r="D10" s="496"/>
      <c r="E10" s="404"/>
      <c r="F10" s="59"/>
      <c r="G10"/>
    </row>
    <row r="11" spans="2:53" ht="14">
      <c r="B11" s="58"/>
      <c r="C11" s="47"/>
      <c r="D11" s="495" t="s">
        <v>319</v>
      </c>
      <c r="E11" s="253" t="s">
        <v>320</v>
      </c>
      <c r="F11" s="254" t="s">
        <v>321</v>
      </c>
      <c r="G11"/>
    </row>
    <row r="12" spans="2:53" ht="14">
      <c r="B12" s="720" t="s">
        <v>322</v>
      </c>
      <c r="C12" s="721"/>
      <c r="D12" s="482">
        <f>Rents!K40*12</f>
        <v>859104</v>
      </c>
      <c r="E12" s="63">
        <f>IF(D12=0,"",D12/Rents!$G$40)</f>
        <v>11454.72</v>
      </c>
      <c r="F12" s="598">
        <f>IF(D12=0,"",D12/Rents!$H$40)</f>
        <v>17.9541065830721</v>
      </c>
      <c r="G12"/>
    </row>
    <row r="13" spans="2:53" ht="14">
      <c r="B13" s="720" t="s">
        <v>323</v>
      </c>
      <c r="C13" s="721"/>
      <c r="D13" s="482">
        <f>Rents!R40</f>
        <v>606564</v>
      </c>
      <c r="E13" s="63">
        <f>IF(D13=0,"",D13/Rents!$G$40)</f>
        <v>8087.52</v>
      </c>
      <c r="F13" s="598">
        <f>IF(D13=0,"",D13/Rents!$H$40)</f>
        <v>12.676363636363636</v>
      </c>
      <c r="G13"/>
    </row>
    <row r="14" spans="2:53" ht="14">
      <c r="B14" s="720" t="s">
        <v>324</v>
      </c>
      <c r="C14" s="721"/>
      <c r="D14" s="483">
        <v>20000</v>
      </c>
      <c r="E14" s="63">
        <f>IF(D14=0,"",D14/Rents!$G$40)</f>
        <v>266.66666666666669</v>
      </c>
      <c r="F14" s="598">
        <f>IF(D14=0,"",D14/Rents!$H$40)</f>
        <v>0.41797283176593519</v>
      </c>
      <c r="G14"/>
    </row>
    <row r="15" spans="2:53" ht="14">
      <c r="B15" s="64" t="s">
        <v>325</v>
      </c>
      <c r="C15" s="65"/>
      <c r="D15" s="484"/>
      <c r="E15" s="219" t="str">
        <f>IF(D15=0,"",D15/Rents!$G$40)</f>
        <v/>
      </c>
      <c r="F15" s="257" t="str">
        <f>IF(D15=0,"",D15/Rents!$H$40)</f>
        <v/>
      </c>
      <c r="G15"/>
    </row>
    <row r="16" spans="2:53" s="176" customFormat="1" ht="14">
      <c r="B16" s="66" t="s">
        <v>326</v>
      </c>
      <c r="C16" s="67"/>
      <c r="D16" s="497">
        <f>SUM(D12:D15)</f>
        <v>1485668</v>
      </c>
      <c r="E16" s="544">
        <f>IF(D16=0,"",D16/Rents!$G$40)</f>
        <v>19808.906666666666</v>
      </c>
      <c r="F16" s="599">
        <f>IF(D16=0,"",D16/Rents!$H$40)</f>
        <v>31.048443051201673</v>
      </c>
      <c r="H16" s="498"/>
      <c r="I16" s="498"/>
      <c r="J16" s="498"/>
      <c r="K16" s="498"/>
      <c r="L16" s="498"/>
      <c r="M16" s="498"/>
      <c r="N16" s="498"/>
      <c r="O16" s="498"/>
      <c r="P16" s="498"/>
      <c r="Q16" s="498"/>
      <c r="R16" s="498"/>
      <c r="S16" s="498"/>
      <c r="T16" s="498"/>
      <c r="U16" s="498"/>
      <c r="V16" s="498"/>
      <c r="W16" s="498"/>
      <c r="X16" s="498"/>
      <c r="Y16" s="498"/>
      <c r="Z16" s="498"/>
      <c r="AA16" s="498"/>
      <c r="AB16" s="498"/>
      <c r="AC16" s="498"/>
      <c r="AD16" s="498"/>
      <c r="AE16" s="498"/>
      <c r="AF16" s="498"/>
      <c r="AG16" s="498"/>
      <c r="AH16" s="498"/>
      <c r="AI16" s="498"/>
      <c r="AJ16" s="498"/>
      <c r="AK16" s="498"/>
      <c r="AL16" s="498"/>
      <c r="AM16" s="498"/>
      <c r="AN16" s="498"/>
      <c r="AO16" s="498"/>
      <c r="AP16" s="498"/>
      <c r="AQ16" s="498"/>
      <c r="AR16" s="498"/>
      <c r="AS16" s="498"/>
      <c r="AT16" s="498"/>
      <c r="AU16" s="498"/>
      <c r="AV16" s="498"/>
      <c r="AW16" s="498"/>
      <c r="AX16" s="498"/>
      <c r="AY16" s="498"/>
      <c r="AZ16" s="498"/>
      <c r="BA16" s="498"/>
    </row>
    <row r="17" spans="2:8" ht="14">
      <c r="B17" s="18"/>
      <c r="C17" s="714"/>
      <c r="D17" s="482"/>
      <c r="E17" s="15"/>
      <c r="F17" s="20"/>
      <c r="G17"/>
    </row>
    <row r="18" spans="2:8" ht="14">
      <c r="B18" s="720" t="s">
        <v>327</v>
      </c>
      <c r="C18" s="202">
        <v>0.05</v>
      </c>
      <c r="D18" s="482">
        <f>D12*C18</f>
        <v>42955.200000000004</v>
      </c>
      <c r="E18" s="63">
        <f>IF(D18=0,"",D18/Rents!$G$40)</f>
        <v>572.7360000000001</v>
      </c>
      <c r="F18" s="598">
        <f>IF(D18=0,"",D18/Rents!$H$40)</f>
        <v>0.89770532915360512</v>
      </c>
      <c r="G18"/>
    </row>
    <row r="19" spans="2:8" ht="14">
      <c r="B19" s="720" t="s">
        <v>328</v>
      </c>
      <c r="C19" s="202">
        <v>0.05</v>
      </c>
      <c r="D19" s="482">
        <f>D13*C19</f>
        <v>30328.2</v>
      </c>
      <c r="E19" s="63">
        <f>IF(D19=0,"",D19/Rents!$G$40)</f>
        <v>404.37600000000003</v>
      </c>
      <c r="F19" s="598">
        <f>IF(D19=0,"",D19/Rents!$H$40)</f>
        <v>0.63381818181818184</v>
      </c>
      <c r="G19"/>
    </row>
    <row r="20" spans="2:8" ht="14">
      <c r="B20" s="720" t="s">
        <v>329</v>
      </c>
      <c r="C20" s="202"/>
      <c r="D20" s="482">
        <f>D14*C20</f>
        <v>0</v>
      </c>
      <c r="E20" s="63" t="str">
        <f>IF(D20=0,"",D20/Rents!$G$40)</f>
        <v/>
      </c>
      <c r="F20" s="598" t="str">
        <f>IF(D20=0,"",D20/Rents!$H$40)</f>
        <v/>
      </c>
      <c r="G20"/>
    </row>
    <row r="21" spans="2:8" ht="14">
      <c r="B21" s="64" t="s">
        <v>330</v>
      </c>
      <c r="C21" s="220"/>
      <c r="D21" s="484"/>
      <c r="E21" s="219"/>
      <c r="F21" s="257"/>
      <c r="G21"/>
    </row>
    <row r="22" spans="2:8" ht="14">
      <c r="B22" s="68" t="s">
        <v>331</v>
      </c>
      <c r="C22" s="69"/>
      <c r="D22" s="485">
        <f>SUM(D18:D21)</f>
        <v>73283.400000000009</v>
      </c>
      <c r="E22" s="264">
        <f>IF(D22=0,"",D22/Rents!$G$40)</f>
        <v>977.11200000000008</v>
      </c>
      <c r="F22" s="600">
        <f>IF(D22=0,"",D22/Rents!$H$40)</f>
        <v>1.5315235109717871</v>
      </c>
      <c r="G22"/>
    </row>
    <row r="23" spans="2:8" ht="14">
      <c r="B23" s="259" t="s">
        <v>332</v>
      </c>
      <c r="C23" s="260"/>
      <c r="D23" s="486">
        <f>D16-D22</f>
        <v>1412384.6</v>
      </c>
      <c r="E23" s="601">
        <f>IF(D23=0,"",D23/Rents!$G$40)</f>
        <v>18831.794666666668</v>
      </c>
      <c r="F23" s="602">
        <f>IF(D23=0,"",D23/Rents!$H$40)</f>
        <v>29.516919540229885</v>
      </c>
      <c r="G23"/>
    </row>
    <row r="24" spans="2:8" ht="14">
      <c r="B24" s="15"/>
      <c r="C24" s="55"/>
      <c r="D24" s="482"/>
      <c r="E24" s="77"/>
      <c r="F24" s="77"/>
    </row>
    <row r="25" spans="2:8" ht="15" thickBot="1">
      <c r="B25" s="123" t="s">
        <v>333</v>
      </c>
      <c r="C25" s="261"/>
      <c r="D25" s="487"/>
      <c r="E25" s="434"/>
      <c r="F25" s="435"/>
    </row>
    <row r="26" spans="2:8" ht="15" thickBot="1">
      <c r="B26" s="720" t="s">
        <v>334</v>
      </c>
      <c r="C26" s="71"/>
      <c r="D26" s="488">
        <f>D23*H26</f>
        <v>56495.384000000005</v>
      </c>
      <c r="E26" s="63">
        <f>IF(D26=0,"",D26/Rents!$G$40)</f>
        <v>753.27178666666669</v>
      </c>
      <c r="F26" s="598">
        <f>IF(D26=0,"",D26/Rents!$H$40)</f>
        <v>1.1806767816091954</v>
      </c>
      <c r="H26" s="238">
        <v>0.04</v>
      </c>
    </row>
    <row r="27" spans="2:8" ht="14">
      <c r="B27" s="720" t="s">
        <v>141</v>
      </c>
      <c r="C27" s="71"/>
      <c r="D27" s="483">
        <v>65940</v>
      </c>
      <c r="E27" s="63">
        <f>IF(D27=0,"",D27/Rents!$G$40)</f>
        <v>879.2</v>
      </c>
      <c r="F27" s="598">
        <f>IF(D27=0,"",D27/Rents!$H$40)</f>
        <v>1.3780564263322883</v>
      </c>
    </row>
    <row r="28" spans="2:8" ht="14">
      <c r="B28" s="720" t="s">
        <v>143</v>
      </c>
      <c r="C28" s="71"/>
      <c r="D28" s="483"/>
      <c r="E28" s="63" t="str">
        <f>IF(D28=0,"",D28/Rents!$G$40)</f>
        <v/>
      </c>
      <c r="F28" s="598" t="str">
        <f>IF(D28=0,"",D28/Rents!$H$40)</f>
        <v/>
      </c>
    </row>
    <row r="29" spans="2:8" ht="14">
      <c r="B29" s="436" t="s">
        <v>335</v>
      </c>
      <c r="C29" s="71"/>
      <c r="D29" s="482"/>
      <c r="E29" s="15"/>
      <c r="F29" s="20"/>
    </row>
    <row r="30" spans="2:8" ht="14">
      <c r="B30" s="568" t="s">
        <v>336</v>
      </c>
      <c r="C30" s="438"/>
      <c r="D30" s="489">
        <v>2861</v>
      </c>
      <c r="E30" s="15"/>
      <c r="F30" s="20"/>
    </row>
    <row r="31" spans="2:8" ht="14">
      <c r="B31" s="568" t="s">
        <v>337</v>
      </c>
      <c r="C31" s="438"/>
      <c r="D31" s="489">
        <v>3291</v>
      </c>
      <c r="E31" s="15"/>
      <c r="F31" s="20"/>
    </row>
    <row r="32" spans="2:8" ht="14">
      <c r="B32" s="568" t="s">
        <v>144</v>
      </c>
      <c r="C32" s="438"/>
      <c r="D32" s="489">
        <v>7833</v>
      </c>
      <c r="E32" s="15"/>
      <c r="F32" s="20"/>
    </row>
    <row r="33" spans="2:7" ht="14">
      <c r="B33" s="568" t="s">
        <v>338</v>
      </c>
      <c r="C33" s="438"/>
      <c r="D33" s="489">
        <v>8722</v>
      </c>
      <c r="E33" s="15"/>
      <c r="F33" s="20"/>
    </row>
    <row r="34" spans="2:7" ht="14">
      <c r="B34" s="568" t="s">
        <v>339</v>
      </c>
      <c r="C34" s="438"/>
      <c r="D34" s="489">
        <v>4291</v>
      </c>
      <c r="E34" s="15"/>
      <c r="F34" s="20"/>
    </row>
    <row r="35" spans="2:7" ht="14">
      <c r="B35" s="568" t="s">
        <v>340</v>
      </c>
      <c r="C35" s="438"/>
      <c r="D35" s="489">
        <v>4288</v>
      </c>
      <c r="E35" s="15"/>
      <c r="F35" s="20"/>
    </row>
    <row r="36" spans="2:7" ht="14">
      <c r="B36" s="568" t="s">
        <v>341</v>
      </c>
      <c r="C36" s="438"/>
      <c r="D36" s="489"/>
      <c r="E36" s="15"/>
      <c r="F36" s="20"/>
    </row>
    <row r="37" spans="2:7" ht="14">
      <c r="B37" s="568" t="s">
        <v>342</v>
      </c>
      <c r="C37" s="439"/>
      <c r="D37" s="490">
        <v>3978</v>
      </c>
      <c r="E37" s="19"/>
      <c r="F37" s="39"/>
    </row>
    <row r="38" spans="2:7" ht="14">
      <c r="B38" s="70" t="s">
        <v>343</v>
      </c>
      <c r="C38" s="71"/>
      <c r="D38" s="482">
        <f>SUM(D30:D37)</f>
        <v>35264</v>
      </c>
      <c r="E38" s="63">
        <f>IF(D38=0,"",D38/Rents!$G$40)</f>
        <v>470.18666666666667</v>
      </c>
      <c r="F38" s="598">
        <f>IF(D38=0,"",D38/Rents!$H$40)</f>
        <v>0.73696969696969694</v>
      </c>
    </row>
    <row r="39" spans="2:7" ht="14">
      <c r="B39" s="436" t="s">
        <v>344</v>
      </c>
      <c r="C39" s="71"/>
      <c r="D39" s="482"/>
      <c r="E39" s="77"/>
      <c r="F39" s="258"/>
    </row>
    <row r="40" spans="2:7" ht="14">
      <c r="B40" s="568" t="s">
        <v>345</v>
      </c>
      <c r="C40" s="440"/>
      <c r="D40" s="491">
        <v>82167</v>
      </c>
      <c r="E40" s="15"/>
      <c r="F40" s="20"/>
    </row>
    <row r="41" spans="2:7" ht="14">
      <c r="B41" s="568" t="s">
        <v>346</v>
      </c>
      <c r="C41" s="440"/>
      <c r="D41" s="491">
        <v>57745</v>
      </c>
      <c r="E41" s="15"/>
      <c r="F41" s="20"/>
    </row>
    <row r="42" spans="2:7" ht="14">
      <c r="B42" s="568" t="s">
        <v>347</v>
      </c>
      <c r="C42" s="440"/>
      <c r="D42" s="491">
        <v>48241</v>
      </c>
      <c r="E42" s="15"/>
      <c r="F42" s="20"/>
    </row>
    <row r="43" spans="2:7" ht="14">
      <c r="B43" s="568" t="s">
        <v>348</v>
      </c>
      <c r="C43" s="440"/>
      <c r="D43" s="491">
        <v>15234</v>
      </c>
      <c r="E43" s="15"/>
      <c r="F43" s="20"/>
    </row>
    <row r="44" spans="2:7" ht="14">
      <c r="B44" s="568" t="s">
        <v>349</v>
      </c>
      <c r="C44" s="441"/>
      <c r="D44" s="492">
        <v>18496</v>
      </c>
      <c r="E44" s="19"/>
      <c r="F44" s="39"/>
    </row>
    <row r="45" spans="2:7" ht="14">
      <c r="B45" s="70" t="s">
        <v>350</v>
      </c>
      <c r="C45" s="71"/>
      <c r="D45" s="482">
        <f>SUM(D40:D44)</f>
        <v>221883</v>
      </c>
      <c r="E45" s="63">
        <f>IF(D45=0,"",D45/Rents!$G$40)</f>
        <v>2958.44</v>
      </c>
      <c r="F45" s="598">
        <f>IF(D45=0,"",D45/Rents!$H$40)</f>
        <v>4.6370532915360503</v>
      </c>
    </row>
    <row r="46" spans="2:7" ht="14">
      <c r="B46" s="437" t="s">
        <v>351</v>
      </c>
      <c r="C46" s="71"/>
      <c r="D46" s="482"/>
      <c r="E46" s="77"/>
      <c r="F46" s="258"/>
    </row>
    <row r="47" spans="2:7" ht="14">
      <c r="B47" s="568" t="s">
        <v>352</v>
      </c>
      <c r="C47" s="438"/>
      <c r="D47" s="489">
        <v>4065</v>
      </c>
      <c r="E47" s="15"/>
      <c r="F47" s="20"/>
    </row>
    <row r="48" spans="2:7" ht="14">
      <c r="B48" s="568" t="s">
        <v>353</v>
      </c>
      <c r="C48" s="438"/>
      <c r="D48" s="489">
        <v>20655</v>
      </c>
      <c r="E48" s="15"/>
      <c r="F48" s="20"/>
      <c r="G48" s="406"/>
    </row>
    <row r="49" spans="2:6" ht="14">
      <c r="B49" s="568" t="s">
        <v>354</v>
      </c>
      <c r="C49" s="438"/>
      <c r="D49" s="489"/>
      <c r="E49" s="15"/>
      <c r="F49" s="20"/>
    </row>
    <row r="50" spans="2:6" ht="14">
      <c r="B50" s="568" t="s">
        <v>355</v>
      </c>
      <c r="C50" s="438"/>
      <c r="D50" s="489">
        <v>14393</v>
      </c>
      <c r="E50" s="15"/>
      <c r="F50" s="20"/>
    </row>
    <row r="51" spans="2:6" ht="14">
      <c r="B51" s="568" t="s">
        <v>356</v>
      </c>
      <c r="C51" s="439"/>
      <c r="D51" s="490">
        <v>7196</v>
      </c>
      <c r="E51" s="19"/>
      <c r="F51" s="39"/>
    </row>
    <row r="52" spans="2:6" ht="14">
      <c r="B52" s="70" t="s">
        <v>357</v>
      </c>
      <c r="C52" s="71"/>
      <c r="D52" s="482">
        <f>SUM(D47:D51)</f>
        <v>46309</v>
      </c>
      <c r="E52" s="63">
        <f>IF(D52=0,"",D52/Rents!$G$40)</f>
        <v>617.45333333333338</v>
      </c>
      <c r="F52" s="598">
        <f>IF(D52=0,"",D52/Rents!$H$40)</f>
        <v>0.96779519331243469</v>
      </c>
    </row>
    <row r="53" spans="2:6" ht="14">
      <c r="B53" s="720" t="s">
        <v>358</v>
      </c>
      <c r="C53" s="71"/>
      <c r="D53" s="489">
        <v>45000</v>
      </c>
      <c r="E53" s="77"/>
      <c r="F53" s="258"/>
    </row>
    <row r="54" spans="2:6" ht="14">
      <c r="B54" s="436" t="s">
        <v>359</v>
      </c>
      <c r="C54" s="71"/>
      <c r="D54" s="482"/>
      <c r="E54" s="77"/>
      <c r="F54" s="258"/>
    </row>
    <row r="55" spans="2:6" ht="14">
      <c r="B55" s="568" t="s">
        <v>360</v>
      </c>
      <c r="C55" s="438"/>
      <c r="D55" s="489">
        <v>4250</v>
      </c>
      <c r="E55" s="15"/>
      <c r="F55" s="20"/>
    </row>
    <row r="56" spans="2:6" ht="14">
      <c r="B56" s="568" t="s">
        <v>361</v>
      </c>
      <c r="C56" s="438"/>
      <c r="D56" s="489">
        <v>10934</v>
      </c>
      <c r="E56" s="15"/>
      <c r="F56" s="20"/>
    </row>
    <row r="57" spans="2:6" ht="14">
      <c r="B57" s="568" t="s">
        <v>362</v>
      </c>
      <c r="C57" s="438"/>
      <c r="D57" s="489">
        <v>5967</v>
      </c>
      <c r="E57" s="15"/>
      <c r="F57" s="20"/>
    </row>
    <row r="58" spans="2:6" ht="14">
      <c r="B58" s="568" t="s">
        <v>363</v>
      </c>
      <c r="C58" s="438"/>
      <c r="D58" s="489">
        <v>3311</v>
      </c>
      <c r="E58" s="15"/>
      <c r="F58" s="20"/>
    </row>
    <row r="59" spans="2:6" ht="14">
      <c r="B59" s="568" t="s">
        <v>364</v>
      </c>
      <c r="C59" s="438"/>
      <c r="D59" s="489">
        <v>5967</v>
      </c>
      <c r="E59" s="15"/>
      <c r="F59" s="20"/>
    </row>
    <row r="60" spans="2:6" ht="14">
      <c r="B60" s="568" t="s">
        <v>365</v>
      </c>
      <c r="C60" s="438"/>
      <c r="D60" s="489">
        <v>4311</v>
      </c>
      <c r="E60" s="15"/>
      <c r="F60" s="20"/>
    </row>
    <row r="61" spans="2:6" ht="14">
      <c r="B61" s="568" t="s">
        <v>366</v>
      </c>
      <c r="C61" s="439"/>
      <c r="D61" s="490"/>
      <c r="E61" s="19"/>
      <c r="F61" s="39"/>
    </row>
    <row r="62" spans="2:6" ht="14">
      <c r="B62" s="70" t="s">
        <v>367</v>
      </c>
      <c r="C62" s="71"/>
      <c r="D62" s="482">
        <f>SUM(D55:D61)</f>
        <v>34740</v>
      </c>
      <c r="E62" s="63">
        <f>IF(D62=0,"",D62/Rents!$G$40)</f>
        <v>463.2</v>
      </c>
      <c r="F62" s="598">
        <f>IF(D62=0,"",D62/Rents!$H$40)</f>
        <v>0.72601880877742941</v>
      </c>
    </row>
    <row r="63" spans="2:6" ht="14">
      <c r="B63" s="72" t="s">
        <v>368</v>
      </c>
      <c r="C63" s="73"/>
      <c r="D63" s="489"/>
      <c r="E63" s="641" t="str">
        <f>IF(D63=0,"",D63/Rents!$G$40)</f>
        <v/>
      </c>
      <c r="F63" s="643" t="str">
        <f>IF(D63=0,"",D63/Rents!$H$40)</f>
        <v/>
      </c>
    </row>
    <row r="64" spans="2:6" ht="14">
      <c r="B64" s="720" t="s">
        <v>369</v>
      </c>
      <c r="C64" s="721"/>
      <c r="D64" s="489">
        <v>104500</v>
      </c>
      <c r="E64" s="641">
        <f>IF(D64=0,"",D64/Rents!$G$40)</f>
        <v>1393.3333333333333</v>
      </c>
      <c r="F64" s="643">
        <f>IF(D64=0,"",D64/Rents!$H$40)</f>
        <v>2.1839080459770117</v>
      </c>
    </row>
    <row r="65" spans="2:53" ht="14">
      <c r="B65" s="64" t="s">
        <v>370</v>
      </c>
      <c r="C65" s="65"/>
      <c r="D65" s="493">
        <v>95184</v>
      </c>
      <c r="E65" s="459">
        <f>IF(D65=0,"",D65/Rents!$G$40)</f>
        <v>1269.1199999999999</v>
      </c>
      <c r="F65" s="603">
        <f>IF(D65=0,"",D65/Rents!$H$40)</f>
        <v>1.9892163009404389</v>
      </c>
    </row>
    <row r="66" spans="2:53" s="176" customFormat="1" ht="14">
      <c r="B66" s="66" t="s">
        <v>371</v>
      </c>
      <c r="C66" s="74"/>
      <c r="D66" s="626">
        <f>SUM(D26,D27:D37,D40:D44,D47:D51,D53,D55:D61,D65,D63,D64)</f>
        <v>705315.38400000008</v>
      </c>
      <c r="E66" s="544">
        <f>IF(D66=0,"",D66/Rents!$G$40)</f>
        <v>9404.2051200000005</v>
      </c>
      <c r="F66" s="599">
        <f>IF(D66=0,"",D66/Rents!$H$40)</f>
        <v>14.740133416927902</v>
      </c>
      <c r="G66" s="662"/>
      <c r="I66" s="625"/>
      <c r="J66" s="498"/>
      <c r="K66" s="498"/>
      <c r="L66" s="498"/>
      <c r="M66" s="498"/>
      <c r="N66" s="498"/>
      <c r="O66" s="498"/>
      <c r="P66" s="498"/>
      <c r="Q66" s="498"/>
      <c r="R66" s="498"/>
      <c r="S66" s="498"/>
      <c r="T66" s="498"/>
      <c r="U66" s="498"/>
      <c r="V66" s="498"/>
      <c r="W66" s="498"/>
      <c r="X66" s="498"/>
      <c r="Y66" s="498"/>
      <c r="Z66" s="498"/>
      <c r="AA66" s="498"/>
      <c r="AB66" s="498"/>
      <c r="AC66" s="498"/>
      <c r="AD66" s="498"/>
      <c r="AE66" s="498"/>
      <c r="AF66" s="498"/>
      <c r="AG66" s="498"/>
      <c r="AH66" s="498"/>
      <c r="AI66" s="498"/>
      <c r="AJ66" s="498"/>
      <c r="AK66" s="498"/>
      <c r="AL66" s="498"/>
      <c r="AM66" s="498"/>
      <c r="AN66" s="498"/>
      <c r="AO66" s="498"/>
      <c r="AP66" s="498"/>
      <c r="AQ66" s="498"/>
      <c r="AR66" s="498"/>
      <c r="AS66" s="498"/>
      <c r="AT66" s="498"/>
      <c r="AU66" s="498"/>
      <c r="AV66" s="498"/>
      <c r="AW66" s="498"/>
      <c r="AX66" s="498"/>
      <c r="AY66" s="498"/>
      <c r="AZ66" s="498"/>
      <c r="BA66" s="498"/>
    </row>
    <row r="67" spans="2:53" ht="14">
      <c r="B67" s="720" t="s">
        <v>372</v>
      </c>
      <c r="C67" s="721"/>
      <c r="D67" s="489"/>
      <c r="E67" s="255" t="str">
        <f>IF(D67=0,"",D67/Rents!$G$40)</f>
        <v/>
      </c>
      <c r="F67" s="256" t="str">
        <f>IF(D67=0,"",D67/Rents!$H$40)</f>
        <v/>
      </c>
      <c r="G67" s="406"/>
    </row>
    <row r="68" spans="2:53" ht="14">
      <c r="B68" s="64" t="s">
        <v>199</v>
      </c>
      <c r="C68" s="203">
        <v>500</v>
      </c>
      <c r="D68" s="494">
        <f>C68*Rents!G40</f>
        <v>37500</v>
      </c>
      <c r="E68" s="459">
        <f>IF(D68=0,"",D68/Rents!$G$40)</f>
        <v>500</v>
      </c>
      <c r="F68" s="603">
        <f>IF(D68=0,"",D68/Rents!$H$40)</f>
        <v>0.78369905956112851</v>
      </c>
    </row>
    <row r="69" spans="2:53" s="176" customFormat="1" ht="14" customHeight="1">
      <c r="B69" s="66" t="s">
        <v>373</v>
      </c>
      <c r="C69" s="74"/>
      <c r="D69" s="497">
        <f>D66+D68</f>
        <v>742815.38400000008</v>
      </c>
      <c r="E69" s="544">
        <f>IF(D69=0,"",D69/Rents!$G$40)</f>
        <v>9904.2051200000005</v>
      </c>
      <c r="F69" s="702">
        <f>IF(D69=0,"",D69/Rents!$H$40)</f>
        <v>15.52383247648903</v>
      </c>
      <c r="G69" s="841" t="s">
        <v>374</v>
      </c>
      <c r="H69" s="841"/>
      <c r="I69" s="841"/>
      <c r="J69" s="703">
        <f>D69/D16</f>
        <v>0.4999874696096302</v>
      </c>
      <c r="K69" s="498"/>
      <c r="L69" s="498"/>
      <c r="M69" s="498"/>
      <c r="N69" s="498"/>
      <c r="O69" s="498"/>
      <c r="P69" s="498"/>
      <c r="Q69" s="498"/>
      <c r="R69" s="498"/>
      <c r="S69" s="498"/>
      <c r="T69" s="498"/>
      <c r="U69" s="498"/>
      <c r="V69" s="498"/>
      <c r="W69" s="498"/>
      <c r="X69" s="498"/>
      <c r="Y69" s="498"/>
      <c r="Z69" s="498"/>
      <c r="AA69" s="498"/>
      <c r="AB69" s="498"/>
      <c r="AC69" s="498"/>
      <c r="AD69" s="498"/>
      <c r="AE69" s="498"/>
      <c r="AF69" s="498"/>
      <c r="AG69" s="498"/>
      <c r="AH69" s="498"/>
      <c r="AI69" s="498"/>
      <c r="AJ69" s="498"/>
      <c r="AK69" s="498"/>
      <c r="AL69" s="498"/>
      <c r="AM69" s="498"/>
      <c r="AN69" s="498"/>
      <c r="AO69" s="498"/>
      <c r="AP69" s="498"/>
      <c r="AQ69" s="498"/>
      <c r="AR69" s="498"/>
      <c r="AS69" s="498"/>
      <c r="AT69" s="498"/>
      <c r="AU69" s="498"/>
      <c r="AV69" s="498"/>
      <c r="AW69" s="498"/>
      <c r="AX69" s="498"/>
      <c r="AY69" s="498"/>
      <c r="AZ69" s="498"/>
      <c r="BA69" s="498"/>
    </row>
    <row r="70" spans="2:53" ht="14">
      <c r="B70" s="64"/>
      <c r="C70" s="65"/>
      <c r="D70" s="494"/>
      <c r="E70" s="78"/>
      <c r="F70" s="433"/>
    </row>
    <row r="71" spans="2:53" s="176" customFormat="1" ht="14">
      <c r="B71" s="75" t="s">
        <v>375</v>
      </c>
      <c r="C71" s="76"/>
      <c r="D71" s="497">
        <f>D23-D69</f>
        <v>669569.21600000001</v>
      </c>
      <c r="E71" s="544">
        <f>IF(D71=0,"",D71/Rents!$G$40)</f>
        <v>8927.5895466666661</v>
      </c>
      <c r="F71" s="599">
        <f>IF(D71=0,"",D71/Rents!$H$40)</f>
        <v>13.993087063740857</v>
      </c>
      <c r="G71" s="498"/>
      <c r="H71" s="498"/>
      <c r="I71" s="498"/>
      <c r="J71" s="498"/>
      <c r="K71" s="498"/>
      <c r="L71" s="498"/>
      <c r="M71" s="498"/>
      <c r="N71" s="498"/>
      <c r="O71" s="498"/>
      <c r="P71" s="498"/>
      <c r="Q71" s="498"/>
      <c r="R71" s="498"/>
      <c r="S71" s="498"/>
      <c r="T71" s="498"/>
      <c r="U71" s="498"/>
      <c r="V71" s="498"/>
      <c r="W71" s="498"/>
      <c r="X71" s="498"/>
      <c r="Y71" s="498"/>
      <c r="Z71" s="498"/>
      <c r="AA71" s="498"/>
      <c r="AB71" s="498"/>
      <c r="AC71" s="498"/>
      <c r="AD71" s="498"/>
      <c r="AE71" s="498"/>
      <c r="AF71" s="498"/>
      <c r="AG71" s="498"/>
      <c r="AH71" s="498"/>
      <c r="AI71" s="498"/>
      <c r="AJ71" s="498"/>
      <c r="AK71" s="498"/>
      <c r="AL71" s="498"/>
      <c r="AM71" s="498"/>
      <c r="AN71" s="498"/>
      <c r="AO71" s="498"/>
      <c r="AP71" s="498"/>
      <c r="AQ71" s="498"/>
      <c r="AR71" s="498"/>
      <c r="AS71" s="498"/>
      <c r="AT71" s="498"/>
      <c r="AU71" s="498"/>
      <c r="AV71" s="498"/>
      <c r="AW71" s="498"/>
      <c r="AX71" s="498"/>
      <c r="AY71" s="498"/>
      <c r="AZ71" s="498"/>
      <c r="BA71" s="498"/>
    </row>
    <row r="72" spans="2:53" ht="14">
      <c r="B72" s="64" t="s">
        <v>376</v>
      </c>
      <c r="C72" s="199">
        <v>1.1499999999999999</v>
      </c>
      <c r="D72" s="482">
        <f>D71/C72</f>
        <v>582234.10086956527</v>
      </c>
      <c r="E72" s="19"/>
      <c r="F72" s="39"/>
    </row>
    <row r="73" spans="2:53" ht="14">
      <c r="B73" s="15"/>
      <c r="C73" s="15"/>
      <c r="D73" s="47"/>
      <c r="E73" s="15"/>
      <c r="F73" s="15"/>
    </row>
    <row r="74" spans="2:53" ht="14">
      <c r="B74" s="387" t="s">
        <v>377</v>
      </c>
      <c r="C74" s="388"/>
      <c r="D74" s="389"/>
      <c r="E74" s="15"/>
      <c r="F74" s="15"/>
    </row>
    <row r="75" spans="2:53" ht="14">
      <c r="B75" s="387" t="s">
        <v>249</v>
      </c>
      <c r="C75" s="388"/>
      <c r="D75" s="389"/>
      <c r="E75" s="15"/>
      <c r="F75" s="15"/>
    </row>
    <row r="76" spans="2:53" ht="14">
      <c r="B76" s="499" t="s">
        <v>378</v>
      </c>
      <c r="C76" s="243"/>
      <c r="D76" s="500">
        <f>D12+D14-D18-D20-D69</f>
        <v>93333.415999999968</v>
      </c>
      <c r="E76" s="15"/>
      <c r="F76" s="15"/>
    </row>
    <row r="77" spans="2:53" ht="26" customHeight="1">
      <c r="B77" s="501" t="s">
        <v>379</v>
      </c>
      <c r="C77" s="502"/>
      <c r="D77" s="503">
        <f>D76/C72</f>
        <v>81159.492173913022</v>
      </c>
      <c r="E77" s="15"/>
      <c r="F77" s="15"/>
    </row>
    <row r="78" spans="2:53" ht="11.5" customHeight="1">
      <c r="B78" s="504"/>
      <c r="C78" s="505"/>
      <c r="D78" s="506"/>
      <c r="E78" s="15"/>
      <c r="F78" s="15"/>
    </row>
    <row r="79" spans="2:53" ht="14">
      <c r="B79" s="387" t="s">
        <v>380</v>
      </c>
      <c r="C79" s="388"/>
      <c r="D79" s="507"/>
      <c r="E79" s="15"/>
      <c r="F79" s="15"/>
    </row>
    <row r="80" spans="2:53" ht="14">
      <c r="B80" s="499" t="s">
        <v>381</v>
      </c>
      <c r="C80" s="243"/>
      <c r="D80" s="500">
        <f>D13-D19</f>
        <v>576235.80000000005</v>
      </c>
      <c r="E80" s="15"/>
      <c r="F80" s="15"/>
    </row>
    <row r="81" spans="2:6" ht="30">
      <c r="B81" s="501" t="s">
        <v>382</v>
      </c>
      <c r="C81" s="502"/>
      <c r="D81" s="503">
        <f>D80/C72</f>
        <v>501074.60869565228</v>
      </c>
      <c r="E81" s="15"/>
      <c r="F81" s="15"/>
    </row>
    <row r="82" spans="2:6" s="11" customFormat="1"/>
    <row r="83" spans="2:6" s="11" customFormat="1"/>
    <row r="84" spans="2:6" s="11" customFormat="1"/>
    <row r="85" spans="2:6" s="11" customFormat="1"/>
    <row r="86" spans="2:6" s="11" customFormat="1"/>
    <row r="87" spans="2:6" s="11" customFormat="1"/>
    <row r="88" spans="2:6" s="11" customFormat="1"/>
    <row r="89" spans="2:6" s="11" customFormat="1"/>
    <row r="90" spans="2:6" s="11" customFormat="1"/>
    <row r="91" spans="2:6" s="11" customFormat="1"/>
    <row r="92" spans="2:6" s="11" customFormat="1"/>
    <row r="93" spans="2:6" s="11" customFormat="1"/>
    <row r="94" spans="2:6" s="11" customFormat="1"/>
    <row r="95" spans="2:6" s="11" customFormat="1"/>
    <row r="96" spans="2:6" s="11" customFormat="1"/>
    <row r="97" s="11" customFormat="1"/>
    <row r="98" s="11" customFormat="1"/>
    <row r="99" s="11" customFormat="1"/>
    <row r="100" s="11" customFormat="1"/>
    <row r="101" s="11" customFormat="1"/>
    <row r="102" s="11" customFormat="1"/>
    <row r="103" s="11" customFormat="1"/>
    <row r="104" s="11" customFormat="1"/>
    <row r="105" s="11" customFormat="1"/>
    <row r="106" s="11" customFormat="1"/>
    <row r="107" s="11" customFormat="1"/>
    <row r="108" s="11" customFormat="1"/>
    <row r="109" s="11" customFormat="1"/>
    <row r="110" s="11" customFormat="1"/>
    <row r="111" s="11" customFormat="1"/>
    <row r="112" s="11" customFormat="1"/>
    <row r="113" s="11" customFormat="1"/>
    <row r="114" s="11" customFormat="1"/>
    <row r="115" s="11" customFormat="1"/>
    <row r="116" s="11" customFormat="1"/>
    <row r="117" s="11" customFormat="1"/>
    <row r="118" s="11" customFormat="1"/>
    <row r="119" s="11" customFormat="1"/>
    <row r="120" s="11" customFormat="1"/>
    <row r="121" s="11" customFormat="1"/>
    <row r="122" s="11" customFormat="1"/>
    <row r="123" s="11" customFormat="1"/>
    <row r="124" s="11" customFormat="1"/>
    <row r="125" s="11" customFormat="1"/>
    <row r="126" s="11" customFormat="1"/>
    <row r="127" s="11" customFormat="1"/>
    <row r="128" s="11" customFormat="1"/>
    <row r="129" s="11" customFormat="1"/>
    <row r="130" s="11" customFormat="1"/>
    <row r="131" s="11" customFormat="1"/>
    <row r="132" s="11" customFormat="1"/>
    <row r="133" s="11" customFormat="1"/>
    <row r="134" s="11" customFormat="1"/>
    <row r="135" s="11" customFormat="1"/>
    <row r="136" s="11" customFormat="1"/>
    <row r="137" s="11" customFormat="1"/>
    <row r="138" s="11" customFormat="1"/>
    <row r="139" s="11" customFormat="1"/>
    <row r="140" s="11" customFormat="1"/>
    <row r="141" s="11" customFormat="1"/>
    <row r="142" s="11" customFormat="1"/>
    <row r="143" s="11" customFormat="1"/>
    <row r="144" s="11" customFormat="1"/>
    <row r="145" s="11" customFormat="1"/>
    <row r="146" s="11" customFormat="1"/>
    <row r="147" s="11" customFormat="1"/>
    <row r="148" s="11" customFormat="1"/>
    <row r="149" s="11" customFormat="1"/>
    <row r="150" s="11" customFormat="1"/>
    <row r="151" s="11" customFormat="1"/>
    <row r="152" s="11" customFormat="1"/>
    <row r="153" s="11" customFormat="1"/>
    <row r="154" s="11" customFormat="1"/>
    <row r="155" s="11" customFormat="1"/>
    <row r="156" s="11" customFormat="1"/>
    <row r="157" s="11" customFormat="1"/>
    <row r="158" s="11" customFormat="1"/>
    <row r="159" s="11" customFormat="1"/>
    <row r="160" s="11" customFormat="1"/>
    <row r="161" s="11" customFormat="1"/>
    <row r="162" s="11" customFormat="1"/>
    <row r="163" s="11" customFormat="1"/>
    <row r="164" s="11" customFormat="1"/>
    <row r="165" s="11" customFormat="1"/>
    <row r="166" s="11" customFormat="1"/>
    <row r="167" s="11" customFormat="1"/>
    <row r="168" s="11" customFormat="1"/>
    <row r="169" s="11" customFormat="1"/>
    <row r="170" s="11" customFormat="1"/>
    <row r="171" s="11" customFormat="1"/>
    <row r="172" s="11" customFormat="1"/>
    <row r="173" s="11" customFormat="1"/>
    <row r="174" s="11" customFormat="1"/>
    <row r="175" s="11" customFormat="1"/>
    <row r="176" s="11" customFormat="1"/>
    <row r="177" s="11" customFormat="1"/>
    <row r="178" s="11" customFormat="1"/>
    <row r="179" s="11" customFormat="1"/>
    <row r="180" s="11" customFormat="1"/>
    <row r="181" s="11" customFormat="1"/>
    <row r="182" s="11" customFormat="1"/>
    <row r="183" s="11" customFormat="1"/>
    <row r="184" s="11" customFormat="1"/>
    <row r="185" s="11" customFormat="1"/>
    <row r="186" s="11" customFormat="1"/>
    <row r="187" s="11" customFormat="1"/>
    <row r="188" s="11" customFormat="1"/>
    <row r="189" s="11" customFormat="1"/>
    <row r="190" s="11" customFormat="1"/>
    <row r="191" s="11" customFormat="1"/>
    <row r="192" s="11" customFormat="1"/>
    <row r="193" s="11" customFormat="1"/>
    <row r="194" s="11" customFormat="1"/>
    <row r="195" s="11" customFormat="1"/>
    <row r="196" s="11" customFormat="1"/>
    <row r="197" s="11" customFormat="1"/>
    <row r="198" s="11" customFormat="1"/>
    <row r="199" s="11" customFormat="1"/>
    <row r="200" s="11" customFormat="1"/>
    <row r="201" s="11" customFormat="1"/>
    <row r="202" s="11" customFormat="1"/>
    <row r="203" s="11" customFormat="1"/>
    <row r="204" s="11" customFormat="1"/>
    <row r="205" s="11" customFormat="1"/>
    <row r="206" s="11" customFormat="1"/>
    <row r="207" s="11" customFormat="1"/>
    <row r="208" s="11" customFormat="1"/>
    <row r="209" s="11" customFormat="1"/>
    <row r="210" s="11" customFormat="1"/>
    <row r="211" s="11" customFormat="1"/>
    <row r="212" s="11" customFormat="1"/>
    <row r="213" s="11" customFormat="1"/>
    <row r="214" s="11" customFormat="1"/>
    <row r="215" s="11" customFormat="1"/>
    <row r="216" s="11" customFormat="1"/>
    <row r="217" s="11" customFormat="1"/>
    <row r="218" s="11" customFormat="1"/>
    <row r="219" s="11" customFormat="1"/>
    <row r="220" s="11" customFormat="1"/>
    <row r="221" s="11" customFormat="1"/>
    <row r="222" s="11" customFormat="1"/>
    <row r="223" s="11" customFormat="1"/>
    <row r="224" s="11" customFormat="1"/>
    <row r="225" s="11" customFormat="1"/>
    <row r="226" s="11" customFormat="1"/>
    <row r="227" s="11" customFormat="1"/>
    <row r="228" s="11" customFormat="1"/>
    <row r="229" s="11" customFormat="1"/>
    <row r="230" s="11" customFormat="1"/>
    <row r="231" s="11" customFormat="1"/>
    <row r="232" s="11" customFormat="1"/>
    <row r="233" s="11" customFormat="1"/>
    <row r="234" s="11" customFormat="1"/>
    <row r="235" s="11" customFormat="1"/>
    <row r="236" s="11" customFormat="1"/>
    <row r="237" s="11" customFormat="1"/>
    <row r="238" s="11" customFormat="1"/>
    <row r="239" s="11" customFormat="1"/>
    <row r="240" s="11" customFormat="1"/>
    <row r="241" s="11" customFormat="1"/>
    <row r="242" s="11" customFormat="1"/>
    <row r="243" s="11" customFormat="1"/>
    <row r="244" s="11" customFormat="1"/>
    <row r="245" s="11" customFormat="1"/>
    <row r="246" s="11" customFormat="1"/>
    <row r="247" s="11" customFormat="1"/>
    <row r="248" s="11" customFormat="1"/>
    <row r="249" s="11" customFormat="1"/>
    <row r="250" s="11" customFormat="1"/>
    <row r="251" s="11" customFormat="1"/>
    <row r="252" s="11" customFormat="1"/>
    <row r="253" s="11" customFormat="1"/>
    <row r="254" s="11" customFormat="1"/>
    <row r="255" s="11" customFormat="1"/>
    <row r="256" s="11" customFormat="1"/>
    <row r="257" s="11" customFormat="1"/>
    <row r="258" s="11" customFormat="1"/>
    <row r="259" s="11" customFormat="1"/>
    <row r="260" s="11" customFormat="1"/>
    <row r="261" s="11" customFormat="1"/>
    <row r="262" s="11" customFormat="1"/>
    <row r="263" s="11" customFormat="1"/>
    <row r="264" s="11" customFormat="1"/>
    <row r="265" s="11" customFormat="1"/>
    <row r="266" s="11" customFormat="1"/>
    <row r="267" s="11" customFormat="1"/>
    <row r="268" s="11" customFormat="1"/>
    <row r="269" s="11" customFormat="1"/>
    <row r="270" s="11" customFormat="1"/>
    <row r="271" s="11" customFormat="1"/>
    <row r="272" s="11" customFormat="1"/>
    <row r="273" s="11" customFormat="1"/>
    <row r="274" s="11" customFormat="1"/>
    <row r="275" s="11" customFormat="1"/>
    <row r="276" s="11" customFormat="1"/>
    <row r="277" s="11" customFormat="1"/>
    <row r="278" s="11" customFormat="1"/>
    <row r="279" s="11" customFormat="1"/>
    <row r="280" s="11" customFormat="1"/>
    <row r="281" s="11" customFormat="1"/>
    <row r="282" s="11" customFormat="1"/>
    <row r="283" s="11" customFormat="1"/>
    <row r="284" s="11" customFormat="1"/>
    <row r="285" s="11" customFormat="1"/>
    <row r="286" s="11" customFormat="1"/>
    <row r="287" s="11" customFormat="1"/>
    <row r="288" s="11" customFormat="1"/>
    <row r="289" s="11" customFormat="1"/>
    <row r="290" s="11" customFormat="1"/>
    <row r="291" s="11" customFormat="1"/>
    <row r="292" s="11" customFormat="1"/>
    <row r="293" s="11" customFormat="1"/>
    <row r="294" s="11" customFormat="1"/>
    <row r="295" s="11" customFormat="1"/>
    <row r="296" s="11" customFormat="1"/>
    <row r="297" s="11" customFormat="1"/>
    <row r="298" s="11" customFormat="1"/>
    <row r="299" s="11" customFormat="1"/>
    <row r="300" s="11" customFormat="1"/>
    <row r="301" s="11" customFormat="1"/>
    <row r="302" s="11" customFormat="1"/>
    <row r="303" s="11" customFormat="1"/>
    <row r="304" s="11" customFormat="1"/>
    <row r="305" s="11" customFormat="1"/>
    <row r="306" s="11" customFormat="1"/>
    <row r="307" s="11" customFormat="1"/>
    <row r="308" s="11" customFormat="1"/>
    <row r="309" s="11" customFormat="1"/>
    <row r="310" s="11" customFormat="1"/>
    <row r="311" s="11" customFormat="1"/>
    <row r="312" s="11" customFormat="1"/>
    <row r="313" s="11" customFormat="1"/>
    <row r="314" s="11" customFormat="1"/>
    <row r="315" s="11" customFormat="1"/>
    <row r="316" s="11" customFormat="1"/>
    <row r="317" s="11" customFormat="1"/>
    <row r="318" s="11" customFormat="1"/>
    <row r="319" s="11" customFormat="1"/>
    <row r="320" s="11" customFormat="1"/>
    <row r="321" s="11" customFormat="1"/>
    <row r="322" s="11" customFormat="1"/>
    <row r="323" s="11" customFormat="1"/>
    <row r="324" s="11" customFormat="1"/>
    <row r="325" s="11" customFormat="1"/>
    <row r="326" s="11" customFormat="1"/>
    <row r="327" s="11" customFormat="1"/>
    <row r="328" s="11" customFormat="1"/>
    <row r="329" s="11" customFormat="1"/>
    <row r="330" s="11" customFormat="1"/>
    <row r="331" s="11" customFormat="1"/>
    <row r="332" s="11" customFormat="1"/>
    <row r="333" s="11" customFormat="1"/>
    <row r="334" s="11" customFormat="1"/>
    <row r="335" s="11" customFormat="1"/>
    <row r="336" s="11" customFormat="1"/>
    <row r="337" s="11" customFormat="1"/>
    <row r="338" s="11" customFormat="1"/>
    <row r="339" s="11" customFormat="1"/>
    <row r="340" s="11" customFormat="1"/>
    <row r="341" s="11" customFormat="1"/>
    <row r="342" s="11" customFormat="1"/>
    <row r="343" s="11" customFormat="1"/>
    <row r="344" s="11" customFormat="1"/>
    <row r="345" s="11" customFormat="1"/>
    <row r="346" s="11" customFormat="1"/>
    <row r="347" s="11" customFormat="1"/>
    <row r="348" s="11" customFormat="1"/>
    <row r="349" s="11" customFormat="1"/>
    <row r="350" s="11" customFormat="1"/>
    <row r="351" s="11" customFormat="1"/>
    <row r="352" s="11" customFormat="1"/>
    <row r="353" s="11" customFormat="1"/>
    <row r="354" s="11" customFormat="1"/>
    <row r="355" s="11" customFormat="1"/>
    <row r="356" s="11" customFormat="1"/>
    <row r="357" s="11" customFormat="1"/>
    <row r="358" s="11" customFormat="1"/>
    <row r="359" s="11" customFormat="1"/>
    <row r="360" s="11" customFormat="1"/>
    <row r="361" s="11" customFormat="1"/>
    <row r="362" s="11" customFormat="1"/>
    <row r="363" s="11" customFormat="1"/>
    <row r="364" s="11" customFormat="1"/>
    <row r="365" s="11" customFormat="1"/>
    <row r="366" s="11" customFormat="1"/>
    <row r="367" s="11" customFormat="1"/>
    <row r="368" s="11" customFormat="1"/>
    <row r="369" s="11" customFormat="1"/>
    <row r="370" s="11" customFormat="1"/>
    <row r="371" s="11" customFormat="1"/>
    <row r="372" s="11" customFormat="1"/>
    <row r="373" s="11" customFormat="1"/>
    <row r="374" s="11" customFormat="1"/>
    <row r="375" s="11" customFormat="1"/>
    <row r="376" s="11" customFormat="1"/>
    <row r="377" s="11" customFormat="1"/>
    <row r="378" s="11" customFormat="1"/>
    <row r="379" s="11" customFormat="1"/>
    <row r="380" s="11" customFormat="1"/>
    <row r="381" s="11" customFormat="1"/>
    <row r="382" s="11" customFormat="1"/>
    <row r="383" s="11" customFormat="1"/>
    <row r="384" s="11" customFormat="1"/>
    <row r="385" s="11" customFormat="1"/>
    <row r="386" s="11" customFormat="1"/>
    <row r="387" s="11" customFormat="1"/>
    <row r="388" s="11" customFormat="1"/>
    <row r="389" s="11" customFormat="1"/>
    <row r="390" s="11" customFormat="1"/>
    <row r="391" s="11" customFormat="1"/>
    <row r="392" s="11" customFormat="1"/>
    <row r="393" s="11" customFormat="1"/>
    <row r="394" s="11" customFormat="1"/>
    <row r="395" s="11" customFormat="1"/>
    <row r="396" s="11" customFormat="1"/>
    <row r="397" s="11" customFormat="1"/>
    <row r="398" s="11" customFormat="1"/>
    <row r="399" s="11" customFormat="1"/>
    <row r="400" s="11" customFormat="1"/>
    <row r="401" s="11" customFormat="1"/>
    <row r="402" s="11" customFormat="1"/>
    <row r="403" s="11" customFormat="1"/>
    <row r="404" s="11" customFormat="1"/>
    <row r="405" s="11" customFormat="1"/>
    <row r="406" s="11" customFormat="1"/>
    <row r="407" s="11" customFormat="1"/>
    <row r="408" s="11" customFormat="1"/>
    <row r="409" s="11" customFormat="1"/>
    <row r="410" s="11" customFormat="1"/>
    <row r="411" s="11" customFormat="1"/>
    <row r="412" s="11" customFormat="1"/>
    <row r="413" s="11" customFormat="1"/>
    <row r="414" s="11" customFormat="1"/>
    <row r="415" s="11" customFormat="1"/>
    <row r="416" s="11" customFormat="1"/>
    <row r="417" s="11" customFormat="1"/>
    <row r="418" s="11" customFormat="1"/>
    <row r="419" s="11" customFormat="1"/>
    <row r="420" s="11" customFormat="1"/>
    <row r="421" s="11" customFormat="1"/>
    <row r="422" s="11" customFormat="1"/>
    <row r="423" s="11" customFormat="1"/>
    <row r="424" s="11" customFormat="1"/>
    <row r="425" s="11" customFormat="1"/>
    <row r="426" s="11" customFormat="1"/>
    <row r="427" s="11" customFormat="1"/>
    <row r="428" s="11" customFormat="1"/>
    <row r="429" s="11" customFormat="1"/>
    <row r="430" s="11" customFormat="1"/>
    <row r="431" s="11" customFormat="1"/>
    <row r="432" s="11" customFormat="1"/>
    <row r="433" s="11" customFormat="1"/>
    <row r="434" s="11" customFormat="1"/>
    <row r="435" s="11" customFormat="1"/>
    <row r="436" s="11" customFormat="1"/>
    <row r="437" s="11" customFormat="1"/>
    <row r="438" s="11" customFormat="1"/>
    <row r="439" s="11" customFormat="1"/>
    <row r="440" s="11" customFormat="1"/>
    <row r="441" s="11" customFormat="1"/>
    <row r="442" s="11" customFormat="1"/>
    <row r="443" s="11" customFormat="1"/>
    <row r="444" s="11" customFormat="1"/>
    <row r="445" s="11" customFormat="1"/>
    <row r="446" s="11" customFormat="1"/>
    <row r="447" s="11" customFormat="1"/>
    <row r="448" s="11" customFormat="1"/>
    <row r="449" s="11" customFormat="1"/>
    <row r="450" s="11" customFormat="1"/>
    <row r="451" s="11" customFormat="1"/>
    <row r="452" s="11" customFormat="1"/>
    <row r="453" s="11" customFormat="1"/>
    <row r="454" s="11" customFormat="1"/>
    <row r="455" s="11" customFormat="1"/>
    <row r="456" s="11" customFormat="1"/>
    <row r="457" s="11" customFormat="1"/>
    <row r="458" s="11" customFormat="1"/>
    <row r="459" s="11" customFormat="1"/>
    <row r="460" s="11" customFormat="1"/>
    <row r="461" s="11" customFormat="1"/>
    <row r="462" s="11" customFormat="1"/>
    <row r="463" s="11" customFormat="1"/>
    <row r="464" s="11" customFormat="1"/>
    <row r="465" s="11" customFormat="1"/>
    <row r="466" s="11" customFormat="1"/>
    <row r="467" s="11" customFormat="1"/>
    <row r="468" s="11" customFormat="1"/>
    <row r="469" s="11" customFormat="1"/>
    <row r="470" s="11" customFormat="1"/>
    <row r="471" s="11" customFormat="1"/>
    <row r="472" s="11" customFormat="1"/>
    <row r="473" s="11" customFormat="1"/>
    <row r="474" s="11" customFormat="1"/>
    <row r="475" s="11" customFormat="1"/>
    <row r="476" s="11" customFormat="1"/>
    <row r="477" s="11" customFormat="1"/>
    <row r="478" s="11" customFormat="1"/>
    <row r="479" s="11" customFormat="1"/>
    <row r="480" s="11" customFormat="1"/>
    <row r="481" s="11" customFormat="1"/>
    <row r="482" s="11" customFormat="1"/>
    <row r="483" s="11" customFormat="1"/>
    <row r="484" s="11" customFormat="1"/>
    <row r="485" s="11" customFormat="1"/>
    <row r="486" s="11" customFormat="1"/>
    <row r="487" s="11" customFormat="1"/>
    <row r="488" s="11" customFormat="1"/>
    <row r="489" s="11" customFormat="1"/>
    <row r="490" s="11" customFormat="1"/>
    <row r="491" s="11" customFormat="1"/>
    <row r="492" s="11" customFormat="1"/>
    <row r="493" s="11" customFormat="1"/>
    <row r="494" s="11" customFormat="1"/>
    <row r="495" s="11" customFormat="1"/>
    <row r="496" s="11" customFormat="1"/>
    <row r="497" s="11" customFormat="1"/>
    <row r="498" s="11" customFormat="1"/>
    <row r="499" s="11" customFormat="1"/>
    <row r="500" s="11" customFormat="1"/>
    <row r="501" s="11" customFormat="1"/>
    <row r="502" s="11" customFormat="1"/>
    <row r="503" s="11" customFormat="1"/>
    <row r="504" s="11" customFormat="1"/>
    <row r="505" s="11" customFormat="1"/>
    <row r="506" s="11" customFormat="1"/>
    <row r="507" s="11" customFormat="1"/>
    <row r="508" s="11" customFormat="1"/>
    <row r="509" s="11" customFormat="1"/>
    <row r="510" s="11" customFormat="1"/>
    <row r="511" s="11" customFormat="1"/>
    <row r="512" s="11" customFormat="1"/>
    <row r="513" s="11" customFormat="1"/>
    <row r="514" s="11" customFormat="1"/>
    <row r="515" s="11" customFormat="1"/>
    <row r="516" s="11" customFormat="1"/>
    <row r="517" s="11" customFormat="1"/>
    <row r="518" s="11" customFormat="1"/>
    <row r="519" s="11" customFormat="1"/>
    <row r="520" s="11" customFormat="1"/>
    <row r="521" s="11" customFormat="1"/>
    <row r="522" s="11" customFormat="1"/>
    <row r="523" s="11" customFormat="1"/>
    <row r="524" s="11" customFormat="1"/>
    <row r="525" s="11" customFormat="1"/>
    <row r="526" s="11" customFormat="1"/>
    <row r="527" s="11" customFormat="1"/>
    <row r="528" s="11" customFormat="1"/>
    <row r="529" s="11" customFormat="1"/>
    <row r="530" s="11" customFormat="1"/>
    <row r="531" s="11" customFormat="1"/>
    <row r="532" s="11" customFormat="1"/>
    <row r="533" s="11" customFormat="1"/>
    <row r="534" s="11" customFormat="1"/>
    <row r="535" s="11" customFormat="1"/>
    <row r="536" s="11" customFormat="1"/>
    <row r="537" s="11" customFormat="1"/>
    <row r="538" s="11" customFormat="1"/>
    <row r="539" s="11" customFormat="1"/>
    <row r="540" s="11" customFormat="1"/>
    <row r="541" s="11" customFormat="1"/>
    <row r="542" s="11" customFormat="1"/>
    <row r="543" s="11" customFormat="1"/>
    <row r="544" s="11" customFormat="1"/>
    <row r="545" s="11" customFormat="1"/>
    <row r="546" s="11" customFormat="1"/>
    <row r="547" s="11" customFormat="1"/>
    <row r="548" s="11" customFormat="1"/>
    <row r="549" s="11" customFormat="1"/>
    <row r="550" s="11" customFormat="1"/>
    <row r="551" s="11" customFormat="1"/>
    <row r="552" s="11" customFormat="1"/>
    <row r="553" s="11" customFormat="1"/>
    <row r="554" s="11" customFormat="1"/>
    <row r="555" s="11" customFormat="1"/>
    <row r="556" s="11" customFormat="1"/>
    <row r="557" s="11" customFormat="1"/>
    <row r="558" s="11" customFormat="1"/>
    <row r="559" s="11" customFormat="1"/>
    <row r="560" s="11" customFormat="1"/>
    <row r="561" s="11" customFormat="1"/>
    <row r="562" s="11" customFormat="1"/>
    <row r="563" s="11" customFormat="1"/>
    <row r="564" s="11" customFormat="1"/>
    <row r="565" s="11" customFormat="1"/>
    <row r="566" s="11" customFormat="1"/>
    <row r="567" s="11" customFormat="1"/>
    <row r="568" s="11" customFormat="1"/>
    <row r="569" s="11" customFormat="1"/>
    <row r="570" s="11" customFormat="1"/>
    <row r="571" s="11" customFormat="1"/>
    <row r="572" s="11" customFormat="1"/>
    <row r="573" s="11" customFormat="1"/>
    <row r="574" s="11" customFormat="1"/>
    <row r="575" s="11" customFormat="1"/>
    <row r="576" s="11" customFormat="1"/>
    <row r="577" s="11" customFormat="1"/>
    <row r="578" s="11" customFormat="1"/>
    <row r="579" s="11" customFormat="1"/>
    <row r="580" s="11" customFormat="1"/>
    <row r="581" s="11" customFormat="1"/>
    <row r="582" s="11" customFormat="1"/>
    <row r="583" s="11" customFormat="1"/>
    <row r="584" s="11" customFormat="1"/>
    <row r="585" s="11" customFormat="1"/>
    <row r="586" s="11" customFormat="1"/>
    <row r="587" s="11" customFormat="1"/>
    <row r="588" s="11" customFormat="1"/>
    <row r="589" s="11" customFormat="1"/>
    <row r="590" s="11" customFormat="1"/>
    <row r="591" s="11" customFormat="1"/>
    <row r="592" s="11" customFormat="1"/>
    <row r="593" s="11" customFormat="1"/>
    <row r="594" s="11" customFormat="1"/>
    <row r="595" s="11" customFormat="1"/>
    <row r="596" s="11" customFormat="1"/>
    <row r="597" s="11" customFormat="1"/>
    <row r="598" s="11" customFormat="1"/>
    <row r="599" s="11" customFormat="1"/>
    <row r="600" s="11" customFormat="1"/>
    <row r="601" s="11" customFormat="1"/>
    <row r="602" s="11" customFormat="1"/>
    <row r="603" s="11" customFormat="1"/>
    <row r="604" s="11" customFormat="1"/>
    <row r="605" s="11" customFormat="1"/>
    <row r="606" s="11" customFormat="1"/>
    <row r="607" s="11" customFormat="1"/>
    <row r="608" s="11" customFormat="1"/>
    <row r="609" s="11" customFormat="1"/>
    <row r="610" s="11" customFormat="1"/>
    <row r="611" s="11" customFormat="1"/>
    <row r="612" s="11" customFormat="1"/>
    <row r="613" s="11" customFormat="1"/>
    <row r="614" s="11" customFormat="1"/>
    <row r="615" s="11" customFormat="1"/>
    <row r="616" s="11" customFormat="1"/>
    <row r="617" s="11" customFormat="1"/>
    <row r="618" s="11" customFormat="1"/>
    <row r="619" s="11" customFormat="1"/>
    <row r="620" s="11" customFormat="1"/>
    <row r="621" s="11" customFormat="1"/>
    <row r="622" s="11" customFormat="1"/>
    <row r="623" s="11" customFormat="1"/>
    <row r="624" s="11" customFormat="1"/>
    <row r="625" s="11" customFormat="1"/>
    <row r="626" s="11" customFormat="1"/>
    <row r="627" s="11" customFormat="1"/>
    <row r="628" s="11" customFormat="1"/>
    <row r="629" s="11" customFormat="1"/>
    <row r="630" s="11" customFormat="1"/>
    <row r="631" s="11" customFormat="1"/>
    <row r="632" s="11" customFormat="1"/>
    <row r="633" s="11" customFormat="1"/>
    <row r="634" s="11" customFormat="1"/>
    <row r="635" s="11" customFormat="1"/>
    <row r="636" s="11" customFormat="1"/>
    <row r="637" s="11" customFormat="1"/>
    <row r="638" s="11" customFormat="1"/>
    <row r="639" s="11" customFormat="1"/>
    <row r="640" s="11" customFormat="1"/>
    <row r="641" s="11" customFormat="1"/>
    <row r="642" s="11" customFormat="1"/>
    <row r="643" s="11" customFormat="1"/>
    <row r="644" s="11" customFormat="1"/>
    <row r="645" s="11" customFormat="1"/>
    <row r="646" s="11" customFormat="1"/>
    <row r="647" s="11" customFormat="1"/>
    <row r="648" s="11" customFormat="1"/>
    <row r="649" s="11" customFormat="1"/>
    <row r="650" s="11" customFormat="1"/>
    <row r="651" s="11" customFormat="1"/>
    <row r="652" s="11" customFormat="1"/>
    <row r="653" s="11" customFormat="1"/>
    <row r="654" s="11" customFormat="1"/>
    <row r="655" s="11" customFormat="1"/>
    <row r="656" s="11" customFormat="1"/>
    <row r="657" s="11" customFormat="1"/>
    <row r="658" s="11" customFormat="1"/>
    <row r="659" s="11" customFormat="1"/>
    <row r="660" s="11" customFormat="1"/>
    <row r="661" s="11" customFormat="1"/>
    <row r="662" s="11" customFormat="1"/>
    <row r="663" s="11" customFormat="1"/>
    <row r="664" s="11" customFormat="1"/>
    <row r="665" s="11" customFormat="1"/>
    <row r="666" s="11" customFormat="1"/>
    <row r="667" s="11" customFormat="1"/>
    <row r="668" s="11" customFormat="1"/>
    <row r="669" s="11" customFormat="1"/>
    <row r="670" s="11" customFormat="1"/>
    <row r="671" s="11" customFormat="1"/>
    <row r="672" s="11" customFormat="1"/>
    <row r="673" s="11" customFormat="1"/>
    <row r="674" s="11" customFormat="1"/>
    <row r="675" s="11" customFormat="1"/>
    <row r="676" s="11" customFormat="1"/>
    <row r="677" s="11" customFormat="1"/>
    <row r="678" s="11" customFormat="1"/>
    <row r="679" s="11" customFormat="1"/>
    <row r="680" s="11" customFormat="1"/>
    <row r="681" s="11" customFormat="1"/>
    <row r="682" s="11" customFormat="1"/>
    <row r="683" s="11" customFormat="1"/>
    <row r="684" s="11" customFormat="1"/>
    <row r="685" s="11" customFormat="1"/>
    <row r="686" s="11" customFormat="1"/>
    <row r="687" s="11" customFormat="1"/>
    <row r="688" s="11" customFormat="1"/>
    <row r="689" s="11" customFormat="1"/>
    <row r="690" s="11" customFormat="1"/>
    <row r="691" s="11" customFormat="1"/>
    <row r="692" s="11" customFormat="1"/>
    <row r="693" s="11" customFormat="1"/>
    <row r="694" s="11" customFormat="1"/>
    <row r="695" s="11" customFormat="1"/>
    <row r="696" s="11" customFormat="1"/>
    <row r="697" s="11" customFormat="1"/>
    <row r="698" s="11" customFormat="1"/>
    <row r="699" s="11" customFormat="1"/>
    <row r="700" s="11" customFormat="1"/>
    <row r="701" s="11" customFormat="1"/>
    <row r="702" s="11" customFormat="1"/>
    <row r="703" s="11" customFormat="1"/>
    <row r="704" s="11" customFormat="1"/>
    <row r="705" s="11" customFormat="1"/>
    <row r="706" s="11" customFormat="1"/>
    <row r="707" s="11" customFormat="1"/>
    <row r="708" s="11" customFormat="1"/>
    <row r="709" s="11" customFormat="1"/>
    <row r="710" s="11" customFormat="1"/>
    <row r="711" s="11" customFormat="1"/>
    <row r="712" s="11" customFormat="1"/>
    <row r="713" s="11" customFormat="1"/>
    <row r="714" s="11" customFormat="1"/>
    <row r="715" s="11" customFormat="1"/>
    <row r="716" s="11" customFormat="1"/>
    <row r="717" s="11" customFormat="1"/>
    <row r="718" s="11" customFormat="1"/>
    <row r="719" s="11" customFormat="1"/>
    <row r="720" s="11" customFormat="1"/>
    <row r="721" s="11" customFormat="1"/>
    <row r="722" s="11" customFormat="1"/>
    <row r="723" s="11" customFormat="1"/>
    <row r="724" s="11" customFormat="1"/>
    <row r="725" s="11" customFormat="1"/>
    <row r="726" s="11" customFormat="1"/>
    <row r="727" s="11" customFormat="1"/>
    <row r="728" s="11" customFormat="1"/>
    <row r="729" s="11" customFormat="1"/>
    <row r="730" s="11" customFormat="1"/>
    <row r="731" s="11" customFormat="1"/>
    <row r="732" s="11" customFormat="1"/>
    <row r="733" s="11" customFormat="1"/>
    <row r="734" s="11" customFormat="1"/>
    <row r="735" s="11" customFormat="1"/>
    <row r="736" s="11" customFormat="1"/>
    <row r="737" s="11" customFormat="1"/>
    <row r="738" s="11" customFormat="1"/>
    <row r="739" s="11" customFormat="1"/>
    <row r="740" s="11" customFormat="1"/>
    <row r="741" s="11" customFormat="1"/>
    <row r="742" s="11" customFormat="1"/>
    <row r="743" s="11" customFormat="1"/>
    <row r="744" s="11" customFormat="1"/>
    <row r="745" s="11" customFormat="1"/>
    <row r="746" s="11" customFormat="1"/>
    <row r="747" s="11" customFormat="1"/>
    <row r="748" s="11" customFormat="1"/>
    <row r="749" s="11" customFormat="1"/>
    <row r="750" s="11" customFormat="1"/>
    <row r="751" s="11" customFormat="1"/>
    <row r="752" s="11" customFormat="1"/>
    <row r="753" s="11" customFormat="1"/>
    <row r="754" s="11" customFormat="1"/>
    <row r="755" s="11" customFormat="1"/>
    <row r="756" s="11" customFormat="1"/>
    <row r="757" s="11" customFormat="1"/>
    <row r="758" s="11" customFormat="1"/>
    <row r="759" s="11" customFormat="1"/>
    <row r="760" s="11" customFormat="1"/>
    <row r="761" s="11" customFormat="1"/>
    <row r="762" s="11" customFormat="1"/>
    <row r="763" s="11" customFormat="1"/>
    <row r="764" s="11" customFormat="1"/>
    <row r="765" s="11" customFormat="1"/>
    <row r="766" s="11" customFormat="1"/>
    <row r="767" s="11" customFormat="1"/>
    <row r="768" s="11" customFormat="1"/>
    <row r="769" s="11" customFormat="1"/>
    <row r="770" s="11" customFormat="1"/>
    <row r="771" s="11" customFormat="1"/>
    <row r="772" s="11" customFormat="1"/>
    <row r="773" s="11" customFormat="1"/>
    <row r="774" s="11" customFormat="1"/>
    <row r="775" s="11" customFormat="1"/>
    <row r="776" s="11" customFormat="1"/>
    <row r="777" s="11" customFormat="1"/>
    <row r="778" s="11" customFormat="1"/>
    <row r="779" s="11" customFormat="1"/>
    <row r="780" s="11" customFormat="1"/>
    <row r="781" s="11" customFormat="1"/>
    <row r="782" s="11" customFormat="1"/>
    <row r="783" s="11" customFormat="1"/>
    <row r="784" s="11" customFormat="1"/>
    <row r="785" s="11" customFormat="1"/>
    <row r="786" s="11" customFormat="1"/>
    <row r="787" s="11" customFormat="1"/>
    <row r="788" s="11" customFormat="1"/>
    <row r="789" s="11" customFormat="1"/>
    <row r="790" s="11" customFormat="1"/>
    <row r="791" s="11" customFormat="1"/>
    <row r="792" s="11" customFormat="1"/>
    <row r="793" s="11" customFormat="1"/>
    <row r="794" s="11" customFormat="1"/>
    <row r="795" s="11" customFormat="1"/>
    <row r="796" s="11" customFormat="1"/>
    <row r="797" s="11" customFormat="1"/>
    <row r="798" s="11" customFormat="1"/>
    <row r="799" s="11" customFormat="1"/>
    <row r="800" s="11" customFormat="1"/>
    <row r="801" s="11" customFormat="1"/>
    <row r="802" s="11" customFormat="1"/>
    <row r="803" s="11" customFormat="1"/>
    <row r="804" s="11" customFormat="1"/>
    <row r="805" s="11" customFormat="1"/>
    <row r="806" s="11" customFormat="1"/>
    <row r="807" s="11" customFormat="1"/>
    <row r="808" s="11" customFormat="1"/>
    <row r="809" s="11" customFormat="1"/>
    <row r="810" s="11" customFormat="1"/>
    <row r="811" s="11" customFormat="1"/>
    <row r="812" s="11" customFormat="1"/>
    <row r="813" s="11" customFormat="1"/>
    <row r="814" s="11" customFormat="1"/>
    <row r="815" s="11" customFormat="1"/>
    <row r="816" s="11" customFormat="1"/>
    <row r="817" s="11" customFormat="1"/>
    <row r="818" s="11" customFormat="1"/>
    <row r="819" s="11" customFormat="1"/>
    <row r="820" s="11" customFormat="1"/>
    <row r="821" s="11" customFormat="1"/>
    <row r="822" s="11" customFormat="1"/>
    <row r="823" s="11" customFormat="1"/>
    <row r="824" s="11" customFormat="1"/>
    <row r="825" s="11" customFormat="1"/>
    <row r="826" s="11" customFormat="1"/>
    <row r="827" s="11" customFormat="1"/>
    <row r="828" s="11" customFormat="1"/>
    <row r="829" s="11" customFormat="1"/>
    <row r="830" s="11" customFormat="1"/>
    <row r="831" s="11" customFormat="1"/>
    <row r="832" s="11" customFormat="1"/>
    <row r="833" s="11" customFormat="1"/>
    <row r="834" s="11" customFormat="1"/>
    <row r="835" s="11" customFormat="1"/>
    <row r="836" s="11" customFormat="1"/>
    <row r="837" s="11" customFormat="1"/>
    <row r="838" s="11" customFormat="1"/>
    <row r="839" s="11" customFormat="1"/>
    <row r="840" s="11" customFormat="1"/>
    <row r="841" s="11" customFormat="1"/>
    <row r="842" s="11" customFormat="1"/>
    <row r="843" s="11" customFormat="1"/>
    <row r="844" s="11" customFormat="1"/>
    <row r="845" s="11" customFormat="1"/>
    <row r="846" s="11" customFormat="1"/>
    <row r="847" s="11" customFormat="1"/>
    <row r="848" s="11" customFormat="1"/>
    <row r="849" s="11" customFormat="1"/>
    <row r="850" s="11" customFormat="1"/>
    <row r="851" s="11" customFormat="1"/>
    <row r="852" s="11" customFormat="1"/>
    <row r="853" s="11" customFormat="1"/>
    <row r="854" s="11" customFormat="1"/>
    <row r="855" s="11" customFormat="1"/>
    <row r="856" s="11" customFormat="1"/>
    <row r="857" s="11" customFormat="1"/>
    <row r="858" s="11" customFormat="1"/>
    <row r="859" s="11" customFormat="1"/>
    <row r="860" s="11" customFormat="1"/>
    <row r="861" s="11" customFormat="1"/>
    <row r="862" s="11" customFormat="1"/>
    <row r="863" s="11" customFormat="1"/>
    <row r="864" s="11" customFormat="1"/>
    <row r="865" s="11" customFormat="1"/>
    <row r="866" s="11" customFormat="1"/>
    <row r="867" s="11" customFormat="1"/>
    <row r="868" s="11" customFormat="1"/>
    <row r="869" s="11" customFormat="1"/>
    <row r="870" s="11" customFormat="1"/>
    <row r="871" s="11" customFormat="1"/>
    <row r="872" s="11" customFormat="1"/>
    <row r="873" s="11" customFormat="1"/>
    <row r="874" s="11" customFormat="1"/>
    <row r="875" s="11" customFormat="1"/>
    <row r="876" s="11" customFormat="1"/>
    <row r="877" s="11" customFormat="1"/>
    <row r="878" s="11" customFormat="1"/>
    <row r="879" s="11" customFormat="1"/>
    <row r="880" s="11" customFormat="1"/>
    <row r="881" s="11" customFormat="1"/>
    <row r="882" s="11" customFormat="1"/>
    <row r="883" s="11" customFormat="1"/>
    <row r="884" s="11" customFormat="1"/>
    <row r="885" s="11" customFormat="1"/>
  </sheetData>
  <mergeCells count="2">
    <mergeCell ref="D6:E6"/>
    <mergeCell ref="G69:I69"/>
  </mergeCells>
  <pageMargins left="0.7" right="0.7" top="0.75" bottom="0.75" header="0.3" footer="0.3"/>
  <pageSetup scale="66"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2:BT755"/>
  <sheetViews>
    <sheetView showGridLines="0" topLeftCell="A7" zoomScaleNormal="100" workbookViewId="0">
      <selection activeCell="H21" sqref="H21"/>
    </sheetView>
  </sheetViews>
  <sheetFormatPr baseColWidth="10" defaultColWidth="8.83203125" defaultRowHeight="13"/>
  <cols>
    <col min="3" max="3" width="33.83203125" customWidth="1"/>
    <col min="4" max="4" width="20.5" customWidth="1"/>
    <col min="5" max="5" width="5.6640625" customWidth="1"/>
    <col min="6" max="6" width="20.5" customWidth="1"/>
    <col min="7" max="7" width="13.1640625" customWidth="1"/>
    <col min="8" max="8" width="20.5" customWidth="1"/>
    <col min="9" max="9" width="6" customWidth="1"/>
    <col min="10" max="10" width="20.5" customWidth="1"/>
    <col min="11" max="11" width="16.5" style="11" customWidth="1"/>
    <col min="12" max="12" width="15.5" style="11" customWidth="1"/>
    <col min="13" max="13" width="22.5" style="11" customWidth="1"/>
    <col min="14" max="14" width="6.83203125" style="11" customWidth="1"/>
    <col min="15" max="15" width="21.6640625" style="11" customWidth="1"/>
    <col min="16" max="72" width="8.83203125" style="11"/>
  </cols>
  <sheetData>
    <row r="2" spans="2:10" ht="16">
      <c r="B2" s="372" t="s">
        <v>383</v>
      </c>
      <c r="C2" s="47"/>
      <c r="D2" s="47"/>
      <c r="E2" s="59"/>
      <c r="F2" s="11"/>
      <c r="G2" s="11"/>
      <c r="H2" s="11"/>
      <c r="I2" s="11"/>
      <c r="J2" s="11"/>
    </row>
    <row r="3" spans="2:10" ht="14">
      <c r="B3" s="165" t="s">
        <v>20</v>
      </c>
      <c r="C3" s="15"/>
      <c r="D3" s="339" t="str">
        <f>'Table of Contents'!B2</f>
        <v xml:space="preserve">Broadleaf Flats </v>
      </c>
      <c r="E3" s="20"/>
      <c r="F3" s="11"/>
      <c r="G3" s="11"/>
      <c r="H3" s="11"/>
      <c r="I3" s="11"/>
      <c r="J3" s="11"/>
    </row>
    <row r="4" spans="2:10" ht="14">
      <c r="B4" s="165" t="s">
        <v>2</v>
      </c>
      <c r="C4" s="15"/>
      <c r="D4" s="339" t="str">
        <f>'Table of Contents'!C4</f>
        <v>Cal Poly SLO - Driftwood Propery Development</v>
      </c>
      <c r="E4" s="20"/>
      <c r="F4" s="11"/>
      <c r="G4" s="11"/>
      <c r="H4" s="11"/>
      <c r="I4" s="11"/>
      <c r="J4" s="11"/>
    </row>
    <row r="5" spans="2:10" ht="14">
      <c r="B5" s="165" t="s">
        <v>21</v>
      </c>
      <c r="C5" s="15"/>
      <c r="D5" s="595">
        <f>'Table of Contents'!C6</f>
        <v>45726</v>
      </c>
      <c r="E5" s="20"/>
      <c r="F5" s="11"/>
      <c r="G5" s="11"/>
      <c r="H5" s="11"/>
      <c r="I5" s="11"/>
      <c r="J5" s="11"/>
    </row>
    <row r="6" spans="2:10" ht="14">
      <c r="B6" s="341" t="s">
        <v>22</v>
      </c>
      <c r="C6" s="342"/>
      <c r="D6" s="735">
        <v>7</v>
      </c>
      <c r="E6" s="736"/>
      <c r="F6" s="11"/>
      <c r="G6" s="11"/>
      <c r="H6" s="11"/>
      <c r="I6" s="11"/>
      <c r="J6" s="11"/>
    </row>
    <row r="7" spans="2:10">
      <c r="B7" s="11"/>
      <c r="C7" s="11"/>
      <c r="D7" s="11"/>
      <c r="E7" s="11"/>
      <c r="F7" s="11"/>
      <c r="G7" s="11"/>
      <c r="H7" s="11"/>
      <c r="I7" s="11"/>
      <c r="J7" s="11"/>
    </row>
    <row r="8" spans="2:10">
      <c r="B8" s="285" t="s">
        <v>84</v>
      </c>
      <c r="C8" s="286"/>
      <c r="D8" s="287"/>
      <c r="E8" s="11"/>
      <c r="F8" s="11"/>
      <c r="G8" s="11"/>
      <c r="H8" s="11"/>
      <c r="I8" s="11"/>
      <c r="J8" s="11"/>
    </row>
    <row r="9" spans="2:10">
      <c r="B9" s="277" t="s">
        <v>384</v>
      </c>
      <c r="C9" s="276"/>
      <c r="D9" s="280">
        <f>'Proforma - Base Year'!D71</f>
        <v>669569.21600000001</v>
      </c>
      <c r="E9" s="11"/>
      <c r="F9" s="11"/>
      <c r="G9" s="11"/>
      <c r="H9" s="11"/>
      <c r="I9" s="11"/>
      <c r="J9" s="11"/>
    </row>
    <row r="10" spans="2:10">
      <c r="B10" s="719" t="s">
        <v>385</v>
      </c>
      <c r="C10" s="11"/>
      <c r="D10" s="281">
        <v>0.05</v>
      </c>
      <c r="E10" s="11"/>
      <c r="F10" s="11"/>
      <c r="G10" s="11"/>
      <c r="H10" s="11"/>
      <c r="I10" s="11"/>
      <c r="J10" s="11"/>
    </row>
    <row r="11" spans="2:10">
      <c r="B11" s="719" t="s">
        <v>386</v>
      </c>
      <c r="C11" s="11"/>
      <c r="D11" s="282">
        <f>IFERROR(D9/D10,0)</f>
        <v>13391384.32</v>
      </c>
      <c r="E11" s="11"/>
      <c r="F11" s="11"/>
      <c r="G11" s="11"/>
      <c r="H11" s="11"/>
      <c r="I11" s="11"/>
      <c r="J11" s="11"/>
    </row>
    <row r="12" spans="2:10">
      <c r="B12" s="278"/>
      <c r="C12" s="11"/>
      <c r="D12" s="283"/>
      <c r="E12" s="11"/>
      <c r="F12" s="11"/>
      <c r="G12" s="11"/>
      <c r="H12" s="11"/>
      <c r="I12" s="11"/>
      <c r="J12" s="11"/>
    </row>
    <row r="13" spans="2:10">
      <c r="B13" s="719" t="s">
        <v>387</v>
      </c>
      <c r="C13" s="11"/>
      <c r="D13" s="282">
        <f>'Tax Credits'!F51</f>
        <v>21247875</v>
      </c>
      <c r="E13" s="11"/>
      <c r="F13" s="11"/>
      <c r="G13" s="11"/>
      <c r="H13" s="11"/>
      <c r="I13" s="11"/>
      <c r="J13" s="11"/>
    </row>
    <row r="14" spans="2:10">
      <c r="B14" s="279" t="s">
        <v>388</v>
      </c>
      <c r="C14" s="128"/>
      <c r="D14" s="284">
        <f>'Tax Credits'!F64</f>
        <v>0</v>
      </c>
      <c r="E14" s="11"/>
      <c r="F14" s="11"/>
      <c r="G14" s="11"/>
      <c r="H14" s="11"/>
      <c r="I14" s="11"/>
      <c r="J14" s="11"/>
    </row>
    <row r="15" spans="2:10">
      <c r="B15" s="285" t="s">
        <v>88</v>
      </c>
      <c r="C15" s="288"/>
      <c r="D15" s="289">
        <f>SUM(D11:D14)</f>
        <v>34639259.32</v>
      </c>
      <c r="E15" s="11"/>
      <c r="F15" s="11"/>
      <c r="G15" s="11"/>
      <c r="H15" s="11"/>
      <c r="I15" s="11"/>
      <c r="J15" s="11"/>
    </row>
    <row r="16" spans="2:10">
      <c r="B16" s="11"/>
      <c r="C16" s="11"/>
      <c r="D16" s="11"/>
      <c r="E16" s="11"/>
      <c r="F16" s="11"/>
      <c r="G16" s="11"/>
      <c r="H16" s="11"/>
      <c r="I16" s="11"/>
      <c r="J16" s="11"/>
    </row>
    <row r="17" spans="2:16" ht="12.75" customHeight="1">
      <c r="B17" s="399" t="s">
        <v>389</v>
      </c>
      <c r="C17" s="286"/>
      <c r="D17" s="286"/>
      <c r="E17" s="286"/>
      <c r="F17" s="286"/>
      <c r="G17" s="287"/>
      <c r="H17" s="842" t="s">
        <v>390</v>
      </c>
      <c r="I17" s="843"/>
      <c r="J17" s="844"/>
      <c r="K17"/>
      <c r="M17" s="842" t="s">
        <v>391</v>
      </c>
      <c r="N17" s="843"/>
      <c r="O17" s="844"/>
    </row>
    <row r="18" spans="2:16" ht="28">
      <c r="B18" s="399" t="s">
        <v>392</v>
      </c>
      <c r="C18" s="286"/>
      <c r="D18" s="414" t="s">
        <v>393</v>
      </c>
      <c r="E18" s="405"/>
      <c r="F18" s="414" t="s">
        <v>394</v>
      </c>
      <c r="G18" s="405"/>
      <c r="H18" s="408" t="s">
        <v>395</v>
      </c>
      <c r="I18" s="405"/>
      <c r="J18" s="408" t="s">
        <v>396</v>
      </c>
      <c r="M18" s="408" t="s">
        <v>395</v>
      </c>
      <c r="N18" s="405"/>
      <c r="O18" s="408" t="s">
        <v>396</v>
      </c>
    </row>
    <row r="19" spans="2:16">
      <c r="B19" s="278" t="s">
        <v>397</v>
      </c>
      <c r="C19" s="11"/>
      <c r="D19" s="645" t="s">
        <v>398</v>
      </c>
      <c r="E19" s="563"/>
      <c r="F19" s="645" t="s">
        <v>398</v>
      </c>
      <c r="G19" s="563"/>
      <c r="H19" s="644" t="s">
        <v>399</v>
      </c>
      <c r="I19" s="563"/>
      <c r="J19" s="644" t="s">
        <v>400</v>
      </c>
      <c r="K19" s="686"/>
      <c r="M19" s="644" t="s">
        <v>399</v>
      </c>
      <c r="N19" s="563"/>
      <c r="O19" s="644" t="s">
        <v>400</v>
      </c>
    </row>
    <row r="20" spans="2:16">
      <c r="B20" s="278" t="s">
        <v>401</v>
      </c>
      <c r="C20" s="11"/>
      <c r="D20" s="409">
        <v>1000000</v>
      </c>
      <c r="E20" s="11"/>
      <c r="F20" s="409"/>
      <c r="G20" s="11"/>
      <c r="H20" s="409">
        <v>13459521</v>
      </c>
      <c r="J20" s="409">
        <v>9286282</v>
      </c>
      <c r="K20" s="673"/>
      <c r="M20" s="691">
        <f>L36</f>
        <v>4342118.3279605201</v>
      </c>
      <c r="N20"/>
      <c r="O20" s="691">
        <f>L37</f>
        <v>6293458.7620394807</v>
      </c>
    </row>
    <row r="21" spans="2:16">
      <c r="B21" s="278" t="s">
        <v>402</v>
      </c>
      <c r="C21" s="11"/>
      <c r="D21" s="281">
        <v>7.0000000000000007E-2</v>
      </c>
      <c r="E21" s="11"/>
      <c r="F21" s="281"/>
      <c r="G21" s="11"/>
      <c r="H21" s="281">
        <v>4.1999999999999997E-3</v>
      </c>
      <c r="J21" s="281">
        <v>4.1999999999999997E-3</v>
      </c>
      <c r="K21" s="673"/>
      <c r="M21" s="281">
        <v>0.03</v>
      </c>
      <c r="N21"/>
      <c r="O21" s="281">
        <v>0.03</v>
      </c>
    </row>
    <row r="22" spans="2:16">
      <c r="B22" s="278" t="s">
        <v>403</v>
      </c>
      <c r="C22" s="11"/>
      <c r="D22" s="410">
        <v>40</v>
      </c>
      <c r="E22" s="11"/>
      <c r="F22" s="410"/>
      <c r="G22" s="11"/>
      <c r="H22" s="410">
        <v>30</v>
      </c>
      <c r="I22" s="11"/>
      <c r="J22" s="410">
        <v>30</v>
      </c>
      <c r="K22"/>
      <c r="M22" s="410">
        <v>25</v>
      </c>
      <c r="O22" s="410">
        <v>25</v>
      </c>
    </row>
    <row r="23" spans="2:16">
      <c r="B23" s="278" t="s">
        <v>404</v>
      </c>
      <c r="C23" s="11"/>
      <c r="D23" s="410">
        <v>40</v>
      </c>
      <c r="E23" s="11"/>
      <c r="F23" s="410"/>
      <c r="G23" s="11"/>
      <c r="H23" s="410">
        <v>55</v>
      </c>
      <c r="I23" s="11"/>
      <c r="J23" s="410">
        <v>55</v>
      </c>
      <c r="M23" s="410">
        <v>55</v>
      </c>
      <c r="O23" s="410">
        <v>55</v>
      </c>
    </row>
    <row r="24" spans="2:16">
      <c r="B24" s="847" t="s">
        <v>405</v>
      </c>
      <c r="C24" s="848"/>
      <c r="D24" s="410">
        <v>12</v>
      </c>
      <c r="E24" s="11"/>
      <c r="F24" s="410"/>
      <c r="G24" s="11"/>
      <c r="H24" s="410">
        <v>1</v>
      </c>
      <c r="I24" s="11"/>
      <c r="J24" s="410">
        <v>1</v>
      </c>
      <c r="M24" s="410">
        <v>1</v>
      </c>
      <c r="O24" s="410">
        <v>1</v>
      </c>
    </row>
    <row r="25" spans="2:16" ht="13.25" customHeight="1">
      <c r="B25" s="845" t="s">
        <v>406</v>
      </c>
      <c r="C25" s="846"/>
      <c r="D25" s="411">
        <f>'Proforma - Base Year'!D77</f>
        <v>81159.492173913022</v>
      </c>
      <c r="E25" s="11"/>
      <c r="F25" s="411">
        <f>'Proforma - Base Year'!D81</f>
        <v>501074.60869565228</v>
      </c>
      <c r="G25" s="11"/>
      <c r="H25" s="411" t="s">
        <v>286</v>
      </c>
      <c r="I25" s="11"/>
      <c r="J25" s="411"/>
      <c r="K25" s="657"/>
      <c r="M25" s="411" t="s">
        <v>286</v>
      </c>
      <c r="O25" s="411"/>
    </row>
    <row r="26" spans="2:16">
      <c r="B26" s="278" t="s">
        <v>407</v>
      </c>
      <c r="C26" s="11"/>
      <c r="D26" s="412">
        <f>IFERROR(PMT(D21/12,D22*12,-D20,0)*12,"")</f>
        <v>74571.753560698678</v>
      </c>
      <c r="E26" s="11"/>
      <c r="F26" s="412">
        <f>IFERROR(PMT(F21/12,F22*12,-F20)*12,0)</f>
        <v>0</v>
      </c>
      <c r="G26" s="11"/>
      <c r="H26" s="409">
        <f>(H20*H21)+207000</f>
        <v>263529.98820000002</v>
      </c>
      <c r="I26" s="11"/>
      <c r="J26" s="409">
        <f>(J20*J21)+207000</f>
        <v>246002.38439999998</v>
      </c>
      <c r="K26" s="406"/>
      <c r="M26" s="695">
        <f>PMT(M21,M22,-M20,0)</f>
        <v>249358.61137474995</v>
      </c>
      <c r="N26" s="686"/>
      <c r="O26" s="689">
        <f>PMT(O21,O22,-O20,0)</f>
        <v>361419.93817647215</v>
      </c>
      <c r="P26" s="686"/>
    </row>
    <row r="27" spans="2:16">
      <c r="B27" s="278" t="s">
        <v>408</v>
      </c>
      <c r="C27" s="11"/>
      <c r="D27" s="412">
        <f>D26</f>
        <v>74571.753560698678</v>
      </c>
      <c r="E27" s="11"/>
      <c r="F27" s="412">
        <f>IFERROR(D27+F26,0)</f>
        <v>74571.753560698678</v>
      </c>
      <c r="G27" s="11"/>
      <c r="H27" s="412">
        <f>F27+H26</f>
        <v>338101.74176069873</v>
      </c>
      <c r="I27" s="406"/>
      <c r="J27" s="412">
        <f>H27+J26</f>
        <v>584104.12616069871</v>
      </c>
      <c r="K27" s="406"/>
      <c r="M27" s="412">
        <f>M26</f>
        <v>249358.61137474995</v>
      </c>
      <c r="O27" s="412">
        <f>M27+O26</f>
        <v>610778.54955122212</v>
      </c>
    </row>
    <row r="28" spans="2:16">
      <c r="B28" s="391" t="s">
        <v>409</v>
      </c>
      <c r="C28" s="128"/>
      <c r="D28" s="688">
        <f>IFERROR('Proforma - Base Year'!$D$71/'Debt &amp; Valuation'!D27,0)</f>
        <v>8.9788584018611708</v>
      </c>
      <c r="E28" s="129"/>
      <c r="F28" s="413">
        <f>IFERROR('Proforma - Base Year'!$D$71/'Debt &amp; Valuation'!F27,0)</f>
        <v>8.9788584018611708</v>
      </c>
      <c r="G28" s="407"/>
      <c r="H28" s="688">
        <f>IFERROR('Proforma - Base Year'!$D$71/'Debt &amp; Valuation'!H27,0)</f>
        <v>1.9803778960532743</v>
      </c>
      <c r="I28" s="407"/>
      <c r="J28" s="688">
        <f>IFERROR('Proforma - Base Year'!$D$71/'Debt &amp; Valuation'!J27,0)</f>
        <v>1.1463182436341635</v>
      </c>
      <c r="K28" s="690"/>
      <c r="M28" s="688">
        <f>IFERROR('Long Term Proforma'!AH33/'Debt &amp; Valuation'!M27,0)</f>
        <v>3.0385258288177797</v>
      </c>
      <c r="N28" s="407"/>
      <c r="O28" s="688">
        <f>IFERROR('Long Term Proforma'!AH33/'Debt &amp; Valuation'!O27,0)</f>
        <v>1.2405193041848479</v>
      </c>
    </row>
    <row r="29" spans="2:16">
      <c r="B29" s="11"/>
      <c r="C29" s="214" t="s">
        <v>410</v>
      </c>
      <c r="D29" s="215"/>
      <c r="E29" s="215"/>
      <c r="F29" s="11"/>
      <c r="G29" s="11"/>
      <c r="H29" t="s">
        <v>411</v>
      </c>
      <c r="I29" s="11"/>
      <c r="J29" s="655"/>
    </row>
    <row r="30" spans="2:16">
      <c r="B30" s="11"/>
      <c r="C30" s="11"/>
      <c r="D30" s="11"/>
      <c r="E30" s="11"/>
      <c r="F30" s="11"/>
      <c r="G30" s="11"/>
      <c r="I30" s="11"/>
      <c r="J30" s="11"/>
    </row>
    <row r="31" spans="2:16" s="11" customFormat="1">
      <c r="H31" s="690"/>
      <c r="J31" s="655"/>
    </row>
    <row r="32" spans="2:16" s="11" customFormat="1">
      <c r="H32" s="690"/>
      <c r="J32" s="849" t="s">
        <v>412</v>
      </c>
      <c r="K32" s="850"/>
      <c r="L32" s="693">
        <f>H20+J20</f>
        <v>22745803</v>
      </c>
    </row>
    <row r="33" spans="3:12" s="11" customFormat="1">
      <c r="H33" s="406"/>
      <c r="J33" s="853" t="s">
        <v>413</v>
      </c>
      <c r="K33" s="853"/>
      <c r="L33" s="694">
        <f>(H26+J26)-((H20+J20)*0.42%)</f>
        <v>414000</v>
      </c>
    </row>
    <row r="34" spans="3:12" s="11" customFormat="1">
      <c r="H34" s="704"/>
      <c r="J34" s="851" t="s">
        <v>414</v>
      </c>
      <c r="K34" s="852"/>
      <c r="L34" s="692">
        <f>L33*H22</f>
        <v>12420000</v>
      </c>
    </row>
    <row r="35" spans="3:12" s="11" customFormat="1">
      <c r="H35" s="704"/>
      <c r="J35" s="696" t="s">
        <v>415</v>
      </c>
      <c r="K35" s="697"/>
      <c r="L35" s="698">
        <f>(L32-L34)*1.03</f>
        <v>10635577.09</v>
      </c>
    </row>
    <row r="36" spans="3:12" s="11" customFormat="1">
      <c r="J36" s="699" t="s">
        <v>399</v>
      </c>
      <c r="K36" s="700">
        <f>J20/L32</f>
        <v>0.40826353767330176</v>
      </c>
      <c r="L36" s="701">
        <f>L35*K36</f>
        <v>4342118.3279605201</v>
      </c>
    </row>
    <row r="37" spans="3:12" s="11" customFormat="1">
      <c r="J37" s="699" t="s">
        <v>416</v>
      </c>
      <c r="K37" s="700">
        <f>H20/L32</f>
        <v>0.5917364623266983</v>
      </c>
      <c r="L37" s="701">
        <f>K37*L35</f>
        <v>6293458.7620394807</v>
      </c>
    </row>
    <row r="38" spans="3:12" s="11" customFormat="1"/>
    <row r="39" spans="3:12" s="11" customFormat="1">
      <c r="H39"/>
    </row>
    <row r="40" spans="3:12" s="11" customFormat="1">
      <c r="C40"/>
      <c r="D40"/>
      <c r="E40"/>
      <c r="F40"/>
      <c r="G40"/>
      <c r="H40"/>
      <c r="I40"/>
      <c r="J40"/>
    </row>
    <row r="41" spans="3:12" s="11" customFormat="1">
      <c r="C41"/>
      <c r="D41"/>
      <c r="E41"/>
      <c r="F41"/>
      <c r="G41"/>
      <c r="H41"/>
      <c r="I41"/>
      <c r="J41"/>
    </row>
    <row r="42" spans="3:12" s="11" customFormat="1">
      <c r="C42"/>
      <c r="D42"/>
      <c r="E42"/>
      <c r="F42"/>
      <c r="G42"/>
      <c r="H42"/>
      <c r="I42"/>
      <c r="J42"/>
    </row>
    <row r="43" spans="3:12" s="11" customFormat="1">
      <c r="C43"/>
      <c r="D43"/>
      <c r="E43"/>
      <c r="F43"/>
      <c r="G43"/>
      <c r="H43"/>
      <c r="I43"/>
      <c r="J43"/>
    </row>
    <row r="44" spans="3:12" s="11" customFormat="1">
      <c r="C44"/>
      <c r="D44"/>
      <c r="E44"/>
      <c r="F44"/>
      <c r="G44"/>
      <c r="H44"/>
      <c r="I44"/>
      <c r="J44"/>
    </row>
    <row r="45" spans="3:12" s="11" customFormat="1">
      <c r="C45"/>
      <c r="D45"/>
      <c r="E45"/>
      <c r="F45"/>
      <c r="G45"/>
      <c r="H45"/>
      <c r="I45"/>
      <c r="J45"/>
    </row>
    <row r="46" spans="3:12" s="11" customFormat="1">
      <c r="C46"/>
      <c r="D46"/>
      <c r="E46"/>
      <c r="F46"/>
      <c r="G46"/>
      <c r="H46"/>
      <c r="I46"/>
      <c r="J46"/>
    </row>
    <row r="47" spans="3:12" s="11" customFormat="1">
      <c r="C47"/>
      <c r="D47"/>
      <c r="E47"/>
      <c r="F47"/>
      <c r="G47"/>
      <c r="H47"/>
      <c r="I47"/>
      <c r="J47"/>
    </row>
    <row r="48" spans="3:12" s="11" customFormat="1">
      <c r="C48"/>
      <c r="D48"/>
      <c r="E48"/>
      <c r="F48"/>
      <c r="G48"/>
      <c r="H48"/>
      <c r="I48"/>
      <c r="J48"/>
    </row>
    <row r="49" spans="3:10" s="11" customFormat="1">
      <c r="C49"/>
      <c r="D49"/>
      <c r="E49"/>
      <c r="F49"/>
      <c r="G49"/>
      <c r="H49"/>
      <c r="I49"/>
      <c r="J49"/>
    </row>
    <row r="50" spans="3:10" s="11" customFormat="1">
      <c r="C50"/>
      <c r="D50"/>
      <c r="E50"/>
      <c r="F50"/>
      <c r="G50"/>
      <c r="H50"/>
      <c r="I50"/>
      <c r="J50"/>
    </row>
    <row r="51" spans="3:10" s="11" customFormat="1">
      <c r="C51"/>
      <c r="D51"/>
      <c r="E51"/>
      <c r="F51"/>
      <c r="G51"/>
      <c r="H51"/>
      <c r="I51"/>
      <c r="J51"/>
    </row>
    <row r="52" spans="3:10" s="11" customFormat="1">
      <c r="C52"/>
      <c r="D52"/>
      <c r="E52"/>
      <c r="F52"/>
      <c r="G52"/>
      <c r="H52"/>
      <c r="I52"/>
      <c r="J52"/>
    </row>
    <row r="53" spans="3:10" s="11" customFormat="1">
      <c r="C53"/>
      <c r="D53"/>
      <c r="E53"/>
      <c r="F53"/>
      <c r="G53"/>
      <c r="H53"/>
      <c r="I53"/>
      <c r="J53"/>
    </row>
    <row r="54" spans="3:10" s="11" customFormat="1">
      <c r="C54"/>
      <c r="D54"/>
      <c r="E54"/>
      <c r="F54"/>
      <c r="G54"/>
      <c r="H54"/>
      <c r="I54"/>
      <c r="J54"/>
    </row>
    <row r="55" spans="3:10" s="11" customFormat="1">
      <c r="C55"/>
      <c r="D55"/>
      <c r="E55"/>
      <c r="F55"/>
      <c r="G55"/>
      <c r="H55"/>
      <c r="I55"/>
      <c r="J55"/>
    </row>
    <row r="56" spans="3:10" s="11" customFormat="1">
      <c r="C56"/>
      <c r="D56"/>
      <c r="E56"/>
      <c r="F56"/>
      <c r="G56"/>
      <c r="H56"/>
      <c r="I56"/>
      <c r="J56"/>
    </row>
    <row r="57" spans="3:10" s="11" customFormat="1">
      <c r="C57"/>
      <c r="D57"/>
      <c r="E57"/>
      <c r="F57"/>
      <c r="G57"/>
      <c r="H57"/>
      <c r="I57"/>
      <c r="J57"/>
    </row>
    <row r="58" spans="3:10" s="11" customFormat="1">
      <c r="C58"/>
      <c r="D58"/>
      <c r="E58"/>
      <c r="F58"/>
      <c r="G58"/>
      <c r="H58"/>
      <c r="I58"/>
      <c r="J58"/>
    </row>
    <row r="59" spans="3:10" s="11" customFormat="1">
      <c r="C59"/>
      <c r="D59"/>
      <c r="E59"/>
      <c r="F59"/>
      <c r="G59"/>
      <c r="H59"/>
      <c r="I59"/>
      <c r="J59"/>
    </row>
    <row r="60" spans="3:10" s="11" customFormat="1">
      <c r="C60"/>
      <c r="D60"/>
      <c r="E60"/>
      <c r="F60"/>
      <c r="G60"/>
      <c r="H60"/>
      <c r="I60"/>
      <c r="J60"/>
    </row>
    <row r="61" spans="3:10" s="11" customFormat="1">
      <c r="C61"/>
      <c r="D61"/>
      <c r="E61"/>
      <c r="F61"/>
      <c r="G61"/>
      <c r="H61"/>
      <c r="I61"/>
      <c r="J61"/>
    </row>
    <row r="62" spans="3:10" s="11" customFormat="1">
      <c r="C62"/>
      <c r="D62"/>
      <c r="E62"/>
      <c r="F62"/>
      <c r="G62"/>
      <c r="H62"/>
      <c r="I62"/>
      <c r="J62"/>
    </row>
    <row r="63" spans="3:10" s="11" customFormat="1">
      <c r="C63"/>
      <c r="D63"/>
      <c r="E63"/>
      <c r="F63"/>
      <c r="G63"/>
      <c r="H63"/>
      <c r="I63"/>
      <c r="J63"/>
    </row>
    <row r="64" spans="3:10" s="11" customFormat="1">
      <c r="C64"/>
      <c r="D64"/>
      <c r="E64"/>
      <c r="F64"/>
      <c r="G64"/>
      <c r="H64"/>
      <c r="I64"/>
      <c r="J64"/>
    </row>
    <row r="65" s="11" customFormat="1"/>
    <row r="66" s="11" customFormat="1"/>
    <row r="67" s="11" customFormat="1"/>
    <row r="68" s="11" customFormat="1"/>
    <row r="69" s="11" customFormat="1"/>
    <row r="70" s="11" customFormat="1"/>
    <row r="71" s="11" customFormat="1"/>
    <row r="72" s="11" customFormat="1"/>
    <row r="73" s="11" customFormat="1"/>
    <row r="74" s="11" customFormat="1"/>
    <row r="75" s="11" customFormat="1"/>
    <row r="76" s="11" customFormat="1"/>
    <row r="77" s="11" customFormat="1"/>
    <row r="78" s="11" customFormat="1"/>
    <row r="79" s="11" customFormat="1"/>
    <row r="80" s="11" customFormat="1"/>
    <row r="81" s="11" customFormat="1"/>
    <row r="82" s="11" customFormat="1"/>
    <row r="83" s="11" customFormat="1"/>
    <row r="84" s="11" customFormat="1"/>
    <row r="85" s="11" customFormat="1"/>
    <row r="86" s="11" customFormat="1"/>
    <row r="87" s="11" customFormat="1"/>
    <row r="88" s="11" customFormat="1"/>
    <row r="89" s="11" customFormat="1"/>
    <row r="90" s="11" customFormat="1"/>
    <row r="91" s="11" customFormat="1"/>
    <row r="92" s="11" customFormat="1"/>
    <row r="93" s="11" customFormat="1"/>
    <row r="94" s="11" customFormat="1"/>
    <row r="95" s="11" customFormat="1"/>
    <row r="96" s="11" customFormat="1"/>
    <row r="97" s="11" customFormat="1"/>
    <row r="98" s="11" customFormat="1"/>
    <row r="99" s="11" customFormat="1"/>
    <row r="100" s="11" customFormat="1"/>
    <row r="101" s="11" customFormat="1"/>
    <row r="102" s="11" customFormat="1"/>
    <row r="103" s="11" customFormat="1"/>
    <row r="104" s="11" customFormat="1"/>
    <row r="105" s="11" customFormat="1"/>
    <row r="106" s="11" customFormat="1"/>
    <row r="107" s="11" customFormat="1"/>
    <row r="108" s="11" customFormat="1"/>
    <row r="109" s="11" customFormat="1"/>
    <row r="110" s="11" customFormat="1"/>
    <row r="111" s="11" customFormat="1"/>
    <row r="112" s="11" customFormat="1"/>
    <row r="113" s="11" customFormat="1"/>
    <row r="114" s="11" customFormat="1"/>
    <row r="115" s="11" customFormat="1"/>
    <row r="116" s="11" customFormat="1"/>
    <row r="117" s="11" customFormat="1"/>
    <row r="118" s="11" customFormat="1"/>
    <row r="119" s="11" customFormat="1"/>
    <row r="120" s="11" customFormat="1"/>
    <row r="121" s="11" customFormat="1"/>
    <row r="122" s="11" customFormat="1"/>
    <row r="123" s="11" customFormat="1"/>
    <row r="124" s="11" customFormat="1"/>
    <row r="125" s="11" customFormat="1"/>
    <row r="126" s="11" customFormat="1"/>
    <row r="127" s="11" customFormat="1"/>
    <row r="128" s="11" customFormat="1"/>
    <row r="129" s="11" customFormat="1"/>
    <row r="130" s="11" customFormat="1"/>
    <row r="131" s="11" customFormat="1"/>
    <row r="132" s="11" customFormat="1"/>
    <row r="133" s="11" customFormat="1"/>
    <row r="134" s="11" customFormat="1"/>
    <row r="135" s="11" customFormat="1"/>
    <row r="136" s="11" customFormat="1"/>
    <row r="137" s="11" customFormat="1"/>
    <row r="138" s="11" customFormat="1"/>
    <row r="139" s="11" customFormat="1"/>
    <row r="140" s="11" customFormat="1"/>
    <row r="141" s="11" customFormat="1"/>
    <row r="142" s="11" customFormat="1"/>
    <row r="143" s="11" customFormat="1"/>
    <row r="144" s="11" customFormat="1"/>
    <row r="145" s="11" customFormat="1"/>
    <row r="146" s="11" customFormat="1"/>
    <row r="147" s="11" customFormat="1"/>
    <row r="148" s="11" customFormat="1"/>
    <row r="149" s="11" customFormat="1"/>
    <row r="150" s="11" customFormat="1"/>
    <row r="151" s="11" customFormat="1"/>
    <row r="152" s="11" customFormat="1"/>
    <row r="153" s="11" customFormat="1"/>
    <row r="154" s="11" customFormat="1"/>
    <row r="155" s="11" customFormat="1"/>
    <row r="156" s="11" customFormat="1"/>
    <row r="157" s="11" customFormat="1"/>
    <row r="158" s="11" customFormat="1"/>
    <row r="159" s="11" customFormat="1"/>
    <row r="160" s="11" customFormat="1"/>
    <row r="161" s="11" customFormat="1"/>
    <row r="162" s="11" customFormat="1"/>
    <row r="163" s="11" customFormat="1"/>
    <row r="164" s="11" customFormat="1"/>
    <row r="165" s="11" customFormat="1"/>
    <row r="166" s="11" customFormat="1"/>
    <row r="167" s="11" customFormat="1"/>
    <row r="168" s="11" customFormat="1"/>
    <row r="169" s="11" customFormat="1"/>
    <row r="170" s="11" customFormat="1"/>
    <row r="171" s="11" customFormat="1"/>
    <row r="172" s="11" customFormat="1"/>
    <row r="173" s="11" customFormat="1"/>
    <row r="174" s="11" customFormat="1"/>
    <row r="175" s="11" customFormat="1"/>
    <row r="176" s="11" customFormat="1"/>
    <row r="177" s="11" customFormat="1"/>
    <row r="178" s="11" customFormat="1"/>
    <row r="179" s="11" customFormat="1"/>
    <row r="180" s="11" customFormat="1"/>
    <row r="181" s="11" customFormat="1"/>
    <row r="182" s="11" customFormat="1"/>
    <row r="183" s="11" customFormat="1"/>
    <row r="184" s="11" customFormat="1"/>
    <row r="185" s="11" customFormat="1"/>
    <row r="186" s="11" customFormat="1"/>
    <row r="187" s="11" customFormat="1"/>
    <row r="188" s="11" customFormat="1"/>
    <row r="189" s="11" customFormat="1"/>
    <row r="190" s="11" customFormat="1"/>
    <row r="191" s="11" customFormat="1"/>
    <row r="192" s="11" customFormat="1"/>
    <row r="193" s="11" customFormat="1"/>
    <row r="194" s="11" customFormat="1"/>
    <row r="195" s="11" customFormat="1"/>
    <row r="196" s="11" customFormat="1"/>
    <row r="197" s="11" customFormat="1"/>
    <row r="198" s="11" customFormat="1"/>
    <row r="199" s="11" customFormat="1"/>
    <row r="200" s="11" customFormat="1"/>
    <row r="201" s="11" customFormat="1"/>
    <row r="202" s="11" customFormat="1"/>
    <row r="203" s="11" customFormat="1"/>
    <row r="204" s="11" customFormat="1"/>
    <row r="205" s="11" customFormat="1"/>
    <row r="206" s="11" customFormat="1"/>
    <row r="207" s="11" customFormat="1"/>
    <row r="208" s="11" customFormat="1"/>
    <row r="209" s="11" customFormat="1"/>
    <row r="210" s="11" customFormat="1"/>
    <row r="211" s="11" customFormat="1"/>
    <row r="212" s="11" customFormat="1"/>
    <row r="213" s="11" customFormat="1"/>
    <row r="214" s="11" customFormat="1"/>
    <row r="215" s="11" customFormat="1"/>
    <row r="216" s="11" customFormat="1"/>
    <row r="217" s="11" customFormat="1"/>
    <row r="218" s="11" customFormat="1"/>
    <row r="219" s="11" customFormat="1"/>
    <row r="220" s="11" customFormat="1"/>
    <row r="221" s="11" customFormat="1"/>
    <row r="222" s="11" customFormat="1"/>
    <row r="223" s="11" customFormat="1"/>
    <row r="224" s="11" customFormat="1"/>
    <row r="225" s="11" customFormat="1"/>
    <row r="226" s="11" customFormat="1"/>
    <row r="227" s="11" customFormat="1"/>
    <row r="228" s="11" customFormat="1"/>
    <row r="229" s="11" customFormat="1"/>
    <row r="230" s="11" customFormat="1"/>
    <row r="231" s="11" customFormat="1"/>
    <row r="232" s="11" customFormat="1"/>
    <row r="233" s="11" customFormat="1"/>
    <row r="234" s="11" customFormat="1"/>
    <row r="235" s="11" customFormat="1"/>
    <row r="236" s="11" customFormat="1"/>
    <row r="237" s="11" customFormat="1"/>
    <row r="238" s="11" customFormat="1"/>
    <row r="239" s="11" customFormat="1"/>
    <row r="240" s="11" customFormat="1"/>
    <row r="241" s="11" customFormat="1"/>
    <row r="242" s="11" customFormat="1"/>
    <row r="243" s="11" customFormat="1"/>
    <row r="244" s="11" customFormat="1"/>
    <row r="245" s="11" customFormat="1"/>
    <row r="246" s="11" customFormat="1"/>
    <row r="247" s="11" customFormat="1"/>
    <row r="248" s="11" customFormat="1"/>
    <row r="249" s="11" customFormat="1"/>
    <row r="250" s="11" customFormat="1"/>
    <row r="251" s="11" customFormat="1"/>
    <row r="252" s="11" customFormat="1"/>
    <row r="253" s="11" customFormat="1"/>
    <row r="254" s="11" customFormat="1"/>
    <row r="255" s="11" customFormat="1"/>
    <row r="256" s="11" customFormat="1"/>
    <row r="257" s="11" customFormat="1"/>
    <row r="258" s="11" customFormat="1"/>
    <row r="259" s="11" customFormat="1"/>
    <row r="260" s="11" customFormat="1"/>
    <row r="261" s="11" customFormat="1"/>
    <row r="262" s="11" customFormat="1"/>
    <row r="263" s="11" customFormat="1"/>
    <row r="264" s="11" customFormat="1"/>
    <row r="265" s="11" customFormat="1"/>
    <row r="266" s="11" customFormat="1"/>
    <row r="267" s="11" customFormat="1"/>
    <row r="268" s="11" customFormat="1"/>
    <row r="269" s="11" customFormat="1"/>
    <row r="270" s="11" customFormat="1"/>
    <row r="271" s="11" customFormat="1"/>
    <row r="272" s="11" customFormat="1"/>
    <row r="273" s="11" customFormat="1"/>
    <row r="274" s="11" customFormat="1"/>
    <row r="275" s="11" customFormat="1"/>
    <row r="276" s="11" customFormat="1"/>
    <row r="277" s="11" customFormat="1"/>
    <row r="278" s="11" customFormat="1"/>
    <row r="279" s="11" customFormat="1"/>
    <row r="280" s="11" customFormat="1"/>
    <row r="281" s="11" customFormat="1"/>
    <row r="282" s="11" customFormat="1"/>
    <row r="283" s="11" customFormat="1"/>
    <row r="284" s="11" customFormat="1"/>
    <row r="285" s="11" customFormat="1"/>
    <row r="286" s="11" customFormat="1"/>
    <row r="287" s="11" customFormat="1"/>
    <row r="288" s="11" customFormat="1"/>
    <row r="289" s="11" customFormat="1"/>
    <row r="290" s="11" customFormat="1"/>
    <row r="291" s="11" customFormat="1"/>
    <row r="292" s="11" customFormat="1"/>
    <row r="293" s="11" customFormat="1"/>
    <row r="294" s="11" customFormat="1"/>
    <row r="295" s="11" customFormat="1"/>
    <row r="296" s="11" customFormat="1"/>
    <row r="297" s="11" customFormat="1"/>
    <row r="298" s="11" customFormat="1"/>
    <row r="299" s="11" customFormat="1"/>
    <row r="300" s="11" customFormat="1"/>
    <row r="301" s="11" customFormat="1"/>
    <row r="302" s="11" customFormat="1"/>
    <row r="303" s="11" customFormat="1"/>
    <row r="304" s="11" customFormat="1"/>
    <row r="305" s="11" customFormat="1"/>
    <row r="306" s="11" customFormat="1"/>
    <row r="307" s="11" customFormat="1"/>
    <row r="308" s="11" customFormat="1"/>
    <row r="309" s="11" customFormat="1"/>
    <row r="310" s="11" customFormat="1"/>
    <row r="311" s="11" customFormat="1"/>
    <row r="312" s="11" customFormat="1"/>
    <row r="313" s="11" customFormat="1"/>
    <row r="314" s="11" customFormat="1"/>
    <row r="315" s="11" customFormat="1"/>
    <row r="316" s="11" customFormat="1"/>
    <row r="317" s="11" customFormat="1"/>
    <row r="318" s="11" customFormat="1"/>
    <row r="319" s="11" customFormat="1"/>
    <row r="320" s="11" customFormat="1"/>
    <row r="321" s="11" customFormat="1"/>
    <row r="322" s="11" customFormat="1"/>
    <row r="323" s="11" customFormat="1"/>
    <row r="324" s="11" customFormat="1"/>
    <row r="325" s="11" customFormat="1"/>
    <row r="326" s="11" customFormat="1"/>
    <row r="327" s="11" customFormat="1"/>
    <row r="328" s="11" customFormat="1"/>
    <row r="329" s="11" customFormat="1"/>
    <row r="330" s="11" customFormat="1"/>
    <row r="331" s="11" customFormat="1"/>
    <row r="332" s="11" customFormat="1"/>
    <row r="333" s="11" customFormat="1"/>
    <row r="334" s="11" customFormat="1"/>
    <row r="335" s="11" customFormat="1"/>
    <row r="336" s="11" customFormat="1"/>
    <row r="337" s="11" customFormat="1"/>
    <row r="338" s="11" customFormat="1"/>
    <row r="339" s="11" customFormat="1"/>
    <row r="340" s="11" customFormat="1"/>
    <row r="341" s="11" customFormat="1"/>
    <row r="342" s="11" customFormat="1"/>
    <row r="343" s="11" customFormat="1"/>
    <row r="344" s="11" customFormat="1"/>
    <row r="345" s="11" customFormat="1"/>
    <row r="346" s="11" customFormat="1"/>
    <row r="347" s="11" customFormat="1"/>
    <row r="348" s="11" customFormat="1"/>
    <row r="349" s="11" customFormat="1"/>
    <row r="350" s="11" customFormat="1"/>
    <row r="351" s="11" customFormat="1"/>
    <row r="352" s="11" customFormat="1"/>
    <row r="353" s="11" customFormat="1"/>
    <row r="354" s="11" customFormat="1"/>
    <row r="355" s="11" customFormat="1"/>
    <row r="356" s="11" customFormat="1"/>
    <row r="357" s="11" customFormat="1"/>
    <row r="358" s="11" customFormat="1"/>
    <row r="359" s="11" customFormat="1"/>
    <row r="360" s="11" customFormat="1"/>
    <row r="361" s="11" customFormat="1"/>
    <row r="362" s="11" customFormat="1"/>
    <row r="363" s="11" customFormat="1"/>
    <row r="364" s="11" customFormat="1"/>
    <row r="365" s="11" customFormat="1"/>
    <row r="366" s="11" customFormat="1"/>
    <row r="367" s="11" customFormat="1"/>
    <row r="368" s="11" customFormat="1"/>
    <row r="369" s="11" customFormat="1"/>
    <row r="370" s="11" customFormat="1"/>
    <row r="371" s="11" customFormat="1"/>
    <row r="372" s="11" customFormat="1"/>
    <row r="373" s="11" customFormat="1"/>
    <row r="374" s="11" customFormat="1"/>
    <row r="375" s="11" customFormat="1"/>
    <row r="376" s="11" customFormat="1"/>
    <row r="377" s="11" customFormat="1"/>
    <row r="378" s="11" customFormat="1"/>
    <row r="379" s="11" customFormat="1"/>
    <row r="380" s="11" customFormat="1"/>
    <row r="381" s="11" customFormat="1"/>
    <row r="382" s="11" customFormat="1"/>
    <row r="383" s="11" customFormat="1"/>
    <row r="384" s="11" customFormat="1"/>
    <row r="385" s="11" customFormat="1"/>
    <row r="386" s="11" customFormat="1"/>
    <row r="387" s="11" customFormat="1"/>
    <row r="388" s="11" customFormat="1"/>
    <row r="389" s="11" customFormat="1"/>
    <row r="390" s="11" customFormat="1"/>
    <row r="391" s="11" customFormat="1"/>
    <row r="392" s="11" customFormat="1"/>
    <row r="393" s="11" customFormat="1"/>
    <row r="394" s="11" customFormat="1"/>
    <row r="395" s="11" customFormat="1"/>
    <row r="396" s="11" customFormat="1"/>
    <row r="397" s="11" customFormat="1"/>
    <row r="398" s="11" customFormat="1"/>
    <row r="399" s="11" customFormat="1"/>
    <row r="400" s="11" customFormat="1"/>
    <row r="401" s="11" customFormat="1"/>
    <row r="402" s="11" customFormat="1"/>
    <row r="403" s="11" customFormat="1"/>
    <row r="404" s="11" customFormat="1"/>
    <row r="405" s="11" customFormat="1"/>
    <row r="406" s="11" customFormat="1"/>
    <row r="407" s="11" customFormat="1"/>
    <row r="408" s="11" customFormat="1"/>
    <row r="409" s="11" customFormat="1"/>
    <row r="410" s="11" customFormat="1"/>
    <row r="411" s="11" customFormat="1"/>
    <row r="412" s="11" customFormat="1"/>
    <row r="413" s="11" customFormat="1"/>
    <row r="414" s="11" customFormat="1"/>
    <row r="415" s="11" customFormat="1"/>
    <row r="416" s="11" customFormat="1"/>
    <row r="417" s="11" customFormat="1"/>
    <row r="418" s="11" customFormat="1"/>
    <row r="419" s="11" customFormat="1"/>
    <row r="420" s="11" customFormat="1"/>
    <row r="421" s="11" customFormat="1"/>
    <row r="422" s="11" customFormat="1"/>
    <row r="423" s="11" customFormat="1"/>
    <row r="424" s="11" customFormat="1"/>
    <row r="425" s="11" customFormat="1"/>
    <row r="426" s="11" customFormat="1"/>
    <row r="427" s="11" customFormat="1"/>
    <row r="428" s="11" customFormat="1"/>
    <row r="429" s="11" customFormat="1"/>
    <row r="430" s="11" customFormat="1"/>
    <row r="431" s="11" customFormat="1"/>
    <row r="432" s="11" customFormat="1"/>
    <row r="433" s="11" customFormat="1"/>
    <row r="434" s="11" customFormat="1"/>
    <row r="435" s="11" customFormat="1"/>
    <row r="436" s="11" customFormat="1"/>
    <row r="437" s="11" customFormat="1"/>
    <row r="438" s="11" customFormat="1"/>
    <row r="439" s="11" customFormat="1"/>
    <row r="440" s="11" customFormat="1"/>
    <row r="441" s="11" customFormat="1"/>
    <row r="442" s="11" customFormat="1"/>
    <row r="443" s="11" customFormat="1"/>
    <row r="444" s="11" customFormat="1"/>
    <row r="445" s="11" customFormat="1"/>
    <row r="446" s="11" customFormat="1"/>
    <row r="447" s="11" customFormat="1"/>
    <row r="448" s="11" customFormat="1"/>
    <row r="449" s="11" customFormat="1"/>
    <row r="450" s="11" customFormat="1"/>
    <row r="451" s="11" customFormat="1"/>
    <row r="452" s="11" customFormat="1"/>
    <row r="453" s="11" customFormat="1"/>
    <row r="454" s="11" customFormat="1"/>
    <row r="455" s="11" customFormat="1"/>
    <row r="456" s="11" customFormat="1"/>
    <row r="457" s="11" customFormat="1"/>
    <row r="458" s="11" customFormat="1"/>
    <row r="459" s="11" customFormat="1"/>
    <row r="460" s="11" customFormat="1"/>
    <row r="461" s="11" customFormat="1"/>
    <row r="462" s="11" customFormat="1"/>
    <row r="463" s="11" customFormat="1"/>
    <row r="464" s="11" customFormat="1"/>
    <row r="465" s="11" customFormat="1"/>
    <row r="466" s="11" customFormat="1"/>
    <row r="467" s="11" customFormat="1"/>
    <row r="468" s="11" customFormat="1"/>
    <row r="469" s="11" customFormat="1"/>
    <row r="470" s="11" customFormat="1"/>
    <row r="471" s="11" customFormat="1"/>
    <row r="472" s="11" customFormat="1"/>
    <row r="473" s="11" customFormat="1"/>
    <row r="474" s="11" customFormat="1"/>
    <row r="475" s="11" customFormat="1"/>
    <row r="476" s="11" customFormat="1"/>
    <row r="477" s="11" customFormat="1"/>
    <row r="478" s="11" customFormat="1"/>
    <row r="479" s="11" customFormat="1"/>
    <row r="480" s="11" customFormat="1"/>
    <row r="481" s="11" customFormat="1"/>
    <row r="482" s="11" customFormat="1"/>
    <row r="483" s="11" customFormat="1"/>
    <row r="484" s="11" customFormat="1"/>
    <row r="485" s="11" customFormat="1"/>
    <row r="486" s="11" customFormat="1"/>
    <row r="487" s="11" customFormat="1"/>
    <row r="488" s="11" customFormat="1"/>
    <row r="489" s="11" customFormat="1"/>
    <row r="490" s="11" customFormat="1"/>
    <row r="491" s="11" customFormat="1"/>
    <row r="492" s="11" customFormat="1"/>
    <row r="493" s="11" customFormat="1"/>
    <row r="494" s="11" customFormat="1"/>
    <row r="495" s="11" customFormat="1"/>
    <row r="496" s="11" customFormat="1"/>
    <row r="497" s="11" customFormat="1"/>
    <row r="498" s="11" customFormat="1"/>
    <row r="499" s="11" customFormat="1"/>
    <row r="500" s="11" customFormat="1"/>
    <row r="501" s="11" customFormat="1"/>
    <row r="502" s="11" customFormat="1"/>
    <row r="503" s="11" customFormat="1"/>
    <row r="504" s="11" customFormat="1"/>
    <row r="505" s="11" customFormat="1"/>
    <row r="506" s="11" customFormat="1"/>
    <row r="507" s="11" customFormat="1"/>
    <row r="508" s="11" customFormat="1"/>
    <row r="509" s="11" customFormat="1"/>
    <row r="510" s="11" customFormat="1"/>
    <row r="511" s="11" customFormat="1"/>
    <row r="512" s="11" customFormat="1"/>
    <row r="513" s="11" customFormat="1"/>
    <row r="514" s="11" customFormat="1"/>
    <row r="515" s="11" customFormat="1"/>
    <row r="516" s="11" customFormat="1"/>
    <row r="517" s="11" customFormat="1"/>
    <row r="518" s="11" customFormat="1"/>
    <row r="519" s="11" customFormat="1"/>
    <row r="520" s="11" customFormat="1"/>
    <row r="521" s="11" customFormat="1"/>
    <row r="522" s="11" customFormat="1"/>
    <row r="523" s="11" customFormat="1"/>
    <row r="524" s="11" customFormat="1"/>
    <row r="525" s="11" customFormat="1"/>
    <row r="526" s="11" customFormat="1"/>
    <row r="527" s="11" customFormat="1"/>
    <row r="528" s="11" customFormat="1"/>
    <row r="529" s="11" customFormat="1"/>
    <row r="530" s="11" customFormat="1"/>
    <row r="531" s="11" customFormat="1"/>
    <row r="532" s="11" customFormat="1"/>
    <row r="533" s="11" customFormat="1"/>
    <row r="534" s="11" customFormat="1"/>
    <row r="535" s="11" customFormat="1"/>
    <row r="536" s="11" customFormat="1"/>
    <row r="537" s="11" customFormat="1"/>
    <row r="538" s="11" customFormat="1"/>
    <row r="539" s="11" customFormat="1"/>
    <row r="540" s="11" customFormat="1"/>
    <row r="541" s="11" customFormat="1"/>
    <row r="542" s="11" customFormat="1"/>
    <row r="543" s="11" customFormat="1"/>
    <row r="544" s="11" customFormat="1"/>
    <row r="545" s="11" customFormat="1"/>
    <row r="546" s="11" customFormat="1"/>
    <row r="547" s="11" customFormat="1"/>
    <row r="548" s="11" customFormat="1"/>
    <row r="549" s="11" customFormat="1"/>
    <row r="550" s="11" customFormat="1"/>
    <row r="551" s="11" customFormat="1"/>
    <row r="552" s="11" customFormat="1"/>
    <row r="553" s="11" customFormat="1"/>
    <row r="554" s="11" customFormat="1"/>
    <row r="555" s="11" customFormat="1"/>
    <row r="556" s="11" customFormat="1"/>
    <row r="557" s="11" customFormat="1"/>
    <row r="558" s="11" customFormat="1"/>
    <row r="559" s="11" customFormat="1"/>
    <row r="560" s="11" customFormat="1"/>
    <row r="561" s="11" customFormat="1"/>
    <row r="562" s="11" customFormat="1"/>
    <row r="563" s="11" customFormat="1"/>
    <row r="564" s="11" customFormat="1"/>
    <row r="565" s="11" customFormat="1"/>
    <row r="566" s="11" customFormat="1"/>
    <row r="567" s="11" customFormat="1"/>
    <row r="568" s="11" customFormat="1"/>
    <row r="569" s="11" customFormat="1"/>
    <row r="570" s="11" customFormat="1"/>
    <row r="571" s="11" customFormat="1"/>
    <row r="572" s="11" customFormat="1"/>
    <row r="573" s="11" customFormat="1"/>
    <row r="574" s="11" customFormat="1"/>
    <row r="575" s="11" customFormat="1"/>
    <row r="576" s="11" customFormat="1"/>
    <row r="577" s="11" customFormat="1"/>
    <row r="578" s="11" customFormat="1"/>
    <row r="579" s="11" customFormat="1"/>
    <row r="580" s="11" customFormat="1"/>
    <row r="581" s="11" customFormat="1"/>
    <row r="582" s="11" customFormat="1"/>
    <row r="583" s="11" customFormat="1"/>
    <row r="584" s="11" customFormat="1"/>
    <row r="585" s="11" customFormat="1"/>
    <row r="586" s="11" customFormat="1"/>
    <row r="587" s="11" customFormat="1"/>
    <row r="588" s="11" customFormat="1"/>
    <row r="589" s="11" customFormat="1"/>
    <row r="590" s="11" customFormat="1"/>
    <row r="591" s="11" customFormat="1"/>
    <row r="592" s="11" customFormat="1"/>
    <row r="593" s="11" customFormat="1"/>
    <row r="594" s="11" customFormat="1"/>
    <row r="595" s="11" customFormat="1"/>
    <row r="596" s="11" customFormat="1"/>
    <row r="597" s="11" customFormat="1"/>
    <row r="598" s="11" customFormat="1"/>
    <row r="599" s="11" customFormat="1"/>
    <row r="600" s="11" customFormat="1"/>
    <row r="601" s="11" customFormat="1"/>
    <row r="602" s="11" customFormat="1"/>
    <row r="603" s="11" customFormat="1"/>
    <row r="604" s="11" customFormat="1"/>
    <row r="605" s="11" customFormat="1"/>
    <row r="606" s="11" customFormat="1"/>
    <row r="607" s="11" customFormat="1"/>
    <row r="608" s="11" customFormat="1"/>
    <row r="609" s="11" customFormat="1"/>
    <row r="610" s="11" customFormat="1"/>
    <row r="611" s="11" customFormat="1"/>
    <row r="612" s="11" customFormat="1"/>
    <row r="613" s="11" customFormat="1"/>
    <row r="614" s="11" customFormat="1"/>
    <row r="615" s="11" customFormat="1"/>
    <row r="616" s="11" customFormat="1"/>
    <row r="617" s="11" customFormat="1"/>
    <row r="618" s="11" customFormat="1"/>
    <row r="619" s="11" customFormat="1"/>
    <row r="620" s="11" customFormat="1"/>
    <row r="621" s="11" customFormat="1"/>
    <row r="622" s="11" customFormat="1"/>
    <row r="623" s="11" customFormat="1"/>
    <row r="624" s="11" customFormat="1"/>
    <row r="625" s="11" customFormat="1"/>
    <row r="626" s="11" customFormat="1"/>
    <row r="627" s="11" customFormat="1"/>
    <row r="628" s="11" customFormat="1"/>
    <row r="629" s="11" customFormat="1"/>
    <row r="630" s="11" customFormat="1"/>
    <row r="631" s="11" customFormat="1"/>
    <row r="632" s="11" customFormat="1"/>
    <row r="633" s="11" customFormat="1"/>
    <row r="634" s="11" customFormat="1"/>
    <row r="635" s="11" customFormat="1"/>
    <row r="636" s="11" customFormat="1"/>
    <row r="637" s="11" customFormat="1"/>
    <row r="638" s="11" customFormat="1"/>
    <row r="639" s="11" customFormat="1"/>
    <row r="640" s="11" customFormat="1"/>
    <row r="641" s="11" customFormat="1"/>
    <row r="642" s="11" customFormat="1"/>
    <row r="643" s="11" customFormat="1"/>
    <row r="644" s="11" customFormat="1"/>
    <row r="645" s="11" customFormat="1"/>
    <row r="646" s="11" customFormat="1"/>
    <row r="647" s="11" customFormat="1"/>
    <row r="648" s="11" customFormat="1"/>
    <row r="649" s="11" customFormat="1"/>
    <row r="650" s="11" customFormat="1"/>
    <row r="651" s="11" customFormat="1"/>
    <row r="652" s="11" customFormat="1"/>
    <row r="653" s="11" customFormat="1"/>
    <row r="654" s="11" customFormat="1"/>
    <row r="655" s="11" customFormat="1"/>
    <row r="656" s="11" customFormat="1"/>
    <row r="657" s="11" customFormat="1"/>
    <row r="658" s="11" customFormat="1"/>
    <row r="659" s="11" customFormat="1"/>
    <row r="660" s="11" customFormat="1"/>
    <row r="661" s="11" customFormat="1"/>
    <row r="662" s="11" customFormat="1"/>
    <row r="663" s="11" customFormat="1"/>
    <row r="664" s="11" customFormat="1"/>
    <row r="665" s="11" customFormat="1"/>
    <row r="666" s="11" customFormat="1"/>
    <row r="667" s="11" customFormat="1"/>
    <row r="668" s="11" customFormat="1"/>
    <row r="669" s="11" customFormat="1"/>
    <row r="670" s="11" customFormat="1"/>
    <row r="671" s="11" customFormat="1"/>
    <row r="672" s="11" customFormat="1"/>
    <row r="673" s="11" customFormat="1"/>
    <row r="674" s="11" customFormat="1"/>
    <row r="675" s="11" customFormat="1"/>
    <row r="676" s="11" customFormat="1"/>
    <row r="677" s="11" customFormat="1"/>
    <row r="678" s="11" customFormat="1"/>
    <row r="679" s="11" customFormat="1"/>
    <row r="680" s="11" customFormat="1"/>
    <row r="681" s="11" customFormat="1"/>
    <row r="682" s="11" customFormat="1"/>
    <row r="683" s="11" customFormat="1"/>
    <row r="684" s="11" customFormat="1"/>
    <row r="685" s="11" customFormat="1"/>
    <row r="686" s="11" customFormat="1"/>
    <row r="687" s="11" customFormat="1"/>
    <row r="688" s="11" customFormat="1"/>
    <row r="689" s="11" customFormat="1"/>
    <row r="690" s="11" customFormat="1"/>
    <row r="691" s="11" customFormat="1"/>
    <row r="692" s="11" customFormat="1"/>
    <row r="693" s="11" customFormat="1"/>
    <row r="694" s="11" customFormat="1"/>
    <row r="695" s="11" customFormat="1"/>
    <row r="696" s="11" customFormat="1"/>
    <row r="697" s="11" customFormat="1"/>
    <row r="698" s="11" customFormat="1"/>
    <row r="699" s="11" customFormat="1"/>
    <row r="700" s="11" customFormat="1"/>
    <row r="701" s="11" customFormat="1"/>
    <row r="702" s="11" customFormat="1"/>
    <row r="703" s="11" customFormat="1"/>
    <row r="704" s="11" customFormat="1"/>
    <row r="705" s="11" customFormat="1"/>
    <row r="706" s="11" customFormat="1"/>
    <row r="707" s="11" customFormat="1"/>
    <row r="708" s="11" customFormat="1"/>
    <row r="709" s="11" customFormat="1"/>
    <row r="710" s="11" customFormat="1"/>
    <row r="711" s="11" customFormat="1"/>
    <row r="712" s="11" customFormat="1"/>
    <row r="713" s="11" customFormat="1"/>
    <row r="714" s="11" customFormat="1"/>
    <row r="715" s="11" customFormat="1"/>
    <row r="716" s="11" customFormat="1"/>
    <row r="717" s="11" customFormat="1"/>
    <row r="718" s="11" customFormat="1"/>
    <row r="719" s="11" customFormat="1"/>
    <row r="720" s="11" customFormat="1"/>
    <row r="721" s="11" customFormat="1"/>
    <row r="722" s="11" customFormat="1"/>
    <row r="723" s="11" customFormat="1"/>
    <row r="724" s="11" customFormat="1"/>
    <row r="725" s="11" customFormat="1"/>
    <row r="726" s="11" customFormat="1"/>
    <row r="727" s="11" customFormat="1"/>
    <row r="728" s="11" customFormat="1"/>
    <row r="729" s="11" customFormat="1"/>
    <row r="730" s="11" customFormat="1"/>
    <row r="731" s="11" customFormat="1"/>
    <row r="732" s="11" customFormat="1"/>
    <row r="733" s="11" customFormat="1"/>
    <row r="734" s="11" customFormat="1"/>
    <row r="735" s="11" customFormat="1"/>
    <row r="736" s="11" customFormat="1"/>
    <row r="737" s="11" customFormat="1"/>
    <row r="738" s="11" customFormat="1"/>
    <row r="739" s="11" customFormat="1"/>
    <row r="740" s="11" customFormat="1"/>
    <row r="741" s="11" customFormat="1"/>
    <row r="742" s="11" customFormat="1"/>
    <row r="743" s="11" customFormat="1"/>
    <row r="744" s="11" customFormat="1"/>
    <row r="745" s="11" customFormat="1"/>
    <row r="746" s="11" customFormat="1"/>
    <row r="747" s="11" customFormat="1"/>
    <row r="748" s="11" customFormat="1"/>
    <row r="749" s="11" customFormat="1"/>
    <row r="750" s="11" customFormat="1"/>
    <row r="751" s="11" customFormat="1"/>
    <row r="752" s="11" customFormat="1"/>
    <row r="753" s="11" customFormat="1"/>
    <row r="754" s="11" customFormat="1"/>
    <row r="755" s="11" customFormat="1"/>
  </sheetData>
  <mergeCells count="8">
    <mergeCell ref="D6:E6"/>
    <mergeCell ref="H17:J17"/>
    <mergeCell ref="M17:O17"/>
    <mergeCell ref="B25:C25"/>
    <mergeCell ref="B24:C24"/>
    <mergeCell ref="J32:K32"/>
    <mergeCell ref="J34:K34"/>
    <mergeCell ref="J33:K33"/>
  </mergeCells>
  <pageMargins left="0.7" right="0.7" top="0.75" bottom="0.75" header="0.3" footer="0.3"/>
  <pageSetup scale="61" orientation="portrait" horizontalDpi="1200" verticalDpi="12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2:BD126"/>
  <sheetViews>
    <sheetView showGridLines="0" zoomScaleNormal="100" workbookViewId="0">
      <selection activeCell="F43" sqref="F43"/>
    </sheetView>
  </sheetViews>
  <sheetFormatPr baseColWidth="10" defaultColWidth="8.5" defaultRowHeight="14"/>
  <cols>
    <col min="1" max="1" width="8.5" style="13"/>
    <col min="2" max="2" width="18.5" style="13" customWidth="1"/>
    <col min="3" max="3" width="6.5" style="13" customWidth="1"/>
    <col min="4" max="4" width="13.5" style="13" customWidth="1"/>
    <col min="5" max="5" width="11.5" style="13" customWidth="1"/>
    <col min="6" max="6" width="12.5" style="13" customWidth="1"/>
    <col min="7" max="7" width="18" style="13" customWidth="1"/>
    <col min="8" max="8" width="36.33203125" style="13" bestFit="1" customWidth="1"/>
    <col min="9" max="9" width="10.5" style="13" customWidth="1"/>
    <col min="10" max="10" width="8.5" style="13"/>
    <col min="11" max="11" width="11.5" style="13" customWidth="1"/>
    <col min="12" max="56" width="8.5" style="15"/>
    <col min="57" max="16384" width="8.5" style="13"/>
  </cols>
  <sheetData>
    <row r="2" spans="2:11" ht="16">
      <c r="B2" s="372" t="s">
        <v>417</v>
      </c>
      <c r="C2" s="47"/>
      <c r="D2" s="47"/>
      <c r="E2" s="59"/>
      <c r="F2" s="15"/>
      <c r="G2" s="15"/>
      <c r="H2" s="15"/>
      <c r="I2" s="15"/>
      <c r="J2" s="15"/>
      <c r="K2" s="15"/>
    </row>
    <row r="3" spans="2:11">
      <c r="B3" s="165" t="s">
        <v>20</v>
      </c>
      <c r="C3" s="15"/>
      <c r="D3" s="339" t="str">
        <f>'Table of Contents'!B2</f>
        <v xml:space="preserve">Broadleaf Flats </v>
      </c>
      <c r="E3" s="20"/>
      <c r="F3" s="15"/>
      <c r="G3" s="15"/>
      <c r="H3" s="15"/>
      <c r="I3" s="15"/>
      <c r="J3" s="15"/>
      <c r="K3" s="15"/>
    </row>
    <row r="4" spans="2:11">
      <c r="B4" s="165" t="s">
        <v>2</v>
      </c>
      <c r="C4" s="15"/>
      <c r="D4" s="339" t="str">
        <f>'Table of Contents'!C4</f>
        <v>Cal Poly SLO - Driftwood Propery Development</v>
      </c>
      <c r="E4" s="20"/>
      <c r="F4" s="15"/>
      <c r="G4" s="15"/>
      <c r="H4" s="15"/>
      <c r="I4" s="15"/>
      <c r="J4" s="15"/>
      <c r="K4" s="15"/>
    </row>
    <row r="5" spans="2:11">
      <c r="B5" s="165" t="s">
        <v>21</v>
      </c>
      <c r="C5" s="15"/>
      <c r="D5" s="595">
        <f>'Table of Contents'!C6</f>
        <v>45726</v>
      </c>
      <c r="E5" s="20"/>
      <c r="F5" s="15"/>
      <c r="G5" s="15"/>
      <c r="H5" s="15"/>
      <c r="I5" s="15"/>
      <c r="J5" s="15"/>
      <c r="K5" s="15"/>
    </row>
    <row r="6" spans="2:11">
      <c r="B6" s="341" t="s">
        <v>22</v>
      </c>
      <c r="C6" s="342"/>
      <c r="D6" s="854">
        <v>8</v>
      </c>
      <c r="E6" s="855"/>
      <c r="F6" s="15"/>
      <c r="G6" s="15"/>
      <c r="H6" s="15"/>
      <c r="I6" s="15"/>
      <c r="J6" s="15"/>
      <c r="K6" s="15"/>
    </row>
    <row r="7" spans="2:11">
      <c r="B7" s="15"/>
      <c r="C7" s="15"/>
      <c r="D7" s="15"/>
      <c r="E7" s="15"/>
      <c r="F7" s="15"/>
      <c r="G7" s="15"/>
      <c r="H7" s="15"/>
      <c r="I7" s="15"/>
      <c r="J7" s="15"/>
      <c r="K7" s="15"/>
    </row>
    <row r="8" spans="2:11">
      <c r="B8" s="15"/>
      <c r="C8" s="15"/>
      <c r="D8" s="15"/>
      <c r="E8" s="15"/>
      <c r="F8" s="15"/>
      <c r="G8" s="15"/>
      <c r="H8" s="15"/>
      <c r="I8" s="15"/>
      <c r="J8" s="15"/>
      <c r="K8" s="15"/>
    </row>
    <row r="9" spans="2:11">
      <c r="B9" s="123" t="s">
        <v>418</v>
      </c>
      <c r="C9" s="167"/>
      <c r="D9" s="167"/>
      <c r="E9" s="167"/>
      <c r="F9" s="168"/>
      <c r="G9" s="15"/>
      <c r="H9" s="15"/>
      <c r="I9" s="15"/>
      <c r="J9" s="15"/>
      <c r="K9" s="15"/>
    </row>
    <row r="10" spans="2:11">
      <c r="B10" s="36" t="s">
        <v>419</v>
      </c>
      <c r="C10" s="16"/>
      <c r="D10" s="290">
        <v>0.09</v>
      </c>
      <c r="E10" s="16"/>
      <c r="F10" s="252"/>
      <c r="G10" s="15"/>
      <c r="H10" s="15"/>
      <c r="I10" s="15"/>
      <c r="J10" s="15"/>
      <c r="K10" s="15"/>
    </row>
    <row r="11" spans="2:11">
      <c r="B11" s="18"/>
      <c r="C11" s="15"/>
      <c r="D11" s="15"/>
      <c r="E11" s="15"/>
      <c r="F11" s="45"/>
      <c r="G11" s="15"/>
      <c r="H11" s="15"/>
      <c r="I11" s="15"/>
      <c r="J11" s="15"/>
      <c r="K11" s="15"/>
    </row>
    <row r="12" spans="2:11">
      <c r="B12" s="18" t="s">
        <v>420</v>
      </c>
      <c r="C12" s="15"/>
      <c r="D12" s="15"/>
      <c r="E12" s="79"/>
      <c r="F12" s="42">
        <f>+K18</f>
        <v>39462042</v>
      </c>
      <c r="H12" s="221">
        <f>D5</f>
        <v>45726</v>
      </c>
      <c r="I12" s="29" t="s">
        <v>421</v>
      </c>
      <c r="J12" s="29"/>
      <c r="K12" s="30"/>
    </row>
    <row r="13" spans="2:11">
      <c r="B13" s="18" t="s">
        <v>422</v>
      </c>
      <c r="C13" s="15"/>
      <c r="D13" s="15"/>
      <c r="E13" s="291">
        <v>0.2</v>
      </c>
      <c r="F13" s="294">
        <f>+$F$12*E13</f>
        <v>7892408.4000000004</v>
      </c>
      <c r="G13" s="15"/>
      <c r="H13" s="18" t="s">
        <v>280</v>
      </c>
      <c r="I13" s="195">
        <v>387110</v>
      </c>
      <c r="J13" s="638">
        <f>Rents!D84</f>
        <v>12</v>
      </c>
      <c r="K13" s="91">
        <f>+J13*I13</f>
        <v>4645320</v>
      </c>
    </row>
    <row r="14" spans="2:11">
      <c r="B14" s="18" t="s">
        <v>423</v>
      </c>
      <c r="C14" s="15"/>
      <c r="D14" s="15"/>
      <c r="E14" s="291">
        <v>0</v>
      </c>
      <c r="F14" s="294">
        <f t="shared" ref="F14:F18" si="0">+$F$12*E14</f>
        <v>0</v>
      </c>
      <c r="G14" s="15"/>
      <c r="H14" s="92" t="s">
        <v>292</v>
      </c>
      <c r="I14" s="195">
        <v>446334</v>
      </c>
      <c r="J14" s="638">
        <f>Rents!D85</f>
        <v>23</v>
      </c>
      <c r="K14" s="91">
        <f>+J14*I14</f>
        <v>10265682</v>
      </c>
    </row>
    <row r="15" spans="2:11">
      <c r="B15" s="18" t="s">
        <v>424</v>
      </c>
      <c r="C15" s="15"/>
      <c r="D15" s="15"/>
      <c r="E15" s="291">
        <v>0.02</v>
      </c>
      <c r="F15" s="294">
        <f t="shared" si="0"/>
        <v>789240.84</v>
      </c>
      <c r="G15" s="15"/>
      <c r="H15" s="92" t="s">
        <v>293</v>
      </c>
      <c r="I15" s="195">
        <v>538400</v>
      </c>
      <c r="J15" s="638">
        <f>Rents!D86</f>
        <v>20</v>
      </c>
      <c r="K15" s="91">
        <f>+J15*I15</f>
        <v>10768000</v>
      </c>
    </row>
    <row r="16" spans="2:11">
      <c r="B16" s="92" t="s">
        <v>425</v>
      </c>
      <c r="C16" s="83"/>
      <c r="D16" s="83"/>
      <c r="E16" s="291">
        <v>0</v>
      </c>
      <c r="F16" s="294">
        <f t="shared" si="0"/>
        <v>0</v>
      </c>
      <c r="G16" s="15"/>
      <c r="H16" s="18" t="s">
        <v>294</v>
      </c>
      <c r="I16" s="195">
        <v>689152</v>
      </c>
      <c r="J16" s="639">
        <f>Rents!D87</f>
        <v>20</v>
      </c>
      <c r="K16" s="37">
        <f>+J16*I16</f>
        <v>13783040</v>
      </c>
    </row>
    <row r="17" spans="2:19">
      <c r="B17" s="92" t="s">
        <v>426</v>
      </c>
      <c r="C17" s="83"/>
      <c r="D17" s="83"/>
      <c r="E17" s="291">
        <v>0</v>
      </c>
      <c r="F17" s="294">
        <f t="shared" si="0"/>
        <v>0</v>
      </c>
      <c r="G17" s="15"/>
      <c r="H17" s="38" t="s">
        <v>427</v>
      </c>
      <c r="I17" s="181"/>
      <c r="J17" s="640">
        <f>Rents!D88</f>
        <v>0</v>
      </c>
      <c r="K17" s="60">
        <f>+J17*I17</f>
        <v>0</v>
      </c>
    </row>
    <row r="18" spans="2:19">
      <c r="B18" s="92" t="s">
        <v>428</v>
      </c>
      <c r="C18" s="83"/>
      <c r="D18" s="83"/>
      <c r="E18" s="291">
        <v>0.1</v>
      </c>
      <c r="F18" s="294">
        <f t="shared" si="0"/>
        <v>3946204.2</v>
      </c>
      <c r="G18" s="15"/>
      <c r="H18" s="93"/>
      <c r="I18" s="85"/>
      <c r="J18" s="94">
        <f>SUM(J13:J17)</f>
        <v>75</v>
      </c>
      <c r="K18" s="95">
        <f>SUM(K13:K17)</f>
        <v>39462042</v>
      </c>
    </row>
    <row r="19" spans="2:19">
      <c r="B19" s="38"/>
      <c r="C19" s="19"/>
      <c r="D19" s="19"/>
      <c r="E19" s="292"/>
      <c r="F19" s="295"/>
      <c r="G19" s="15"/>
      <c r="H19" s="83"/>
      <c r="I19" s="83"/>
      <c r="J19" s="15"/>
      <c r="K19" s="15"/>
    </row>
    <row r="20" spans="2:19">
      <c r="B20" s="155" t="s">
        <v>429</v>
      </c>
      <c r="C20" s="100"/>
      <c r="D20" s="100"/>
      <c r="E20" s="297"/>
      <c r="F20" s="296">
        <f>SUM(F12:F18)</f>
        <v>52089895.440000005</v>
      </c>
      <c r="G20" s="15"/>
      <c r="H20" s="15"/>
      <c r="I20" s="15"/>
      <c r="J20" s="15"/>
      <c r="K20" s="15"/>
    </row>
    <row r="21" spans="2:19">
      <c r="B21" s="96" t="s">
        <v>430</v>
      </c>
      <c r="C21" s="306"/>
      <c r="D21" s="306"/>
      <c r="E21" s="318" t="s">
        <v>431</v>
      </c>
      <c r="F21" s="300">
        <f>'Sources and Uses'!G99</f>
        <v>43816936.890000001</v>
      </c>
      <c r="G21" s="15"/>
      <c r="H21" s="15"/>
      <c r="I21" s="15"/>
      <c r="J21" s="82"/>
      <c r="K21" s="15"/>
    </row>
    <row r="22" spans="2:19">
      <c r="B22" s="36" t="s">
        <v>432</v>
      </c>
      <c r="C22" s="16"/>
      <c r="D22" s="16"/>
      <c r="E22" s="310"/>
      <c r="F22" s="97"/>
      <c r="G22" s="15"/>
      <c r="H22" s="96" t="s">
        <v>433</v>
      </c>
      <c r="I22" s="16"/>
      <c r="J22" s="16"/>
      <c r="K22" s="97"/>
    </row>
    <row r="23" spans="2:19">
      <c r="B23" s="18" t="s">
        <v>434</v>
      </c>
      <c r="C23" s="15"/>
      <c r="D23" s="15"/>
      <c r="E23" s="79"/>
      <c r="F23" s="98"/>
      <c r="G23" s="15"/>
      <c r="H23" s="92" t="s">
        <v>435</v>
      </c>
      <c r="I23" s="15"/>
      <c r="J23" s="15"/>
      <c r="K23" s="98" t="str">
        <f>IF(D10=4%,'Sources and Uses'!I104-'Tax Credits'!K24,"")</f>
        <v/>
      </c>
    </row>
    <row r="24" spans="2:19">
      <c r="B24" s="38" t="s">
        <v>436</v>
      </c>
      <c r="C24" s="19"/>
      <c r="D24" s="19"/>
      <c r="E24" s="315"/>
      <c r="F24" s="319">
        <v>0</v>
      </c>
      <c r="G24" s="15"/>
      <c r="H24" s="92" t="s">
        <v>437</v>
      </c>
      <c r="I24" s="15"/>
      <c r="J24" s="15"/>
      <c r="K24" s="99" t="str">
        <f>IF(D10=4%,Summary!E36,"")</f>
        <v/>
      </c>
    </row>
    <row r="25" spans="2:19">
      <c r="B25" s="18"/>
      <c r="C25" s="15"/>
      <c r="D25" s="15"/>
      <c r="E25" s="298"/>
      <c r="F25" s="294"/>
      <c r="G25" s="15"/>
      <c r="H25" s="18" t="s">
        <v>438</v>
      </c>
      <c r="I25" s="15"/>
      <c r="J25" s="15"/>
      <c r="K25" s="99" t="str">
        <f>IFERROR(K23+K24,"")</f>
        <v/>
      </c>
    </row>
    <row r="26" spans="2:19">
      <c r="B26" s="18" t="s">
        <v>439</v>
      </c>
      <c r="C26" s="15"/>
      <c r="D26" s="15"/>
      <c r="E26" s="298"/>
      <c r="F26" s="294">
        <f>SUM(F21:F24)</f>
        <v>43816936.890000001</v>
      </c>
      <c r="G26" s="15"/>
      <c r="H26" s="18"/>
      <c r="I26" s="15"/>
      <c r="J26" s="15"/>
      <c r="K26" s="20"/>
    </row>
    <row r="27" spans="2:19">
      <c r="B27" s="38"/>
      <c r="C27" s="19"/>
      <c r="D27" s="19"/>
      <c r="E27" s="299"/>
      <c r="F27" s="295"/>
      <c r="G27" s="15"/>
      <c r="H27" s="92" t="s">
        <v>440</v>
      </c>
      <c r="I27" s="15"/>
      <c r="J27" s="15"/>
      <c r="K27" s="99" t="str">
        <f>IF(D10=4%,'Sources and Uses'!G99,"")</f>
        <v/>
      </c>
    </row>
    <row r="28" spans="2:19">
      <c r="B28" s="58" t="s">
        <v>441</v>
      </c>
      <c r="C28" s="47"/>
      <c r="D28" s="47"/>
      <c r="E28" s="301"/>
      <c r="F28" s="302">
        <f>IF(F20&gt;F26,F26,F20)</f>
        <v>43816936.890000001</v>
      </c>
      <c r="G28" s="15"/>
      <c r="H28" s="92" t="s">
        <v>442</v>
      </c>
      <c r="I28" s="100"/>
      <c r="J28" s="15"/>
      <c r="K28" s="101" t="str">
        <f>IF(D10=4%,'Sources and Uses'!F12,"")</f>
        <v/>
      </c>
    </row>
    <row r="29" spans="2:19">
      <c r="B29" s="303" t="s">
        <v>443</v>
      </c>
      <c r="C29" s="304"/>
      <c r="D29" s="304"/>
      <c r="E29" s="301"/>
      <c r="F29" s="305">
        <v>0</v>
      </c>
      <c r="G29" s="15"/>
      <c r="H29" s="92" t="s">
        <v>444</v>
      </c>
      <c r="I29" s="100"/>
      <c r="J29" s="15"/>
      <c r="K29" s="102" t="str">
        <f>IFERROR(K27+K28,"")</f>
        <v/>
      </c>
    </row>
    <row r="30" spans="2:19">
      <c r="B30" s="155" t="s">
        <v>445</v>
      </c>
      <c r="C30" s="156"/>
      <c r="D30" s="156"/>
      <c r="E30" s="316"/>
      <c r="F30" s="317">
        <f>SUM(F28:F29)</f>
        <v>43816936.890000001</v>
      </c>
      <c r="G30" s="15"/>
      <c r="H30" s="92"/>
      <c r="I30" s="100"/>
      <c r="J30" s="15"/>
      <c r="K30" s="102"/>
    </row>
    <row r="31" spans="2:19">
      <c r="B31" s="15"/>
      <c r="C31" s="15"/>
      <c r="D31" s="15"/>
      <c r="E31" s="79"/>
      <c r="F31" s="311"/>
      <c r="G31" s="15"/>
      <c r="H31" s="93" t="s">
        <v>446</v>
      </c>
      <c r="I31" s="19"/>
      <c r="J31" s="19"/>
      <c r="K31" s="103" t="str">
        <f>IFERROR(K25/K29,"")</f>
        <v/>
      </c>
      <c r="M31" s="573" t="s">
        <v>447</v>
      </c>
      <c r="N31" s="572"/>
      <c r="O31" s="572"/>
      <c r="P31" s="572"/>
      <c r="Q31" s="572"/>
      <c r="R31" s="572"/>
      <c r="S31" s="572"/>
    </row>
    <row r="32" spans="2:19">
      <c r="B32" s="36" t="s">
        <v>448</v>
      </c>
      <c r="C32" s="16"/>
      <c r="D32" s="16"/>
      <c r="E32" s="313" t="s">
        <v>449</v>
      </c>
      <c r="F32" s="314">
        <f>IF(E32="Yes",130%,100%)</f>
        <v>1.3</v>
      </c>
      <c r="G32" s="15"/>
      <c r="H32" s="15"/>
      <c r="I32" s="15"/>
      <c r="J32" s="15"/>
      <c r="K32" s="15"/>
    </row>
    <row r="33" spans="2:11">
      <c r="B33" s="38"/>
      <c r="C33" s="19"/>
      <c r="D33" s="19"/>
      <c r="E33" s="315"/>
      <c r="F33" s="293">
        <f>+F30*F32</f>
        <v>56962017.957000002</v>
      </c>
      <c r="G33" s="15"/>
      <c r="H33" s="15"/>
      <c r="I33" s="15"/>
      <c r="J33" s="15"/>
      <c r="K33" s="15"/>
    </row>
    <row r="34" spans="2:11">
      <c r="B34" s="18"/>
      <c r="C34" s="15"/>
      <c r="D34" s="15"/>
      <c r="E34" s="79"/>
      <c r="F34" s="98"/>
      <c r="G34" s="15"/>
      <c r="H34" s="15"/>
      <c r="I34" s="15"/>
      <c r="J34" s="15"/>
      <c r="K34" s="15"/>
    </row>
    <row r="35" spans="2:11">
      <c r="B35" s="38" t="s">
        <v>450</v>
      </c>
      <c r="C35" s="19"/>
      <c r="D35" s="19"/>
      <c r="E35" s="292"/>
      <c r="F35" s="312">
        <v>1</v>
      </c>
      <c r="G35" s="15"/>
      <c r="H35" s="15"/>
      <c r="I35" s="15"/>
      <c r="J35" s="15"/>
      <c r="K35" s="15"/>
    </row>
    <row r="36" spans="2:11">
      <c r="B36" s="15"/>
      <c r="C36" s="15"/>
      <c r="D36" s="15"/>
      <c r="E36" s="81"/>
      <c r="F36" s="84"/>
      <c r="G36" s="15"/>
      <c r="H36" s="15"/>
      <c r="I36" s="15"/>
      <c r="J36" s="15"/>
      <c r="K36" s="15"/>
    </row>
    <row r="37" spans="2:11">
      <c r="B37" s="96" t="s">
        <v>451</v>
      </c>
      <c r="C37" s="306"/>
      <c r="D37" s="306"/>
      <c r="E37" s="307"/>
      <c r="F37" s="308">
        <f>+F33*F35</f>
        <v>56962017.957000002</v>
      </c>
      <c r="G37" s="653"/>
      <c r="H37" s="15"/>
      <c r="I37" s="15"/>
      <c r="J37" s="15"/>
      <c r="K37" s="15"/>
    </row>
    <row r="38" spans="2:11">
      <c r="B38" s="18"/>
      <c r="C38" s="15"/>
      <c r="D38" s="15"/>
      <c r="E38" s="79"/>
      <c r="F38" s="98"/>
      <c r="G38" s="15"/>
      <c r="H38" s="15"/>
      <c r="I38" s="15"/>
      <c r="J38" s="15"/>
      <c r="K38" s="15"/>
    </row>
    <row r="39" spans="2:11">
      <c r="B39" s="38" t="s">
        <v>452</v>
      </c>
      <c r="C39" s="19"/>
      <c r="D39" s="19"/>
      <c r="E39" s="309"/>
      <c r="F39" s="103">
        <f>D10</f>
        <v>0.09</v>
      </c>
      <c r="G39" s="15"/>
      <c r="H39" s="15"/>
      <c r="I39" s="15"/>
      <c r="J39" s="15"/>
      <c r="K39" s="15"/>
    </row>
    <row r="40" spans="2:11">
      <c r="B40" s="15"/>
      <c r="C40" s="15"/>
      <c r="D40" s="15"/>
      <c r="E40" s="79"/>
      <c r="F40" s="82"/>
      <c r="G40" s="15"/>
      <c r="H40" s="15"/>
      <c r="I40" s="15"/>
      <c r="J40" s="15"/>
      <c r="K40" s="15"/>
    </row>
    <row r="41" spans="2:11" ht="14" customHeight="1">
      <c r="B41" s="96" t="s">
        <v>453</v>
      </c>
      <c r="C41" s="306"/>
      <c r="D41" s="306"/>
      <c r="E41" s="415"/>
      <c r="F41" s="416">
        <f>IF(F39=9%,K41,F37*F39)</f>
        <v>2500000</v>
      </c>
      <c r="G41" s="15"/>
      <c r="H41" s="856" t="s">
        <v>454</v>
      </c>
      <c r="I41" s="857"/>
      <c r="J41" s="858"/>
      <c r="K41" s="681">
        <v>2500000</v>
      </c>
    </row>
    <row r="42" spans="2:11">
      <c r="B42" s="18"/>
      <c r="C42" s="15"/>
      <c r="D42" s="15"/>
      <c r="E42" s="79"/>
      <c r="F42" s="98"/>
      <c r="G42" s="15"/>
      <c r="H42" s="15"/>
      <c r="I42" s="15"/>
      <c r="J42" s="15"/>
      <c r="K42" s="15"/>
    </row>
    <row r="43" spans="2:11">
      <c r="B43" s="18" t="s">
        <v>455</v>
      </c>
      <c r="C43" s="15"/>
      <c r="D43" s="15"/>
      <c r="E43" s="83"/>
      <c r="F43" s="98">
        <f>+F41*10</f>
        <v>25000000</v>
      </c>
      <c r="G43" s="15"/>
      <c r="H43" s="15"/>
      <c r="I43" s="15"/>
      <c r="J43" s="15"/>
      <c r="K43" s="15"/>
    </row>
    <row r="44" spans="2:11">
      <c r="B44" s="18"/>
      <c r="C44" s="15"/>
      <c r="D44" s="15"/>
      <c r="E44" s="83"/>
      <c r="F44" s="98"/>
      <c r="G44" s="15"/>
      <c r="H44" s="15"/>
      <c r="I44" s="15"/>
      <c r="J44" s="15"/>
      <c r="K44" s="15"/>
    </row>
    <row r="45" spans="2:11">
      <c r="B45" s="18" t="s">
        <v>456</v>
      </c>
      <c r="C45" s="15"/>
      <c r="D45" s="15"/>
      <c r="E45" s="83"/>
      <c r="F45" s="417">
        <v>0.99990000000000001</v>
      </c>
      <c r="G45" s="15"/>
      <c r="H45" s="15"/>
      <c r="I45" s="15"/>
      <c r="J45" s="15"/>
      <c r="K45" s="15"/>
    </row>
    <row r="46" spans="2:11">
      <c r="B46" s="18"/>
      <c r="C46" s="15"/>
      <c r="D46" s="15"/>
      <c r="E46" s="83"/>
      <c r="F46" s="98"/>
      <c r="G46" s="15"/>
      <c r="H46" s="15"/>
      <c r="I46" s="15"/>
      <c r="J46" s="15"/>
      <c r="K46" s="15"/>
    </row>
    <row r="47" spans="2:11">
      <c r="B47" s="18" t="s">
        <v>457</v>
      </c>
      <c r="C47" s="15"/>
      <c r="D47" s="15"/>
      <c r="E47" s="83"/>
      <c r="F47" s="98">
        <f>F45*F43</f>
        <v>24997500</v>
      </c>
      <c r="G47" s="15"/>
      <c r="H47" s="15"/>
      <c r="I47" s="15"/>
      <c r="J47" s="15"/>
      <c r="K47" s="15"/>
    </row>
    <row r="48" spans="2:11">
      <c r="B48" s="18"/>
      <c r="C48" s="15"/>
      <c r="D48" s="15"/>
      <c r="E48" s="83"/>
      <c r="F48" s="98"/>
      <c r="G48" s="15"/>
      <c r="H48" s="15"/>
      <c r="I48" s="15"/>
      <c r="J48" s="15"/>
      <c r="K48" s="15"/>
    </row>
    <row r="49" spans="2:11">
      <c r="B49" s="18" t="s">
        <v>458</v>
      </c>
      <c r="C49" s="15"/>
      <c r="D49" s="15"/>
      <c r="E49" s="83"/>
      <c r="F49" s="418">
        <v>0.85</v>
      </c>
      <c r="G49" s="15"/>
      <c r="H49" s="15"/>
      <c r="I49" s="15"/>
      <c r="J49" s="15"/>
      <c r="K49" s="15"/>
    </row>
    <row r="50" spans="2:11">
      <c r="B50" s="38"/>
      <c r="C50" s="19"/>
      <c r="D50" s="19"/>
      <c r="E50" s="85"/>
      <c r="F50" s="293"/>
      <c r="G50" s="15"/>
      <c r="H50" s="15"/>
      <c r="I50" s="15"/>
      <c r="J50" s="15"/>
      <c r="K50" s="15"/>
    </row>
    <row r="51" spans="2:11">
      <c r="B51" s="419" t="s">
        <v>459</v>
      </c>
      <c r="C51" s="86"/>
      <c r="D51" s="86"/>
      <c r="E51" s="86"/>
      <c r="F51" s="420">
        <f>+F49*F47</f>
        <v>21247875</v>
      </c>
      <c r="G51" s="15"/>
      <c r="H51" s="15"/>
      <c r="I51" s="15"/>
      <c r="J51" s="15"/>
      <c r="K51" s="15"/>
    </row>
    <row r="52" spans="2:11">
      <c r="B52" s="15"/>
      <c r="C52" s="15"/>
      <c r="D52" s="15"/>
      <c r="E52" s="15"/>
      <c r="F52" s="15"/>
      <c r="G52" s="15"/>
      <c r="H52" s="15"/>
      <c r="I52" s="15"/>
      <c r="J52" s="15"/>
      <c r="K52" s="15"/>
    </row>
    <row r="53" spans="2:11">
      <c r="B53" s="123" t="s">
        <v>460</v>
      </c>
      <c r="C53" s="167"/>
      <c r="D53" s="167"/>
      <c r="E53" s="167"/>
      <c r="F53" s="168"/>
      <c r="G53" s="15"/>
      <c r="H53" s="15"/>
      <c r="I53" s="15"/>
      <c r="J53" s="15"/>
      <c r="K53" s="15"/>
    </row>
    <row r="54" spans="2:11">
      <c r="B54" s="18" t="s">
        <v>461</v>
      </c>
      <c r="C54" s="15"/>
      <c r="D54" s="15"/>
      <c r="E54" s="15"/>
      <c r="F54" s="20"/>
      <c r="G54" s="15"/>
      <c r="H54" s="15"/>
      <c r="I54" s="15"/>
      <c r="J54" s="15"/>
      <c r="K54" s="15"/>
    </row>
    <row r="55" spans="2:11">
      <c r="B55" s="18"/>
      <c r="C55" s="15"/>
      <c r="D55" s="15"/>
      <c r="E55" s="15"/>
      <c r="F55" s="20"/>
      <c r="G55" s="15"/>
      <c r="H55" s="15"/>
      <c r="I55" s="15"/>
      <c r="J55" s="15"/>
      <c r="K55" s="15"/>
    </row>
    <row r="56" spans="2:11">
      <c r="B56" s="18" t="s">
        <v>462</v>
      </c>
      <c r="C56" s="15"/>
      <c r="D56" s="15"/>
      <c r="E56" s="15"/>
      <c r="F56" s="421"/>
      <c r="G56" s="15"/>
      <c r="H56" s="15"/>
      <c r="I56" s="15"/>
      <c r="J56" s="15"/>
      <c r="K56" s="15"/>
    </row>
    <row r="57" spans="2:11">
      <c r="B57" s="18"/>
      <c r="C57" s="15"/>
      <c r="D57" s="15"/>
      <c r="E57" s="15"/>
      <c r="F57" s="20"/>
      <c r="G57" s="15"/>
      <c r="H57" s="15"/>
      <c r="I57" s="15"/>
      <c r="J57" s="15"/>
      <c r="K57" s="15"/>
    </row>
    <row r="58" spans="2:11">
      <c r="B58" s="18" t="s">
        <v>463</v>
      </c>
      <c r="C58" s="15"/>
      <c r="D58" s="15"/>
      <c r="E58" s="15"/>
      <c r="F58" s="422"/>
      <c r="G58" s="15"/>
      <c r="H58" s="15"/>
      <c r="I58" s="15"/>
      <c r="J58" s="15"/>
      <c r="K58" s="15"/>
    </row>
    <row r="59" spans="2:11">
      <c r="B59" s="18"/>
      <c r="C59" s="15"/>
      <c r="D59" s="15"/>
      <c r="E59" s="15"/>
      <c r="F59" s="20"/>
      <c r="G59" s="15"/>
      <c r="H59" s="15"/>
      <c r="I59" s="15"/>
      <c r="J59" s="15"/>
      <c r="K59" s="15"/>
    </row>
    <row r="60" spans="2:11">
      <c r="B60" s="18" t="s">
        <v>464</v>
      </c>
      <c r="C60" s="15"/>
      <c r="D60" s="15"/>
      <c r="E60" s="15"/>
      <c r="F60" s="98">
        <f>+F58*F56</f>
        <v>0</v>
      </c>
      <c r="G60" s="15"/>
      <c r="H60" s="15"/>
      <c r="I60" s="15"/>
      <c r="J60" s="15"/>
      <c r="K60" s="15"/>
    </row>
    <row r="61" spans="2:11">
      <c r="B61" s="18"/>
      <c r="C61" s="15"/>
      <c r="D61" s="15"/>
      <c r="E61" s="15"/>
      <c r="F61" s="20"/>
      <c r="G61" s="15"/>
      <c r="H61" s="15"/>
      <c r="I61" s="15"/>
      <c r="J61" s="15"/>
      <c r="K61" s="15"/>
    </row>
    <row r="62" spans="2:11">
      <c r="B62" s="18" t="s">
        <v>465</v>
      </c>
      <c r="C62" s="15"/>
      <c r="D62" s="15"/>
      <c r="E62" s="83"/>
      <c r="F62" s="418"/>
      <c r="G62" s="15"/>
      <c r="H62" s="15"/>
      <c r="I62" s="15"/>
      <c r="J62" s="15"/>
      <c r="K62" s="15"/>
    </row>
    <row r="63" spans="2:11">
      <c r="B63" s="38"/>
      <c r="C63" s="19"/>
      <c r="D63" s="19"/>
      <c r="E63" s="85"/>
      <c r="F63" s="293"/>
      <c r="G63" s="15"/>
      <c r="H63" s="15"/>
      <c r="I63" s="15"/>
      <c r="J63" s="15"/>
      <c r="K63" s="15"/>
    </row>
    <row r="64" spans="2:11">
      <c r="B64" s="419" t="s">
        <v>466</v>
      </c>
      <c r="C64" s="86"/>
      <c r="D64" s="86"/>
      <c r="E64" s="86"/>
      <c r="F64" s="420">
        <f>+F60*F62</f>
        <v>0</v>
      </c>
      <c r="G64" s="15"/>
      <c r="H64" s="212"/>
      <c r="I64" s="15"/>
      <c r="J64" s="15"/>
      <c r="K64" s="15"/>
    </row>
    <row r="65" spans="2:11" ht="15" thickBot="1">
      <c r="B65" s="83"/>
      <c r="C65" s="83"/>
      <c r="D65" s="83"/>
      <c r="E65" s="83"/>
      <c r="F65" s="83"/>
      <c r="G65" s="15"/>
      <c r="H65" s="15"/>
      <c r="I65" s="15"/>
      <c r="J65" s="15"/>
      <c r="K65" s="15"/>
    </row>
    <row r="66" spans="2:11" ht="15" thickBot="1">
      <c r="B66" s="87" t="s">
        <v>467</v>
      </c>
      <c r="C66" s="88"/>
      <c r="D66" s="88"/>
      <c r="E66" s="89"/>
      <c r="F66" s="90">
        <f>+F64+F51</f>
        <v>21247875</v>
      </c>
      <c r="G66" s="15"/>
      <c r="H66" s="15"/>
      <c r="I66" s="15"/>
      <c r="J66" s="15"/>
      <c r="K66" s="15"/>
    </row>
    <row r="67" spans="2:11">
      <c r="B67" s="15"/>
      <c r="C67" s="15"/>
      <c r="D67" s="15"/>
      <c r="E67" s="15"/>
      <c r="F67" s="15"/>
      <c r="G67" s="15"/>
      <c r="H67" s="15"/>
      <c r="I67" s="15"/>
      <c r="J67" s="15"/>
      <c r="K67" s="15"/>
    </row>
    <row r="68" spans="2:11">
      <c r="B68" s="15"/>
      <c r="C68" s="15"/>
      <c r="D68" s="15"/>
      <c r="E68" s="15"/>
      <c r="F68" s="80"/>
      <c r="G68" s="15"/>
      <c r="H68" s="15"/>
      <c r="I68" s="15"/>
      <c r="J68" s="15"/>
      <c r="K68" s="15"/>
    </row>
    <row r="69" spans="2:11">
      <c r="B69" s="15"/>
      <c r="C69" s="15"/>
      <c r="D69" s="15"/>
      <c r="E69" s="15"/>
      <c r="F69" s="15"/>
      <c r="G69" s="15"/>
      <c r="H69" s="15"/>
      <c r="I69" s="15"/>
      <c r="J69" s="15"/>
      <c r="K69" s="15"/>
    </row>
    <row r="70" spans="2:11">
      <c r="B70" s="123" t="s">
        <v>468</v>
      </c>
      <c r="C70" s="47"/>
      <c r="D70" s="47"/>
      <c r="E70" s="253" t="s">
        <v>63</v>
      </c>
      <c r="F70" s="59" t="s">
        <v>64</v>
      </c>
      <c r="G70" s="15"/>
      <c r="H70" s="15"/>
      <c r="I70" s="15"/>
      <c r="J70" s="15"/>
      <c r="K70" s="15"/>
    </row>
    <row r="71" spans="2:11">
      <c r="B71" s="708" t="s">
        <v>66</v>
      </c>
      <c r="C71" s="15"/>
      <c r="D71" s="15"/>
      <c r="E71" s="442">
        <v>0.1</v>
      </c>
      <c r="F71" s="37">
        <f>IF(E71&gt;0,$F$76*E71,"")</f>
        <v>2124787.5</v>
      </c>
      <c r="G71" s="15"/>
      <c r="H71" s="15"/>
      <c r="I71" s="15"/>
      <c r="J71" s="15"/>
      <c r="K71" s="15"/>
    </row>
    <row r="72" spans="2:11">
      <c r="B72" s="708" t="s">
        <v>60</v>
      </c>
      <c r="C72" s="15"/>
      <c r="D72" s="15"/>
      <c r="E72" s="442">
        <v>0</v>
      </c>
      <c r="F72" s="37" t="str">
        <f>IF(E72&gt;0,$F$76*E72,"")</f>
        <v/>
      </c>
      <c r="G72" s="15"/>
      <c r="H72" s="15"/>
      <c r="I72" s="15"/>
      <c r="J72" s="15"/>
      <c r="K72" s="15"/>
    </row>
    <row r="73" spans="2:11">
      <c r="B73" s="708" t="s">
        <v>68</v>
      </c>
      <c r="C73" s="15"/>
      <c r="D73" s="15"/>
      <c r="E73" s="442">
        <v>0</v>
      </c>
      <c r="F73" s="37" t="str">
        <f>IF(E73&gt;0,$F$76*E73,"")</f>
        <v/>
      </c>
      <c r="G73" s="15"/>
      <c r="H73" s="15"/>
      <c r="I73" s="15"/>
      <c r="J73" s="15"/>
      <c r="K73" s="15"/>
    </row>
    <row r="74" spans="2:11">
      <c r="B74" s="708" t="s">
        <v>50</v>
      </c>
      <c r="C74" s="15"/>
      <c r="D74" s="15"/>
      <c r="E74" s="443">
        <v>0.89</v>
      </c>
      <c r="F74" s="37">
        <f>IF(E74&gt;0,$F$76*E74,"")</f>
        <v>18910608.75</v>
      </c>
      <c r="G74" s="15"/>
      <c r="H74" s="15"/>
      <c r="I74" s="15"/>
      <c r="J74" s="15"/>
      <c r="K74" s="15"/>
    </row>
    <row r="75" spans="2:11">
      <c r="B75" s="663">
        <v>8609</v>
      </c>
      <c r="C75" s="19"/>
      <c r="D75" s="19"/>
      <c r="E75" s="204">
        <v>0.01</v>
      </c>
      <c r="F75" s="60">
        <f>IF(E75&gt;0,$F$76*E75,"")</f>
        <v>212478.75</v>
      </c>
      <c r="G75" s="15"/>
      <c r="H75" s="15"/>
      <c r="I75" s="15"/>
      <c r="J75" s="15"/>
      <c r="K75" s="15"/>
    </row>
    <row r="76" spans="2:11">
      <c r="B76" s="157" t="s">
        <v>69</v>
      </c>
      <c r="C76" s="19"/>
      <c r="D76" s="19"/>
      <c r="E76" s="444">
        <f>SUM(E71:E75)</f>
        <v>1</v>
      </c>
      <c r="F76" s="431">
        <f>F66</f>
        <v>21247875</v>
      </c>
      <c r="G76" s="15"/>
      <c r="H76" s="15"/>
      <c r="I76" s="15"/>
      <c r="J76" s="15"/>
      <c r="K76" s="15"/>
    </row>
    <row r="77" spans="2:11">
      <c r="B77" s="15"/>
      <c r="C77" s="15"/>
      <c r="D77" s="15"/>
      <c r="E77" s="15"/>
      <c r="F77" s="15"/>
      <c r="G77" s="15"/>
      <c r="H77" s="15"/>
      <c r="I77" s="15"/>
      <c r="J77" s="15"/>
      <c r="K77" s="15"/>
    </row>
    <row r="78" spans="2:11">
      <c r="B78" s="15"/>
      <c r="C78" s="15"/>
      <c r="D78" s="15"/>
      <c r="E78" s="15"/>
      <c r="F78" s="15"/>
      <c r="G78" s="15"/>
      <c r="H78" s="15"/>
      <c r="I78" s="15"/>
      <c r="J78" s="15"/>
      <c r="K78" s="15"/>
    </row>
    <row r="79" spans="2:11">
      <c r="B79" s="15"/>
      <c r="C79" s="15"/>
      <c r="D79" s="15"/>
      <c r="E79" s="15"/>
      <c r="F79" s="15"/>
      <c r="G79" s="15"/>
      <c r="H79" s="15"/>
      <c r="I79" s="15"/>
      <c r="J79" s="15"/>
      <c r="K79" s="15"/>
    </row>
    <row r="80" spans="2:11">
      <c r="B80" s="15"/>
      <c r="C80" s="15"/>
      <c r="D80" s="15"/>
      <c r="E80" s="15"/>
      <c r="F80" s="15"/>
      <c r="G80" s="15"/>
      <c r="H80" s="15"/>
      <c r="I80" s="15"/>
      <c r="J80" s="15"/>
      <c r="K80" s="15"/>
    </row>
    <row r="81" spans="2:11">
      <c r="B81" s="15"/>
      <c r="C81" s="15"/>
      <c r="D81" s="15"/>
      <c r="E81" s="15"/>
      <c r="F81" s="15"/>
      <c r="G81" s="15"/>
      <c r="H81" s="15"/>
      <c r="I81" s="15"/>
      <c r="J81" s="15"/>
      <c r="K81" s="15"/>
    </row>
    <row r="82" spans="2:11">
      <c r="B82" s="15"/>
      <c r="C82" s="15"/>
      <c r="D82" s="15"/>
      <c r="E82" s="15"/>
      <c r="F82" s="15"/>
      <c r="G82" s="15"/>
      <c r="H82" s="15"/>
      <c r="I82" s="15"/>
      <c r="J82" s="15"/>
      <c r="K82" s="15"/>
    </row>
    <row r="83" spans="2:11">
      <c r="B83" s="15"/>
      <c r="C83" s="15"/>
      <c r="D83" s="15"/>
      <c r="E83" s="15"/>
      <c r="F83" s="15"/>
      <c r="G83" s="15"/>
      <c r="H83" s="15"/>
      <c r="I83" s="15"/>
      <c r="J83" s="15"/>
      <c r="K83" s="15"/>
    </row>
    <row r="84" spans="2:11">
      <c r="B84" s="15"/>
      <c r="C84" s="15"/>
      <c r="D84" s="15"/>
      <c r="E84" s="15"/>
      <c r="F84" s="15"/>
      <c r="G84" s="15"/>
      <c r="H84" s="15"/>
      <c r="I84" s="15"/>
      <c r="J84" s="15"/>
      <c r="K84" s="15"/>
    </row>
    <row r="85" spans="2:11">
      <c r="B85" s="15"/>
      <c r="C85" s="15"/>
      <c r="D85" s="15"/>
      <c r="E85" s="15"/>
      <c r="F85" s="15"/>
      <c r="G85" s="15"/>
      <c r="H85" s="15"/>
      <c r="I85" s="15"/>
      <c r="J85" s="15"/>
      <c r="K85" s="15"/>
    </row>
    <row r="86" spans="2:11">
      <c r="B86" s="15"/>
      <c r="C86" s="15"/>
      <c r="D86" s="15"/>
      <c r="E86" s="15"/>
      <c r="F86" s="15"/>
      <c r="G86" s="15"/>
      <c r="H86" s="15"/>
      <c r="I86" s="15"/>
      <c r="J86" s="15"/>
      <c r="K86" s="15"/>
    </row>
    <row r="87" spans="2:11">
      <c r="B87" s="15"/>
      <c r="C87" s="15"/>
      <c r="D87" s="15"/>
      <c r="E87" s="15"/>
      <c r="F87" s="15"/>
      <c r="G87" s="15"/>
      <c r="H87" s="15"/>
      <c r="I87" s="15"/>
      <c r="J87" s="15"/>
      <c r="K87" s="15"/>
    </row>
    <row r="88" spans="2:11">
      <c r="B88" s="15"/>
      <c r="C88" s="15"/>
      <c r="D88" s="15"/>
      <c r="E88" s="15"/>
      <c r="F88" s="15"/>
      <c r="G88" s="15"/>
      <c r="H88" s="15"/>
      <c r="I88" s="15"/>
      <c r="J88" s="15"/>
      <c r="K88" s="15"/>
    </row>
    <row r="89" spans="2:11">
      <c r="B89" s="15"/>
      <c r="C89" s="15"/>
      <c r="D89" s="15"/>
      <c r="E89" s="15"/>
      <c r="F89" s="15"/>
      <c r="G89" s="15"/>
      <c r="H89" s="15"/>
      <c r="I89" s="15"/>
      <c r="J89" s="15"/>
      <c r="K89" s="15"/>
    </row>
    <row r="90" spans="2:11">
      <c r="B90" s="15"/>
      <c r="C90" s="15"/>
      <c r="D90" s="15"/>
      <c r="E90" s="15"/>
      <c r="F90" s="15"/>
      <c r="G90" s="15"/>
      <c r="H90" s="15"/>
      <c r="I90" s="15"/>
      <c r="J90" s="15"/>
      <c r="K90" s="15"/>
    </row>
    <row r="91" spans="2:11">
      <c r="B91" s="15"/>
      <c r="C91" s="15"/>
      <c r="D91" s="15"/>
      <c r="E91" s="15"/>
      <c r="F91" s="15"/>
      <c r="G91" s="15"/>
      <c r="H91" s="15"/>
      <c r="I91" s="15"/>
      <c r="J91" s="15"/>
      <c r="K91" s="15"/>
    </row>
    <row r="92" spans="2:11">
      <c r="B92" s="15"/>
      <c r="C92" s="15"/>
      <c r="D92" s="15"/>
      <c r="E92" s="15"/>
      <c r="F92" s="15"/>
      <c r="G92" s="15"/>
      <c r="H92" s="15"/>
      <c r="I92" s="15"/>
      <c r="J92" s="15"/>
      <c r="K92" s="15"/>
    </row>
    <row r="93" spans="2:11">
      <c r="B93" s="15"/>
      <c r="C93" s="15"/>
      <c r="D93" s="15"/>
      <c r="E93" s="15"/>
      <c r="F93" s="15"/>
      <c r="G93" s="15"/>
      <c r="H93" s="15"/>
      <c r="I93" s="15"/>
      <c r="J93" s="15"/>
      <c r="K93" s="15"/>
    </row>
    <row r="94" spans="2:11">
      <c r="B94" s="15"/>
      <c r="C94" s="15"/>
      <c r="D94" s="15"/>
      <c r="E94" s="15"/>
      <c r="F94" s="15"/>
      <c r="G94" s="15"/>
      <c r="H94" s="15"/>
      <c r="I94" s="15"/>
      <c r="J94" s="15"/>
      <c r="K94" s="15"/>
    </row>
    <row r="95" spans="2:11">
      <c r="B95" s="15"/>
      <c r="C95" s="15"/>
      <c r="D95" s="15"/>
      <c r="E95" s="15"/>
      <c r="F95" s="15"/>
      <c r="G95" s="15"/>
      <c r="H95" s="15"/>
      <c r="I95" s="15"/>
      <c r="J95" s="15"/>
      <c r="K95" s="15"/>
    </row>
    <row r="96" spans="2:11">
      <c r="B96" s="15"/>
      <c r="C96" s="15"/>
      <c r="D96" s="15"/>
      <c r="E96" s="15"/>
      <c r="F96" s="15"/>
      <c r="G96" s="15"/>
      <c r="H96" s="15"/>
      <c r="I96" s="15"/>
      <c r="J96" s="15"/>
      <c r="K96" s="15"/>
    </row>
    <row r="97" spans="2:11">
      <c r="B97" s="15"/>
      <c r="C97" s="15"/>
      <c r="D97" s="15"/>
      <c r="E97" s="15"/>
      <c r="F97" s="15"/>
      <c r="G97" s="15"/>
      <c r="H97" s="15"/>
      <c r="I97" s="15"/>
      <c r="J97" s="15"/>
      <c r="K97" s="15"/>
    </row>
    <row r="98" spans="2:11">
      <c r="B98" s="15"/>
      <c r="C98" s="15"/>
      <c r="D98" s="15"/>
      <c r="E98" s="15"/>
      <c r="F98" s="15"/>
      <c r="G98" s="15"/>
      <c r="H98" s="15"/>
      <c r="I98" s="15"/>
      <c r="J98" s="15"/>
      <c r="K98" s="15"/>
    </row>
    <row r="99" spans="2:11">
      <c r="B99" s="15"/>
      <c r="C99" s="15"/>
      <c r="D99" s="15"/>
      <c r="E99" s="15"/>
      <c r="F99" s="15"/>
      <c r="G99" s="15"/>
      <c r="H99" s="15"/>
      <c r="I99" s="15"/>
      <c r="J99" s="15"/>
      <c r="K99" s="15"/>
    </row>
    <row r="100" spans="2:11">
      <c r="B100" s="15"/>
      <c r="C100" s="15"/>
      <c r="D100" s="15"/>
      <c r="E100" s="15"/>
      <c r="F100" s="15"/>
      <c r="G100" s="15"/>
      <c r="H100" s="15"/>
      <c r="I100" s="15"/>
      <c r="J100" s="15"/>
      <c r="K100" s="15"/>
    </row>
    <row r="101" spans="2:11">
      <c r="B101" s="15"/>
      <c r="C101" s="15"/>
      <c r="D101" s="15"/>
      <c r="E101" s="15"/>
      <c r="F101" s="15"/>
      <c r="G101" s="15"/>
      <c r="H101" s="15"/>
      <c r="I101" s="15"/>
      <c r="J101" s="15"/>
      <c r="K101" s="15"/>
    </row>
    <row r="102" spans="2:11">
      <c r="B102" s="15"/>
      <c r="C102" s="15"/>
      <c r="D102" s="15"/>
      <c r="E102" s="15"/>
      <c r="F102" s="15"/>
      <c r="G102" s="15"/>
      <c r="H102" s="15"/>
      <c r="I102" s="15"/>
      <c r="J102" s="15"/>
      <c r="K102" s="15"/>
    </row>
    <row r="103" spans="2:11">
      <c r="B103" s="15"/>
      <c r="C103" s="15"/>
      <c r="D103" s="15"/>
      <c r="E103" s="15"/>
      <c r="F103" s="15"/>
      <c r="G103" s="15"/>
      <c r="H103" s="15"/>
      <c r="I103" s="15"/>
      <c r="J103" s="15"/>
      <c r="K103" s="15"/>
    </row>
    <row r="104" spans="2:11">
      <c r="B104" s="15"/>
      <c r="C104" s="15"/>
      <c r="D104" s="15"/>
      <c r="E104" s="15"/>
      <c r="F104" s="15"/>
      <c r="G104" s="15"/>
      <c r="H104" s="15"/>
      <c r="I104" s="15"/>
      <c r="J104" s="15"/>
      <c r="K104" s="15"/>
    </row>
    <row r="105" spans="2:11">
      <c r="B105" s="15"/>
      <c r="C105" s="15"/>
      <c r="D105" s="15"/>
      <c r="E105" s="15"/>
      <c r="F105" s="15"/>
      <c r="G105" s="15"/>
      <c r="H105" s="15"/>
      <c r="I105" s="15"/>
      <c r="J105" s="15"/>
      <c r="K105" s="15"/>
    </row>
    <row r="106" spans="2:11">
      <c r="B106" s="15"/>
      <c r="C106" s="15"/>
      <c r="D106" s="15"/>
      <c r="E106" s="15"/>
      <c r="F106" s="15"/>
      <c r="G106" s="15"/>
      <c r="H106" s="15"/>
      <c r="I106" s="15"/>
      <c r="J106" s="15"/>
      <c r="K106" s="15"/>
    </row>
    <row r="107" spans="2:11">
      <c r="B107" s="15"/>
      <c r="C107" s="15"/>
      <c r="D107" s="15"/>
      <c r="E107" s="15"/>
      <c r="F107" s="15"/>
      <c r="G107" s="15"/>
      <c r="H107" s="15"/>
      <c r="I107" s="15"/>
      <c r="J107" s="15"/>
      <c r="K107" s="15"/>
    </row>
    <row r="108" spans="2:11">
      <c r="B108" s="15"/>
      <c r="C108" s="15"/>
      <c r="D108" s="15"/>
      <c r="E108" s="15"/>
      <c r="F108" s="15"/>
      <c r="G108" s="15"/>
      <c r="H108" s="15"/>
      <c r="I108" s="15"/>
      <c r="J108" s="15"/>
      <c r="K108" s="15"/>
    </row>
    <row r="109" spans="2:11">
      <c r="B109" s="15"/>
      <c r="C109" s="15"/>
      <c r="D109" s="15"/>
      <c r="E109" s="15"/>
      <c r="F109" s="15"/>
      <c r="G109" s="15"/>
      <c r="H109" s="15"/>
      <c r="I109" s="15"/>
      <c r="J109" s="15"/>
      <c r="K109" s="15"/>
    </row>
    <row r="110" spans="2:11">
      <c r="B110" s="15"/>
      <c r="C110" s="15"/>
      <c r="D110" s="15"/>
      <c r="E110" s="15"/>
      <c r="F110" s="15"/>
      <c r="G110" s="15"/>
      <c r="H110" s="15"/>
      <c r="I110" s="15"/>
      <c r="J110" s="15"/>
      <c r="K110" s="15"/>
    </row>
    <row r="111" spans="2:11">
      <c r="B111" s="15"/>
      <c r="C111" s="15"/>
      <c r="D111" s="15"/>
      <c r="E111" s="15"/>
      <c r="F111" s="15"/>
      <c r="G111" s="15"/>
      <c r="H111" s="15"/>
      <c r="I111" s="15"/>
      <c r="J111" s="15"/>
      <c r="K111" s="15"/>
    </row>
    <row r="112" spans="2:11">
      <c r="B112" s="15"/>
      <c r="C112" s="15"/>
      <c r="D112" s="15"/>
      <c r="E112" s="15"/>
      <c r="F112" s="15"/>
      <c r="G112" s="15"/>
      <c r="H112" s="15"/>
      <c r="I112" s="15"/>
      <c r="J112" s="15"/>
      <c r="K112" s="15"/>
    </row>
    <row r="113" spans="2:11">
      <c r="B113" s="15"/>
      <c r="C113" s="15"/>
      <c r="D113" s="15"/>
      <c r="E113" s="15"/>
      <c r="F113" s="15"/>
      <c r="G113" s="15"/>
      <c r="H113" s="15"/>
      <c r="I113" s="15"/>
      <c r="J113" s="15"/>
      <c r="K113" s="15"/>
    </row>
    <row r="114" spans="2:11">
      <c r="B114" s="15"/>
      <c r="C114" s="15"/>
      <c r="D114" s="15"/>
      <c r="E114" s="15"/>
      <c r="F114" s="15"/>
      <c r="G114" s="15"/>
      <c r="H114" s="15"/>
      <c r="I114" s="15"/>
      <c r="J114" s="15"/>
      <c r="K114" s="15"/>
    </row>
    <row r="115" spans="2:11">
      <c r="B115" s="15"/>
      <c r="C115" s="15"/>
      <c r="D115" s="15"/>
      <c r="E115" s="15"/>
      <c r="F115" s="15"/>
      <c r="G115" s="15"/>
      <c r="H115" s="15"/>
      <c r="I115" s="15"/>
      <c r="J115" s="15"/>
      <c r="K115" s="15"/>
    </row>
    <row r="116" spans="2:11">
      <c r="B116" s="15"/>
      <c r="C116" s="15"/>
      <c r="D116" s="15"/>
      <c r="E116" s="15"/>
      <c r="F116" s="15"/>
      <c r="G116" s="15"/>
      <c r="H116" s="15"/>
      <c r="I116" s="15"/>
      <c r="J116" s="15"/>
      <c r="K116" s="15"/>
    </row>
    <row r="117" spans="2:11">
      <c r="B117" s="15"/>
      <c r="C117" s="15"/>
      <c r="D117" s="15"/>
      <c r="E117" s="15"/>
      <c r="F117" s="15"/>
      <c r="G117" s="15"/>
      <c r="H117" s="15"/>
      <c r="I117" s="15"/>
      <c r="J117" s="15"/>
      <c r="K117" s="15"/>
    </row>
    <row r="118" spans="2:11">
      <c r="B118" s="15"/>
      <c r="C118" s="15"/>
      <c r="D118" s="15"/>
      <c r="E118" s="15"/>
      <c r="F118" s="15"/>
      <c r="G118" s="15"/>
      <c r="H118" s="15"/>
      <c r="I118" s="15"/>
      <c r="J118" s="15"/>
      <c r="K118" s="15"/>
    </row>
    <row r="119" spans="2:11">
      <c r="B119" s="15"/>
      <c r="C119" s="15"/>
      <c r="D119" s="15"/>
      <c r="E119" s="15"/>
      <c r="F119" s="15"/>
      <c r="G119" s="15"/>
      <c r="H119" s="15"/>
      <c r="I119" s="15"/>
      <c r="J119" s="15"/>
      <c r="K119" s="15"/>
    </row>
    <row r="120" spans="2:11">
      <c r="B120" s="15"/>
      <c r="C120" s="15"/>
      <c r="D120" s="15"/>
      <c r="E120" s="15"/>
      <c r="F120" s="15"/>
      <c r="G120" s="15"/>
      <c r="H120" s="15"/>
      <c r="I120" s="15"/>
      <c r="J120" s="15"/>
      <c r="K120" s="15"/>
    </row>
    <row r="121" spans="2:11">
      <c r="B121" s="15"/>
      <c r="C121" s="15"/>
      <c r="D121" s="15"/>
      <c r="E121" s="15"/>
      <c r="F121" s="15"/>
      <c r="G121" s="15"/>
      <c r="H121" s="15"/>
      <c r="I121" s="15"/>
      <c r="J121" s="15"/>
      <c r="K121" s="15"/>
    </row>
    <row r="122" spans="2:11">
      <c r="B122" s="15"/>
      <c r="C122" s="15"/>
      <c r="D122" s="15"/>
      <c r="E122" s="15"/>
      <c r="F122" s="15"/>
      <c r="G122" s="15"/>
      <c r="H122" s="15"/>
      <c r="I122" s="15"/>
      <c r="J122" s="15"/>
      <c r="K122" s="15"/>
    </row>
    <row r="123" spans="2:11">
      <c r="B123" s="15"/>
      <c r="C123" s="15"/>
      <c r="D123" s="15"/>
      <c r="E123" s="15"/>
      <c r="F123" s="15"/>
      <c r="G123" s="15"/>
      <c r="H123" s="15"/>
      <c r="I123" s="15"/>
      <c r="J123" s="15"/>
      <c r="K123" s="15"/>
    </row>
    <row r="124" spans="2:11">
      <c r="B124" s="15"/>
      <c r="C124" s="15"/>
      <c r="D124" s="15"/>
      <c r="E124" s="15"/>
      <c r="F124" s="15"/>
      <c r="G124" s="15"/>
      <c r="H124" s="15"/>
      <c r="I124" s="15"/>
      <c r="J124" s="15"/>
      <c r="K124" s="15"/>
    </row>
    <row r="125" spans="2:11">
      <c r="B125" s="15"/>
      <c r="C125" s="15"/>
      <c r="D125" s="15"/>
      <c r="E125" s="15"/>
      <c r="F125" s="15"/>
      <c r="G125" s="15"/>
      <c r="H125" s="15"/>
      <c r="I125" s="15"/>
      <c r="J125" s="15"/>
      <c r="K125" s="15"/>
    </row>
    <row r="126" spans="2:11">
      <c r="H126" s="15"/>
      <c r="I126" s="15"/>
      <c r="J126" s="15"/>
      <c r="K126" s="15"/>
    </row>
  </sheetData>
  <mergeCells count="2">
    <mergeCell ref="D6:E6"/>
    <mergeCell ref="H41:J41"/>
  </mergeCells>
  <pageMargins left="0.7" right="0.7" top="0.75" bottom="0.75" header="0.3" footer="0.3"/>
  <pageSetup scale="71" orientation="portrait" horizontalDpi="1200" verticalDpi="1200"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'Drop Down Menus'!$H$8:$H$9</xm:f>
          </x14:formula1>
          <xm:sqref>E32</xm:sqref>
        </x14:dataValidation>
        <x14:dataValidation type="list" allowBlank="1" showInputMessage="1" showErrorMessage="1" xr:uid="{00000000-0002-0000-0500-000001000000}">
          <x14:formula1>
            <xm:f>'Drop Down Menus'!$H$4:$H$5</xm:f>
          </x14:formula1>
          <xm:sqref>D10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C2:BW81"/>
  <sheetViews>
    <sheetView showGridLines="0" topLeftCell="B1" workbookViewId="0">
      <pane xSplit="3" ySplit="12" topLeftCell="AD19" activePane="bottomRight" state="frozen"/>
      <selection pane="topRight" activeCell="D1" sqref="D1"/>
      <selection pane="bottomLeft" activeCell="B13" sqref="B13"/>
      <selection pane="bottomRight" activeCell="C58" sqref="C58"/>
    </sheetView>
  </sheetViews>
  <sheetFormatPr baseColWidth="10" defaultColWidth="8.5" defaultRowHeight="14"/>
  <cols>
    <col min="1" max="1" width="8.5" style="13"/>
    <col min="2" max="2" width="5.33203125" style="13" customWidth="1"/>
    <col min="3" max="3" width="24" style="13" customWidth="1"/>
    <col min="4" max="4" width="13.6640625" style="13" customWidth="1"/>
    <col min="5" max="6" width="10.5" style="13" customWidth="1"/>
    <col min="7" max="7" width="13.5" style="13" customWidth="1"/>
    <col min="8" max="44" width="10.5" style="13" customWidth="1"/>
    <col min="45" max="45" width="9.1640625" style="15" bestFit="1" customWidth="1"/>
    <col min="46" max="75" width="8.5" style="15"/>
    <col min="76" max="16384" width="8.5" style="13"/>
  </cols>
  <sheetData>
    <row r="2" spans="3:75" ht="16">
      <c r="C2" s="372" t="s">
        <v>469</v>
      </c>
      <c r="D2" s="47"/>
      <c r="E2" s="47"/>
      <c r="F2" s="59"/>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row>
    <row r="3" spans="3:75">
      <c r="C3" s="165" t="s">
        <v>20</v>
      </c>
      <c r="D3" s="15"/>
      <c r="E3" s="339" t="str">
        <f>'Table of Contents'!B2</f>
        <v xml:space="preserve">Broadleaf Flats </v>
      </c>
      <c r="F3" s="20"/>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row>
    <row r="4" spans="3:75">
      <c r="C4" s="165" t="s">
        <v>2</v>
      </c>
      <c r="D4" s="15"/>
      <c r="E4" s="339" t="str">
        <f>'Table of Contents'!C4</f>
        <v>Cal Poly SLO - Driftwood Propery Development</v>
      </c>
      <c r="F4" s="20"/>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5"/>
    </row>
    <row r="5" spans="3:75">
      <c r="C5" s="165" t="s">
        <v>21</v>
      </c>
      <c r="D5" s="15"/>
      <c r="E5" s="595">
        <f>'Table of Contents'!C6</f>
        <v>45726</v>
      </c>
      <c r="F5" s="20"/>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row>
    <row r="6" spans="3:75">
      <c r="C6" s="341" t="s">
        <v>22</v>
      </c>
      <c r="D6" s="342"/>
      <c r="E6" s="709">
        <v>9</v>
      </c>
      <c r="F6" s="710"/>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3:7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3:75">
      <c r="C8" s="402" t="s">
        <v>470</v>
      </c>
      <c r="D8" s="59"/>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row>
    <row r="9" spans="3:75" ht="15">
      <c r="C9" s="130" t="s">
        <v>471</v>
      </c>
      <c r="D9" s="445">
        <v>0.02</v>
      </c>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row>
    <row r="10" spans="3:75" ht="30">
      <c r="C10" s="446" t="s">
        <v>472</v>
      </c>
      <c r="D10" s="447">
        <v>0.03</v>
      </c>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row>
    <row r="11" spans="3:75">
      <c r="C11" s="15"/>
      <c r="D11" s="77"/>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row>
    <row r="12" spans="3:75" s="14" customFormat="1">
      <c r="C12" s="123" t="s">
        <v>473</v>
      </c>
      <c r="D12" s="461" t="s">
        <v>474</v>
      </c>
      <c r="E12" s="171">
        <v>1</v>
      </c>
      <c r="F12" s="171">
        <v>2</v>
      </c>
      <c r="G12" s="171">
        <v>3</v>
      </c>
      <c r="H12" s="171">
        <v>4</v>
      </c>
      <c r="I12" s="171">
        <v>5</v>
      </c>
      <c r="J12" s="171">
        <v>6</v>
      </c>
      <c r="K12" s="171">
        <v>7</v>
      </c>
      <c r="L12" s="171">
        <v>8</v>
      </c>
      <c r="M12" s="171">
        <v>9</v>
      </c>
      <c r="N12" s="171">
        <v>10</v>
      </c>
      <c r="O12" s="171">
        <v>11</v>
      </c>
      <c r="P12" s="171">
        <v>12</v>
      </c>
      <c r="Q12" s="171">
        <v>13</v>
      </c>
      <c r="R12" s="171">
        <v>14</v>
      </c>
      <c r="S12" s="448">
        <v>15</v>
      </c>
      <c r="T12" s="171">
        <v>16</v>
      </c>
      <c r="U12" s="171">
        <v>17</v>
      </c>
      <c r="V12" s="171">
        <v>18</v>
      </c>
      <c r="W12" s="171">
        <v>19</v>
      </c>
      <c r="X12" s="171">
        <v>20</v>
      </c>
      <c r="Y12" s="171">
        <v>21</v>
      </c>
      <c r="Z12" s="171">
        <v>22</v>
      </c>
      <c r="AA12" s="171">
        <v>23</v>
      </c>
      <c r="AB12" s="171">
        <v>24</v>
      </c>
      <c r="AC12" s="171">
        <v>25</v>
      </c>
      <c r="AD12" s="171">
        <v>26</v>
      </c>
      <c r="AE12" s="171">
        <v>27</v>
      </c>
      <c r="AF12" s="171">
        <v>28</v>
      </c>
      <c r="AG12" s="171">
        <v>29</v>
      </c>
      <c r="AH12" s="171">
        <v>30</v>
      </c>
      <c r="AI12" s="171">
        <v>31</v>
      </c>
      <c r="AJ12" s="171">
        <v>32</v>
      </c>
      <c r="AK12" s="171">
        <v>33</v>
      </c>
      <c r="AL12" s="171">
        <v>34</v>
      </c>
      <c r="AM12" s="171">
        <v>35</v>
      </c>
      <c r="AN12" s="171">
        <v>36</v>
      </c>
      <c r="AO12" s="171">
        <v>37</v>
      </c>
      <c r="AP12" s="171">
        <v>38</v>
      </c>
      <c r="AQ12" s="171">
        <v>39</v>
      </c>
      <c r="AR12" s="172">
        <v>40</v>
      </c>
      <c r="AS12" s="50"/>
      <c r="AT12" s="50"/>
      <c r="AU12" s="50"/>
      <c r="AV12" s="50"/>
      <c r="AW12" s="50"/>
      <c r="AX12" s="50"/>
      <c r="AY12" s="50"/>
      <c r="AZ12" s="50"/>
      <c r="BA12" s="50"/>
      <c r="BB12" s="50"/>
      <c r="BC12" s="50"/>
      <c r="BD12" s="50"/>
      <c r="BE12" s="50"/>
      <c r="BF12" s="50"/>
      <c r="BG12" s="50"/>
      <c r="BH12" s="50"/>
      <c r="BI12" s="50"/>
      <c r="BJ12" s="50"/>
      <c r="BK12" s="50"/>
      <c r="BL12" s="50"/>
      <c r="BM12" s="50"/>
      <c r="BN12" s="50"/>
      <c r="BO12" s="50"/>
      <c r="BP12" s="50"/>
      <c r="BQ12" s="50"/>
      <c r="BR12" s="50"/>
      <c r="BS12" s="50"/>
      <c r="BT12" s="50"/>
      <c r="BU12" s="50"/>
      <c r="BV12" s="50"/>
      <c r="BW12" s="50"/>
    </row>
    <row r="13" spans="3:75">
      <c r="C13" s="18" t="str">
        <f>'Proforma - Base Year'!B16</f>
        <v>Total Revenue</v>
      </c>
      <c r="D13" s="462">
        <f>D9</f>
        <v>0.02</v>
      </c>
      <c r="E13" s="122">
        <f>'Proforma - Base Year'!D16</f>
        <v>1485668</v>
      </c>
      <c r="F13" s="122">
        <f>E13*(1+$D$13)</f>
        <v>1515381.36</v>
      </c>
      <c r="G13" s="122">
        <f>F13*(1+$D$13)</f>
        <v>1545688.9872000001</v>
      </c>
      <c r="H13" s="122">
        <f>G13*(1+$D$13)</f>
        <v>1576602.766944</v>
      </c>
      <c r="I13" s="122">
        <f t="shared" ref="I13:AR13" si="0">H13*(1+$D$13)</f>
        <v>1608134.8222828801</v>
      </c>
      <c r="J13" s="122">
        <f t="shared" si="0"/>
        <v>1640297.5187285377</v>
      </c>
      <c r="K13" s="122">
        <f t="shared" si="0"/>
        <v>1673103.4691031084</v>
      </c>
      <c r="L13" s="122">
        <f t="shared" si="0"/>
        <v>1706565.5384851706</v>
      </c>
      <c r="M13" s="122">
        <f t="shared" si="0"/>
        <v>1740696.849254874</v>
      </c>
      <c r="N13" s="122">
        <f t="shared" si="0"/>
        <v>1775510.7862399716</v>
      </c>
      <c r="O13" s="122">
        <f t="shared" si="0"/>
        <v>1811021.0019647712</v>
      </c>
      <c r="P13" s="122">
        <f t="shared" si="0"/>
        <v>1847241.4220040666</v>
      </c>
      <c r="Q13" s="122">
        <f t="shared" si="0"/>
        <v>1884186.250444148</v>
      </c>
      <c r="R13" s="122">
        <f t="shared" si="0"/>
        <v>1921869.975453031</v>
      </c>
      <c r="S13" s="449">
        <f t="shared" si="0"/>
        <v>1960307.3749620917</v>
      </c>
      <c r="T13" s="122">
        <f t="shared" si="0"/>
        <v>1999513.5224613335</v>
      </c>
      <c r="U13" s="122">
        <f t="shared" si="0"/>
        <v>2039503.7929105603</v>
      </c>
      <c r="V13" s="122">
        <f t="shared" si="0"/>
        <v>2080293.8687687714</v>
      </c>
      <c r="W13" s="122">
        <f t="shared" si="0"/>
        <v>2121899.7461441467</v>
      </c>
      <c r="X13" s="122">
        <f t="shared" si="0"/>
        <v>2164337.7410670295</v>
      </c>
      <c r="Y13" s="122">
        <f t="shared" si="0"/>
        <v>2207624.4958883701</v>
      </c>
      <c r="Z13" s="122">
        <f t="shared" si="0"/>
        <v>2251776.9858061373</v>
      </c>
      <c r="AA13" s="122">
        <f t="shared" si="0"/>
        <v>2296812.52552226</v>
      </c>
      <c r="AB13" s="122">
        <f t="shared" si="0"/>
        <v>2342748.7760327053</v>
      </c>
      <c r="AC13" s="122">
        <f t="shared" si="0"/>
        <v>2389603.7515533594</v>
      </c>
      <c r="AD13" s="122">
        <f t="shared" si="0"/>
        <v>2437395.8265844267</v>
      </c>
      <c r="AE13" s="122">
        <f t="shared" si="0"/>
        <v>2486143.7431161152</v>
      </c>
      <c r="AF13" s="122">
        <f t="shared" si="0"/>
        <v>2535866.6179784373</v>
      </c>
      <c r="AG13" s="122">
        <f t="shared" si="0"/>
        <v>2586583.950338006</v>
      </c>
      <c r="AH13" s="122">
        <f t="shared" si="0"/>
        <v>2638315.629344766</v>
      </c>
      <c r="AI13" s="122">
        <f t="shared" si="0"/>
        <v>2691081.9419316612</v>
      </c>
      <c r="AJ13" s="122">
        <f t="shared" si="0"/>
        <v>2744903.5807702946</v>
      </c>
      <c r="AK13" s="122">
        <f t="shared" si="0"/>
        <v>2799801.6523857005</v>
      </c>
      <c r="AL13" s="122">
        <f t="shared" si="0"/>
        <v>2855797.6854334148</v>
      </c>
      <c r="AM13" s="122">
        <f t="shared" si="0"/>
        <v>2912913.639142083</v>
      </c>
      <c r="AN13" s="122">
        <f t="shared" si="0"/>
        <v>2971171.9119249247</v>
      </c>
      <c r="AO13" s="122">
        <f t="shared" si="0"/>
        <v>3030595.3501634235</v>
      </c>
      <c r="AP13" s="122">
        <f t="shared" si="0"/>
        <v>3091207.2571666921</v>
      </c>
      <c r="AQ13" s="122">
        <f t="shared" si="0"/>
        <v>3153031.4023100259</v>
      </c>
      <c r="AR13" s="37">
        <f t="shared" si="0"/>
        <v>3216092.0303562265</v>
      </c>
      <c r="AS13" s="37">
        <f t="shared" ref="AS13" si="1">AR13*(1+$D$13)</f>
        <v>3280413.8709633509</v>
      </c>
      <c r="AT13" s="37">
        <f t="shared" ref="AT13" si="2">AS13*(1+$D$13)</f>
        <v>3346022.1483826181</v>
      </c>
      <c r="AU13" s="37">
        <f t="shared" ref="AU13" si="3">AT13*(1+$D$13)</f>
        <v>3412942.5913502704</v>
      </c>
      <c r="AV13" s="37">
        <f t="shared" ref="AV13" si="4">AU13*(1+$D$13)</f>
        <v>3481201.4431772758</v>
      </c>
    </row>
    <row r="14" spans="3:75">
      <c r="C14" s="38" t="str">
        <f>'Proforma - Base Year'!B22</f>
        <v>Total Vacancy</v>
      </c>
      <c r="D14" s="463">
        <f>D9</f>
        <v>0.02</v>
      </c>
      <c r="E14" s="56">
        <f>'Proforma - Base Year'!D22</f>
        <v>73283.400000000009</v>
      </c>
      <c r="F14" s="56">
        <f>E14*(1+$D$14)</f>
        <v>74749.068000000014</v>
      </c>
      <c r="G14" s="56">
        <f t="shared" ref="G14:H14" si="5">F14*(1+$D$14)</f>
        <v>76244.049360000019</v>
      </c>
      <c r="H14" s="56">
        <f t="shared" si="5"/>
        <v>77768.930347200017</v>
      </c>
      <c r="I14" s="56">
        <f t="shared" ref="I14:AR14" si="6">H14*(1+$D$14)</f>
        <v>79324.308954144013</v>
      </c>
      <c r="J14" s="56">
        <f t="shared" si="6"/>
        <v>80910.7951332269</v>
      </c>
      <c r="K14" s="56">
        <f t="shared" si="6"/>
        <v>82529.011035891439</v>
      </c>
      <c r="L14" s="56">
        <f t="shared" si="6"/>
        <v>84179.591256609274</v>
      </c>
      <c r="M14" s="56">
        <f t="shared" si="6"/>
        <v>85863.183081741459</v>
      </c>
      <c r="N14" s="56">
        <f t="shared" si="6"/>
        <v>87580.446743376291</v>
      </c>
      <c r="O14" s="56">
        <f t="shared" si="6"/>
        <v>89332.055678243822</v>
      </c>
      <c r="P14" s="56">
        <f t="shared" si="6"/>
        <v>91118.696791808703</v>
      </c>
      <c r="Q14" s="56">
        <f t="shared" si="6"/>
        <v>92941.070727644881</v>
      </c>
      <c r="R14" s="56">
        <f t="shared" si="6"/>
        <v>94799.892142197787</v>
      </c>
      <c r="S14" s="131">
        <f t="shared" si="6"/>
        <v>96695.889985041751</v>
      </c>
      <c r="T14" s="56">
        <f t="shared" si="6"/>
        <v>98629.807784742588</v>
      </c>
      <c r="U14" s="56">
        <f t="shared" si="6"/>
        <v>100602.40394043745</v>
      </c>
      <c r="V14" s="56">
        <f t="shared" si="6"/>
        <v>102614.45201924619</v>
      </c>
      <c r="W14" s="56">
        <f t="shared" si="6"/>
        <v>104666.74105963112</v>
      </c>
      <c r="X14" s="56">
        <f t="shared" si="6"/>
        <v>106760.07588082374</v>
      </c>
      <c r="Y14" s="56">
        <f t="shared" si="6"/>
        <v>108895.27739844022</v>
      </c>
      <c r="Z14" s="56">
        <f t="shared" si="6"/>
        <v>111073.18294640903</v>
      </c>
      <c r="AA14" s="56">
        <f t="shared" si="6"/>
        <v>113294.64660533721</v>
      </c>
      <c r="AB14" s="56">
        <f t="shared" si="6"/>
        <v>115560.53953744395</v>
      </c>
      <c r="AC14" s="56">
        <f t="shared" si="6"/>
        <v>117871.75032819284</v>
      </c>
      <c r="AD14" s="56">
        <f t="shared" si="6"/>
        <v>120229.18533475669</v>
      </c>
      <c r="AE14" s="56">
        <f t="shared" si="6"/>
        <v>122633.76904145183</v>
      </c>
      <c r="AF14" s="56">
        <f t="shared" si="6"/>
        <v>125086.44442228087</v>
      </c>
      <c r="AG14" s="56">
        <f t="shared" si="6"/>
        <v>127588.17331072649</v>
      </c>
      <c r="AH14" s="56">
        <f t="shared" si="6"/>
        <v>130139.93677694102</v>
      </c>
      <c r="AI14" s="56">
        <f t="shared" si="6"/>
        <v>132742.73551247985</v>
      </c>
      <c r="AJ14" s="56">
        <f t="shared" si="6"/>
        <v>135397.59022272946</v>
      </c>
      <c r="AK14" s="56">
        <f t="shared" si="6"/>
        <v>138105.54202718404</v>
      </c>
      <c r="AL14" s="56">
        <f t="shared" si="6"/>
        <v>140867.65286772774</v>
      </c>
      <c r="AM14" s="56">
        <f t="shared" si="6"/>
        <v>143685.00592508228</v>
      </c>
      <c r="AN14" s="56">
        <f t="shared" si="6"/>
        <v>146558.70604358392</v>
      </c>
      <c r="AO14" s="56">
        <f t="shared" si="6"/>
        <v>149489.88016445559</v>
      </c>
      <c r="AP14" s="56">
        <f t="shared" si="6"/>
        <v>152479.6777677447</v>
      </c>
      <c r="AQ14" s="56">
        <f t="shared" si="6"/>
        <v>155529.27132309959</v>
      </c>
      <c r="AR14" s="60">
        <f t="shared" si="6"/>
        <v>158639.85674956159</v>
      </c>
    </row>
    <row r="15" spans="3:75" s="14" customFormat="1">
      <c r="C15" s="165" t="str">
        <f>'Proforma - Base Year'!B23</f>
        <v>Effective Gross Income</v>
      </c>
      <c r="D15" s="464"/>
      <c r="E15" s="332">
        <f>E13-E14</f>
        <v>1412384.6</v>
      </c>
      <c r="F15" s="332">
        <f>F13-F14</f>
        <v>1440632.2920000001</v>
      </c>
      <c r="G15" s="332">
        <f>G13-G14</f>
        <v>1469444.93784</v>
      </c>
      <c r="H15" s="332">
        <f>H13-H14</f>
        <v>1498833.8365968</v>
      </c>
      <c r="I15" s="332">
        <f t="shared" ref="I15:AR15" si="7">I13-I14</f>
        <v>1528810.5133287362</v>
      </c>
      <c r="J15" s="332">
        <f t="shared" si="7"/>
        <v>1559386.7235953109</v>
      </c>
      <c r="K15" s="332">
        <f t="shared" si="7"/>
        <v>1590574.4580672169</v>
      </c>
      <c r="L15" s="332">
        <f t="shared" si="7"/>
        <v>1622385.9472285614</v>
      </c>
      <c r="M15" s="332">
        <f t="shared" si="7"/>
        <v>1654833.6661731326</v>
      </c>
      <c r="N15" s="332">
        <f t="shared" si="7"/>
        <v>1687930.3394965953</v>
      </c>
      <c r="O15" s="332">
        <f t="shared" si="7"/>
        <v>1721688.9462865274</v>
      </c>
      <c r="P15" s="332">
        <f t="shared" si="7"/>
        <v>1756122.7252122578</v>
      </c>
      <c r="Q15" s="332">
        <f t="shared" si="7"/>
        <v>1791245.179716503</v>
      </c>
      <c r="R15" s="332">
        <f t="shared" si="7"/>
        <v>1827070.0833108332</v>
      </c>
      <c r="S15" s="450">
        <f t="shared" si="7"/>
        <v>1863611.48497705</v>
      </c>
      <c r="T15" s="332">
        <f t="shared" si="7"/>
        <v>1900883.7146765909</v>
      </c>
      <c r="U15" s="332">
        <f t="shared" si="7"/>
        <v>1938901.3889701229</v>
      </c>
      <c r="V15" s="332">
        <f t="shared" si="7"/>
        <v>1977679.4167495251</v>
      </c>
      <c r="W15" s="332">
        <f t="shared" si="7"/>
        <v>2017233.0050845155</v>
      </c>
      <c r="X15" s="332">
        <f t="shared" si="7"/>
        <v>2057577.6651862059</v>
      </c>
      <c r="Y15" s="332">
        <f t="shared" si="7"/>
        <v>2098729.21848993</v>
      </c>
      <c r="Z15" s="332">
        <f t="shared" si="7"/>
        <v>2140703.8028597282</v>
      </c>
      <c r="AA15" s="332">
        <f t="shared" si="7"/>
        <v>2183517.878916923</v>
      </c>
      <c r="AB15" s="332">
        <f t="shared" si="7"/>
        <v>2227188.2364952615</v>
      </c>
      <c r="AC15" s="332">
        <f t="shared" si="7"/>
        <v>2271732.0012251665</v>
      </c>
      <c r="AD15" s="332">
        <f t="shared" si="7"/>
        <v>2317166.6412496702</v>
      </c>
      <c r="AE15" s="332">
        <f t="shared" si="7"/>
        <v>2363509.9740746636</v>
      </c>
      <c r="AF15" s="332">
        <f t="shared" si="7"/>
        <v>2410780.1735561565</v>
      </c>
      <c r="AG15" s="332">
        <f t="shared" si="7"/>
        <v>2458995.7770272796</v>
      </c>
      <c r="AH15" s="332">
        <f t="shared" si="7"/>
        <v>2508175.6925678249</v>
      </c>
      <c r="AI15" s="332">
        <f t="shared" si="7"/>
        <v>2558339.2064191815</v>
      </c>
      <c r="AJ15" s="332">
        <f t="shared" si="7"/>
        <v>2609505.9905475653</v>
      </c>
      <c r="AK15" s="332">
        <f t="shared" si="7"/>
        <v>2661696.1103585167</v>
      </c>
      <c r="AL15" s="332">
        <f t="shared" si="7"/>
        <v>2714930.0325656869</v>
      </c>
      <c r="AM15" s="332">
        <f t="shared" si="7"/>
        <v>2769228.6332170009</v>
      </c>
      <c r="AN15" s="332">
        <f t="shared" si="7"/>
        <v>2824613.2058813409</v>
      </c>
      <c r="AO15" s="332">
        <f t="shared" si="7"/>
        <v>2881105.4699989678</v>
      </c>
      <c r="AP15" s="332">
        <f t="shared" si="7"/>
        <v>2938727.5793989473</v>
      </c>
      <c r="AQ15" s="332">
        <f t="shared" si="7"/>
        <v>2997502.1309869261</v>
      </c>
      <c r="AR15" s="451">
        <f t="shared" si="7"/>
        <v>3057452.1736066649</v>
      </c>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c r="BS15" s="50"/>
      <c r="BT15" s="50"/>
      <c r="BU15" s="50"/>
      <c r="BV15" s="50"/>
      <c r="BW15" s="50"/>
    </row>
    <row r="16" spans="3:75">
      <c r="C16" s="18"/>
      <c r="D16" s="465"/>
      <c r="E16" s="122"/>
      <c r="F16" s="15"/>
      <c r="G16" s="15"/>
      <c r="H16" s="15"/>
      <c r="I16" s="15"/>
      <c r="J16" s="15"/>
      <c r="K16" s="15"/>
      <c r="L16" s="15"/>
      <c r="M16" s="15"/>
      <c r="N16" s="15"/>
      <c r="O16" s="15"/>
      <c r="P16" s="15"/>
      <c r="Q16" s="15"/>
      <c r="R16" s="15"/>
      <c r="S16" s="452"/>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20"/>
    </row>
    <row r="17" spans="3:75">
      <c r="C17" s="18" t="str">
        <f>'Proforma - Base Year'!B26</f>
        <v>Property Management Fees</v>
      </c>
      <c r="D17" s="618">
        <f>$D$10</f>
        <v>0.03</v>
      </c>
      <c r="E17" s="122">
        <f>'Proforma - Base Year'!D26</f>
        <v>56495.384000000005</v>
      </c>
      <c r="F17" s="122">
        <f>E17*(1+$D17)</f>
        <v>58190.245520000004</v>
      </c>
      <c r="G17" s="122">
        <f>F17*(1+$D17)</f>
        <v>59935.952885600003</v>
      </c>
      <c r="H17" s="122">
        <f>G17*(1+$D17)</f>
        <v>61734.031472168004</v>
      </c>
      <c r="I17" s="122">
        <f t="shared" ref="I17:AR17" si="8">H17*(1+$D17)</f>
        <v>63586.052416333048</v>
      </c>
      <c r="J17" s="122">
        <f t="shared" si="8"/>
        <v>65493.633988823043</v>
      </c>
      <c r="K17" s="122">
        <f t="shared" si="8"/>
        <v>67458.443008487739</v>
      </c>
      <c r="L17" s="122">
        <f t="shared" si="8"/>
        <v>69482.196298742376</v>
      </c>
      <c r="M17" s="122">
        <f t="shared" si="8"/>
        <v>71566.662187704642</v>
      </c>
      <c r="N17" s="122">
        <f t="shared" si="8"/>
        <v>73713.662053335778</v>
      </c>
      <c r="O17" s="122">
        <f t="shared" si="8"/>
        <v>75925.071914935848</v>
      </c>
      <c r="P17" s="122">
        <f t="shared" si="8"/>
        <v>78202.824072383926</v>
      </c>
      <c r="Q17" s="122">
        <f t="shared" si="8"/>
        <v>80548.908794555449</v>
      </c>
      <c r="R17" s="122">
        <f t="shared" si="8"/>
        <v>82965.37605839211</v>
      </c>
      <c r="S17" s="449">
        <f t="shared" si="8"/>
        <v>85454.337340143873</v>
      </c>
      <c r="T17" s="122">
        <f t="shared" si="8"/>
        <v>88017.967460348198</v>
      </c>
      <c r="U17" s="122">
        <f t="shared" si="8"/>
        <v>90658.506484158643</v>
      </c>
      <c r="V17" s="122">
        <f t="shared" si="8"/>
        <v>93378.261678683411</v>
      </c>
      <c r="W17" s="122">
        <f t="shared" si="8"/>
        <v>96179.609529043912</v>
      </c>
      <c r="X17" s="122">
        <f t="shared" si="8"/>
        <v>99064.99781491523</v>
      </c>
      <c r="Y17" s="122">
        <f t="shared" si="8"/>
        <v>102036.94774936269</v>
      </c>
      <c r="Z17" s="122">
        <f t="shared" si="8"/>
        <v>105098.05618184357</v>
      </c>
      <c r="AA17" s="122">
        <f t="shared" si="8"/>
        <v>108250.99786729888</v>
      </c>
      <c r="AB17" s="122">
        <f t="shared" si="8"/>
        <v>111498.52780331785</v>
      </c>
      <c r="AC17" s="122">
        <f t="shared" si="8"/>
        <v>114843.48363741739</v>
      </c>
      <c r="AD17" s="122">
        <f t="shared" si="8"/>
        <v>118288.78814653991</v>
      </c>
      <c r="AE17" s="122">
        <f t="shared" si="8"/>
        <v>121837.45179093612</v>
      </c>
      <c r="AF17" s="122">
        <f t="shared" si="8"/>
        <v>125492.5753446642</v>
      </c>
      <c r="AG17" s="122">
        <f t="shared" si="8"/>
        <v>129257.35260500414</v>
      </c>
      <c r="AH17" s="122">
        <f t="shared" si="8"/>
        <v>133135.07318315428</v>
      </c>
      <c r="AI17" s="122">
        <f t="shared" si="8"/>
        <v>137129.12537864893</v>
      </c>
      <c r="AJ17" s="122">
        <f t="shared" si="8"/>
        <v>141242.99914000841</v>
      </c>
      <c r="AK17" s="122">
        <f t="shared" si="8"/>
        <v>145480.28911420866</v>
      </c>
      <c r="AL17" s="122">
        <f t="shared" si="8"/>
        <v>149844.69778763491</v>
      </c>
      <c r="AM17" s="122">
        <f t="shared" si="8"/>
        <v>154340.03872126396</v>
      </c>
      <c r="AN17" s="122">
        <f t="shared" si="8"/>
        <v>158970.23988290189</v>
      </c>
      <c r="AO17" s="122">
        <f t="shared" si="8"/>
        <v>163739.34707938894</v>
      </c>
      <c r="AP17" s="122">
        <f t="shared" si="8"/>
        <v>168651.52749177063</v>
      </c>
      <c r="AQ17" s="122">
        <f t="shared" si="8"/>
        <v>173711.07331652375</v>
      </c>
      <c r="AR17" s="37">
        <f t="shared" si="8"/>
        <v>178922.40551601947</v>
      </c>
    </row>
    <row r="18" spans="3:75">
      <c r="C18" s="18" t="str">
        <f>'Proforma - Base Year'!B27</f>
        <v>Insurance</v>
      </c>
      <c r="D18" s="618">
        <f t="shared" ref="D18:D27" si="9">$D$10</f>
        <v>0.03</v>
      </c>
      <c r="E18" s="122">
        <f>'Proforma - Base Year'!D27</f>
        <v>65940</v>
      </c>
      <c r="F18" s="122">
        <f t="shared" ref="F18:G30" si="10">E18*(1+$D18)</f>
        <v>67918.2</v>
      </c>
      <c r="G18" s="122">
        <f t="shared" ref="G18:G27" si="11">F18*(1+$D18)</f>
        <v>69955.745999999999</v>
      </c>
      <c r="H18" s="122">
        <f t="shared" ref="H18:AR18" si="12">G18*(1+$D18)</f>
        <v>72054.418380000003</v>
      </c>
      <c r="I18" s="122">
        <f t="shared" si="12"/>
        <v>74216.050931400008</v>
      </c>
      <c r="J18" s="122">
        <f t="shared" si="12"/>
        <v>76442.532459342008</v>
      </c>
      <c r="K18" s="122">
        <f t="shared" si="12"/>
        <v>78735.808433122264</v>
      </c>
      <c r="L18" s="122">
        <f t="shared" si="12"/>
        <v>81097.882686115932</v>
      </c>
      <c r="M18" s="122">
        <f t="shared" si="12"/>
        <v>83530.81916669941</v>
      </c>
      <c r="N18" s="122">
        <f t="shared" si="12"/>
        <v>86036.743741700397</v>
      </c>
      <c r="O18" s="122">
        <f t="shared" si="12"/>
        <v>88617.846053951405</v>
      </c>
      <c r="P18" s="122">
        <f t="shared" si="12"/>
        <v>91276.381435569943</v>
      </c>
      <c r="Q18" s="122">
        <f t="shared" si="12"/>
        <v>94014.672878637037</v>
      </c>
      <c r="R18" s="122">
        <f t="shared" si="12"/>
        <v>96835.113064996156</v>
      </c>
      <c r="S18" s="449">
        <f t="shared" si="12"/>
        <v>99740.166456946041</v>
      </c>
      <c r="T18" s="122">
        <f t="shared" si="12"/>
        <v>102732.37145065442</v>
      </c>
      <c r="U18" s="122">
        <f t="shared" si="12"/>
        <v>105814.34259417406</v>
      </c>
      <c r="V18" s="122">
        <f t="shared" si="12"/>
        <v>108988.77287199929</v>
      </c>
      <c r="W18" s="122">
        <f t="shared" si="12"/>
        <v>112258.43605815926</v>
      </c>
      <c r="X18" s="122">
        <f t="shared" si="12"/>
        <v>115626.18913990405</v>
      </c>
      <c r="Y18" s="122">
        <f t="shared" si="12"/>
        <v>119094.97481410117</v>
      </c>
      <c r="Z18" s="122">
        <f t="shared" si="12"/>
        <v>122667.8240585242</v>
      </c>
      <c r="AA18" s="122">
        <f t="shared" si="12"/>
        <v>126347.85878027993</v>
      </c>
      <c r="AB18" s="122">
        <f t="shared" si="12"/>
        <v>130138.29454368833</v>
      </c>
      <c r="AC18" s="122">
        <f t="shared" si="12"/>
        <v>134042.44337999899</v>
      </c>
      <c r="AD18" s="122">
        <f t="shared" si="12"/>
        <v>138063.71668139898</v>
      </c>
      <c r="AE18" s="122">
        <f t="shared" si="12"/>
        <v>142205.62818184096</v>
      </c>
      <c r="AF18" s="122">
        <f t="shared" si="12"/>
        <v>146471.79702729618</v>
      </c>
      <c r="AG18" s="122">
        <f t="shared" si="12"/>
        <v>150865.95093811507</v>
      </c>
      <c r="AH18" s="122">
        <f t="shared" si="12"/>
        <v>155391.92946625853</v>
      </c>
      <c r="AI18" s="122">
        <f t="shared" si="12"/>
        <v>160053.6873502463</v>
      </c>
      <c r="AJ18" s="122">
        <f t="shared" si="12"/>
        <v>164855.29797075369</v>
      </c>
      <c r="AK18" s="122">
        <f t="shared" si="12"/>
        <v>169800.95690987629</v>
      </c>
      <c r="AL18" s="122">
        <f t="shared" si="12"/>
        <v>174894.98561717258</v>
      </c>
      <c r="AM18" s="122">
        <f t="shared" si="12"/>
        <v>180141.83518568776</v>
      </c>
      <c r="AN18" s="122">
        <f t="shared" si="12"/>
        <v>185546.09024125838</v>
      </c>
      <c r="AO18" s="122">
        <f t="shared" si="12"/>
        <v>191112.47294849614</v>
      </c>
      <c r="AP18" s="122">
        <f t="shared" si="12"/>
        <v>196845.84713695102</v>
      </c>
      <c r="AQ18" s="122">
        <f t="shared" si="12"/>
        <v>202751.22255105956</v>
      </c>
      <c r="AR18" s="37">
        <f t="shared" si="12"/>
        <v>208833.75922759136</v>
      </c>
    </row>
    <row r="19" spans="3:75">
      <c r="C19" s="18" t="str">
        <f>'Proforma - Base Year'!B28</f>
        <v>Real Estate Taxes</v>
      </c>
      <c r="D19" s="618">
        <f t="shared" si="9"/>
        <v>0.03</v>
      </c>
      <c r="E19" s="122">
        <f>'Proforma - Base Year'!D28</f>
        <v>0</v>
      </c>
      <c r="F19" s="122">
        <f t="shared" si="10"/>
        <v>0</v>
      </c>
      <c r="G19" s="122">
        <f t="shared" si="11"/>
        <v>0</v>
      </c>
      <c r="H19" s="122">
        <f t="shared" ref="H19:AR19" si="13">G19*(1+$D19)</f>
        <v>0</v>
      </c>
      <c r="I19" s="122">
        <f t="shared" si="13"/>
        <v>0</v>
      </c>
      <c r="J19" s="122">
        <f t="shared" si="13"/>
        <v>0</v>
      </c>
      <c r="K19" s="122">
        <f t="shared" si="13"/>
        <v>0</v>
      </c>
      <c r="L19" s="122">
        <f t="shared" si="13"/>
        <v>0</v>
      </c>
      <c r="M19" s="122">
        <f t="shared" si="13"/>
        <v>0</v>
      </c>
      <c r="N19" s="122">
        <f t="shared" si="13"/>
        <v>0</v>
      </c>
      <c r="O19" s="122">
        <f t="shared" si="13"/>
        <v>0</v>
      </c>
      <c r="P19" s="122">
        <f t="shared" si="13"/>
        <v>0</v>
      </c>
      <c r="Q19" s="122">
        <f t="shared" si="13"/>
        <v>0</v>
      </c>
      <c r="R19" s="122">
        <f t="shared" si="13"/>
        <v>0</v>
      </c>
      <c r="S19" s="449">
        <f t="shared" si="13"/>
        <v>0</v>
      </c>
      <c r="T19" s="122">
        <f t="shared" si="13"/>
        <v>0</v>
      </c>
      <c r="U19" s="122">
        <f t="shared" si="13"/>
        <v>0</v>
      </c>
      <c r="V19" s="122">
        <f t="shared" si="13"/>
        <v>0</v>
      </c>
      <c r="W19" s="122">
        <f t="shared" si="13"/>
        <v>0</v>
      </c>
      <c r="X19" s="122">
        <f t="shared" si="13"/>
        <v>0</v>
      </c>
      <c r="Y19" s="122">
        <f t="shared" si="13"/>
        <v>0</v>
      </c>
      <c r="Z19" s="122">
        <f t="shared" si="13"/>
        <v>0</v>
      </c>
      <c r="AA19" s="122">
        <f t="shared" si="13"/>
        <v>0</v>
      </c>
      <c r="AB19" s="122">
        <f t="shared" si="13"/>
        <v>0</v>
      </c>
      <c r="AC19" s="122">
        <f t="shared" si="13"/>
        <v>0</v>
      </c>
      <c r="AD19" s="122">
        <f t="shared" si="13"/>
        <v>0</v>
      </c>
      <c r="AE19" s="122">
        <f t="shared" si="13"/>
        <v>0</v>
      </c>
      <c r="AF19" s="122">
        <f t="shared" si="13"/>
        <v>0</v>
      </c>
      <c r="AG19" s="122">
        <f t="shared" si="13"/>
        <v>0</v>
      </c>
      <c r="AH19" s="122">
        <f t="shared" si="13"/>
        <v>0</v>
      </c>
      <c r="AI19" s="122">
        <f t="shared" si="13"/>
        <v>0</v>
      </c>
      <c r="AJ19" s="122">
        <f t="shared" si="13"/>
        <v>0</v>
      </c>
      <c r="AK19" s="122">
        <f t="shared" si="13"/>
        <v>0</v>
      </c>
      <c r="AL19" s="122">
        <f t="shared" si="13"/>
        <v>0</v>
      </c>
      <c r="AM19" s="122">
        <f t="shared" si="13"/>
        <v>0</v>
      </c>
      <c r="AN19" s="122">
        <f t="shared" si="13"/>
        <v>0</v>
      </c>
      <c r="AO19" s="122">
        <f t="shared" si="13"/>
        <v>0</v>
      </c>
      <c r="AP19" s="122">
        <f t="shared" si="13"/>
        <v>0</v>
      </c>
      <c r="AQ19" s="122">
        <f t="shared" si="13"/>
        <v>0</v>
      </c>
      <c r="AR19" s="37">
        <f t="shared" si="13"/>
        <v>0</v>
      </c>
    </row>
    <row r="20" spans="3:75">
      <c r="C20" s="18" t="str">
        <f>'Proforma - Base Year'!B38</f>
        <v>Total Administration</v>
      </c>
      <c r="D20" s="618">
        <f t="shared" si="9"/>
        <v>0.03</v>
      </c>
      <c r="E20" s="122">
        <f>'Proforma - Base Year'!D38</f>
        <v>35264</v>
      </c>
      <c r="F20" s="122">
        <f t="shared" si="10"/>
        <v>36321.919999999998</v>
      </c>
      <c r="G20" s="122">
        <f t="shared" si="11"/>
        <v>37411.577599999997</v>
      </c>
      <c r="H20" s="122">
        <f t="shared" ref="H20:AR20" si="14">G20*(1+$D20)</f>
        <v>38533.924928</v>
      </c>
      <c r="I20" s="122">
        <f t="shared" si="14"/>
        <v>39689.94267584</v>
      </c>
      <c r="J20" s="122">
        <f t="shared" si="14"/>
        <v>40880.640956115203</v>
      </c>
      <c r="K20" s="122">
        <f t="shared" si="14"/>
        <v>42107.060184798662</v>
      </c>
      <c r="L20" s="122">
        <f t="shared" si="14"/>
        <v>43370.271990342626</v>
      </c>
      <c r="M20" s="122">
        <f t="shared" si="14"/>
        <v>44671.380150052908</v>
      </c>
      <c r="N20" s="122">
        <f t="shared" si="14"/>
        <v>46011.5215545545</v>
      </c>
      <c r="O20" s="122">
        <f t="shared" si="14"/>
        <v>47391.867201191133</v>
      </c>
      <c r="P20" s="122">
        <f t="shared" si="14"/>
        <v>48813.623217226872</v>
      </c>
      <c r="Q20" s="122">
        <f t="shared" si="14"/>
        <v>50278.031913743682</v>
      </c>
      <c r="R20" s="122">
        <f t="shared" si="14"/>
        <v>51786.372871155996</v>
      </c>
      <c r="S20" s="449">
        <f t="shared" si="14"/>
        <v>53339.964057290679</v>
      </c>
      <c r="T20" s="122">
        <f t="shared" si="14"/>
        <v>54940.162979009401</v>
      </c>
      <c r="U20" s="122">
        <f t="shared" si="14"/>
        <v>56588.367868379682</v>
      </c>
      <c r="V20" s="122">
        <f t="shared" si="14"/>
        <v>58286.018904431075</v>
      </c>
      <c r="W20" s="122">
        <f t="shared" si="14"/>
        <v>60034.599471564012</v>
      </c>
      <c r="X20" s="122">
        <f t="shared" si="14"/>
        <v>61835.63745571093</v>
      </c>
      <c r="Y20" s="122">
        <f t="shared" si="14"/>
        <v>63690.706579382262</v>
      </c>
      <c r="Z20" s="122">
        <f t="shared" si="14"/>
        <v>65601.427776763725</v>
      </c>
      <c r="AA20" s="122">
        <f t="shared" si="14"/>
        <v>67569.470610066637</v>
      </c>
      <c r="AB20" s="122">
        <f t="shared" si="14"/>
        <v>69596.554728368632</v>
      </c>
      <c r="AC20" s="122">
        <f t="shared" si="14"/>
        <v>71684.451370219685</v>
      </c>
      <c r="AD20" s="122">
        <f t="shared" si="14"/>
        <v>73834.984911326275</v>
      </c>
      <c r="AE20" s="122">
        <f t="shared" si="14"/>
        <v>76050.034458666065</v>
      </c>
      <c r="AF20" s="122">
        <f t="shared" si="14"/>
        <v>78331.535492426046</v>
      </c>
      <c r="AG20" s="122">
        <f t="shared" si="14"/>
        <v>80681.481557198829</v>
      </c>
      <c r="AH20" s="122">
        <f t="shared" si="14"/>
        <v>83101.926003914792</v>
      </c>
      <c r="AI20" s="122">
        <f t="shared" si="14"/>
        <v>85594.983784032243</v>
      </c>
      <c r="AJ20" s="122">
        <f t="shared" si="14"/>
        <v>88162.83329755321</v>
      </c>
      <c r="AK20" s="122">
        <f t="shared" si="14"/>
        <v>90807.718296479812</v>
      </c>
      <c r="AL20" s="122">
        <f t="shared" si="14"/>
        <v>93531.949845374213</v>
      </c>
      <c r="AM20" s="122">
        <f t="shared" si="14"/>
        <v>96337.908340735448</v>
      </c>
      <c r="AN20" s="122">
        <f t="shared" si="14"/>
        <v>99228.04559095751</v>
      </c>
      <c r="AO20" s="122">
        <f t="shared" si="14"/>
        <v>102204.88695868624</v>
      </c>
      <c r="AP20" s="122">
        <f t="shared" si="14"/>
        <v>105271.03356744684</v>
      </c>
      <c r="AQ20" s="122">
        <f t="shared" si="14"/>
        <v>108429.16457447024</v>
      </c>
      <c r="AR20" s="37">
        <f t="shared" si="14"/>
        <v>111682.03951170435</v>
      </c>
    </row>
    <row r="21" spans="3:75">
      <c r="C21" s="18" t="str">
        <f>'Proforma - Base Year'!B45</f>
        <v>Total Payroll and Benefits</v>
      </c>
      <c r="D21" s="618">
        <f t="shared" si="9"/>
        <v>0.03</v>
      </c>
      <c r="E21" s="122">
        <f>'Proforma - Base Year'!D45</f>
        <v>221883</v>
      </c>
      <c r="F21" s="122">
        <f t="shared" si="10"/>
        <v>228539.49000000002</v>
      </c>
      <c r="G21" s="122">
        <f t="shared" si="11"/>
        <v>235395.67470000003</v>
      </c>
      <c r="H21" s="122">
        <f t="shared" ref="H21:AR21" si="15">G21*(1+$D21)</f>
        <v>242457.54494100003</v>
      </c>
      <c r="I21" s="122">
        <f t="shared" si="15"/>
        <v>249731.27128923003</v>
      </c>
      <c r="J21" s="122">
        <f t="shared" si="15"/>
        <v>257223.20942790693</v>
      </c>
      <c r="K21" s="122">
        <f t="shared" si="15"/>
        <v>264939.90571074415</v>
      </c>
      <c r="L21" s="122">
        <f t="shared" si="15"/>
        <v>272888.10288206645</v>
      </c>
      <c r="M21" s="122">
        <f t="shared" si="15"/>
        <v>281074.74596852844</v>
      </c>
      <c r="N21" s="122">
        <f t="shared" si="15"/>
        <v>289506.98834758432</v>
      </c>
      <c r="O21" s="122">
        <f t="shared" si="15"/>
        <v>298192.19799801183</v>
      </c>
      <c r="P21" s="122">
        <f t="shared" si="15"/>
        <v>307137.96393795218</v>
      </c>
      <c r="Q21" s="122">
        <f t="shared" si="15"/>
        <v>316352.10285609076</v>
      </c>
      <c r="R21" s="122">
        <f t="shared" si="15"/>
        <v>325842.66594177351</v>
      </c>
      <c r="S21" s="449">
        <f t="shared" si="15"/>
        <v>335617.94592002674</v>
      </c>
      <c r="T21" s="122">
        <f t="shared" si="15"/>
        <v>345686.48429762758</v>
      </c>
      <c r="U21" s="122">
        <f t="shared" si="15"/>
        <v>356057.07882655645</v>
      </c>
      <c r="V21" s="122">
        <f t="shared" si="15"/>
        <v>366738.79119135317</v>
      </c>
      <c r="W21" s="122">
        <f t="shared" si="15"/>
        <v>377740.95492709376</v>
      </c>
      <c r="X21" s="122">
        <f t="shared" si="15"/>
        <v>389073.18357490661</v>
      </c>
      <c r="Y21" s="122">
        <f t="shared" si="15"/>
        <v>400745.37908215384</v>
      </c>
      <c r="Z21" s="122">
        <f t="shared" si="15"/>
        <v>412767.74045461847</v>
      </c>
      <c r="AA21" s="122">
        <f t="shared" si="15"/>
        <v>425150.77266825701</v>
      </c>
      <c r="AB21" s="122">
        <f t="shared" si="15"/>
        <v>437905.29584830476</v>
      </c>
      <c r="AC21" s="122">
        <f t="shared" si="15"/>
        <v>451042.45472375391</v>
      </c>
      <c r="AD21" s="122">
        <f t="shared" si="15"/>
        <v>464573.72836546652</v>
      </c>
      <c r="AE21" s="122">
        <f t="shared" si="15"/>
        <v>478510.94021643052</v>
      </c>
      <c r="AF21" s="122">
        <f t="shared" si="15"/>
        <v>492866.26842292346</v>
      </c>
      <c r="AG21" s="122">
        <f t="shared" si="15"/>
        <v>507652.25647561118</v>
      </c>
      <c r="AH21" s="122">
        <f t="shared" si="15"/>
        <v>522881.82416987955</v>
      </c>
      <c r="AI21" s="122">
        <f t="shared" si="15"/>
        <v>538568.2788949759</v>
      </c>
      <c r="AJ21" s="122">
        <f t="shared" si="15"/>
        <v>554725.32726182521</v>
      </c>
      <c r="AK21" s="122">
        <f t="shared" si="15"/>
        <v>571367.08707967994</v>
      </c>
      <c r="AL21" s="122">
        <f t="shared" si="15"/>
        <v>588508.09969207039</v>
      </c>
      <c r="AM21" s="122">
        <f t="shared" si="15"/>
        <v>606163.3426828325</v>
      </c>
      <c r="AN21" s="122">
        <f t="shared" si="15"/>
        <v>624348.24296331755</v>
      </c>
      <c r="AO21" s="122">
        <f t="shared" si="15"/>
        <v>643078.69025221711</v>
      </c>
      <c r="AP21" s="122">
        <f t="shared" si="15"/>
        <v>662371.05095978361</v>
      </c>
      <c r="AQ21" s="122">
        <f t="shared" si="15"/>
        <v>682242.18248857709</v>
      </c>
      <c r="AR21" s="37">
        <f t="shared" si="15"/>
        <v>702709.44796323439</v>
      </c>
    </row>
    <row r="22" spans="3:75">
      <c r="C22" s="18" t="str">
        <f>'Proforma - Base Year'!B52</f>
        <v>Total Utilities</v>
      </c>
      <c r="D22" s="618">
        <f t="shared" si="9"/>
        <v>0.03</v>
      </c>
      <c r="E22" s="122">
        <f>'Proforma - Base Year'!D52</f>
        <v>46309</v>
      </c>
      <c r="F22" s="122">
        <f t="shared" si="10"/>
        <v>47698.270000000004</v>
      </c>
      <c r="G22" s="122">
        <f t="shared" si="11"/>
        <v>49129.218100000006</v>
      </c>
      <c r="H22" s="122">
        <f t="shared" ref="H22:AR22" si="16">G22*(1+$D22)</f>
        <v>50603.094643000004</v>
      </c>
      <c r="I22" s="122">
        <f t="shared" si="16"/>
        <v>52121.187482290006</v>
      </c>
      <c r="J22" s="122">
        <f t="shared" si="16"/>
        <v>53684.823106758711</v>
      </c>
      <c r="K22" s="122">
        <f t="shared" si="16"/>
        <v>55295.367799961474</v>
      </c>
      <c r="L22" s="122">
        <f t="shared" si="16"/>
        <v>56954.228833960318</v>
      </c>
      <c r="M22" s="122">
        <f t="shared" si="16"/>
        <v>58662.855698979132</v>
      </c>
      <c r="N22" s="122">
        <f t="shared" si="16"/>
        <v>60422.741369948511</v>
      </c>
      <c r="O22" s="122">
        <f t="shared" si="16"/>
        <v>62235.423611046972</v>
      </c>
      <c r="P22" s="122">
        <f t="shared" si="16"/>
        <v>64102.486319378382</v>
      </c>
      <c r="Q22" s="122">
        <f t="shared" si="16"/>
        <v>66025.560908959742</v>
      </c>
      <c r="R22" s="122">
        <f t="shared" si="16"/>
        <v>68006.32773622853</v>
      </c>
      <c r="S22" s="449">
        <f t="shared" si="16"/>
        <v>70046.517568315394</v>
      </c>
      <c r="T22" s="122">
        <f t="shared" si="16"/>
        <v>72147.913095364856</v>
      </c>
      <c r="U22" s="122">
        <f t="shared" si="16"/>
        <v>74312.350488225798</v>
      </c>
      <c r="V22" s="122">
        <f t="shared" si="16"/>
        <v>76541.721002872568</v>
      </c>
      <c r="W22" s="122">
        <f t="shared" si="16"/>
        <v>78837.972632958743</v>
      </c>
      <c r="X22" s="122">
        <f t="shared" si="16"/>
        <v>81203.111811947514</v>
      </c>
      <c r="Y22" s="122">
        <f t="shared" si="16"/>
        <v>83639.205166305939</v>
      </c>
      <c r="Z22" s="122">
        <f t="shared" si="16"/>
        <v>86148.381321295121</v>
      </c>
      <c r="AA22" s="122">
        <f t="shared" si="16"/>
        <v>88732.832760933976</v>
      </c>
      <c r="AB22" s="122">
        <f t="shared" si="16"/>
        <v>91394.817743762003</v>
      </c>
      <c r="AC22" s="122">
        <f t="shared" si="16"/>
        <v>94136.662276074872</v>
      </c>
      <c r="AD22" s="122">
        <f t="shared" si="16"/>
        <v>96960.762144357126</v>
      </c>
      <c r="AE22" s="122">
        <f t="shared" si="16"/>
        <v>99869.585008687849</v>
      </c>
      <c r="AF22" s="122">
        <f t="shared" si="16"/>
        <v>102865.67255894848</v>
      </c>
      <c r="AG22" s="122">
        <f t="shared" si="16"/>
        <v>105951.64273571695</v>
      </c>
      <c r="AH22" s="122">
        <f t="shared" si="16"/>
        <v>109130.19201778846</v>
      </c>
      <c r="AI22" s="122">
        <f t="shared" si="16"/>
        <v>112404.09777832212</v>
      </c>
      <c r="AJ22" s="122">
        <f t="shared" si="16"/>
        <v>115776.22071167178</v>
      </c>
      <c r="AK22" s="122">
        <f t="shared" si="16"/>
        <v>119249.50733302193</v>
      </c>
      <c r="AL22" s="122">
        <f t="shared" si="16"/>
        <v>122826.99255301259</v>
      </c>
      <c r="AM22" s="122">
        <f t="shared" si="16"/>
        <v>126511.80232960297</v>
      </c>
      <c r="AN22" s="122">
        <f t="shared" si="16"/>
        <v>130307.15639949107</v>
      </c>
      <c r="AO22" s="122">
        <f t="shared" si="16"/>
        <v>134216.3710914758</v>
      </c>
      <c r="AP22" s="122">
        <f t="shared" si="16"/>
        <v>138242.86222422007</v>
      </c>
      <c r="AQ22" s="122">
        <f t="shared" si="16"/>
        <v>142390.14809094666</v>
      </c>
      <c r="AR22" s="37">
        <f t="shared" si="16"/>
        <v>146661.85253367506</v>
      </c>
    </row>
    <row r="23" spans="3:75">
      <c r="C23" s="18" t="str">
        <f>'Proforma - Base Year'!B53</f>
        <v>Marketing</v>
      </c>
      <c r="D23" s="618">
        <f t="shared" si="9"/>
        <v>0.03</v>
      </c>
      <c r="E23" s="122">
        <f>'Proforma - Base Year'!D53</f>
        <v>45000</v>
      </c>
      <c r="F23" s="122">
        <f t="shared" si="10"/>
        <v>46350</v>
      </c>
      <c r="G23" s="122">
        <f t="shared" si="11"/>
        <v>47740.5</v>
      </c>
      <c r="H23" s="122">
        <f t="shared" ref="H23:AR23" si="17">G23*(1+$D23)</f>
        <v>49172.715000000004</v>
      </c>
      <c r="I23" s="122">
        <f t="shared" si="17"/>
        <v>50647.896450000007</v>
      </c>
      <c r="J23" s="122">
        <f t="shared" si="17"/>
        <v>52167.33334350001</v>
      </c>
      <c r="K23" s="122">
        <f t="shared" si="17"/>
        <v>53732.353343805014</v>
      </c>
      <c r="L23" s="122">
        <f t="shared" si="17"/>
        <v>55344.323944119169</v>
      </c>
      <c r="M23" s="122">
        <f t="shared" si="17"/>
        <v>57004.653662442746</v>
      </c>
      <c r="N23" s="122">
        <f t="shared" si="17"/>
        <v>58714.793272316027</v>
      </c>
      <c r="O23" s="122">
        <f t="shared" si="17"/>
        <v>60476.237070485506</v>
      </c>
      <c r="P23" s="122">
        <f t="shared" si="17"/>
        <v>62290.524182600071</v>
      </c>
      <c r="Q23" s="122">
        <f t="shared" si="17"/>
        <v>64159.239908078074</v>
      </c>
      <c r="R23" s="122">
        <f t="shared" si="17"/>
        <v>66084.017105320425</v>
      </c>
      <c r="S23" s="449">
        <f t="shared" si="17"/>
        <v>68066.537618480041</v>
      </c>
      <c r="T23" s="122">
        <f t="shared" si="17"/>
        <v>70108.533747034438</v>
      </c>
      <c r="U23" s="122">
        <f t="shared" si="17"/>
        <v>72211.78975944547</v>
      </c>
      <c r="V23" s="122">
        <f t="shared" si="17"/>
        <v>74378.143452228833</v>
      </c>
      <c r="W23" s="122">
        <f t="shared" si="17"/>
        <v>76609.487755795693</v>
      </c>
      <c r="X23" s="122">
        <f t="shared" si="17"/>
        <v>78907.772388469573</v>
      </c>
      <c r="Y23" s="122">
        <f t="shared" si="17"/>
        <v>81275.005560123667</v>
      </c>
      <c r="Z23" s="122">
        <f t="shared" si="17"/>
        <v>83713.255726927382</v>
      </c>
      <c r="AA23" s="122">
        <f t="shared" si="17"/>
        <v>86224.653398735201</v>
      </c>
      <c r="AB23" s="122">
        <f t="shared" si="17"/>
        <v>88811.393000697266</v>
      </c>
      <c r="AC23" s="122">
        <f t="shared" si="17"/>
        <v>91475.734790718183</v>
      </c>
      <c r="AD23" s="122">
        <f t="shared" si="17"/>
        <v>94220.00683443973</v>
      </c>
      <c r="AE23" s="122">
        <f t="shared" si="17"/>
        <v>97046.607039472918</v>
      </c>
      <c r="AF23" s="122">
        <f t="shared" si="17"/>
        <v>99958.005250657108</v>
      </c>
      <c r="AG23" s="122">
        <f t="shared" si="17"/>
        <v>102956.74540817682</v>
      </c>
      <c r="AH23" s="122">
        <f t="shared" si="17"/>
        <v>106045.44777042214</v>
      </c>
      <c r="AI23" s="122">
        <f t="shared" si="17"/>
        <v>109226.8112035348</v>
      </c>
      <c r="AJ23" s="122">
        <f t="shared" si="17"/>
        <v>112503.61553964084</v>
      </c>
      <c r="AK23" s="122">
        <f t="shared" si="17"/>
        <v>115878.72400583007</v>
      </c>
      <c r="AL23" s="122">
        <f t="shared" si="17"/>
        <v>119355.08572600497</v>
      </c>
      <c r="AM23" s="122">
        <f t="shared" si="17"/>
        <v>122935.73829778512</v>
      </c>
      <c r="AN23" s="122">
        <f t="shared" si="17"/>
        <v>126623.81044671868</v>
      </c>
      <c r="AO23" s="122">
        <f t="shared" si="17"/>
        <v>130422.52476012024</v>
      </c>
      <c r="AP23" s="122">
        <f t="shared" si="17"/>
        <v>134335.20050292386</v>
      </c>
      <c r="AQ23" s="122">
        <f t="shared" si="17"/>
        <v>138365.25651801159</v>
      </c>
      <c r="AR23" s="37">
        <f t="shared" si="17"/>
        <v>142516.21421355195</v>
      </c>
    </row>
    <row r="24" spans="3:75">
      <c r="C24" s="18" t="str">
        <f>'Proforma - Base Year'!B62</f>
        <v>Total Repairs and Maintenance</v>
      </c>
      <c r="D24" s="618">
        <f t="shared" si="9"/>
        <v>0.03</v>
      </c>
      <c r="E24" s="122">
        <f>'Proforma - Base Year'!D62</f>
        <v>34740</v>
      </c>
      <c r="F24" s="122">
        <f t="shared" si="10"/>
        <v>35782.200000000004</v>
      </c>
      <c r="G24" s="122">
        <f t="shared" si="11"/>
        <v>36855.666000000005</v>
      </c>
      <c r="H24" s="122">
        <f t="shared" ref="H24:AR24" si="18">G24*(1+$D24)</f>
        <v>37961.335980000003</v>
      </c>
      <c r="I24" s="122">
        <f t="shared" si="18"/>
        <v>39100.176059400008</v>
      </c>
      <c r="J24" s="122">
        <f t="shared" si="18"/>
        <v>40273.181341182011</v>
      </c>
      <c r="K24" s="122">
        <f t="shared" si="18"/>
        <v>41481.376781417472</v>
      </c>
      <c r="L24" s="122">
        <f t="shared" si="18"/>
        <v>42725.818084859995</v>
      </c>
      <c r="M24" s="122">
        <f t="shared" si="18"/>
        <v>44007.592627405793</v>
      </c>
      <c r="N24" s="122">
        <f t="shared" si="18"/>
        <v>45327.820406227969</v>
      </c>
      <c r="O24" s="122">
        <f t="shared" si="18"/>
        <v>46687.655018414807</v>
      </c>
      <c r="P24" s="122">
        <f t="shared" si="18"/>
        <v>48088.284668967251</v>
      </c>
      <c r="Q24" s="122">
        <f t="shared" si="18"/>
        <v>49530.933209036273</v>
      </c>
      <c r="R24" s="122">
        <f t="shared" si="18"/>
        <v>51016.861205307359</v>
      </c>
      <c r="S24" s="449">
        <f t="shared" si="18"/>
        <v>52547.367041466583</v>
      </c>
      <c r="T24" s="122">
        <f t="shared" si="18"/>
        <v>54123.788052710581</v>
      </c>
      <c r="U24" s="122">
        <f t="shared" si="18"/>
        <v>55747.501694291903</v>
      </c>
      <c r="V24" s="122">
        <f t="shared" si="18"/>
        <v>57419.926745120662</v>
      </c>
      <c r="W24" s="122">
        <f t="shared" si="18"/>
        <v>59142.524547474284</v>
      </c>
      <c r="X24" s="122">
        <f t="shared" si="18"/>
        <v>60916.800283898512</v>
      </c>
      <c r="Y24" s="122">
        <f t="shared" si="18"/>
        <v>62744.304292415472</v>
      </c>
      <c r="Z24" s="122">
        <f t="shared" si="18"/>
        <v>64626.633421187937</v>
      </c>
      <c r="AA24" s="122">
        <f t="shared" si="18"/>
        <v>66565.432423823571</v>
      </c>
      <c r="AB24" s="122">
        <f t="shared" si="18"/>
        <v>68562.395396538283</v>
      </c>
      <c r="AC24" s="122">
        <f t="shared" si="18"/>
        <v>70619.26725843444</v>
      </c>
      <c r="AD24" s="122">
        <f t="shared" si="18"/>
        <v>72737.84527618748</v>
      </c>
      <c r="AE24" s="122">
        <f t="shared" si="18"/>
        <v>74919.980634473104</v>
      </c>
      <c r="AF24" s="122">
        <f t="shared" si="18"/>
        <v>77167.580053507292</v>
      </c>
      <c r="AG24" s="122">
        <f t="shared" si="18"/>
        <v>79482.60745511252</v>
      </c>
      <c r="AH24" s="122">
        <f t="shared" si="18"/>
        <v>81867.0856787659</v>
      </c>
      <c r="AI24" s="122">
        <f t="shared" si="18"/>
        <v>84323.098249128874</v>
      </c>
      <c r="AJ24" s="122">
        <f t="shared" si="18"/>
        <v>86852.791196602746</v>
      </c>
      <c r="AK24" s="122">
        <f t="shared" si="18"/>
        <v>89458.374932500825</v>
      </c>
      <c r="AL24" s="122">
        <f t="shared" si="18"/>
        <v>92142.126180475854</v>
      </c>
      <c r="AM24" s="122">
        <f t="shared" si="18"/>
        <v>94906.389965890135</v>
      </c>
      <c r="AN24" s="122">
        <f t="shared" si="18"/>
        <v>97753.581664866841</v>
      </c>
      <c r="AO24" s="122">
        <f t="shared" si="18"/>
        <v>100686.18911481285</v>
      </c>
      <c r="AP24" s="122">
        <f t="shared" si="18"/>
        <v>103706.77478825724</v>
      </c>
      <c r="AQ24" s="122">
        <f t="shared" si="18"/>
        <v>106817.97803190496</v>
      </c>
      <c r="AR24" s="37">
        <f t="shared" si="18"/>
        <v>110022.51737286212</v>
      </c>
    </row>
    <row r="25" spans="3:75">
      <c r="C25" s="18" t="str">
        <f>'Proforma - Base Year'!B63</f>
        <v>Miscellaneous</v>
      </c>
      <c r="D25" s="618">
        <f t="shared" si="9"/>
        <v>0.03</v>
      </c>
      <c r="E25" s="122">
        <f>'Proforma - Base Year'!D63</f>
        <v>0</v>
      </c>
      <c r="F25" s="122">
        <f t="shared" si="10"/>
        <v>0</v>
      </c>
      <c r="G25" s="122">
        <f t="shared" si="11"/>
        <v>0</v>
      </c>
      <c r="H25" s="122">
        <f t="shared" ref="H25:AR25" si="19">G25*(1+$D25)</f>
        <v>0</v>
      </c>
      <c r="I25" s="122">
        <f t="shared" si="19"/>
        <v>0</v>
      </c>
      <c r="J25" s="122">
        <f t="shared" si="19"/>
        <v>0</v>
      </c>
      <c r="K25" s="122">
        <f t="shared" si="19"/>
        <v>0</v>
      </c>
      <c r="L25" s="122">
        <f t="shared" si="19"/>
        <v>0</v>
      </c>
      <c r="M25" s="122">
        <f t="shared" si="19"/>
        <v>0</v>
      </c>
      <c r="N25" s="122">
        <f t="shared" si="19"/>
        <v>0</v>
      </c>
      <c r="O25" s="122">
        <f t="shared" si="19"/>
        <v>0</v>
      </c>
      <c r="P25" s="122">
        <f t="shared" si="19"/>
        <v>0</v>
      </c>
      <c r="Q25" s="122">
        <f t="shared" si="19"/>
        <v>0</v>
      </c>
      <c r="R25" s="122">
        <f t="shared" si="19"/>
        <v>0</v>
      </c>
      <c r="S25" s="449">
        <f t="shared" si="19"/>
        <v>0</v>
      </c>
      <c r="T25" s="122">
        <f t="shared" si="19"/>
        <v>0</v>
      </c>
      <c r="U25" s="122">
        <f t="shared" si="19"/>
        <v>0</v>
      </c>
      <c r="V25" s="122">
        <f t="shared" si="19"/>
        <v>0</v>
      </c>
      <c r="W25" s="122">
        <f t="shared" si="19"/>
        <v>0</v>
      </c>
      <c r="X25" s="122">
        <f t="shared" si="19"/>
        <v>0</v>
      </c>
      <c r="Y25" s="122">
        <f t="shared" si="19"/>
        <v>0</v>
      </c>
      <c r="Z25" s="122">
        <f t="shared" si="19"/>
        <v>0</v>
      </c>
      <c r="AA25" s="122">
        <f t="shared" si="19"/>
        <v>0</v>
      </c>
      <c r="AB25" s="122">
        <f t="shared" si="19"/>
        <v>0</v>
      </c>
      <c r="AC25" s="122">
        <f t="shared" si="19"/>
        <v>0</v>
      </c>
      <c r="AD25" s="122">
        <f t="shared" si="19"/>
        <v>0</v>
      </c>
      <c r="AE25" s="122">
        <f t="shared" si="19"/>
        <v>0</v>
      </c>
      <c r="AF25" s="122">
        <f t="shared" si="19"/>
        <v>0</v>
      </c>
      <c r="AG25" s="122">
        <f t="shared" si="19"/>
        <v>0</v>
      </c>
      <c r="AH25" s="122">
        <f t="shared" si="19"/>
        <v>0</v>
      </c>
      <c r="AI25" s="122">
        <f t="shared" si="19"/>
        <v>0</v>
      </c>
      <c r="AJ25" s="122">
        <f t="shared" si="19"/>
        <v>0</v>
      </c>
      <c r="AK25" s="122">
        <f t="shared" si="19"/>
        <v>0</v>
      </c>
      <c r="AL25" s="122">
        <f t="shared" si="19"/>
        <v>0</v>
      </c>
      <c r="AM25" s="122">
        <f t="shared" si="19"/>
        <v>0</v>
      </c>
      <c r="AN25" s="122">
        <f t="shared" si="19"/>
        <v>0</v>
      </c>
      <c r="AO25" s="122">
        <f t="shared" si="19"/>
        <v>0</v>
      </c>
      <c r="AP25" s="122">
        <f t="shared" si="19"/>
        <v>0</v>
      </c>
      <c r="AQ25" s="122">
        <f t="shared" si="19"/>
        <v>0</v>
      </c>
      <c r="AR25" s="37">
        <f t="shared" si="19"/>
        <v>0</v>
      </c>
    </row>
    <row r="26" spans="3:75">
      <c r="C26" s="18" t="str">
        <f>'Proforma - Base Year'!B64</f>
        <v>Other Expenses</v>
      </c>
      <c r="D26" s="618">
        <f t="shared" si="9"/>
        <v>0.03</v>
      </c>
      <c r="E26" s="122">
        <f>'Proforma - Base Year'!D64</f>
        <v>104500</v>
      </c>
      <c r="F26" s="122">
        <f t="shared" si="10"/>
        <v>107635</v>
      </c>
      <c r="G26" s="122">
        <f t="shared" si="11"/>
        <v>110864.05</v>
      </c>
      <c r="H26" s="122">
        <f t="shared" ref="H26:AR26" si="20">G26*(1+$D26)</f>
        <v>114189.9715</v>
      </c>
      <c r="I26" s="122">
        <f t="shared" si="20"/>
        <v>117615.67064500001</v>
      </c>
      <c r="J26" s="122">
        <f t="shared" si="20"/>
        <v>121144.14076435001</v>
      </c>
      <c r="K26" s="122">
        <f t="shared" si="20"/>
        <v>124778.46498728052</v>
      </c>
      <c r="L26" s="122">
        <f t="shared" si="20"/>
        <v>128521.81893689894</v>
      </c>
      <c r="M26" s="122">
        <f t="shared" si="20"/>
        <v>132377.47350500591</v>
      </c>
      <c r="N26" s="122">
        <f t="shared" si="20"/>
        <v>136348.7977101561</v>
      </c>
      <c r="O26" s="122">
        <f t="shared" si="20"/>
        <v>140439.26164146079</v>
      </c>
      <c r="P26" s="122">
        <f t="shared" si="20"/>
        <v>144652.43949070462</v>
      </c>
      <c r="Q26" s="122">
        <f t="shared" si="20"/>
        <v>148992.01267542577</v>
      </c>
      <c r="R26" s="122">
        <f t="shared" si="20"/>
        <v>153461.77305568854</v>
      </c>
      <c r="S26" s="449">
        <f t="shared" si="20"/>
        <v>158065.62624735921</v>
      </c>
      <c r="T26" s="122">
        <f t="shared" si="20"/>
        <v>162807.59503477998</v>
      </c>
      <c r="U26" s="122">
        <f t="shared" si="20"/>
        <v>167691.82288582338</v>
      </c>
      <c r="V26" s="122">
        <f t="shared" si="20"/>
        <v>172722.57757239809</v>
      </c>
      <c r="W26" s="122">
        <f t="shared" si="20"/>
        <v>177904.25489957005</v>
      </c>
      <c r="X26" s="122">
        <f t="shared" si="20"/>
        <v>183241.38254655714</v>
      </c>
      <c r="Y26" s="122">
        <f t="shared" si="20"/>
        <v>188738.62402295385</v>
      </c>
      <c r="Z26" s="122">
        <f t="shared" si="20"/>
        <v>194400.78274364249</v>
      </c>
      <c r="AA26" s="122">
        <f t="shared" si="20"/>
        <v>200232.80622595176</v>
      </c>
      <c r="AB26" s="122">
        <f t="shared" si="20"/>
        <v>206239.79041273033</v>
      </c>
      <c r="AC26" s="122">
        <f t="shared" si="20"/>
        <v>212426.98412511224</v>
      </c>
      <c r="AD26" s="122">
        <f t="shared" si="20"/>
        <v>218799.79364886563</v>
      </c>
      <c r="AE26" s="122">
        <f t="shared" si="20"/>
        <v>225363.78745833162</v>
      </c>
      <c r="AF26" s="122">
        <f t="shared" si="20"/>
        <v>232124.70108208156</v>
      </c>
      <c r="AG26" s="122">
        <f t="shared" si="20"/>
        <v>239088.44211454401</v>
      </c>
      <c r="AH26" s="122">
        <f t="shared" si="20"/>
        <v>246261.09537798035</v>
      </c>
      <c r="AI26" s="122">
        <f t="shared" si="20"/>
        <v>253648.92823931976</v>
      </c>
      <c r="AJ26" s="122">
        <f t="shared" si="20"/>
        <v>261258.39608649936</v>
      </c>
      <c r="AK26" s="122">
        <f t="shared" si="20"/>
        <v>269096.14796909434</v>
      </c>
      <c r="AL26" s="122">
        <f t="shared" si="20"/>
        <v>277169.0324081672</v>
      </c>
      <c r="AM26" s="122">
        <f t="shared" si="20"/>
        <v>285484.10338041221</v>
      </c>
      <c r="AN26" s="122">
        <f t="shared" si="20"/>
        <v>294048.62648182461</v>
      </c>
      <c r="AO26" s="122">
        <f t="shared" si="20"/>
        <v>302870.08527627937</v>
      </c>
      <c r="AP26" s="122">
        <f t="shared" si="20"/>
        <v>311956.18783456774</v>
      </c>
      <c r="AQ26" s="122">
        <f t="shared" si="20"/>
        <v>321314.87346960476</v>
      </c>
      <c r="AR26" s="37">
        <f t="shared" si="20"/>
        <v>330954.31967369292</v>
      </c>
    </row>
    <row r="27" spans="3:75">
      <c r="C27" s="38" t="str">
        <f>'Proforma - Base Year'!B65</f>
        <v>Social Services</v>
      </c>
      <c r="D27" s="619">
        <f t="shared" si="9"/>
        <v>0.03</v>
      </c>
      <c r="E27" s="56">
        <f>'Proforma - Base Year'!D65</f>
        <v>95184</v>
      </c>
      <c r="F27" s="56">
        <f t="shared" si="10"/>
        <v>98039.52</v>
      </c>
      <c r="G27" s="56">
        <f t="shared" si="11"/>
        <v>100980.7056</v>
      </c>
      <c r="H27" s="56">
        <f t="shared" ref="H27:AR27" si="21">G27*(1+$D27)</f>
        <v>104010.126768</v>
      </c>
      <c r="I27" s="56">
        <f t="shared" si="21"/>
        <v>107130.43057104001</v>
      </c>
      <c r="J27" s="56">
        <f t="shared" si="21"/>
        <v>110344.34348817122</v>
      </c>
      <c r="K27" s="56">
        <f t="shared" si="21"/>
        <v>113654.67379281635</v>
      </c>
      <c r="L27" s="56">
        <f t="shared" si="21"/>
        <v>117064.31400660085</v>
      </c>
      <c r="M27" s="56">
        <f t="shared" si="21"/>
        <v>120576.24342679887</v>
      </c>
      <c r="N27" s="56">
        <f t="shared" si="21"/>
        <v>124193.53072960285</v>
      </c>
      <c r="O27" s="56">
        <f t="shared" si="21"/>
        <v>127919.33665149094</v>
      </c>
      <c r="P27" s="56">
        <f t="shared" si="21"/>
        <v>131756.91675103566</v>
      </c>
      <c r="Q27" s="56">
        <f t="shared" si="21"/>
        <v>135709.62425356673</v>
      </c>
      <c r="R27" s="56">
        <f t="shared" si="21"/>
        <v>139780.91298117372</v>
      </c>
      <c r="S27" s="131">
        <f t="shared" si="21"/>
        <v>143974.34037060893</v>
      </c>
      <c r="T27" s="56">
        <f t="shared" si="21"/>
        <v>148293.5705817272</v>
      </c>
      <c r="U27" s="56">
        <f t="shared" si="21"/>
        <v>152742.37769917902</v>
      </c>
      <c r="V27" s="56">
        <f t="shared" si="21"/>
        <v>157324.6490301544</v>
      </c>
      <c r="W27" s="56">
        <f t="shared" si="21"/>
        <v>162044.38850105903</v>
      </c>
      <c r="X27" s="56">
        <f t="shared" si="21"/>
        <v>166905.7201560908</v>
      </c>
      <c r="Y27" s="56">
        <f t="shared" si="21"/>
        <v>171912.89176077352</v>
      </c>
      <c r="Z27" s="56">
        <f t="shared" si="21"/>
        <v>177070.27851359674</v>
      </c>
      <c r="AA27" s="56">
        <f t="shared" si="21"/>
        <v>182382.38686900464</v>
      </c>
      <c r="AB27" s="56">
        <f t="shared" si="21"/>
        <v>187853.85847507478</v>
      </c>
      <c r="AC27" s="56">
        <f t="shared" si="21"/>
        <v>193489.47422932702</v>
      </c>
      <c r="AD27" s="56">
        <f t="shared" si="21"/>
        <v>199294.15845620685</v>
      </c>
      <c r="AE27" s="56">
        <f t="shared" si="21"/>
        <v>205272.98320989305</v>
      </c>
      <c r="AF27" s="56">
        <f t="shared" si="21"/>
        <v>211431.17270618986</v>
      </c>
      <c r="AG27" s="56">
        <f t="shared" si="21"/>
        <v>217774.10788737555</v>
      </c>
      <c r="AH27" s="56">
        <f t="shared" si="21"/>
        <v>224307.33112399682</v>
      </c>
      <c r="AI27" s="56">
        <f t="shared" si="21"/>
        <v>231036.55105771672</v>
      </c>
      <c r="AJ27" s="56">
        <f t="shared" si="21"/>
        <v>237967.64758944823</v>
      </c>
      <c r="AK27" s="56">
        <f t="shared" si="21"/>
        <v>245106.67701713167</v>
      </c>
      <c r="AL27" s="56">
        <f t="shared" si="21"/>
        <v>252459.87732764563</v>
      </c>
      <c r="AM27" s="56">
        <f t="shared" si="21"/>
        <v>260033.67364747502</v>
      </c>
      <c r="AN27" s="56">
        <f t="shared" si="21"/>
        <v>267834.68385689927</v>
      </c>
      <c r="AO27" s="56">
        <f t="shared" si="21"/>
        <v>275869.72437260626</v>
      </c>
      <c r="AP27" s="56">
        <f t="shared" si="21"/>
        <v>284145.81610378443</v>
      </c>
      <c r="AQ27" s="56">
        <f t="shared" si="21"/>
        <v>292670.19058689795</v>
      </c>
      <c r="AR27" s="60">
        <f t="shared" si="21"/>
        <v>301450.29630450491</v>
      </c>
    </row>
    <row r="28" spans="3:75" s="14" customFormat="1">
      <c r="C28" s="165" t="str">
        <f>'Proforma - Base Year'!B66</f>
        <v>Total Operating Expenses</v>
      </c>
      <c r="D28" s="467"/>
      <c r="E28" s="332">
        <f>SUM(E17:E27)</f>
        <v>705315.38400000008</v>
      </c>
      <c r="F28" s="332">
        <f>SUM(F17:F27)</f>
        <v>726474.84551999997</v>
      </c>
      <c r="G28" s="332">
        <f>SUM(G17:G27)</f>
        <v>748269.09088560008</v>
      </c>
      <c r="H28" s="332">
        <f>SUM(H17:H27)</f>
        <v>770717.16361216793</v>
      </c>
      <c r="I28" s="332">
        <f t="shared" ref="I28:AR28" si="22">SUM(I17:I27)</f>
        <v>793838.67852053314</v>
      </c>
      <c r="J28" s="332">
        <f t="shared" si="22"/>
        <v>817653.83887614915</v>
      </c>
      <c r="K28" s="332">
        <f t="shared" si="22"/>
        <v>842183.45404243376</v>
      </c>
      <c r="L28" s="332">
        <f t="shared" si="22"/>
        <v>867448.95766370674</v>
      </c>
      <c r="M28" s="332">
        <f t="shared" si="22"/>
        <v>893472.42639361776</v>
      </c>
      <c r="N28" s="332">
        <f t="shared" si="22"/>
        <v>920276.59918542625</v>
      </c>
      <c r="O28" s="332">
        <f t="shared" si="22"/>
        <v>947884.89716098923</v>
      </c>
      <c r="P28" s="332">
        <f t="shared" si="22"/>
        <v>976321.4440758191</v>
      </c>
      <c r="Q28" s="332">
        <f t="shared" si="22"/>
        <v>1005611.0873980934</v>
      </c>
      <c r="R28" s="332">
        <f t="shared" si="22"/>
        <v>1035779.4200200362</v>
      </c>
      <c r="S28" s="450">
        <f t="shared" si="22"/>
        <v>1066852.8026206375</v>
      </c>
      <c r="T28" s="332">
        <f t="shared" si="22"/>
        <v>1098858.3866992565</v>
      </c>
      <c r="U28" s="332">
        <f t="shared" si="22"/>
        <v>1131824.1383002347</v>
      </c>
      <c r="V28" s="332">
        <f t="shared" si="22"/>
        <v>1165778.8624492416</v>
      </c>
      <c r="W28" s="332">
        <f t="shared" si="22"/>
        <v>1200752.2283227188</v>
      </c>
      <c r="X28" s="332">
        <f t="shared" si="22"/>
        <v>1236774.7951724003</v>
      </c>
      <c r="Y28" s="332">
        <f t="shared" si="22"/>
        <v>1273878.0390275724</v>
      </c>
      <c r="Z28" s="332">
        <f t="shared" si="22"/>
        <v>1312094.3801984</v>
      </c>
      <c r="AA28" s="332">
        <f t="shared" si="22"/>
        <v>1351457.2116043516</v>
      </c>
      <c r="AB28" s="332">
        <f t="shared" si="22"/>
        <v>1392000.9279524824</v>
      </c>
      <c r="AC28" s="332">
        <f t="shared" si="22"/>
        <v>1433760.9557910566</v>
      </c>
      <c r="AD28" s="332">
        <f t="shared" si="22"/>
        <v>1476773.7844647884</v>
      </c>
      <c r="AE28" s="332">
        <f t="shared" si="22"/>
        <v>1521076.9979987321</v>
      </c>
      <c r="AF28" s="332">
        <f t="shared" si="22"/>
        <v>1566709.3079386943</v>
      </c>
      <c r="AG28" s="332">
        <f t="shared" si="22"/>
        <v>1613710.5871768552</v>
      </c>
      <c r="AH28" s="332">
        <f t="shared" si="22"/>
        <v>1662121.9047921605</v>
      </c>
      <c r="AI28" s="332">
        <f t="shared" si="22"/>
        <v>1711985.5619359254</v>
      </c>
      <c r="AJ28" s="332">
        <f t="shared" si="22"/>
        <v>1763345.1287940033</v>
      </c>
      <c r="AK28" s="332">
        <f t="shared" si="22"/>
        <v>1816245.4826578232</v>
      </c>
      <c r="AL28" s="332">
        <f t="shared" si="22"/>
        <v>1870732.8471375583</v>
      </c>
      <c r="AM28" s="332">
        <f t="shared" si="22"/>
        <v>1926854.8325516852</v>
      </c>
      <c r="AN28" s="332">
        <f t="shared" si="22"/>
        <v>1984660.4775282354</v>
      </c>
      <c r="AO28" s="332">
        <f t="shared" si="22"/>
        <v>2044200.2918540828</v>
      </c>
      <c r="AP28" s="332">
        <f t="shared" si="22"/>
        <v>2105526.3006097055</v>
      </c>
      <c r="AQ28" s="332">
        <f t="shared" si="22"/>
        <v>2168692.0896279966</v>
      </c>
      <c r="AR28" s="451">
        <f t="shared" si="22"/>
        <v>2233752.8523168364</v>
      </c>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c r="BS28" s="50"/>
      <c r="BT28" s="50"/>
      <c r="BU28" s="50"/>
      <c r="BV28" s="50"/>
      <c r="BW28" s="50"/>
    </row>
    <row r="29" spans="3:75">
      <c r="C29" s="18" t="str">
        <f>'Proforma - Base Year'!B67</f>
        <v>Operating Reserves</v>
      </c>
      <c r="D29" s="466">
        <v>0.03</v>
      </c>
      <c r="E29" s="122">
        <f>'Proforma - Base Year'!D67</f>
        <v>0</v>
      </c>
      <c r="F29" s="122">
        <f t="shared" si="10"/>
        <v>0</v>
      </c>
      <c r="G29" s="122">
        <f t="shared" si="10"/>
        <v>0</v>
      </c>
      <c r="H29" s="122">
        <f t="shared" ref="H29:AR29" si="23">G29*(1+$D29)</f>
        <v>0</v>
      </c>
      <c r="I29" s="122">
        <f t="shared" si="23"/>
        <v>0</v>
      </c>
      <c r="J29" s="122">
        <f t="shared" si="23"/>
        <v>0</v>
      </c>
      <c r="K29" s="122">
        <f t="shared" si="23"/>
        <v>0</v>
      </c>
      <c r="L29" s="122">
        <f t="shared" si="23"/>
        <v>0</v>
      </c>
      <c r="M29" s="122">
        <f t="shared" si="23"/>
        <v>0</v>
      </c>
      <c r="N29" s="122">
        <f t="shared" si="23"/>
        <v>0</v>
      </c>
      <c r="O29" s="122">
        <f t="shared" si="23"/>
        <v>0</v>
      </c>
      <c r="P29" s="122">
        <f t="shared" si="23"/>
        <v>0</v>
      </c>
      <c r="Q29" s="122">
        <f t="shared" si="23"/>
        <v>0</v>
      </c>
      <c r="R29" s="122">
        <f t="shared" si="23"/>
        <v>0</v>
      </c>
      <c r="S29" s="449">
        <f t="shared" si="23"/>
        <v>0</v>
      </c>
      <c r="T29" s="122">
        <f t="shared" si="23"/>
        <v>0</v>
      </c>
      <c r="U29" s="122">
        <f t="shared" si="23"/>
        <v>0</v>
      </c>
      <c r="V29" s="122">
        <f t="shared" si="23"/>
        <v>0</v>
      </c>
      <c r="W29" s="122">
        <f t="shared" si="23"/>
        <v>0</v>
      </c>
      <c r="X29" s="122">
        <f t="shared" si="23"/>
        <v>0</v>
      </c>
      <c r="Y29" s="122">
        <f t="shared" si="23"/>
        <v>0</v>
      </c>
      <c r="Z29" s="122">
        <f t="shared" si="23"/>
        <v>0</v>
      </c>
      <c r="AA29" s="122">
        <f t="shared" si="23"/>
        <v>0</v>
      </c>
      <c r="AB29" s="122">
        <f t="shared" si="23"/>
        <v>0</v>
      </c>
      <c r="AC29" s="122">
        <f t="shared" si="23"/>
        <v>0</v>
      </c>
      <c r="AD29" s="122">
        <f t="shared" si="23"/>
        <v>0</v>
      </c>
      <c r="AE29" s="122">
        <f t="shared" si="23"/>
        <v>0</v>
      </c>
      <c r="AF29" s="122">
        <f t="shared" si="23"/>
        <v>0</v>
      </c>
      <c r="AG29" s="122">
        <f t="shared" si="23"/>
        <v>0</v>
      </c>
      <c r="AH29" s="122">
        <f t="shared" si="23"/>
        <v>0</v>
      </c>
      <c r="AI29" s="122">
        <f t="shared" si="23"/>
        <v>0</v>
      </c>
      <c r="AJ29" s="122">
        <f t="shared" si="23"/>
        <v>0</v>
      </c>
      <c r="AK29" s="122">
        <f t="shared" si="23"/>
        <v>0</v>
      </c>
      <c r="AL29" s="122">
        <f t="shared" si="23"/>
        <v>0</v>
      </c>
      <c r="AM29" s="122">
        <f t="shared" si="23"/>
        <v>0</v>
      </c>
      <c r="AN29" s="122">
        <f t="shared" si="23"/>
        <v>0</v>
      </c>
      <c r="AO29" s="122">
        <f t="shared" si="23"/>
        <v>0</v>
      </c>
      <c r="AP29" s="122">
        <f t="shared" si="23"/>
        <v>0</v>
      </c>
      <c r="AQ29" s="122">
        <f t="shared" si="23"/>
        <v>0</v>
      </c>
      <c r="AR29" s="37">
        <f t="shared" si="23"/>
        <v>0</v>
      </c>
    </row>
    <row r="30" spans="3:75">
      <c r="C30" s="18" t="str">
        <f>'Proforma - Base Year'!B68</f>
        <v>Replacement Reserves</v>
      </c>
      <c r="D30" s="466">
        <v>0.03</v>
      </c>
      <c r="E30" s="122">
        <f>'Proforma - Base Year'!D68</f>
        <v>37500</v>
      </c>
      <c r="F30" s="122">
        <f t="shared" si="10"/>
        <v>38625</v>
      </c>
      <c r="G30" s="122">
        <f t="shared" si="10"/>
        <v>39783.75</v>
      </c>
      <c r="H30" s="122">
        <f t="shared" ref="H30:AR30" si="24">G30*(1+$D30)</f>
        <v>40977.262500000004</v>
      </c>
      <c r="I30" s="122">
        <f t="shared" si="24"/>
        <v>42206.580375000005</v>
      </c>
      <c r="J30" s="122">
        <f t="shared" si="24"/>
        <v>43472.777786250008</v>
      </c>
      <c r="K30" s="122">
        <f t="shared" si="24"/>
        <v>44776.961119837506</v>
      </c>
      <c r="L30" s="122">
        <f t="shared" si="24"/>
        <v>46120.269953432631</v>
      </c>
      <c r="M30" s="122">
        <f t="shared" si="24"/>
        <v>47503.878052035609</v>
      </c>
      <c r="N30" s="122">
        <f t="shared" si="24"/>
        <v>48928.99439359668</v>
      </c>
      <c r="O30" s="122">
        <f t="shared" si="24"/>
        <v>50396.864225404584</v>
      </c>
      <c r="P30" s="122">
        <f t="shared" si="24"/>
        <v>51908.770152166726</v>
      </c>
      <c r="Q30" s="122">
        <f t="shared" si="24"/>
        <v>53466.033256731731</v>
      </c>
      <c r="R30" s="122">
        <f t="shared" si="24"/>
        <v>55070.014254433685</v>
      </c>
      <c r="S30" s="449">
        <f t="shared" si="24"/>
        <v>56722.114682066698</v>
      </c>
      <c r="T30" s="122">
        <f t="shared" si="24"/>
        <v>58423.778122528704</v>
      </c>
      <c r="U30" s="122">
        <f t="shared" si="24"/>
        <v>60176.491466204563</v>
      </c>
      <c r="V30" s="122">
        <f t="shared" si="24"/>
        <v>61981.786210190701</v>
      </c>
      <c r="W30" s="122">
        <f t="shared" si="24"/>
        <v>63841.239796496426</v>
      </c>
      <c r="X30" s="122">
        <f t="shared" si="24"/>
        <v>65756.476990391326</v>
      </c>
      <c r="Y30" s="122">
        <f t="shared" si="24"/>
        <v>67729.171300103073</v>
      </c>
      <c r="Z30" s="122">
        <f t="shared" si="24"/>
        <v>69761.046439106169</v>
      </c>
      <c r="AA30" s="122">
        <f t="shared" si="24"/>
        <v>71853.877832279351</v>
      </c>
      <c r="AB30" s="122">
        <f t="shared" si="24"/>
        <v>74009.494167247729</v>
      </c>
      <c r="AC30" s="122">
        <f t="shared" si="24"/>
        <v>76229.778992265157</v>
      </c>
      <c r="AD30" s="122">
        <f t="shared" si="24"/>
        <v>78516.672362033118</v>
      </c>
      <c r="AE30" s="122">
        <f t="shared" si="24"/>
        <v>80872.17253289411</v>
      </c>
      <c r="AF30" s="122">
        <f t="shared" si="24"/>
        <v>83298.337708880936</v>
      </c>
      <c r="AG30" s="122">
        <f t="shared" si="24"/>
        <v>85797.287840147372</v>
      </c>
      <c r="AH30" s="122">
        <f t="shared" si="24"/>
        <v>88371.206475351792</v>
      </c>
      <c r="AI30" s="122">
        <f t="shared" si="24"/>
        <v>91022.34266961235</v>
      </c>
      <c r="AJ30" s="122">
        <f t="shared" si="24"/>
        <v>93753.012949700729</v>
      </c>
      <c r="AK30" s="122">
        <f t="shared" si="24"/>
        <v>96565.603338191751</v>
      </c>
      <c r="AL30" s="122">
        <f t="shared" si="24"/>
        <v>99462.571438337502</v>
      </c>
      <c r="AM30" s="122">
        <f t="shared" si="24"/>
        <v>102446.44858148762</v>
      </c>
      <c r="AN30" s="122">
        <f t="shared" si="24"/>
        <v>105519.84203893226</v>
      </c>
      <c r="AO30" s="122">
        <f t="shared" si="24"/>
        <v>108685.43730010022</v>
      </c>
      <c r="AP30" s="122">
        <f t="shared" si="24"/>
        <v>111946.00041910323</v>
      </c>
      <c r="AQ30" s="122">
        <f t="shared" si="24"/>
        <v>115304.38043167634</v>
      </c>
      <c r="AR30" s="37">
        <f t="shared" si="24"/>
        <v>118763.51184462663</v>
      </c>
    </row>
    <row r="31" spans="3:75" s="14" customFormat="1">
      <c r="C31" s="165" t="str">
        <f>'Proforma - Base Year'!B69</f>
        <v>Total Expenses &amp; Reserves</v>
      </c>
      <c r="D31" s="464"/>
      <c r="E31" s="332">
        <f>SUM(E28:E30)</f>
        <v>742815.38400000008</v>
      </c>
      <c r="F31" s="332">
        <f>SUM(F28:F30)</f>
        <v>765099.84551999997</v>
      </c>
      <c r="G31" s="332">
        <f>SUM(G28:G30)</f>
        <v>788052.84088560008</v>
      </c>
      <c r="H31" s="332">
        <f>SUM(H28:H30)</f>
        <v>811694.42611216789</v>
      </c>
      <c r="I31" s="332">
        <f t="shared" ref="I31:AR31" si="25">SUM(I28:I30)</f>
        <v>836045.25889553316</v>
      </c>
      <c r="J31" s="332">
        <f t="shared" si="25"/>
        <v>861126.61666239914</v>
      </c>
      <c r="K31" s="332">
        <f t="shared" si="25"/>
        <v>886960.41516227124</v>
      </c>
      <c r="L31" s="332">
        <f t="shared" si="25"/>
        <v>913569.22761713935</v>
      </c>
      <c r="M31" s="332">
        <f t="shared" si="25"/>
        <v>940976.30444565334</v>
      </c>
      <c r="N31" s="332">
        <f t="shared" si="25"/>
        <v>969205.59357902291</v>
      </c>
      <c r="O31" s="332">
        <f t="shared" si="25"/>
        <v>998281.7613863938</v>
      </c>
      <c r="P31" s="332">
        <f t="shared" si="25"/>
        <v>1028230.2142279858</v>
      </c>
      <c r="Q31" s="332">
        <f t="shared" si="25"/>
        <v>1059077.1206548251</v>
      </c>
      <c r="R31" s="332">
        <f t="shared" si="25"/>
        <v>1090849.43427447</v>
      </c>
      <c r="S31" s="450">
        <f t="shared" si="25"/>
        <v>1123574.9173027042</v>
      </c>
      <c r="T31" s="332">
        <f t="shared" si="25"/>
        <v>1157282.1648217852</v>
      </c>
      <c r="U31" s="332">
        <f t="shared" si="25"/>
        <v>1192000.6297664393</v>
      </c>
      <c r="V31" s="332">
        <f t="shared" si="25"/>
        <v>1227760.6486594323</v>
      </c>
      <c r="W31" s="332">
        <f t="shared" si="25"/>
        <v>1264593.4681192152</v>
      </c>
      <c r="X31" s="332">
        <f t="shared" si="25"/>
        <v>1302531.2721627916</v>
      </c>
      <c r="Y31" s="332">
        <f t="shared" si="25"/>
        <v>1341607.2103276756</v>
      </c>
      <c r="Z31" s="332">
        <f t="shared" si="25"/>
        <v>1381855.4266375061</v>
      </c>
      <c r="AA31" s="332">
        <f t="shared" si="25"/>
        <v>1423311.089436631</v>
      </c>
      <c r="AB31" s="332">
        <f t="shared" si="25"/>
        <v>1466010.4221197302</v>
      </c>
      <c r="AC31" s="332">
        <f t="shared" si="25"/>
        <v>1509990.7347833219</v>
      </c>
      <c r="AD31" s="332">
        <f t="shared" si="25"/>
        <v>1555290.4568268214</v>
      </c>
      <c r="AE31" s="332">
        <f t="shared" si="25"/>
        <v>1601949.1705316263</v>
      </c>
      <c r="AF31" s="332">
        <f t="shared" si="25"/>
        <v>1650007.6456475751</v>
      </c>
      <c r="AG31" s="332">
        <f t="shared" si="25"/>
        <v>1699507.8750170025</v>
      </c>
      <c r="AH31" s="332">
        <f t="shared" si="25"/>
        <v>1750493.1112675122</v>
      </c>
      <c r="AI31" s="332">
        <f t="shared" si="25"/>
        <v>1803007.9046055377</v>
      </c>
      <c r="AJ31" s="332">
        <f t="shared" si="25"/>
        <v>1857098.141743704</v>
      </c>
      <c r="AK31" s="332">
        <f t="shared" si="25"/>
        <v>1912811.085996015</v>
      </c>
      <c r="AL31" s="332">
        <f t="shared" si="25"/>
        <v>1970195.4185758957</v>
      </c>
      <c r="AM31" s="332">
        <f t="shared" si="25"/>
        <v>2029301.2811331728</v>
      </c>
      <c r="AN31" s="332">
        <f t="shared" si="25"/>
        <v>2090180.3195671677</v>
      </c>
      <c r="AO31" s="332">
        <f t="shared" si="25"/>
        <v>2152885.7291541831</v>
      </c>
      <c r="AP31" s="332">
        <f t="shared" si="25"/>
        <v>2217472.3010288086</v>
      </c>
      <c r="AQ31" s="332">
        <f t="shared" si="25"/>
        <v>2283996.4700596728</v>
      </c>
      <c r="AR31" s="451">
        <f t="shared" si="25"/>
        <v>2352516.364161463</v>
      </c>
      <c r="AS31" s="50"/>
      <c r="AT31" s="50"/>
      <c r="AU31" s="50"/>
      <c r="AV31" s="50"/>
      <c r="AW31" s="50"/>
      <c r="AX31" s="50"/>
      <c r="AY31" s="50"/>
      <c r="AZ31" s="50"/>
      <c r="BA31" s="50"/>
      <c r="BB31" s="50"/>
      <c r="BC31" s="50"/>
      <c r="BD31" s="50"/>
      <c r="BE31" s="50"/>
      <c r="BF31" s="50"/>
      <c r="BG31" s="50"/>
      <c r="BH31" s="50"/>
      <c r="BI31" s="50"/>
      <c r="BJ31" s="50"/>
      <c r="BK31" s="50"/>
      <c r="BL31" s="50"/>
      <c r="BM31" s="50"/>
      <c r="BN31" s="50"/>
      <c r="BO31" s="50"/>
      <c r="BP31" s="50"/>
      <c r="BQ31" s="50"/>
      <c r="BR31" s="50"/>
      <c r="BS31" s="50"/>
      <c r="BT31" s="50"/>
      <c r="BU31" s="50"/>
      <c r="BV31" s="50"/>
      <c r="BW31" s="50"/>
    </row>
    <row r="32" spans="3:75">
      <c r="C32" s="18"/>
      <c r="D32" s="465"/>
      <c r="E32" s="122"/>
      <c r="F32" s="15"/>
      <c r="G32" s="15"/>
      <c r="H32" s="15"/>
      <c r="I32" s="15"/>
      <c r="J32" s="15"/>
      <c r="K32" s="15"/>
      <c r="L32" s="15"/>
      <c r="M32" s="15"/>
      <c r="N32" s="15"/>
      <c r="O32" s="15"/>
      <c r="P32" s="15"/>
      <c r="Q32" s="15"/>
      <c r="R32" s="15"/>
      <c r="S32" s="452"/>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20"/>
    </row>
    <row r="33" spans="3:75" s="14" customFormat="1" ht="15" thickBot="1">
      <c r="C33" s="453" t="str">
        <f>'Proforma - Base Year'!B71</f>
        <v>Net Operating Income (NOI)</v>
      </c>
      <c r="D33" s="468"/>
      <c r="E33" s="217">
        <f>E15-E31</f>
        <v>669569.21600000001</v>
      </c>
      <c r="F33" s="217">
        <f>F15-F31</f>
        <v>675532.44648000016</v>
      </c>
      <c r="G33" s="217">
        <f>G15-G31</f>
        <v>681392.09695439995</v>
      </c>
      <c r="H33" s="217">
        <f>H15-H31</f>
        <v>687139.41048463213</v>
      </c>
      <c r="I33" s="217">
        <f t="shared" ref="I33:AR33" si="26">I15-I31</f>
        <v>692765.25443320302</v>
      </c>
      <c r="J33" s="217">
        <f t="shared" si="26"/>
        <v>698260.10693291179</v>
      </c>
      <c r="K33" s="217">
        <f t="shared" si="26"/>
        <v>703614.04290494567</v>
      </c>
      <c r="L33" s="217">
        <f t="shared" si="26"/>
        <v>708816.71961142204</v>
      </c>
      <c r="M33" s="217">
        <f t="shared" si="26"/>
        <v>713857.36172747926</v>
      </c>
      <c r="N33" s="217">
        <f t="shared" si="26"/>
        <v>718724.74591757241</v>
      </c>
      <c r="O33" s="217">
        <f t="shared" si="26"/>
        <v>723407.18490013364</v>
      </c>
      <c r="P33" s="217">
        <f t="shared" si="26"/>
        <v>727892.510984272</v>
      </c>
      <c r="Q33" s="217">
        <f t="shared" si="26"/>
        <v>732168.05906167789</v>
      </c>
      <c r="R33" s="217">
        <f t="shared" si="26"/>
        <v>736220.64903636323</v>
      </c>
      <c r="S33" s="218">
        <f t="shared" si="26"/>
        <v>740036.5676743458</v>
      </c>
      <c r="T33" s="217">
        <f t="shared" si="26"/>
        <v>743601.54985480569</v>
      </c>
      <c r="U33" s="217">
        <f t="shared" si="26"/>
        <v>746900.75920368358</v>
      </c>
      <c r="V33" s="217">
        <f t="shared" si="26"/>
        <v>749918.76809009281</v>
      </c>
      <c r="W33" s="217">
        <f t="shared" si="26"/>
        <v>752639.53696530033</v>
      </c>
      <c r="X33" s="217">
        <f t="shared" si="26"/>
        <v>755046.3930234143</v>
      </c>
      <c r="Y33" s="217">
        <f t="shared" si="26"/>
        <v>757122.00816225447</v>
      </c>
      <c r="Z33" s="217">
        <f t="shared" si="26"/>
        <v>758848.37622222211</v>
      </c>
      <c r="AA33" s="217">
        <f t="shared" si="26"/>
        <v>760206.78948029201</v>
      </c>
      <c r="AB33" s="217">
        <f t="shared" si="26"/>
        <v>761177.81437553139</v>
      </c>
      <c r="AC33" s="217">
        <f t="shared" si="26"/>
        <v>761741.26644184464</v>
      </c>
      <c r="AD33" s="217">
        <f t="shared" si="26"/>
        <v>761876.18442284875</v>
      </c>
      <c r="AE33" s="217">
        <f t="shared" si="26"/>
        <v>761560.80354303727</v>
      </c>
      <c r="AF33" s="217">
        <f t="shared" si="26"/>
        <v>760772.52790858131</v>
      </c>
      <c r="AG33" s="217">
        <f t="shared" si="26"/>
        <v>759487.90201027715</v>
      </c>
      <c r="AH33" s="217">
        <f t="shared" si="26"/>
        <v>757682.58130031265</v>
      </c>
      <c r="AI33" s="217">
        <f t="shared" si="26"/>
        <v>755331.30181364389</v>
      </c>
      <c r="AJ33" s="217">
        <f t="shared" si="26"/>
        <v>752407.8488038613</v>
      </c>
      <c r="AK33" s="217">
        <f t="shared" si="26"/>
        <v>748885.02436250169</v>
      </c>
      <c r="AL33" s="217">
        <f t="shared" si="26"/>
        <v>744734.61398979113</v>
      </c>
      <c r="AM33" s="217">
        <f t="shared" si="26"/>
        <v>739927.35208382807</v>
      </c>
      <c r="AN33" s="217">
        <f t="shared" si="26"/>
        <v>734432.88631417323</v>
      </c>
      <c r="AO33" s="217">
        <f t="shared" si="26"/>
        <v>728219.74084478477</v>
      </c>
      <c r="AP33" s="217">
        <f t="shared" si="26"/>
        <v>721255.27837013872</v>
      </c>
      <c r="AQ33" s="217">
        <f t="shared" si="26"/>
        <v>713505.66092725331</v>
      </c>
      <c r="AR33" s="454">
        <f t="shared" si="26"/>
        <v>704935.80944520188</v>
      </c>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c r="BS33" s="50"/>
      <c r="BT33" s="50"/>
      <c r="BU33" s="50"/>
      <c r="BV33" s="50"/>
      <c r="BW33" s="50"/>
    </row>
    <row r="34" spans="3:75" ht="15" thickTop="1">
      <c r="C34" s="18" t="str">
        <f>'Proforma - Base Year'!B72</f>
        <v>Maximum Debt Services</v>
      </c>
      <c r="D34" s="465"/>
      <c r="E34" s="122">
        <f>'Debt &amp; Valuation'!J27</f>
        <v>584104.12616069871</v>
      </c>
      <c r="F34" s="63">
        <f>E34</f>
        <v>584104.12616069871</v>
      </c>
      <c r="G34" s="63">
        <f t="shared" ref="G34:AR34" si="27">F34</f>
        <v>584104.12616069871</v>
      </c>
      <c r="H34" s="63">
        <f t="shared" si="27"/>
        <v>584104.12616069871</v>
      </c>
      <c r="I34" s="63">
        <f t="shared" si="27"/>
        <v>584104.12616069871</v>
      </c>
      <c r="J34" s="63">
        <f t="shared" si="27"/>
        <v>584104.12616069871</v>
      </c>
      <c r="K34" s="63">
        <f t="shared" si="27"/>
        <v>584104.12616069871</v>
      </c>
      <c r="L34" s="63">
        <f t="shared" si="27"/>
        <v>584104.12616069871</v>
      </c>
      <c r="M34" s="63">
        <f t="shared" si="27"/>
        <v>584104.12616069871</v>
      </c>
      <c r="N34" s="63">
        <f t="shared" si="27"/>
        <v>584104.12616069871</v>
      </c>
      <c r="O34" s="63">
        <f t="shared" si="27"/>
        <v>584104.12616069871</v>
      </c>
      <c r="P34" s="63">
        <f t="shared" si="27"/>
        <v>584104.12616069871</v>
      </c>
      <c r="Q34" s="63">
        <f t="shared" si="27"/>
        <v>584104.12616069871</v>
      </c>
      <c r="R34" s="63">
        <f t="shared" si="27"/>
        <v>584104.12616069871</v>
      </c>
      <c r="S34" s="455">
        <f t="shared" si="27"/>
        <v>584104.12616069871</v>
      </c>
      <c r="T34" s="63">
        <f t="shared" si="27"/>
        <v>584104.12616069871</v>
      </c>
      <c r="U34" s="63">
        <f t="shared" si="27"/>
        <v>584104.12616069871</v>
      </c>
      <c r="V34" s="63">
        <f t="shared" si="27"/>
        <v>584104.12616069871</v>
      </c>
      <c r="W34" s="63">
        <f t="shared" si="27"/>
        <v>584104.12616069871</v>
      </c>
      <c r="X34" s="63">
        <f t="shared" si="27"/>
        <v>584104.12616069871</v>
      </c>
      <c r="Y34" s="63">
        <f t="shared" si="27"/>
        <v>584104.12616069871</v>
      </c>
      <c r="Z34" s="63">
        <f t="shared" si="27"/>
        <v>584104.12616069871</v>
      </c>
      <c r="AA34" s="63">
        <f t="shared" si="27"/>
        <v>584104.12616069871</v>
      </c>
      <c r="AB34" s="63">
        <f t="shared" si="27"/>
        <v>584104.12616069871</v>
      </c>
      <c r="AC34" s="63">
        <f t="shared" si="27"/>
        <v>584104.12616069871</v>
      </c>
      <c r="AD34" s="63">
        <f t="shared" si="27"/>
        <v>584104.12616069871</v>
      </c>
      <c r="AE34" s="63">
        <f t="shared" si="27"/>
        <v>584104.12616069871</v>
      </c>
      <c r="AF34" s="63">
        <f t="shared" si="27"/>
        <v>584104.12616069871</v>
      </c>
      <c r="AG34" s="63">
        <f t="shared" si="27"/>
        <v>584104.12616069871</v>
      </c>
      <c r="AH34" s="63">
        <f t="shared" si="27"/>
        <v>584104.12616069871</v>
      </c>
      <c r="AI34" s="63">
        <f t="shared" si="27"/>
        <v>584104.12616069871</v>
      </c>
      <c r="AJ34" s="63">
        <f t="shared" si="27"/>
        <v>584104.12616069871</v>
      </c>
      <c r="AK34" s="63">
        <f t="shared" si="27"/>
        <v>584104.12616069871</v>
      </c>
      <c r="AL34" s="63">
        <f t="shared" si="27"/>
        <v>584104.12616069871</v>
      </c>
      <c r="AM34" s="63">
        <f t="shared" si="27"/>
        <v>584104.12616069871</v>
      </c>
      <c r="AN34" s="63">
        <f t="shared" si="27"/>
        <v>584104.12616069871</v>
      </c>
      <c r="AO34" s="63">
        <f t="shared" si="27"/>
        <v>584104.12616069871</v>
      </c>
      <c r="AP34" s="63">
        <f t="shared" si="27"/>
        <v>584104.12616069871</v>
      </c>
      <c r="AQ34" s="63">
        <f t="shared" si="27"/>
        <v>584104.12616069871</v>
      </c>
      <c r="AR34" s="456">
        <f t="shared" si="27"/>
        <v>584104.12616069871</v>
      </c>
    </row>
    <row r="35" spans="3:75">
      <c r="C35" s="18"/>
      <c r="D35" s="465"/>
      <c r="E35" s="122"/>
      <c r="F35" s="63"/>
      <c r="G35" s="63"/>
      <c r="H35" s="63"/>
      <c r="I35" s="63"/>
      <c r="J35" s="63"/>
      <c r="K35" s="63"/>
      <c r="L35" s="63"/>
      <c r="M35" s="63"/>
      <c r="N35" s="63"/>
      <c r="O35" s="63"/>
      <c r="P35" s="63"/>
      <c r="Q35" s="63"/>
      <c r="R35" s="63"/>
      <c r="S35" s="455"/>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456"/>
    </row>
    <row r="36" spans="3:75">
      <c r="C36" s="18" t="s">
        <v>475</v>
      </c>
      <c r="D36" s="465"/>
      <c r="E36" s="63">
        <f>E33-E35</f>
        <v>669569.21600000001</v>
      </c>
      <c r="F36" s="63">
        <f>F33-F35</f>
        <v>675532.44648000016</v>
      </c>
      <c r="G36" s="63">
        <f>G33-G35</f>
        <v>681392.09695439995</v>
      </c>
      <c r="H36" s="63">
        <f>H33-H35</f>
        <v>687139.41048463213</v>
      </c>
      <c r="I36" s="63">
        <f t="shared" ref="I36:AR36" si="28">I33-I35</f>
        <v>692765.25443320302</v>
      </c>
      <c r="J36" s="63">
        <f t="shared" si="28"/>
        <v>698260.10693291179</v>
      </c>
      <c r="K36" s="63">
        <f t="shared" si="28"/>
        <v>703614.04290494567</v>
      </c>
      <c r="L36" s="63">
        <f t="shared" si="28"/>
        <v>708816.71961142204</v>
      </c>
      <c r="M36" s="63">
        <f t="shared" si="28"/>
        <v>713857.36172747926</v>
      </c>
      <c r="N36" s="63">
        <f t="shared" si="28"/>
        <v>718724.74591757241</v>
      </c>
      <c r="O36" s="63">
        <f t="shared" si="28"/>
        <v>723407.18490013364</v>
      </c>
      <c r="P36" s="63">
        <f t="shared" si="28"/>
        <v>727892.510984272</v>
      </c>
      <c r="Q36" s="63">
        <f t="shared" si="28"/>
        <v>732168.05906167789</v>
      </c>
      <c r="R36" s="63">
        <f t="shared" si="28"/>
        <v>736220.64903636323</v>
      </c>
      <c r="S36" s="455">
        <f t="shared" si="28"/>
        <v>740036.5676743458</v>
      </c>
      <c r="T36" s="63">
        <f t="shared" si="28"/>
        <v>743601.54985480569</v>
      </c>
      <c r="U36" s="63">
        <f t="shared" si="28"/>
        <v>746900.75920368358</v>
      </c>
      <c r="V36" s="63">
        <f t="shared" si="28"/>
        <v>749918.76809009281</v>
      </c>
      <c r="W36" s="63">
        <f t="shared" si="28"/>
        <v>752639.53696530033</v>
      </c>
      <c r="X36" s="63">
        <f t="shared" si="28"/>
        <v>755046.3930234143</v>
      </c>
      <c r="Y36" s="63">
        <f t="shared" si="28"/>
        <v>757122.00816225447</v>
      </c>
      <c r="Z36" s="63">
        <f t="shared" si="28"/>
        <v>758848.37622222211</v>
      </c>
      <c r="AA36" s="63">
        <f t="shared" si="28"/>
        <v>760206.78948029201</v>
      </c>
      <c r="AB36" s="63">
        <f t="shared" si="28"/>
        <v>761177.81437553139</v>
      </c>
      <c r="AC36" s="63">
        <f t="shared" si="28"/>
        <v>761741.26644184464</v>
      </c>
      <c r="AD36" s="63">
        <f t="shared" si="28"/>
        <v>761876.18442284875</v>
      </c>
      <c r="AE36" s="63">
        <f t="shared" si="28"/>
        <v>761560.80354303727</v>
      </c>
      <c r="AF36" s="63">
        <f t="shared" si="28"/>
        <v>760772.52790858131</v>
      </c>
      <c r="AG36" s="63">
        <f t="shared" si="28"/>
        <v>759487.90201027715</v>
      </c>
      <c r="AH36" s="63">
        <f t="shared" si="28"/>
        <v>757682.58130031265</v>
      </c>
      <c r="AI36" s="63">
        <f t="shared" si="28"/>
        <v>755331.30181364389</v>
      </c>
      <c r="AJ36" s="63">
        <f t="shared" si="28"/>
        <v>752407.8488038613</v>
      </c>
      <c r="AK36" s="63">
        <f t="shared" si="28"/>
        <v>748885.02436250169</v>
      </c>
      <c r="AL36" s="63">
        <f t="shared" si="28"/>
        <v>744734.61398979113</v>
      </c>
      <c r="AM36" s="63">
        <f t="shared" si="28"/>
        <v>739927.35208382807</v>
      </c>
      <c r="AN36" s="63">
        <f t="shared" si="28"/>
        <v>734432.88631417323</v>
      </c>
      <c r="AO36" s="63">
        <f t="shared" si="28"/>
        <v>728219.74084478477</v>
      </c>
      <c r="AP36" s="63">
        <f t="shared" si="28"/>
        <v>721255.27837013872</v>
      </c>
      <c r="AQ36" s="63">
        <f t="shared" si="28"/>
        <v>713505.66092725331</v>
      </c>
      <c r="AR36" s="456">
        <f t="shared" si="28"/>
        <v>704935.80944520188</v>
      </c>
    </row>
    <row r="37" spans="3:75">
      <c r="C37" s="18" t="s">
        <v>476</v>
      </c>
      <c r="D37" s="465"/>
      <c r="E37" s="121">
        <f>IFERROR(E33/E34,0)</f>
        <v>1.1463182436341635</v>
      </c>
      <c r="F37" s="121">
        <f t="shared" ref="F37:AR37" si="29">IFERROR(F33/F34,0)</f>
        <v>1.1565274344495005</v>
      </c>
      <c r="G37" s="121">
        <f t="shared" si="29"/>
        <v>1.1665592938594229</v>
      </c>
      <c r="H37" s="121">
        <f t="shared" si="29"/>
        <v>1.1763988297791725</v>
      </c>
      <c r="I37" s="121">
        <f t="shared" si="29"/>
        <v>1.1860304069185936</v>
      </c>
      <c r="J37" s="121">
        <f t="shared" si="29"/>
        <v>1.1954377236171183</v>
      </c>
      <c r="K37" s="121">
        <f t="shared" si="29"/>
        <v>1.2046037879064175</v>
      </c>
      <c r="L37" s="121">
        <f t="shared" si="29"/>
        <v>1.2135108927760123</v>
      </c>
      <c r="M37" s="121">
        <f t="shared" si="29"/>
        <v>1.2221405906163429</v>
      </c>
      <c r="N37" s="121">
        <f t="shared" si="29"/>
        <v>1.2304736668130245</v>
      </c>
      <c r="O37" s="121">
        <f t="shared" si="29"/>
        <v>1.2384901124651702</v>
      </c>
      <c r="P37" s="121">
        <f t="shared" si="29"/>
        <v>1.2461690961998344</v>
      </c>
      <c r="Q37" s="121">
        <f t="shared" si="29"/>
        <v>1.2534889350537541</v>
      </c>
      <c r="R37" s="121">
        <f t="shared" si="29"/>
        <v>1.2604270643926494</v>
      </c>
      <c r="S37" s="457">
        <f t="shared" si="29"/>
        <v>1.2669600068374571</v>
      </c>
      <c r="T37" s="121">
        <f t="shared" si="29"/>
        <v>1.2730633401658698</v>
      </c>
      <c r="U37" s="121">
        <f t="shared" si="29"/>
        <v>1.2787116641565999</v>
      </c>
      <c r="V37" s="121">
        <f t="shared" si="29"/>
        <v>1.2838785663427674</v>
      </c>
      <c r="W37" s="121">
        <f t="shared" si="29"/>
        <v>1.2885365866397496</v>
      </c>
      <c r="X37" s="121">
        <f t="shared" si="29"/>
        <v>1.2926571808117753</v>
      </c>
      <c r="Y37" s="121">
        <f t="shared" si="29"/>
        <v>1.2962106827404178</v>
      </c>
      <c r="Z37" s="121">
        <f t="shared" si="29"/>
        <v>1.2991662654570049</v>
      </c>
      <c r="AA37" s="121">
        <f t="shared" si="29"/>
        <v>1.301491900899779</v>
      </c>
      <c r="AB37" s="121">
        <f t="shared" si="29"/>
        <v>1.3031543183554162</v>
      </c>
      <c r="AC37" s="121">
        <f t="shared" si="29"/>
        <v>1.3041189615432958</v>
      </c>
      <c r="AD37" s="121">
        <f t="shared" si="29"/>
        <v>1.304349944299557</v>
      </c>
      <c r="AE37" s="121">
        <f t="shared" si="29"/>
        <v>1.3038100048167041</v>
      </c>
      <c r="AF37" s="121">
        <f t="shared" si="29"/>
        <v>1.3024604583931283</v>
      </c>
      <c r="AG37" s="121">
        <f t="shared" si="29"/>
        <v>1.3002611486454845</v>
      </c>
      <c r="AH37" s="121">
        <f t="shared" si="29"/>
        <v>1.2971703971354227</v>
      </c>
      <c r="AI37" s="121">
        <f t="shared" si="29"/>
        <v>1.2931449513606708</v>
      </c>
      <c r="AJ37" s="121">
        <f t="shared" si="29"/>
        <v>1.2881399310588997</v>
      </c>
      <c r="AK37" s="121">
        <f t="shared" si="29"/>
        <v>1.2821087727712241</v>
      </c>
      <c r="AL37" s="121">
        <f t="shared" si="29"/>
        <v>1.2750031726105282</v>
      </c>
      <c r="AM37" s="121">
        <f t="shared" si="29"/>
        <v>1.2667730271781359</v>
      </c>
      <c r="AN37" s="121">
        <f t="shared" si="29"/>
        <v>1.2573663725705579</v>
      </c>
      <c r="AO37" s="121">
        <f t="shared" si="29"/>
        <v>1.2467293214162931</v>
      </c>
      <c r="AP37" s="121">
        <f t="shared" si="29"/>
        <v>1.2348059978807735</v>
      </c>
      <c r="AQ37" s="121">
        <f t="shared" si="29"/>
        <v>1.2215384705756276</v>
      </c>
      <c r="AR37" s="458">
        <f t="shared" si="29"/>
        <v>1.2068666833064965</v>
      </c>
    </row>
    <row r="38" spans="3:75">
      <c r="C38" s="18"/>
      <c r="D38" s="465"/>
      <c r="E38" s="15"/>
      <c r="F38" s="15"/>
      <c r="G38" s="15"/>
      <c r="H38" s="15"/>
      <c r="I38" s="15"/>
      <c r="J38" s="15"/>
      <c r="K38" s="15"/>
      <c r="L38" s="15"/>
      <c r="M38" s="15"/>
      <c r="N38" s="15"/>
      <c r="O38" s="15"/>
      <c r="P38" s="15"/>
      <c r="Q38" s="15"/>
      <c r="R38" s="15"/>
      <c r="S38" s="452"/>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20"/>
    </row>
    <row r="39" spans="3:75">
      <c r="C39" s="278" t="s">
        <v>477</v>
      </c>
      <c r="D39" s="469"/>
      <c r="E39" s="15"/>
      <c r="F39" s="15"/>
      <c r="G39" s="15"/>
      <c r="H39" s="15"/>
      <c r="I39" s="15"/>
      <c r="J39" s="15"/>
      <c r="K39" s="15"/>
      <c r="L39" s="15"/>
      <c r="M39" s="15"/>
      <c r="N39" s="15"/>
      <c r="O39" s="15"/>
      <c r="P39" s="15"/>
      <c r="Q39" s="15"/>
      <c r="R39" s="15"/>
      <c r="S39" s="452"/>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20"/>
    </row>
    <row r="40" spans="3:75">
      <c r="C40" s="612" t="s">
        <v>478</v>
      </c>
      <c r="D40" s="615">
        <v>5000</v>
      </c>
      <c r="E40" s="63" cm="1">
        <f t="array" ref="E40">_xlfn.IFS(E37&lt;1.15,0,E36&lt;0,0,E36&lt;D40,E36,E37&gt;=1.15,D40)</f>
        <v>0</v>
      </c>
      <c r="F40" s="63" cm="1">
        <f t="array" ref="F40">_xlfn.IFS(F37&lt;1.15,0,F36&lt;0,0,F36&lt;E40,F36,F37&gt;=1.15,E40)</f>
        <v>0</v>
      </c>
      <c r="G40" s="63" cm="1">
        <f t="array" ref="G40">_xlfn.IFS(G37&lt;1.15,0,G36&lt;0,0,G36&lt;F40,G36,G37&gt;=1.15,F40)</f>
        <v>0</v>
      </c>
      <c r="H40" s="63" cm="1">
        <f t="array" ref="H40">_xlfn.IFS(H37&lt;1.15,0,H36&lt;0,0,H36&lt;G40,H36,H37&gt;=1.15,G40)</f>
        <v>0</v>
      </c>
      <c r="I40" s="63" cm="1">
        <f t="array" ref="I40">_xlfn.IFS(I37&lt;1.15,0,I36&lt;0,0,I36&lt;H40,I36,I37&gt;=1.15,H40)</f>
        <v>0</v>
      </c>
      <c r="J40" s="63" cm="1">
        <f t="array" ref="J40">_xlfn.IFS(J37&lt;1.15,0,J36&lt;0,0,J36&lt;I40,J36,J37&gt;=1.15,I40)</f>
        <v>0</v>
      </c>
      <c r="K40" s="63" cm="1">
        <f t="array" ref="K40">_xlfn.IFS(K37&lt;1.15,0,K36&lt;0,0,K36&lt;J40,K36,K37&gt;=1.15,J40)</f>
        <v>0</v>
      </c>
      <c r="L40" s="63" cm="1">
        <f t="array" ref="L40">_xlfn.IFS(L37&lt;1.15,0,L36&lt;0,0,L36&lt;K40,L36,L37&gt;=1.15,K40)</f>
        <v>0</v>
      </c>
      <c r="M40" s="63" cm="1">
        <f t="array" ref="M40">_xlfn.IFS(M37&lt;1.15,0,M36&lt;0,0,M36&lt;L40,M36,M37&gt;=1.15,L40)</f>
        <v>0</v>
      </c>
      <c r="N40" s="63" cm="1">
        <f t="array" ref="N40">_xlfn.IFS(N37&lt;1.15,0,N36&lt;0,0,N36&lt;M40,N36,N37&gt;=1.15,M40)</f>
        <v>0</v>
      </c>
      <c r="O40" s="63" cm="1">
        <f t="array" ref="O40">_xlfn.IFS(O37&lt;1.15,0,O36&lt;0,0,O36&lt;N40,O36,O37&gt;=1.15,N40)</f>
        <v>0</v>
      </c>
      <c r="P40" s="63" cm="1">
        <f t="array" ref="P40">_xlfn.IFS(P37&lt;1.15,0,P36&lt;0,0,P36&lt;O40,P36,P37&gt;=1.15,O40)</f>
        <v>0</v>
      </c>
      <c r="Q40" s="63" cm="1">
        <f t="array" ref="Q40">_xlfn.IFS(Q37&lt;1.15,0,Q36&lt;0,0,Q36&lt;P40,Q36,Q37&gt;=1.15,P40)</f>
        <v>0</v>
      </c>
      <c r="R40" s="63" cm="1">
        <f t="array" ref="R40">_xlfn.IFS(R37&lt;1.15,0,R36&lt;0,0,R36&lt;Q40,R36,R37&gt;=1.15,Q40)</f>
        <v>0</v>
      </c>
      <c r="S40" s="455" cm="1">
        <f t="array" ref="S40">_xlfn.IFS(S37&lt;1.15,0,S36&lt;0,0,S36&lt;R40,S36,S37&gt;=1.15,R40)</f>
        <v>0</v>
      </c>
      <c r="T40" s="63" cm="1">
        <f t="array" ref="T40">_xlfn.IFS(T37&lt;1.15,0,T36&lt;0,0,T36&lt;S40,T36,T37&gt;=1.15,S40)</f>
        <v>0</v>
      </c>
      <c r="U40" s="63" cm="1">
        <f t="array" ref="U40">_xlfn.IFS(U37&lt;1.15,0,U36&lt;0,0,U36&lt;T40,U36,U37&gt;=1.15,T40)</f>
        <v>0</v>
      </c>
      <c r="V40" s="63" cm="1">
        <f t="array" ref="V40">_xlfn.IFS(V37&lt;1.15,0,V36&lt;0,0,V36&lt;U40,V36,V37&gt;=1.15,U40)</f>
        <v>0</v>
      </c>
      <c r="W40" s="63" cm="1">
        <f t="array" ref="W40">_xlfn.IFS(W37&lt;1.15,0,W36&lt;0,0,W36&lt;V40,W36,W37&gt;=1.15,V40)</f>
        <v>0</v>
      </c>
      <c r="X40" s="63" cm="1">
        <f t="array" ref="X40">_xlfn.IFS(X37&lt;1.15,0,X36&lt;0,0,X36&lt;W40,X36,X37&gt;=1.15,W40)</f>
        <v>0</v>
      </c>
      <c r="Y40" s="63" cm="1">
        <f t="array" ref="Y40">_xlfn.IFS(Y37&lt;1.15,0,Y36&lt;0,0,Y36&lt;X40,Y36,Y37&gt;=1.15,X40)</f>
        <v>0</v>
      </c>
      <c r="Z40" s="63" cm="1">
        <f t="array" ref="Z40">_xlfn.IFS(Z37&lt;1.15,0,Z36&lt;0,0,Z36&lt;Y40,Z36,Z37&gt;=1.15,Y40)</f>
        <v>0</v>
      </c>
      <c r="AA40" s="63" cm="1">
        <f t="array" ref="AA40">_xlfn.IFS(AA37&lt;1.15,0,AA36&lt;0,0,AA36&lt;Z40,AA36,AA37&gt;=1.15,Z40)</f>
        <v>0</v>
      </c>
      <c r="AB40" s="63" cm="1">
        <f t="array" ref="AB40">_xlfn.IFS(AB37&lt;1.15,0,AB36&lt;0,0,AB36&lt;AA40,AB36,AB37&gt;=1.15,AA40)</f>
        <v>0</v>
      </c>
      <c r="AC40" s="63" cm="1">
        <f t="array" ref="AC40">_xlfn.IFS(AC37&lt;1.15,0,AC36&lt;0,0,AC36&lt;AB40,AC36,AC37&gt;=1.15,AB40)</f>
        <v>0</v>
      </c>
      <c r="AD40" s="63" cm="1">
        <f t="array" ref="AD40">_xlfn.IFS(AD37&lt;1.15,0,AD36&lt;0,0,AD36&lt;AC40,AD36,AD37&gt;=1.15,AC40)</f>
        <v>0</v>
      </c>
      <c r="AE40" s="63" cm="1">
        <f t="array" ref="AE40">_xlfn.IFS(AE37&lt;1.15,0,AE36&lt;0,0,AE36&lt;AD40,AE36,AE37&gt;=1.15,AD40)</f>
        <v>0</v>
      </c>
      <c r="AF40" s="63" cm="1">
        <f t="array" ref="AF40">_xlfn.IFS(AF37&lt;1.15,0,AF36&lt;0,0,AF36&lt;AE40,AF36,AF37&gt;=1.15,AE40)</f>
        <v>0</v>
      </c>
      <c r="AG40" s="63" cm="1">
        <f t="array" ref="AG40">_xlfn.IFS(AG37&lt;1.15,0,AG36&lt;0,0,AG36&lt;AF40,AG36,AG37&gt;=1.15,AF40)</f>
        <v>0</v>
      </c>
      <c r="AH40" s="63" cm="1">
        <f t="array" ref="AH40">_xlfn.IFS(AH37&lt;1.15,0,AH36&lt;0,0,AH36&lt;AG40,AH36,AH37&gt;=1.15,AG40)</f>
        <v>0</v>
      </c>
      <c r="AI40" s="63" cm="1">
        <f t="array" ref="AI40">_xlfn.IFS(AI37&lt;1.15,0,AI36&lt;0,0,AI36&lt;AH40,AI36,AI37&gt;=1.15,AH40)</f>
        <v>0</v>
      </c>
      <c r="AJ40" s="63" cm="1">
        <f t="array" ref="AJ40">_xlfn.IFS(AJ37&lt;1.15,0,AJ36&lt;0,0,AJ36&lt;AI40,AJ36,AJ37&gt;=1.15,AI40)</f>
        <v>0</v>
      </c>
      <c r="AK40" s="63" cm="1">
        <f t="array" ref="AK40">_xlfn.IFS(AK37&lt;1.15,0,AK36&lt;0,0,AK36&lt;AJ40,AK36,AK37&gt;=1.15,AJ40)</f>
        <v>0</v>
      </c>
      <c r="AL40" s="63" cm="1">
        <f t="array" ref="AL40">_xlfn.IFS(AL37&lt;1.15,0,AL36&lt;0,0,AL36&lt;AK40,AL36,AL37&gt;=1.15,AK40)</f>
        <v>0</v>
      </c>
      <c r="AM40" s="63" cm="1">
        <f t="array" ref="AM40">_xlfn.IFS(AM37&lt;1.15,0,AM36&lt;0,0,AM36&lt;AL40,AM36,AM37&gt;=1.15,AL40)</f>
        <v>0</v>
      </c>
      <c r="AN40" s="63" cm="1">
        <f t="array" ref="AN40">_xlfn.IFS(AN37&lt;1.15,0,AN36&lt;0,0,AN36&lt;AM40,AN36,AN37&gt;=1.15,AM40)</f>
        <v>0</v>
      </c>
      <c r="AO40" s="63" cm="1">
        <f t="array" ref="AO40">_xlfn.IFS(AO37&lt;1.15,0,AO36&lt;0,0,AO36&lt;AN40,AO36,AO37&gt;=1.15,AN40)</f>
        <v>0</v>
      </c>
      <c r="AP40" s="63" cm="1">
        <f t="array" ref="AP40">_xlfn.IFS(AP37&lt;1.15,0,AP36&lt;0,0,AP36&lt;AO40,AP36,AP37&gt;=1.15,AO40)</f>
        <v>0</v>
      </c>
      <c r="AQ40" s="63" cm="1">
        <f t="array" ref="AQ40">_xlfn.IFS(AQ37&lt;1.15,0,AQ36&lt;0,0,AQ36&lt;AP40,AQ36,AQ37&gt;=1.15,AP40)</f>
        <v>0</v>
      </c>
      <c r="AR40" s="456" cm="1">
        <f t="array" ref="AR40">_xlfn.IFS(AR37&lt;1.15,0,AR36&lt;0,0,AR36&lt;AQ40,AR36,AR37&gt;=1.15,AQ40)</f>
        <v>0</v>
      </c>
    </row>
    <row r="41" spans="3:75">
      <c r="C41" s="612" t="s">
        <v>479</v>
      </c>
      <c r="D41" s="469"/>
      <c r="E41" s="63">
        <f>'Sources and Uses'!P100</f>
        <v>0</v>
      </c>
      <c r="F41" s="63">
        <f>E41-E42</f>
        <v>0</v>
      </c>
      <c r="G41" s="63">
        <f t="shared" ref="G41:M41" si="30">F41-F42</f>
        <v>0</v>
      </c>
      <c r="H41" s="63">
        <f t="shared" si="30"/>
        <v>0</v>
      </c>
      <c r="I41" s="63">
        <f t="shared" si="30"/>
        <v>0</v>
      </c>
      <c r="J41" s="63">
        <f t="shared" si="30"/>
        <v>0</v>
      </c>
      <c r="K41" s="63">
        <f t="shared" si="30"/>
        <v>0</v>
      </c>
      <c r="L41" s="63">
        <f t="shared" si="30"/>
        <v>0</v>
      </c>
      <c r="M41" s="63">
        <f t="shared" si="30"/>
        <v>0</v>
      </c>
      <c r="N41" s="63">
        <f>M41-M42</f>
        <v>0</v>
      </c>
      <c r="O41" s="63">
        <f>N41-N42</f>
        <v>0</v>
      </c>
      <c r="P41" s="63">
        <f t="shared" ref="P41:AR41" si="31">O41-O42</f>
        <v>0</v>
      </c>
      <c r="Q41" s="63">
        <f t="shared" si="31"/>
        <v>0</v>
      </c>
      <c r="R41" s="63">
        <f t="shared" si="31"/>
        <v>0</v>
      </c>
      <c r="S41" s="455">
        <f t="shared" si="31"/>
        <v>0</v>
      </c>
      <c r="T41" s="63">
        <f t="shared" si="31"/>
        <v>0</v>
      </c>
      <c r="U41" s="63">
        <f t="shared" si="31"/>
        <v>0</v>
      </c>
      <c r="V41" s="63">
        <f t="shared" si="31"/>
        <v>0</v>
      </c>
      <c r="W41" s="63">
        <f t="shared" si="31"/>
        <v>0</v>
      </c>
      <c r="X41" s="63">
        <f t="shared" si="31"/>
        <v>0</v>
      </c>
      <c r="Y41" s="63">
        <f t="shared" si="31"/>
        <v>0</v>
      </c>
      <c r="Z41" s="63">
        <f t="shared" si="31"/>
        <v>0</v>
      </c>
      <c r="AA41" s="63">
        <f t="shared" si="31"/>
        <v>0</v>
      </c>
      <c r="AB41" s="63">
        <f t="shared" si="31"/>
        <v>0</v>
      </c>
      <c r="AC41" s="63">
        <f t="shared" si="31"/>
        <v>0</v>
      </c>
      <c r="AD41" s="63">
        <f t="shared" si="31"/>
        <v>0</v>
      </c>
      <c r="AE41" s="63">
        <f t="shared" si="31"/>
        <v>0</v>
      </c>
      <c r="AF41" s="63">
        <f t="shared" si="31"/>
        <v>0</v>
      </c>
      <c r="AG41" s="63">
        <f t="shared" si="31"/>
        <v>0</v>
      </c>
      <c r="AH41" s="63">
        <f t="shared" si="31"/>
        <v>0</v>
      </c>
      <c r="AI41" s="63">
        <f t="shared" si="31"/>
        <v>0</v>
      </c>
      <c r="AJ41" s="63">
        <f t="shared" si="31"/>
        <v>0</v>
      </c>
      <c r="AK41" s="63">
        <f t="shared" si="31"/>
        <v>0</v>
      </c>
      <c r="AL41" s="63">
        <f t="shared" si="31"/>
        <v>0</v>
      </c>
      <c r="AM41" s="63">
        <f t="shared" si="31"/>
        <v>0</v>
      </c>
      <c r="AN41" s="63">
        <f t="shared" si="31"/>
        <v>0</v>
      </c>
      <c r="AO41" s="63">
        <f t="shared" si="31"/>
        <v>0</v>
      </c>
      <c r="AP41" s="63">
        <f t="shared" si="31"/>
        <v>0</v>
      </c>
      <c r="AQ41" s="63">
        <f t="shared" si="31"/>
        <v>0</v>
      </c>
      <c r="AR41" s="456">
        <f t="shared" si="31"/>
        <v>0</v>
      </c>
    </row>
    <row r="42" spans="3:75">
      <c r="C42" s="612" t="s">
        <v>480</v>
      </c>
      <c r="D42" s="617"/>
      <c r="E42" s="63" cm="1">
        <f t="array" ref="E42">IFERROR(_xlfn.IFS(E36-E40&lt;0,0,E41&gt;E36-E40,(E36-E40),(E36-E40)&gt;E41,E41),0)</f>
        <v>0</v>
      </c>
      <c r="F42" s="63" cm="1">
        <f t="array" ref="F42">IFERROR(_xlfn.IFS(F36-F40&lt;0,0,F41&gt;F36-F40,(F36-F40),(F36-F40)&gt;F41,F41),0)</f>
        <v>0</v>
      </c>
      <c r="G42" s="63" cm="1">
        <f t="array" ref="G42">IFERROR(_xlfn.IFS(G36-G40&lt;0,0,G41&gt;G36-G40,(G36-G40),(G36-G40)&gt;G41,G41),0)</f>
        <v>0</v>
      </c>
      <c r="H42" s="63" cm="1">
        <f t="array" ref="H42">IFERROR(_xlfn.IFS(H36-H40&lt;0,0,H41&gt;H36-H40,(H36-H40),(H36-H40)&gt;H41,H41),0)</f>
        <v>0</v>
      </c>
      <c r="I42" s="63" cm="1">
        <f t="array" ref="I42">IFERROR(_xlfn.IFS(I36-I40&lt;0,0,I41&gt;I36-I40,(I36-I40),(I36-I40)&gt;I41,I41),0)</f>
        <v>0</v>
      </c>
      <c r="J42" s="63" cm="1">
        <f t="array" ref="J42">IFERROR(_xlfn.IFS(J36-J40&lt;0,0,J41&gt;J36-J40,(J36-J40),(J36-J40)&gt;J41,J41),0)</f>
        <v>0</v>
      </c>
      <c r="K42" s="63" cm="1">
        <f t="array" ref="K42">IFERROR(_xlfn.IFS(K36-K40&lt;0,0,K41&gt;K36-K40,(K36-K40),(K36-K40)&gt;K41,K41),0)</f>
        <v>0</v>
      </c>
      <c r="L42" s="63" cm="1">
        <f t="array" ref="L42">IFERROR(_xlfn.IFS(L36-L40&lt;0,0,L41&gt;L36-L40,(L36-L40),(L36-L40)&gt;L41,L41),0)</f>
        <v>0</v>
      </c>
      <c r="M42" s="63" cm="1">
        <f t="array" ref="M42">IFERROR(_xlfn.IFS(M36-M40&lt;0,0,M41&gt;M36-M40,(M36-M40),(M36-M40)&gt;M41,M41),0)</f>
        <v>0</v>
      </c>
      <c r="N42" s="63" cm="1">
        <f t="array" ref="N42">IFERROR(_xlfn.IFS(N36-N40&lt;0,0,N41&gt;N36-N40,(N36-N40),(N36-N40)&gt;N41,N41),0)</f>
        <v>0</v>
      </c>
      <c r="O42" s="63" cm="1">
        <f t="array" ref="O42">IFERROR(_xlfn.IFS(O36-O40&lt;0,0,O41&gt;O36-O40,(O36-O40),(O36-O40)&gt;O41,O41),0)</f>
        <v>0</v>
      </c>
      <c r="P42" s="63" cm="1">
        <f t="array" ref="P42">IFERROR(_xlfn.IFS(P36-P40&lt;0,0,P41&gt;P36-P40,(P36-P40),(P36-P40)&gt;P41,P41),0)</f>
        <v>0</v>
      </c>
      <c r="Q42" s="63" cm="1">
        <f t="array" ref="Q42">IFERROR(_xlfn.IFS(Q36-Q40&lt;0,0,Q41&gt;Q36-Q40,(Q36-Q40),(Q36-Q40)&gt;Q41,Q41),0)</f>
        <v>0</v>
      </c>
      <c r="R42" s="63" cm="1">
        <f t="array" ref="R42">IFERROR(_xlfn.IFS(R36-R40&lt;0,0,R41&gt;R36-R40,(R36-R40),(R36-R40)&gt;R41,R41),0)</f>
        <v>0</v>
      </c>
      <c r="S42" s="455" cm="1">
        <f t="array" ref="S42">IFERROR(_xlfn.IFS(S36-S40&lt;0,0,S41&gt;S36-S40,(S36-S40),(S36-S40)&gt;S41,S41),0)</f>
        <v>0</v>
      </c>
      <c r="T42" s="63" cm="1">
        <f t="array" ref="T42">IFERROR(_xlfn.IFS(T36-T40&lt;0,0,T41&gt;T36-T40,(T36-T40),(T36-T40)&gt;T41,T41),0)</f>
        <v>0</v>
      </c>
      <c r="U42" s="63" cm="1">
        <f t="array" ref="U42">IFERROR(_xlfn.IFS(U36-U40&lt;0,0,U41&gt;U36-U40,(U36-U40),(U36-U40)&gt;U41,U41),0)</f>
        <v>0</v>
      </c>
      <c r="V42" s="63" cm="1">
        <f t="array" ref="V42">IFERROR(_xlfn.IFS(V36-V40&lt;0,0,V41&gt;V36-V40,(V36-V40),(V36-V40)&gt;V41,V41),0)</f>
        <v>0</v>
      </c>
      <c r="W42" s="63" cm="1">
        <f t="array" ref="W42">IFERROR(_xlfn.IFS(W36-W40&lt;0,0,W41&gt;W36-W40,(W36-W40),(W36-W40)&gt;W41,W41),0)</f>
        <v>0</v>
      </c>
      <c r="X42" s="63" cm="1">
        <f t="array" ref="X42">IFERROR(_xlfn.IFS(X36-X40&lt;0,0,X41&gt;X36-X40,(X36-X40),(X36-X40)&gt;X41,X41),0)</f>
        <v>0</v>
      </c>
      <c r="Y42" s="63" cm="1">
        <f t="array" ref="Y42">IFERROR(_xlfn.IFS(Y36-Y40&lt;0,0,Y41&gt;Y36-Y40,(Y36-Y40),(Y36-Y40)&gt;Y41,Y41),0)</f>
        <v>0</v>
      </c>
      <c r="Z42" s="63" cm="1">
        <f t="array" ref="Z42">IFERROR(_xlfn.IFS(Z36-Z40&lt;0,0,Z41&gt;Z36-Z40,(Z36-Z40),(Z36-Z40)&gt;Z41,Z41),0)</f>
        <v>0</v>
      </c>
      <c r="AA42" s="63" cm="1">
        <f t="array" ref="AA42">IFERROR(_xlfn.IFS(AA36-AA40&lt;0,0,AA41&gt;AA36-AA40,(AA36-AA40),(AA36-AA40)&gt;AA41,AA41),0)</f>
        <v>0</v>
      </c>
      <c r="AB42" s="63" cm="1">
        <f t="array" ref="AB42">IFERROR(_xlfn.IFS(AB36-AB40&lt;0,0,AB41&gt;AB36-AB40,(AB36-AB40),(AB36-AB40)&gt;AB41,AB41),0)</f>
        <v>0</v>
      </c>
      <c r="AC42" s="63" cm="1">
        <f t="array" ref="AC42">IFERROR(_xlfn.IFS(AC36-AC40&lt;0,0,AC41&gt;AC36-AC40,(AC36-AC40),(AC36-AC40)&gt;AC41,AC41),0)</f>
        <v>0</v>
      </c>
      <c r="AD42" s="63" cm="1">
        <f t="array" ref="AD42">IFERROR(_xlfn.IFS(AD36-AD40&lt;0,0,AD41&gt;AD36-AD40,(AD36-AD40),(AD36-AD40)&gt;AD41,AD41),0)</f>
        <v>0</v>
      </c>
      <c r="AE42" s="63" cm="1">
        <f t="array" ref="AE42">IFERROR(_xlfn.IFS(AE36-AE40&lt;0,0,AE41&gt;AE36-AE40,(AE36-AE40),(AE36-AE40)&gt;AE41,AE41),0)</f>
        <v>0</v>
      </c>
      <c r="AF42" s="63" cm="1">
        <f t="array" ref="AF42">IFERROR(_xlfn.IFS(AF36-AF40&lt;0,0,AF41&gt;AF36-AF40,(AF36-AF40),(AF36-AF40)&gt;AF41,AF41),0)</f>
        <v>0</v>
      </c>
      <c r="AG42" s="63" cm="1">
        <f t="array" ref="AG42">IFERROR(_xlfn.IFS(AG36-AG40&lt;0,0,AG41&gt;AG36-AG40,(AG36-AG40),(AG36-AG40)&gt;AG41,AG41),0)</f>
        <v>0</v>
      </c>
      <c r="AH42" s="63" cm="1">
        <f t="array" ref="AH42">IFERROR(_xlfn.IFS(AH36-AH40&lt;0,0,AH41&gt;AH36-AH40,(AH36-AH40),(AH36-AH40)&gt;AH41,AH41),0)</f>
        <v>0</v>
      </c>
      <c r="AI42" s="63" cm="1">
        <f t="array" ref="AI42">IFERROR(_xlfn.IFS(AI36-AI40&lt;0,0,AI41&gt;AI36-AI40,(AI36-AI40),(AI36-AI40)&gt;AI41,AI41),0)</f>
        <v>0</v>
      </c>
      <c r="AJ42" s="63" cm="1">
        <f t="array" ref="AJ42">IFERROR(_xlfn.IFS(AJ36-AJ40&lt;0,0,AJ41&gt;AJ36-AJ40,(AJ36-AJ40),(AJ36-AJ40)&gt;AJ41,AJ41),0)</f>
        <v>0</v>
      </c>
      <c r="AK42" s="63" cm="1">
        <f t="array" ref="AK42">IFERROR(_xlfn.IFS(AK36-AK40&lt;0,0,AK41&gt;AK36-AK40,(AK36-AK40),(AK36-AK40)&gt;AK41,AK41),0)</f>
        <v>0</v>
      </c>
      <c r="AL42" s="63" cm="1">
        <f t="array" ref="AL42">IFERROR(_xlfn.IFS(AL36-AL40&lt;0,0,AL41&gt;AL36-AL40,(AL36-AL40),(AL36-AL40)&gt;AL41,AL41),0)</f>
        <v>0</v>
      </c>
      <c r="AM42" s="63" cm="1">
        <f t="array" ref="AM42">IFERROR(_xlfn.IFS(AM36-AM40&lt;0,0,AM41&gt;AM36-AM40,(AM36-AM40),(AM36-AM40)&gt;AM41,AM41),0)</f>
        <v>0</v>
      </c>
      <c r="AN42" s="63" cm="1">
        <f t="array" ref="AN42">IFERROR(_xlfn.IFS(AN36-AN40&lt;0,0,AN41&gt;AN36-AN40,(AN36-AN40),(AN36-AN40)&gt;AN41,AN41),0)</f>
        <v>0</v>
      </c>
      <c r="AO42" s="63" cm="1">
        <f t="array" ref="AO42">IFERROR(_xlfn.IFS(AO36-AO40&lt;0,0,AO41&gt;AO36-AO40,(AO36-AO40),(AO36-AO40)&gt;AO41,AO41),0)</f>
        <v>0</v>
      </c>
      <c r="AP42" s="63" cm="1">
        <f t="array" ref="AP42">IFERROR(_xlfn.IFS(AP36-AP40&lt;0,0,AP41&gt;AP36-AP40,(AP36-AP40),(AP36-AP40)&gt;AP41,AP41),0)</f>
        <v>0</v>
      </c>
      <c r="AQ42" s="63" cm="1">
        <f t="array" ref="AQ42">IFERROR(_xlfn.IFS(AQ36-AQ40&lt;0,0,AQ41&gt;AQ36-AQ40,(AQ36-AQ40),(AQ36-AQ40)&gt;AQ41,AQ41),0)</f>
        <v>0</v>
      </c>
      <c r="AR42" s="456" cm="1">
        <f t="array" ref="AR42">IFERROR(_xlfn.IFS(AR36-AR40&lt;0,0,AR41&gt;AR36-AR40,(AR36-AR40),(AR36-AR40)&gt;AR41,AR41),0)</f>
        <v>0</v>
      </c>
    </row>
    <row r="43" spans="3:75">
      <c r="C43" s="278" t="s">
        <v>481</v>
      </c>
      <c r="D43" s="615">
        <v>10000</v>
      </c>
      <c r="E43" s="63" cm="1">
        <f t="array" ref="E43">_xlfn.IFS(E36-E40-E42&lt;=0,0,(E36-E40-E42)&lt;D43,E36-E40-E42,E36-E40-E42&gt;D43,D43)</f>
        <v>10000</v>
      </c>
      <c r="F43" s="63" cm="1">
        <f t="array" ref="F43">_xlfn.IFS(F36-F40-F42&lt;=0,0,(F36-F40-F42)&lt;E43,F36-F40-F42,F36-F40-F42&gt;E43,E43)</f>
        <v>10000</v>
      </c>
      <c r="G43" s="63" cm="1">
        <f t="array" ref="G43">_xlfn.IFS(G36-G40-G42&lt;=0,0,(G36-G40-G42)&lt;F43,G36-G40-G42,G36-G40-G42&gt;F43,F43)</f>
        <v>10000</v>
      </c>
      <c r="H43" s="63" cm="1">
        <f t="array" ref="H43">_xlfn.IFS(H36-H40-H42&lt;=0,0,(H36-H40-H42)&lt;G43,H36-H40-H42,H36-H40-H42&gt;G43,G43)</f>
        <v>10000</v>
      </c>
      <c r="I43" s="63" cm="1">
        <f t="array" ref="I43">_xlfn.IFS(I36-I40-I42&lt;=0,0,(I36-I40-I42)&lt;H43,I36-I40-I42,I36-I40-I42&gt;H43,H43)</f>
        <v>10000</v>
      </c>
      <c r="J43" s="63" cm="1">
        <f t="array" ref="J43">_xlfn.IFS(J36-J40-J42&lt;=0,0,(J36-J40-J42)&lt;I43,J36-J40-J42,J36-J40-J42&gt;I43,I43)</f>
        <v>10000</v>
      </c>
      <c r="K43" s="63" cm="1">
        <f t="array" ref="K43">_xlfn.IFS(K36-K40-K42&lt;=0,0,(K36-K40-K42)&lt;J43,K36-K40-K42,K36-K40-K42&gt;J43,J43)</f>
        <v>10000</v>
      </c>
      <c r="L43" s="63" cm="1">
        <f t="array" ref="L43">_xlfn.IFS(L36-L40-L42&lt;=0,0,(L36-L40-L42)&lt;K43,L36-L40-L42,L36-L40-L42&gt;K43,K43)</f>
        <v>10000</v>
      </c>
      <c r="M43" s="63" cm="1">
        <f t="array" ref="M43">_xlfn.IFS(M36-M40-M42&lt;=0,0,(M36-M40-M42)&lt;L43,M36-M40-M42,M36-M40-M42&gt;L43,L43)</f>
        <v>10000</v>
      </c>
      <c r="N43" s="63" cm="1">
        <f t="array" ref="N43">_xlfn.IFS(N36-N40-N42&lt;=0,0,(N36-N40-N42)&lt;M43,N36-N40-N42,N36-N40-N42&gt;M43,M43)</f>
        <v>10000</v>
      </c>
      <c r="O43" s="63" cm="1">
        <f t="array" ref="O43">_xlfn.IFS(O36-O40-O42&lt;=0,0,(O36-O40-O42)&lt;N43,O36-O40-O42,O36-O40-O42&gt;N43,N43)</f>
        <v>10000</v>
      </c>
      <c r="P43" s="63" cm="1">
        <f t="array" ref="P43">_xlfn.IFS(P36-P40-P42&lt;=0,0,(P36-P40-P42)&lt;O43,P36-P40-P42,P36-P40-P42&gt;O43,O43)</f>
        <v>10000</v>
      </c>
      <c r="Q43" s="63" cm="1">
        <f t="array" ref="Q43">_xlfn.IFS(Q36-Q40-Q42&lt;=0,0,(Q36-Q40-Q42)&lt;P43,Q36-Q40-Q42,Q36-Q40-Q42&gt;P43,P43)</f>
        <v>10000</v>
      </c>
      <c r="R43" s="63" cm="1">
        <f t="array" ref="R43">_xlfn.IFS(R36-R40-R42&lt;=0,0,(R36-R40-R42)&lt;Q43,R36-R40-R42,R36-R40-R42&gt;Q43,Q43)</f>
        <v>10000</v>
      </c>
      <c r="S43" s="455" cm="1">
        <f t="array" ref="S43">_xlfn.IFS(S36-S40-S42&lt;=0,0,(S36-S40-S42)&lt;R43,S36-S40-S42,S36-S40-S42&gt;R43,R43)</f>
        <v>10000</v>
      </c>
      <c r="T43" s="63" cm="1">
        <f t="array" ref="T43">_xlfn.IFS(T36-T40-T42&lt;=0,0,(T36-T40-T42)&lt;S43,T36-T40-T42,T36-T40-T42&gt;S43,S43)</f>
        <v>10000</v>
      </c>
      <c r="U43" s="63" cm="1">
        <f t="array" ref="U43">_xlfn.IFS(U36-U40-U42&lt;=0,0,(U36-U40-U42)&lt;T43,U36-U40-U42,U36-U40-U42&gt;T43,T43)</f>
        <v>10000</v>
      </c>
      <c r="V43" s="63" cm="1">
        <f t="array" ref="V43">_xlfn.IFS(V36-V40-V42&lt;=0,0,(V36-V40-V42)&lt;U43,V36-V40-V42,V36-V40-V42&gt;U43,U43)</f>
        <v>10000</v>
      </c>
      <c r="W43" s="63" cm="1">
        <f t="array" ref="W43">_xlfn.IFS(W36-W40-W42&lt;=0,0,(W36-W40-W42)&lt;V43,W36-W40-W42,W36-W40-W42&gt;V43,V43)</f>
        <v>10000</v>
      </c>
      <c r="X43" s="63" cm="1">
        <f t="array" ref="X43">_xlfn.IFS(X36-X40-X42&lt;=0,0,(X36-X40-X42)&lt;W43,X36-X40-X42,X36-X40-X42&gt;W43,W43)</f>
        <v>10000</v>
      </c>
      <c r="Y43" s="63" cm="1">
        <f t="array" ref="Y43">_xlfn.IFS(Y36-Y40-Y42&lt;=0,0,(Y36-Y40-Y42)&lt;X43,Y36-Y40-Y42,Y36-Y40-Y42&gt;X43,X43)</f>
        <v>10000</v>
      </c>
      <c r="Z43" s="63" cm="1">
        <f t="array" ref="Z43">_xlfn.IFS(Z36-Z40-Z42&lt;=0,0,(Z36-Z40-Z42)&lt;Y43,Z36-Z40-Z42,Z36-Z40-Z42&gt;Y43,Y43)</f>
        <v>10000</v>
      </c>
      <c r="AA43" s="63" cm="1">
        <f t="array" ref="AA43">_xlfn.IFS(AA36-AA40-AA42&lt;=0,0,(AA36-AA40-AA42)&lt;Z43,AA36-AA40-AA42,AA36-AA40-AA42&gt;Z43,Z43)</f>
        <v>10000</v>
      </c>
      <c r="AB43" s="63" cm="1">
        <f t="array" ref="AB43">_xlfn.IFS(AB36-AB40-AB42&lt;=0,0,(AB36-AB40-AB42)&lt;AA43,AB36-AB40-AB42,AB36-AB40-AB42&gt;AA43,AA43)</f>
        <v>10000</v>
      </c>
      <c r="AC43" s="63" cm="1">
        <f t="array" ref="AC43">_xlfn.IFS(AC36-AC40-AC42&lt;=0,0,(AC36-AC40-AC42)&lt;AB43,AC36-AC40-AC42,AC36-AC40-AC42&gt;AB43,AB43)</f>
        <v>10000</v>
      </c>
      <c r="AD43" s="63" cm="1">
        <f t="array" ref="AD43">_xlfn.IFS(AD36-AD40-AD42&lt;=0,0,(AD36-AD40-AD42)&lt;AC43,AD36-AD40-AD42,AD36-AD40-AD42&gt;AC43,AC43)</f>
        <v>10000</v>
      </c>
      <c r="AE43" s="63" cm="1">
        <f t="array" ref="AE43">_xlfn.IFS(AE36-AE40-AE42&lt;=0,0,(AE36-AE40-AE42)&lt;AD43,AE36-AE40-AE42,AE36-AE40-AE42&gt;AD43,AD43)</f>
        <v>10000</v>
      </c>
      <c r="AF43" s="63" cm="1">
        <f t="array" ref="AF43">_xlfn.IFS(AF36-AF40-AF42&lt;=0,0,(AF36-AF40-AF42)&lt;AE43,AF36-AF40-AF42,AF36-AF40-AF42&gt;AE43,AE43)</f>
        <v>10000</v>
      </c>
      <c r="AG43" s="63" cm="1">
        <f t="array" ref="AG43">_xlfn.IFS(AG36-AG40-AG42&lt;=0,0,(AG36-AG40-AG42)&lt;AF43,AG36-AG40-AG42,AG36-AG40-AG42&gt;AF43,AF43)</f>
        <v>10000</v>
      </c>
      <c r="AH43" s="63" cm="1">
        <f t="array" ref="AH43">_xlfn.IFS(AH36-AH40-AH42&lt;=0,0,(AH36-AH40-AH42)&lt;AG43,AH36-AH40-AH42,AH36-AH40-AH42&gt;AG43,AG43)</f>
        <v>10000</v>
      </c>
      <c r="AI43" s="63" cm="1">
        <f t="array" ref="AI43">_xlfn.IFS(AI36-AI40-AI42&lt;=0,0,(AI36-AI40-AI42)&lt;AH43,AI36-AI40-AI42,AI36-AI40-AI42&gt;AH43,AH43)</f>
        <v>10000</v>
      </c>
      <c r="AJ43" s="63" cm="1">
        <f t="array" ref="AJ43">_xlfn.IFS(AJ36-AJ40-AJ42&lt;=0,0,(AJ36-AJ40-AJ42)&lt;AI43,AJ36-AJ40-AJ42,AJ36-AJ40-AJ42&gt;AI43,AI43)</f>
        <v>10000</v>
      </c>
      <c r="AK43" s="63" cm="1">
        <f t="array" ref="AK43">_xlfn.IFS(AK36-AK40-AK42&lt;=0,0,(AK36-AK40-AK42)&lt;AJ43,AK36-AK40-AK42,AK36-AK40-AK42&gt;AJ43,AJ43)</f>
        <v>10000</v>
      </c>
      <c r="AL43" s="63" cm="1">
        <f t="array" ref="AL43">_xlfn.IFS(AL36-AL40-AL42&lt;=0,0,(AL36-AL40-AL42)&lt;AK43,AL36-AL40-AL42,AL36-AL40-AL42&gt;AK43,AK43)</f>
        <v>10000</v>
      </c>
      <c r="AM43" s="63" cm="1">
        <f t="array" ref="AM43">_xlfn.IFS(AM36-AM40-AM42&lt;=0,0,(AM36-AM40-AM42)&lt;AL43,AM36-AM40-AM42,AM36-AM40-AM42&gt;AL43,AL43)</f>
        <v>10000</v>
      </c>
      <c r="AN43" s="63" cm="1">
        <f t="array" ref="AN43">_xlfn.IFS(AN36-AN40-AN42&lt;=0,0,(AN36-AN40-AN42)&lt;AM43,AN36-AN40-AN42,AN36-AN40-AN42&gt;AM43,AM43)</f>
        <v>10000</v>
      </c>
      <c r="AO43" s="63" cm="1">
        <f t="array" ref="AO43">_xlfn.IFS(AO36-AO40-AO42&lt;=0,0,(AO36-AO40-AO42)&lt;AN43,AO36-AO40-AO42,AO36-AO40-AO42&gt;AN43,AN43)</f>
        <v>10000</v>
      </c>
      <c r="AP43" s="63" cm="1">
        <f t="array" ref="AP43">_xlfn.IFS(AP36-AP40-AP42&lt;=0,0,(AP36-AP40-AP42)&lt;AO43,AP36-AP40-AP42,AP36-AP40-AP42&gt;AO43,AO43)</f>
        <v>10000</v>
      </c>
      <c r="AQ43" s="63" cm="1">
        <f t="array" ref="AQ43">_xlfn.IFS(AQ36-AQ40-AQ42&lt;=0,0,(AQ36-AQ40-AQ42)&lt;AP43,AQ36-AQ40-AQ42,AQ36-AQ40-AQ42&gt;AP43,AP43)</f>
        <v>10000</v>
      </c>
      <c r="AR43" s="456" cm="1">
        <f t="array" ref="AR43">_xlfn.IFS(AR36-AR40-AR42&lt;=0,0,(AR36-AR40-AR42)&lt;AQ43,AR36-AR40-AR42,AR36-AR40-AR42&gt;AQ43,AQ43)</f>
        <v>10000</v>
      </c>
    </row>
    <row r="44" spans="3:75" hidden="1">
      <c r="C44" s="613" t="s">
        <v>482</v>
      </c>
      <c r="D44" s="470">
        <v>0</v>
      </c>
      <c r="E44" s="63">
        <f t="shared" ref="E44:AR44" si="32">$D$44*E36</f>
        <v>0</v>
      </c>
      <c r="F44" s="63">
        <f t="shared" si="32"/>
        <v>0</v>
      </c>
      <c r="G44" s="63">
        <f t="shared" si="32"/>
        <v>0</v>
      </c>
      <c r="H44" s="63">
        <f t="shared" si="32"/>
        <v>0</v>
      </c>
      <c r="I44" s="63">
        <f t="shared" si="32"/>
        <v>0</v>
      </c>
      <c r="J44" s="63">
        <f t="shared" si="32"/>
        <v>0</v>
      </c>
      <c r="K44" s="63">
        <f t="shared" si="32"/>
        <v>0</v>
      </c>
      <c r="L44" s="63">
        <f t="shared" si="32"/>
        <v>0</v>
      </c>
      <c r="M44" s="63">
        <f t="shared" si="32"/>
        <v>0</v>
      </c>
      <c r="N44" s="63">
        <f t="shared" si="32"/>
        <v>0</v>
      </c>
      <c r="O44" s="63">
        <f t="shared" si="32"/>
        <v>0</v>
      </c>
      <c r="P44" s="63">
        <f t="shared" si="32"/>
        <v>0</v>
      </c>
      <c r="Q44" s="63">
        <f t="shared" si="32"/>
        <v>0</v>
      </c>
      <c r="R44" s="63">
        <f t="shared" si="32"/>
        <v>0</v>
      </c>
      <c r="S44" s="455">
        <f t="shared" si="32"/>
        <v>0</v>
      </c>
      <c r="T44" s="63">
        <f t="shared" si="32"/>
        <v>0</v>
      </c>
      <c r="U44" s="63">
        <f t="shared" si="32"/>
        <v>0</v>
      </c>
      <c r="V44" s="63">
        <f t="shared" si="32"/>
        <v>0</v>
      </c>
      <c r="W44" s="63">
        <f t="shared" si="32"/>
        <v>0</v>
      </c>
      <c r="X44" s="63">
        <f t="shared" si="32"/>
        <v>0</v>
      </c>
      <c r="Y44" s="63">
        <f t="shared" si="32"/>
        <v>0</v>
      </c>
      <c r="Z44" s="63">
        <f t="shared" si="32"/>
        <v>0</v>
      </c>
      <c r="AA44" s="63">
        <f t="shared" si="32"/>
        <v>0</v>
      </c>
      <c r="AB44" s="63">
        <f t="shared" si="32"/>
        <v>0</v>
      </c>
      <c r="AC44" s="63">
        <f t="shared" si="32"/>
        <v>0</v>
      </c>
      <c r="AD44" s="63">
        <f t="shared" si="32"/>
        <v>0</v>
      </c>
      <c r="AE44" s="63">
        <f t="shared" si="32"/>
        <v>0</v>
      </c>
      <c r="AF44" s="63">
        <f t="shared" si="32"/>
        <v>0</v>
      </c>
      <c r="AG44" s="63">
        <f t="shared" si="32"/>
        <v>0</v>
      </c>
      <c r="AH44" s="63">
        <f t="shared" si="32"/>
        <v>0</v>
      </c>
      <c r="AI44" s="63">
        <f t="shared" si="32"/>
        <v>0</v>
      </c>
      <c r="AJ44" s="63">
        <f t="shared" si="32"/>
        <v>0</v>
      </c>
      <c r="AK44" s="63">
        <f t="shared" si="32"/>
        <v>0</v>
      </c>
      <c r="AL44" s="63">
        <f t="shared" si="32"/>
        <v>0</v>
      </c>
      <c r="AM44" s="63">
        <f t="shared" si="32"/>
        <v>0</v>
      </c>
      <c r="AN44" s="63">
        <f t="shared" si="32"/>
        <v>0</v>
      </c>
      <c r="AO44" s="63">
        <f t="shared" si="32"/>
        <v>0</v>
      </c>
      <c r="AP44" s="63">
        <f t="shared" si="32"/>
        <v>0</v>
      </c>
      <c r="AQ44" s="63">
        <f t="shared" si="32"/>
        <v>0</v>
      </c>
      <c r="AR44" s="456">
        <f t="shared" si="32"/>
        <v>0</v>
      </c>
    </row>
    <row r="45" spans="3:75">
      <c r="C45" s="278"/>
      <c r="D45" s="469"/>
      <c r="E45" s="15"/>
      <c r="F45" s="63"/>
      <c r="G45" s="15"/>
      <c r="H45" s="15"/>
      <c r="I45" s="15"/>
      <c r="J45" s="15"/>
      <c r="K45" s="15"/>
      <c r="L45" s="15"/>
      <c r="M45" s="15"/>
      <c r="N45" s="15"/>
      <c r="O45" s="15"/>
      <c r="P45" s="15"/>
      <c r="Q45" s="15"/>
      <c r="R45" s="15"/>
      <c r="S45" s="452"/>
      <c r="T45" s="63"/>
      <c r="U45" s="63"/>
      <c r="V45" s="63"/>
      <c r="W45" s="63"/>
      <c r="X45" s="63"/>
      <c r="Y45" s="63"/>
      <c r="Z45" s="63"/>
      <c r="AA45" s="63"/>
      <c r="AB45" s="63"/>
      <c r="AC45" s="63"/>
      <c r="AD45" s="63"/>
      <c r="AE45" s="63"/>
      <c r="AF45" s="63"/>
      <c r="AG45" s="63"/>
      <c r="AH45" s="63"/>
      <c r="AI45" s="63"/>
      <c r="AJ45" s="63"/>
      <c r="AK45" s="63"/>
      <c r="AL45" s="63"/>
      <c r="AM45" s="63"/>
      <c r="AN45" s="63"/>
      <c r="AO45" s="63"/>
      <c r="AP45" s="63"/>
      <c r="AQ45" s="63"/>
      <c r="AR45" s="456"/>
    </row>
    <row r="46" spans="3:75">
      <c r="C46" s="278" t="s">
        <v>483</v>
      </c>
      <c r="D46" s="283"/>
      <c r="E46" s="63" cm="1">
        <f t="array" ref="E46">_xlfn.IFS((E36-E40-E42-E43-E44)&lt;=0,0,(E36-E42-E40-E43-E44)&gt;0,(E36-E42-E40-E43-E44))</f>
        <v>659569.21600000001</v>
      </c>
      <c r="F46" s="63" cm="1">
        <f t="array" ref="F46">_xlfn.IFS((F36-F40-F42-F43-F44)&lt;=0,0,(F36-F42-F40-F43-F44)&gt;0,(F36-F42-F40-F43-F44))</f>
        <v>665532.44648000016</v>
      </c>
      <c r="G46" s="63" cm="1">
        <f t="array" ref="G46">_xlfn.IFS((G36-G40-G42-G43-G44)&lt;=0,0,(G36-G42-G40-G43-G44)&gt;0,(G36-G42-G40-G43-G44))</f>
        <v>671392.09695439995</v>
      </c>
      <c r="H46" s="63" cm="1">
        <f t="array" ref="H46">_xlfn.IFS((H36-H40-H42-H43-H44)&lt;=0,0,(H36-H42-H40-H43-H44)&gt;0,(H36-H42-H40-H43-H44))</f>
        <v>677139.41048463213</v>
      </c>
      <c r="I46" s="63" cm="1">
        <f t="array" ref="I46">_xlfn.IFS((I36-I40-I42-I43-I44)&lt;=0,0,(I36-I42-I40-I43-I44)&gt;0,(I36-I42-I40-I43-I44))</f>
        <v>682765.25443320302</v>
      </c>
      <c r="J46" s="63" cm="1">
        <f t="array" ref="J46">_xlfn.IFS((J36-J40-J42-J43-J44)&lt;=0,0,(J36-J42-J40-J43-J44)&gt;0,(J36-J42-J40-J43-J44))</f>
        <v>688260.10693291179</v>
      </c>
      <c r="K46" s="63" cm="1">
        <f t="array" ref="K46">_xlfn.IFS((K36-K40-K42-K43-K44)&lt;=0,0,(K36-K42-K40-K43-K44)&gt;0,(K36-K42-K40-K43-K44))</f>
        <v>693614.04290494567</v>
      </c>
      <c r="L46" s="63" cm="1">
        <f t="array" ref="L46">_xlfn.IFS((L36-L40-L42-L43-L44)&lt;=0,0,(L36-L42-L40-L43-L44)&gt;0,(L36-L42-L40-L43-L44))</f>
        <v>698816.71961142204</v>
      </c>
      <c r="M46" s="63" cm="1">
        <f t="array" ref="M46">_xlfn.IFS((M36-M40-M42-M43-M44)&lt;=0,0,(M36-M42-M40-M43-M44)&gt;0,(M36-M42-M40-M43-M44))</f>
        <v>703857.36172747926</v>
      </c>
      <c r="N46" s="63" cm="1">
        <f t="array" ref="N46">_xlfn.IFS((N36-N40-N42-N43-N44)&lt;=0,0,(N36-N42-N40-N43-N44)&gt;0,(N36-N42-N40-N43-N44))</f>
        <v>708724.74591757241</v>
      </c>
      <c r="O46" s="63" cm="1">
        <f t="array" ref="O46">_xlfn.IFS((O36-O40-O42-O43-O44)&lt;=0,0,(O36-O42-O40-O43-O44)&gt;0,(O36-O42-O40-O43-O44))</f>
        <v>713407.18490013364</v>
      </c>
      <c r="P46" s="63" cm="1">
        <f t="array" ref="P46">_xlfn.IFS((P36-P40-P42-P43-P44)&lt;=0,0,(P36-P42-P40-P43-P44)&gt;0,(P36-P42-P40-P43-P44))</f>
        <v>717892.510984272</v>
      </c>
      <c r="Q46" s="63" cm="1">
        <f t="array" ref="Q46">_xlfn.IFS((Q36-Q40-Q42-Q43-Q44)&lt;=0,0,(Q36-Q42-Q40-Q43-Q44)&gt;0,(Q36-Q42-Q40-Q43-Q44))</f>
        <v>722168.05906167789</v>
      </c>
      <c r="R46" s="63" cm="1">
        <f t="array" ref="R46">_xlfn.IFS((R36-R40-R42-R43-R44)&lt;=0,0,(R36-R42-R40-R43-R44)&gt;0,(R36-R42-R40-R43-R44))</f>
        <v>726220.64903636323</v>
      </c>
      <c r="S46" s="455" cm="1">
        <f t="array" ref="S46">_xlfn.IFS((S36-S40-S42-S43-S44)&lt;=0,0,(S36-S42-S40-S43-S44)&gt;0,(S36-S42-S40-S43-S44))</f>
        <v>730036.5676743458</v>
      </c>
      <c r="T46" s="63" cm="1">
        <f t="array" ref="T46">_xlfn.IFS((T36-T40-T42-T43-T44)&lt;=0,0,(T36-T42-T40-T43-T44)&gt;0,(T36-T42-T40-T43-T44))</f>
        <v>733601.54985480569</v>
      </c>
      <c r="U46" s="63" cm="1">
        <f t="array" ref="U46">_xlfn.IFS((U36-U40-U42-U43-U44)&lt;=0,0,(U36-U42-U40-U43-U44)&gt;0,(U36-U42-U40-U43-U44))</f>
        <v>736900.75920368358</v>
      </c>
      <c r="V46" s="63" cm="1">
        <f t="array" ref="V46">_xlfn.IFS((V36-V40-V42-V43-V44)&lt;=0,0,(V36-V42-V40-V43-V44)&gt;0,(V36-V42-V40-V43-V44))</f>
        <v>739918.76809009281</v>
      </c>
      <c r="W46" s="63" cm="1">
        <f t="array" ref="W46">_xlfn.IFS((W36-W40-W42-W43-W44)&lt;=0,0,(W36-W42-W40-W43-W44)&gt;0,(W36-W42-W40-W43-W44))</f>
        <v>742639.53696530033</v>
      </c>
      <c r="X46" s="63" cm="1">
        <f t="array" ref="X46">_xlfn.IFS((X36-X40-X42-X43-X44)&lt;=0,0,(X36-X42-X40-X43-X44)&gt;0,(X36-X42-X40-X43-X44))</f>
        <v>745046.3930234143</v>
      </c>
      <c r="Y46" s="63" cm="1">
        <f t="array" ref="Y46">_xlfn.IFS((Y36-Y40-Y42-Y43-Y44)&lt;=0,0,(Y36-Y42-Y40-Y43-Y44)&gt;0,(Y36-Y42-Y40-Y43-Y44))</f>
        <v>747122.00816225447</v>
      </c>
      <c r="Z46" s="63" cm="1">
        <f t="array" ref="Z46">_xlfn.IFS((Z36-Z40-Z42-Z43-Z44)&lt;=0,0,(Z36-Z42-Z40-Z43-Z44)&gt;0,(Z36-Z42-Z40-Z43-Z44))</f>
        <v>748848.37622222211</v>
      </c>
      <c r="AA46" s="63" cm="1">
        <f t="array" ref="AA46">_xlfn.IFS((AA36-AA40-AA42-AA43-AA44)&lt;=0,0,(AA36-AA42-AA40-AA43-AA44)&gt;0,(AA36-AA42-AA40-AA43-AA44))</f>
        <v>750206.78948029201</v>
      </c>
      <c r="AB46" s="63" cm="1">
        <f t="array" ref="AB46">_xlfn.IFS((AB36-AB40-AB42-AB43-AB44)&lt;=0,0,(AB36-AB42-AB40-AB43-AB44)&gt;0,(AB36-AB42-AB40-AB43-AB44))</f>
        <v>751177.81437553139</v>
      </c>
      <c r="AC46" s="63" cm="1">
        <f t="array" ref="AC46">_xlfn.IFS((AC36-AC40-AC42-AC43-AC44)&lt;=0,0,(AC36-AC42-AC40-AC43-AC44)&gt;0,(AC36-AC42-AC40-AC43-AC44))</f>
        <v>751741.26644184464</v>
      </c>
      <c r="AD46" s="63" cm="1">
        <f t="array" ref="AD46">_xlfn.IFS((AD36-AD40-AD42-AD43-AD44)&lt;=0,0,(AD36-AD42-AD40-AD43-AD44)&gt;0,(AD36-AD42-AD40-AD43-AD44))</f>
        <v>751876.18442284875</v>
      </c>
      <c r="AE46" s="63" cm="1">
        <f t="array" ref="AE46">_xlfn.IFS((AE36-AE40-AE42-AE43-AE44)&lt;=0,0,(AE36-AE42-AE40-AE43-AE44)&gt;0,(AE36-AE42-AE40-AE43-AE44))</f>
        <v>751560.80354303727</v>
      </c>
      <c r="AF46" s="63" cm="1">
        <f t="array" ref="AF46">_xlfn.IFS((AF36-AF40-AF42-AF43-AF44)&lt;=0,0,(AF36-AF42-AF40-AF43-AF44)&gt;0,(AF36-AF42-AF40-AF43-AF44))</f>
        <v>750772.52790858131</v>
      </c>
      <c r="AG46" s="63" cm="1">
        <f t="array" ref="AG46">_xlfn.IFS((AG36-AG40-AG42-AG43-AG44)&lt;=0,0,(AG36-AG42-AG40-AG43-AG44)&gt;0,(AG36-AG42-AG40-AG43-AG44))</f>
        <v>749487.90201027715</v>
      </c>
      <c r="AH46" s="63" cm="1">
        <f t="array" ref="AH46">_xlfn.IFS((AH36-AH40-AH42-AH43-AH44)&lt;=0,0,(AH36-AH42-AH40-AH43-AH44)&gt;0,(AH36-AH42-AH40-AH43-AH44))</f>
        <v>747682.58130031265</v>
      </c>
      <c r="AI46" s="63" cm="1">
        <f t="array" ref="AI46">_xlfn.IFS((AI36-AI40-AI42-AI43-AI44)&lt;=0,0,(AI36-AI42-AI40-AI43-AI44)&gt;0,(AI36-AI42-AI40-AI43-AI44))</f>
        <v>745331.30181364389</v>
      </c>
      <c r="AJ46" s="63" cm="1">
        <f t="array" ref="AJ46">_xlfn.IFS((AJ36-AJ40-AJ42-AJ43-AJ44)&lt;=0,0,(AJ36-AJ42-AJ40-AJ43-AJ44)&gt;0,(AJ36-AJ42-AJ40-AJ43-AJ44))</f>
        <v>742407.8488038613</v>
      </c>
      <c r="AK46" s="63" cm="1">
        <f t="array" ref="AK46">_xlfn.IFS((AK36-AK40-AK42-AK43-AK44)&lt;=0,0,(AK36-AK42-AK40-AK43-AK44)&gt;0,(AK36-AK42-AK40-AK43-AK44))</f>
        <v>738885.02436250169</v>
      </c>
      <c r="AL46" s="63" cm="1">
        <f t="array" ref="AL46">_xlfn.IFS((AL36-AL40-AL42-AL43-AL44)&lt;=0,0,(AL36-AL42-AL40-AL43-AL44)&gt;0,(AL36-AL42-AL40-AL43-AL44))</f>
        <v>734734.61398979113</v>
      </c>
      <c r="AM46" s="63" cm="1">
        <f t="array" ref="AM46">_xlfn.IFS((AM36-AM40-AM42-AM43-AM44)&lt;=0,0,(AM36-AM42-AM40-AM43-AM44)&gt;0,(AM36-AM42-AM40-AM43-AM44))</f>
        <v>729927.35208382807</v>
      </c>
      <c r="AN46" s="63" cm="1">
        <f t="array" ref="AN46">_xlfn.IFS((AN36-AN40-AN42-AN43-AN44)&lt;=0,0,(AN36-AN42-AN40-AN43-AN44)&gt;0,(AN36-AN42-AN40-AN43-AN44))</f>
        <v>724432.88631417323</v>
      </c>
      <c r="AO46" s="63" cm="1">
        <f t="array" ref="AO46">_xlfn.IFS((AO36-AO40-AO42-AO43-AO44)&lt;=0,0,(AO36-AO42-AO40-AO43-AO44)&gt;0,(AO36-AO42-AO40-AO43-AO44))</f>
        <v>718219.74084478477</v>
      </c>
      <c r="AP46" s="63" cm="1">
        <f t="array" ref="AP46">_xlfn.IFS((AP36-AP40-AP42-AP43-AP44)&lt;=0,0,(AP36-AP42-AP40-AP43-AP44)&gt;0,(AP36-AP42-AP40-AP43-AP44))</f>
        <v>711255.27837013872</v>
      </c>
      <c r="AQ46" s="63" cm="1">
        <f t="array" ref="AQ46">_xlfn.IFS((AQ36-AQ40-AQ42-AQ43-AQ44)&lt;=0,0,(AQ36-AQ42-AQ40-AQ43-AQ44)&gt;0,(AQ36-AQ42-AQ40-AQ43-AQ44))</f>
        <v>703505.66092725331</v>
      </c>
      <c r="AR46" s="456" cm="1">
        <f t="array" ref="AR46">_xlfn.IFS((AR36-AR40-AR42-AR43-AR44)&lt;=0,0,(AR36-AR42-AR40-AR43-AR44)&gt;0,(AR36-AR42-AR40-AR43-AR44))</f>
        <v>694935.80944520188</v>
      </c>
      <c r="AS46" s="211"/>
    </row>
    <row r="47" spans="3:75">
      <c r="C47" s="278"/>
      <c r="D47" s="283"/>
      <c r="E47" s="15"/>
      <c r="F47" s="15"/>
      <c r="G47" s="15"/>
      <c r="H47" s="15"/>
      <c r="I47" s="15"/>
      <c r="J47" s="15"/>
      <c r="K47" s="15"/>
      <c r="L47" s="15"/>
      <c r="M47" s="15"/>
      <c r="N47" s="15"/>
      <c r="O47" s="15"/>
      <c r="P47" s="15"/>
      <c r="Q47" s="15"/>
      <c r="R47" s="15"/>
      <c r="S47" s="452"/>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456"/>
    </row>
    <row r="48" spans="3:75">
      <c r="C48" s="278"/>
      <c r="D48" s="283"/>
      <c r="E48" s="15"/>
      <c r="F48" s="15"/>
      <c r="G48" s="15"/>
      <c r="H48" s="15"/>
      <c r="I48" s="15"/>
      <c r="J48" s="15"/>
      <c r="K48" s="15"/>
      <c r="L48" s="15"/>
      <c r="M48" s="15"/>
      <c r="N48" s="15"/>
      <c r="O48" s="15"/>
      <c r="P48" s="15"/>
      <c r="Q48" s="15"/>
      <c r="R48" s="15"/>
      <c r="S48" s="452"/>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20"/>
    </row>
    <row r="49" spans="3:44">
      <c r="C49" s="623" t="s">
        <v>484</v>
      </c>
      <c r="D49" s="615">
        <v>0</v>
      </c>
      <c r="E49" s="63">
        <f>D49</f>
        <v>0</v>
      </c>
      <c r="F49" s="63">
        <f>E51</f>
        <v>0</v>
      </c>
      <c r="G49" s="63">
        <f t="shared" ref="G49:AR49" si="33">F51</f>
        <v>0</v>
      </c>
      <c r="H49" s="63">
        <f t="shared" si="33"/>
        <v>0</v>
      </c>
      <c r="I49" s="63">
        <f t="shared" si="33"/>
        <v>0</v>
      </c>
      <c r="J49" s="63">
        <f t="shared" si="33"/>
        <v>0</v>
      </c>
      <c r="K49" s="63">
        <f t="shared" si="33"/>
        <v>0</v>
      </c>
      <c r="L49" s="63">
        <f t="shared" si="33"/>
        <v>0</v>
      </c>
      <c r="M49" s="63">
        <f t="shared" si="33"/>
        <v>0</v>
      </c>
      <c r="N49" s="63">
        <f t="shared" si="33"/>
        <v>0</v>
      </c>
      <c r="O49" s="63">
        <f t="shared" si="33"/>
        <v>0</v>
      </c>
      <c r="P49" s="63">
        <f t="shared" si="33"/>
        <v>0</v>
      </c>
      <c r="Q49" s="63">
        <f t="shared" si="33"/>
        <v>0</v>
      </c>
      <c r="R49" s="63">
        <f t="shared" si="33"/>
        <v>0</v>
      </c>
      <c r="S49" s="455">
        <f t="shared" si="33"/>
        <v>0</v>
      </c>
      <c r="T49" s="63">
        <f t="shared" si="33"/>
        <v>0</v>
      </c>
      <c r="U49" s="63">
        <f t="shared" si="33"/>
        <v>0</v>
      </c>
      <c r="V49" s="63">
        <f t="shared" si="33"/>
        <v>0</v>
      </c>
      <c r="W49" s="63">
        <f t="shared" si="33"/>
        <v>0</v>
      </c>
      <c r="X49" s="63">
        <f t="shared" si="33"/>
        <v>0</v>
      </c>
      <c r="Y49" s="63">
        <f t="shared" si="33"/>
        <v>0</v>
      </c>
      <c r="Z49" s="63">
        <f t="shared" si="33"/>
        <v>0</v>
      </c>
      <c r="AA49" s="63">
        <f t="shared" si="33"/>
        <v>0</v>
      </c>
      <c r="AB49" s="63">
        <f t="shared" si="33"/>
        <v>0</v>
      </c>
      <c r="AC49" s="63">
        <f t="shared" si="33"/>
        <v>0</v>
      </c>
      <c r="AD49" s="15">
        <f t="shared" si="33"/>
        <v>0</v>
      </c>
      <c r="AE49" s="63">
        <f t="shared" si="33"/>
        <v>0</v>
      </c>
      <c r="AF49" s="63">
        <f t="shared" si="33"/>
        <v>0</v>
      </c>
      <c r="AG49" s="63">
        <f t="shared" si="33"/>
        <v>0</v>
      </c>
      <c r="AH49" s="63">
        <f t="shared" si="33"/>
        <v>0</v>
      </c>
      <c r="AI49" s="63">
        <f t="shared" si="33"/>
        <v>0</v>
      </c>
      <c r="AJ49" s="63">
        <f t="shared" si="33"/>
        <v>0</v>
      </c>
      <c r="AK49" s="63">
        <f t="shared" si="33"/>
        <v>0</v>
      </c>
      <c r="AL49" s="63">
        <f t="shared" si="33"/>
        <v>0</v>
      </c>
      <c r="AM49" s="63">
        <f t="shared" si="33"/>
        <v>0</v>
      </c>
      <c r="AN49" s="63">
        <f t="shared" si="33"/>
        <v>0</v>
      </c>
      <c r="AO49" s="63">
        <f t="shared" si="33"/>
        <v>0</v>
      </c>
      <c r="AP49" s="63">
        <f t="shared" si="33"/>
        <v>0</v>
      </c>
      <c r="AQ49" s="63">
        <f t="shared" si="33"/>
        <v>0</v>
      </c>
      <c r="AR49" s="456">
        <f t="shared" si="33"/>
        <v>0</v>
      </c>
    </row>
    <row r="50" spans="3:44">
      <c r="C50" s="623" t="s">
        <v>485</v>
      </c>
      <c r="D50" s="471">
        <v>0.03</v>
      </c>
      <c r="E50" s="63">
        <f>E49*D50</f>
        <v>0</v>
      </c>
      <c r="F50" s="63">
        <f>+F49*$D$50</f>
        <v>0</v>
      </c>
      <c r="G50" s="63">
        <f t="shared" ref="G50:AR50" si="34">+G49*$D$50</f>
        <v>0</v>
      </c>
      <c r="H50" s="63">
        <f t="shared" si="34"/>
        <v>0</v>
      </c>
      <c r="I50" s="63">
        <f t="shared" si="34"/>
        <v>0</v>
      </c>
      <c r="J50" s="63">
        <f t="shared" si="34"/>
        <v>0</v>
      </c>
      <c r="K50" s="63">
        <f t="shared" si="34"/>
        <v>0</v>
      </c>
      <c r="L50" s="63">
        <f t="shared" si="34"/>
        <v>0</v>
      </c>
      <c r="M50" s="63">
        <f t="shared" si="34"/>
        <v>0</v>
      </c>
      <c r="N50" s="63">
        <f t="shared" si="34"/>
        <v>0</v>
      </c>
      <c r="O50" s="63">
        <f t="shared" si="34"/>
        <v>0</v>
      </c>
      <c r="P50" s="63">
        <f t="shared" si="34"/>
        <v>0</v>
      </c>
      <c r="Q50" s="63">
        <f t="shared" si="34"/>
        <v>0</v>
      </c>
      <c r="R50" s="63">
        <f t="shared" si="34"/>
        <v>0</v>
      </c>
      <c r="S50" s="455">
        <f t="shared" si="34"/>
        <v>0</v>
      </c>
      <c r="T50" s="63">
        <f t="shared" si="34"/>
        <v>0</v>
      </c>
      <c r="U50" s="63">
        <f t="shared" si="34"/>
        <v>0</v>
      </c>
      <c r="V50" s="63">
        <f t="shared" si="34"/>
        <v>0</v>
      </c>
      <c r="W50" s="63">
        <f t="shared" si="34"/>
        <v>0</v>
      </c>
      <c r="X50" s="63">
        <f t="shared" si="34"/>
        <v>0</v>
      </c>
      <c r="Y50" s="63">
        <f t="shared" si="34"/>
        <v>0</v>
      </c>
      <c r="Z50" s="63">
        <f t="shared" si="34"/>
        <v>0</v>
      </c>
      <c r="AA50" s="63">
        <f t="shared" si="34"/>
        <v>0</v>
      </c>
      <c r="AB50" s="63">
        <f t="shared" si="34"/>
        <v>0</v>
      </c>
      <c r="AC50" s="63">
        <f t="shared" si="34"/>
        <v>0</v>
      </c>
      <c r="AD50" s="15">
        <f t="shared" si="34"/>
        <v>0</v>
      </c>
      <c r="AE50" s="63">
        <f t="shared" si="34"/>
        <v>0</v>
      </c>
      <c r="AF50" s="63">
        <f t="shared" si="34"/>
        <v>0</v>
      </c>
      <c r="AG50" s="63">
        <f t="shared" si="34"/>
        <v>0</v>
      </c>
      <c r="AH50" s="63">
        <f t="shared" si="34"/>
        <v>0</v>
      </c>
      <c r="AI50" s="63">
        <f t="shared" si="34"/>
        <v>0</v>
      </c>
      <c r="AJ50" s="63">
        <f t="shared" si="34"/>
        <v>0</v>
      </c>
      <c r="AK50" s="63">
        <f t="shared" si="34"/>
        <v>0</v>
      </c>
      <c r="AL50" s="63">
        <f t="shared" si="34"/>
        <v>0</v>
      </c>
      <c r="AM50" s="63">
        <f t="shared" si="34"/>
        <v>0</v>
      </c>
      <c r="AN50" s="63">
        <f t="shared" si="34"/>
        <v>0</v>
      </c>
      <c r="AO50" s="63">
        <f t="shared" si="34"/>
        <v>0</v>
      </c>
      <c r="AP50" s="63">
        <f t="shared" si="34"/>
        <v>0</v>
      </c>
      <c r="AQ50" s="63">
        <f t="shared" si="34"/>
        <v>0</v>
      </c>
      <c r="AR50" s="456">
        <f t="shared" si="34"/>
        <v>0</v>
      </c>
    </row>
    <row r="51" spans="3:44">
      <c r="C51" s="38" t="s">
        <v>486</v>
      </c>
      <c r="D51" s="472"/>
      <c r="E51" s="459">
        <f>SUM(E49:E50)</f>
        <v>0</v>
      </c>
      <c r="F51" s="459">
        <f>SUM(F49:F50)</f>
        <v>0</v>
      </c>
      <c r="G51" s="459">
        <f t="shared" ref="G51:AR51" si="35">SUM(G49:G50)</f>
        <v>0</v>
      </c>
      <c r="H51" s="459">
        <f t="shared" si="35"/>
        <v>0</v>
      </c>
      <c r="I51" s="459">
        <f t="shared" si="35"/>
        <v>0</v>
      </c>
      <c r="J51" s="459">
        <f t="shared" si="35"/>
        <v>0</v>
      </c>
      <c r="K51" s="459">
        <f t="shared" si="35"/>
        <v>0</v>
      </c>
      <c r="L51" s="459">
        <f t="shared" si="35"/>
        <v>0</v>
      </c>
      <c r="M51" s="459">
        <f t="shared" si="35"/>
        <v>0</v>
      </c>
      <c r="N51" s="459">
        <f t="shared" si="35"/>
        <v>0</v>
      </c>
      <c r="O51" s="459">
        <f t="shared" si="35"/>
        <v>0</v>
      </c>
      <c r="P51" s="459">
        <f t="shared" si="35"/>
        <v>0</v>
      </c>
      <c r="Q51" s="459">
        <f t="shared" si="35"/>
        <v>0</v>
      </c>
      <c r="R51" s="459">
        <f t="shared" si="35"/>
        <v>0</v>
      </c>
      <c r="S51" s="460">
        <f t="shared" si="35"/>
        <v>0</v>
      </c>
      <c r="T51" s="459">
        <f t="shared" si="35"/>
        <v>0</v>
      </c>
      <c r="U51" s="459">
        <f t="shared" si="35"/>
        <v>0</v>
      </c>
      <c r="V51" s="459">
        <f t="shared" si="35"/>
        <v>0</v>
      </c>
      <c r="W51" s="459">
        <f t="shared" si="35"/>
        <v>0</v>
      </c>
      <c r="X51" s="459">
        <f t="shared" si="35"/>
        <v>0</v>
      </c>
      <c r="Y51" s="459">
        <f t="shared" si="35"/>
        <v>0</v>
      </c>
      <c r="Z51" s="459">
        <f t="shared" si="35"/>
        <v>0</v>
      </c>
      <c r="AA51" s="459">
        <f t="shared" si="35"/>
        <v>0</v>
      </c>
      <c r="AB51" s="459">
        <f t="shared" si="35"/>
        <v>0</v>
      </c>
      <c r="AC51" s="459">
        <f t="shared" si="35"/>
        <v>0</v>
      </c>
      <c r="AD51" s="19">
        <f t="shared" si="35"/>
        <v>0</v>
      </c>
      <c r="AE51" s="459">
        <f t="shared" si="35"/>
        <v>0</v>
      </c>
      <c r="AF51" s="459">
        <f t="shared" si="35"/>
        <v>0</v>
      </c>
      <c r="AG51" s="459">
        <f t="shared" si="35"/>
        <v>0</v>
      </c>
      <c r="AH51" s="459">
        <f t="shared" si="35"/>
        <v>0</v>
      </c>
      <c r="AI51" s="459">
        <f t="shared" si="35"/>
        <v>0</v>
      </c>
      <c r="AJ51" s="459">
        <f t="shared" si="35"/>
        <v>0</v>
      </c>
      <c r="AK51" s="459">
        <f t="shared" si="35"/>
        <v>0</v>
      </c>
      <c r="AL51" s="459">
        <f t="shared" si="35"/>
        <v>0</v>
      </c>
      <c r="AM51" s="459">
        <f t="shared" si="35"/>
        <v>0</v>
      </c>
      <c r="AN51" s="459">
        <f t="shared" si="35"/>
        <v>0</v>
      </c>
      <c r="AO51" s="459">
        <f t="shared" si="35"/>
        <v>0</v>
      </c>
      <c r="AP51" s="459">
        <f t="shared" si="35"/>
        <v>0</v>
      </c>
      <c r="AQ51" s="459">
        <f t="shared" si="35"/>
        <v>0</v>
      </c>
      <c r="AR51" s="624">
        <f t="shared" si="35"/>
        <v>0</v>
      </c>
    </row>
    <row r="52" spans="3:44" s="15" customFormat="1"/>
    <row r="53" spans="3:44" s="15" customFormat="1">
      <c r="C53" s="593" t="s">
        <v>487</v>
      </c>
      <c r="D53" s="594">
        <f>SUM(E46:AH46)</f>
        <v>21657979.634107865</v>
      </c>
      <c r="E53" s="569" t="s">
        <v>488</v>
      </c>
      <c r="F53" s="569"/>
      <c r="G53" s="569"/>
      <c r="H53" s="569"/>
      <c r="I53" s="569"/>
      <c r="J53" s="569"/>
      <c r="K53" s="569"/>
      <c r="L53" s="569"/>
      <c r="M53" s="569"/>
    </row>
    <row r="54" spans="3:44" s="15" customFormat="1"/>
    <row r="55" spans="3:44" s="15" customFormat="1"/>
    <row r="56" spans="3:44" s="15" customFormat="1"/>
    <row r="57" spans="3:44" s="15" customFormat="1"/>
    <row r="58" spans="3:44" s="15" customFormat="1"/>
    <row r="59" spans="3:44" s="15" customFormat="1"/>
    <row r="60" spans="3:44" s="15" customFormat="1"/>
    <row r="61" spans="3:44" s="15" customFormat="1"/>
    <row r="62" spans="3:44" s="15" customFormat="1"/>
    <row r="63" spans="3:44" s="15" customFormat="1"/>
    <row r="64" spans="3:44" s="15" customFormat="1"/>
    <row r="65" s="15" customFormat="1"/>
    <row r="66" s="15" customFormat="1"/>
    <row r="67" s="15" customFormat="1"/>
    <row r="68" s="15" customFormat="1"/>
    <row r="69" s="15" customFormat="1"/>
    <row r="70" s="15" customFormat="1"/>
    <row r="71" s="15" customFormat="1"/>
    <row r="72" s="15" customFormat="1"/>
    <row r="73" s="15" customFormat="1"/>
    <row r="74" s="15" customFormat="1"/>
    <row r="75" s="15" customFormat="1"/>
    <row r="76" s="15" customFormat="1"/>
    <row r="77" s="15" customFormat="1"/>
    <row r="78" s="15" customFormat="1"/>
    <row r="79" s="15" customFormat="1"/>
    <row r="80" s="15" customFormat="1"/>
    <row r="81" s="15" customFormat="1"/>
  </sheetData>
  <conditionalFormatting sqref="E53:M53">
    <cfRule type="expression" dxfId="0" priority="1">
      <formula>$D$53&gt;0</formula>
    </cfRule>
  </conditionalFormatting>
  <pageMargins left="0.7" right="0.7" top="0.75" bottom="0.75" header="0.3" footer="0.3"/>
  <pageSetup scale="62" orientation="landscape" horizontalDpi="1200" verticalDpi="12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AM141"/>
  <sheetViews>
    <sheetView showGridLines="0" zoomScale="131" workbookViewId="0">
      <selection activeCell="D19" sqref="D19"/>
    </sheetView>
  </sheetViews>
  <sheetFormatPr baseColWidth="10" defaultColWidth="8.83203125" defaultRowHeight="13"/>
  <cols>
    <col min="1" max="1" width="6.83203125" customWidth="1"/>
    <col min="2" max="2" width="6.5" customWidth="1"/>
    <col min="3" max="3" width="24.5" customWidth="1"/>
    <col min="4" max="4" width="11.5" bestFit="1" customWidth="1"/>
    <col min="5" max="5" width="9.5" customWidth="1"/>
    <col min="6" max="6" width="17.1640625" customWidth="1"/>
    <col min="7" max="7" width="11" style="11" customWidth="1"/>
    <col min="8" max="8" width="15.5" style="11" customWidth="1"/>
    <col min="9" max="39" width="8.83203125" style="11"/>
  </cols>
  <sheetData>
    <row r="2" spans="2:8" ht="16">
      <c r="B2" s="372" t="s">
        <v>489</v>
      </c>
      <c r="C2" s="47"/>
      <c r="D2" s="47"/>
      <c r="E2" s="59"/>
      <c r="F2" s="15"/>
      <c r="G2" s="15"/>
      <c r="H2" s="15"/>
    </row>
    <row r="3" spans="2:8" ht="14">
      <c r="B3" s="165" t="s">
        <v>20</v>
      </c>
      <c r="C3" s="15"/>
      <c r="D3" s="339" t="str">
        <f>'Table of Contents'!B2</f>
        <v xml:space="preserve">Broadleaf Flats </v>
      </c>
      <c r="E3" s="20"/>
      <c r="F3" s="15"/>
      <c r="G3" s="15"/>
      <c r="H3" s="15"/>
    </row>
    <row r="4" spans="2:8" ht="14">
      <c r="B4" s="165" t="s">
        <v>2</v>
      </c>
      <c r="C4" s="15"/>
      <c r="D4" s="339" t="str">
        <f>'Table of Contents'!C4</f>
        <v>Cal Poly SLO - Driftwood Propery Development</v>
      </c>
      <c r="E4" s="20"/>
      <c r="F4" s="15"/>
      <c r="G4" s="15"/>
      <c r="H4" s="15"/>
    </row>
    <row r="5" spans="2:8" ht="14">
      <c r="B5" s="165" t="s">
        <v>21</v>
      </c>
      <c r="C5" s="15"/>
      <c r="D5" s="595">
        <f>'Table of Contents'!C6</f>
        <v>45726</v>
      </c>
      <c r="E5" s="20"/>
      <c r="F5" s="11"/>
      <c r="G5" s="15"/>
      <c r="H5" s="15"/>
    </row>
    <row r="6" spans="2:8" ht="14">
      <c r="B6" s="341" t="s">
        <v>22</v>
      </c>
      <c r="C6" s="342"/>
      <c r="D6" s="735">
        <v>10</v>
      </c>
      <c r="E6" s="736"/>
      <c r="F6" s="15"/>
      <c r="G6" s="15"/>
      <c r="H6" s="15"/>
    </row>
    <row r="7" spans="2:8">
      <c r="B7" s="11"/>
      <c r="C7" s="11"/>
      <c r="D7" s="11"/>
      <c r="E7" s="11"/>
      <c r="F7" s="11"/>
    </row>
    <row r="8" spans="2:8">
      <c r="B8" s="399" t="s">
        <v>490</v>
      </c>
      <c r="C8" s="399"/>
      <c r="D8" s="287"/>
      <c r="E8" s="11"/>
      <c r="F8" s="11"/>
      <c r="G8" s="406"/>
      <c r="H8" s="406"/>
    </row>
    <row r="9" spans="2:8" ht="14.5" customHeight="1">
      <c r="B9" s="863" t="s">
        <v>491</v>
      </c>
      <c r="C9" s="864"/>
      <c r="D9" s="473" t="s">
        <v>492</v>
      </c>
      <c r="E9" s="11"/>
    </row>
    <row r="10" spans="2:8" ht="14.5" customHeight="1">
      <c r="B10" s="859" t="s">
        <v>493</v>
      </c>
      <c r="C10" s="860"/>
      <c r="D10" s="417">
        <v>4.4999999999999998E-2</v>
      </c>
      <c r="F10" s="11"/>
      <c r="H10" s="406"/>
    </row>
    <row r="11" spans="2:8" ht="14.5" customHeight="1">
      <c r="B11" s="859" t="s">
        <v>494</v>
      </c>
      <c r="C11" s="860"/>
      <c r="D11" s="417">
        <v>2.2499999999999999E-2</v>
      </c>
      <c r="E11" s="11"/>
      <c r="F11" s="11"/>
    </row>
    <row r="12" spans="2:8" ht="16" customHeight="1">
      <c r="B12" s="861" t="s">
        <v>495</v>
      </c>
      <c r="C12" s="862"/>
      <c r="D12" s="474">
        <v>5.0000000000000001E-3</v>
      </c>
      <c r="E12" s="11"/>
      <c r="F12" s="11"/>
    </row>
    <row r="13" spans="2:8" ht="15.5" customHeight="1">
      <c r="B13" s="863" t="s">
        <v>496</v>
      </c>
      <c r="C13" s="864"/>
      <c r="D13" s="475">
        <f>SUM(D10:D12)</f>
        <v>7.2500000000000009E-2</v>
      </c>
      <c r="E13" s="11"/>
      <c r="F13" s="657"/>
    </row>
    <row r="14" spans="2:8" ht="14">
      <c r="B14" s="719"/>
      <c r="C14" s="517"/>
      <c r="D14" s="20"/>
      <c r="E14" s="11"/>
      <c r="F14" s="11"/>
    </row>
    <row r="15" spans="2:8" ht="14">
      <c r="B15" s="865" t="s">
        <v>497</v>
      </c>
      <c r="C15" s="866"/>
      <c r="D15" s="37">
        <f>'Sources and Uses'!I104</f>
        <v>35051000</v>
      </c>
      <c r="E15" s="11"/>
      <c r="F15" s="657"/>
    </row>
    <row r="16" spans="2:8" ht="14">
      <c r="B16" s="719"/>
      <c r="C16" s="517"/>
      <c r="D16" s="20"/>
      <c r="E16" s="11"/>
      <c r="F16" s="11"/>
    </row>
    <row r="17" spans="2:8" ht="17.5" customHeight="1">
      <c r="B17" s="859" t="s">
        <v>54</v>
      </c>
      <c r="C17" s="860"/>
      <c r="D17" s="20">
        <f>Summary!E31</f>
        <v>24</v>
      </c>
      <c r="F17" s="11"/>
    </row>
    <row r="18" spans="2:8" ht="38" customHeight="1">
      <c r="B18" s="861" t="s">
        <v>498</v>
      </c>
      <c r="C18" s="862"/>
      <c r="D18" s="476">
        <v>0.6</v>
      </c>
      <c r="F18" s="210"/>
    </row>
    <row r="19" spans="2:8" ht="22" customHeight="1">
      <c r="B19" s="863" t="s">
        <v>499</v>
      </c>
      <c r="C19" s="864"/>
      <c r="D19" s="37">
        <f>D15*D13*(D17/12)*D18</f>
        <v>3049437.0000000005</v>
      </c>
      <c r="E19" s="11"/>
      <c r="F19" s="11"/>
    </row>
    <row r="20" spans="2:8" ht="14">
      <c r="B20" s="518" t="s">
        <v>500</v>
      </c>
      <c r="C20" s="11"/>
      <c r="D20" s="642">
        <f>D19</f>
        <v>3049437.0000000005</v>
      </c>
      <c r="E20" s="406"/>
      <c r="F20" s="11"/>
    </row>
    <row r="21" spans="2:8" ht="14" customHeight="1">
      <c r="B21" s="564" t="s">
        <v>501</v>
      </c>
      <c r="C21" s="565"/>
      <c r="D21" s="566">
        <f>D20-D19</f>
        <v>0</v>
      </c>
      <c r="E21" s="11"/>
      <c r="F21" s="11"/>
    </row>
    <row r="22" spans="2:8" s="11" customFormat="1"/>
    <row r="23" spans="2:8" s="11" customFormat="1"/>
    <row r="24" spans="2:8" s="11" customFormat="1"/>
    <row r="25" spans="2:8" s="11" customFormat="1"/>
    <row r="26" spans="2:8" s="11" customFormat="1"/>
    <row r="27" spans="2:8" s="11" customFormat="1"/>
    <row r="28" spans="2:8" s="11" customFormat="1"/>
    <row r="29" spans="2:8" s="11" customFormat="1"/>
    <row r="30" spans="2:8" s="11" customFormat="1">
      <c r="H30" s="11" t="s">
        <v>286</v>
      </c>
    </row>
    <row r="31" spans="2:8" s="11" customFormat="1"/>
    <row r="32" spans="2:8" s="11" customFormat="1"/>
    <row r="33" s="11" customFormat="1"/>
    <row r="34" s="11" customFormat="1"/>
    <row r="35" s="11" customFormat="1"/>
    <row r="36" s="11" customFormat="1"/>
    <row r="37" s="11" customFormat="1"/>
    <row r="38" s="11" customFormat="1"/>
    <row r="39" s="11" customFormat="1"/>
    <row r="40" s="11" customFormat="1"/>
    <row r="41" s="11" customFormat="1"/>
    <row r="42" s="11" customFormat="1"/>
    <row r="43" s="11" customFormat="1"/>
    <row r="44" s="11" customFormat="1"/>
    <row r="45" s="11" customFormat="1"/>
    <row r="46" s="11" customFormat="1"/>
    <row r="47" s="11" customFormat="1"/>
    <row r="48" s="11" customFormat="1"/>
    <row r="49" s="11" customFormat="1"/>
    <row r="50" s="11" customFormat="1"/>
    <row r="51" s="11" customFormat="1"/>
    <row r="52" s="11" customFormat="1"/>
    <row r="53" s="11" customFormat="1"/>
    <row r="54" s="11" customFormat="1"/>
    <row r="55" s="11" customFormat="1"/>
    <row r="56" s="11" customFormat="1"/>
    <row r="57" s="11" customFormat="1"/>
    <row r="58" s="11" customFormat="1"/>
    <row r="59" s="11" customFormat="1"/>
    <row r="60" s="11" customFormat="1"/>
    <row r="61" s="11" customFormat="1"/>
    <row r="62" s="11" customFormat="1"/>
    <row r="63" s="11" customFormat="1"/>
    <row r="64" s="11" customFormat="1"/>
    <row r="65" s="11" customFormat="1"/>
    <row r="66" s="11" customFormat="1"/>
    <row r="67" s="11" customFormat="1"/>
    <row r="68" s="11" customFormat="1"/>
    <row r="69" s="11" customFormat="1"/>
    <row r="70" s="11" customFormat="1"/>
    <row r="71" s="11" customFormat="1"/>
    <row r="72" s="11" customFormat="1"/>
    <row r="73" s="11" customFormat="1"/>
    <row r="74" s="11" customFormat="1"/>
    <row r="75" s="11" customFormat="1"/>
    <row r="76" s="11" customFormat="1"/>
    <row r="77" s="11" customFormat="1"/>
    <row r="78" s="11" customFormat="1"/>
    <row r="79" s="11" customFormat="1"/>
    <row r="80" s="11" customFormat="1"/>
    <row r="81" s="11" customFormat="1"/>
    <row r="82" s="11" customFormat="1"/>
    <row r="83" s="11" customFormat="1"/>
    <row r="84" s="11" customFormat="1"/>
    <row r="85" s="11" customFormat="1"/>
    <row r="86" s="11" customFormat="1"/>
    <row r="87" s="11" customFormat="1"/>
    <row r="88" s="11" customFormat="1"/>
    <row r="89" s="11" customFormat="1"/>
    <row r="90" s="11" customFormat="1"/>
    <row r="91" s="11" customFormat="1"/>
    <row r="92" s="11" customFormat="1"/>
    <row r="93" s="11" customFormat="1"/>
    <row r="94" s="11" customFormat="1"/>
    <row r="95" s="11" customFormat="1"/>
    <row r="96" s="11" customFormat="1"/>
    <row r="97" s="11" customFormat="1"/>
    <row r="98" s="11" customFormat="1"/>
    <row r="99" s="11" customFormat="1"/>
    <row r="100" s="11" customFormat="1"/>
    <row r="101" s="11" customFormat="1"/>
    <row r="102" s="11" customFormat="1"/>
    <row r="103" s="11" customFormat="1"/>
    <row r="104" s="11" customFormat="1"/>
    <row r="105" s="11" customFormat="1"/>
    <row r="106" s="11" customFormat="1"/>
    <row r="107" s="11" customFormat="1"/>
    <row r="108" s="11" customFormat="1"/>
    <row r="109" s="11" customFormat="1"/>
    <row r="110" s="11" customFormat="1"/>
    <row r="111" s="11" customFormat="1"/>
    <row r="112" s="11" customFormat="1"/>
    <row r="113" s="11" customFormat="1"/>
    <row r="114" s="11" customFormat="1"/>
    <row r="115" s="11" customFormat="1"/>
    <row r="116" s="11" customFormat="1"/>
    <row r="117" s="11" customFormat="1"/>
    <row r="118" s="11" customFormat="1"/>
    <row r="119" s="11" customFormat="1"/>
    <row r="120" s="11" customFormat="1"/>
    <row r="121" s="11" customFormat="1"/>
    <row r="122" s="11" customFormat="1"/>
    <row r="123" s="11" customFormat="1"/>
    <row r="124" s="11" customFormat="1"/>
    <row r="125" s="11" customFormat="1"/>
    <row r="126" s="11" customFormat="1"/>
    <row r="127" s="11" customFormat="1"/>
    <row r="128" s="11" customFormat="1"/>
    <row r="129" s="11" customFormat="1"/>
    <row r="130" s="11" customFormat="1"/>
    <row r="131" s="11" customFormat="1"/>
    <row r="132" s="11" customFormat="1"/>
    <row r="133" s="11" customFormat="1"/>
    <row r="134" s="11" customFormat="1"/>
    <row r="135" s="11" customFormat="1"/>
    <row r="136" s="11" customFormat="1"/>
    <row r="137" s="11" customFormat="1"/>
    <row r="138" s="11" customFormat="1"/>
    <row r="139" s="11" customFormat="1"/>
    <row r="140" s="11" customFormat="1"/>
    <row r="141" s="11" customFormat="1"/>
  </sheetData>
  <mergeCells count="10">
    <mergeCell ref="B17:C17"/>
    <mergeCell ref="B18:C18"/>
    <mergeCell ref="B19:C19"/>
    <mergeCell ref="D6:E6"/>
    <mergeCell ref="B9:C9"/>
    <mergeCell ref="B10:C10"/>
    <mergeCell ref="B11:C11"/>
    <mergeCell ref="B12:C12"/>
    <mergeCell ref="B13:C13"/>
    <mergeCell ref="B15:C15"/>
  </mergeCells>
  <pageMargins left="0.7" right="0.7" top="0.75" bottom="0.75" header="0.3" footer="0.3"/>
  <pageSetup orientation="portrait" horizontalDpi="1200" verticalDpi="1200"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B2:AZ231"/>
  <sheetViews>
    <sheetView showGridLines="0" zoomScale="90" zoomScaleNormal="90" workbookViewId="0">
      <selection activeCell="K27" sqref="K27"/>
    </sheetView>
  </sheetViews>
  <sheetFormatPr baseColWidth="10" defaultColWidth="8.5" defaultRowHeight="12.75" customHeight="1"/>
  <cols>
    <col min="1" max="1" width="8.5" style="13"/>
    <col min="2" max="2" width="10.83203125" style="13" customWidth="1"/>
    <col min="3" max="3" width="11" style="13" customWidth="1"/>
    <col min="4" max="5" width="11.5" style="13" customWidth="1"/>
    <col min="6" max="6" width="19.5" style="13" customWidth="1"/>
    <col min="7" max="7" width="11.5" style="13" customWidth="1"/>
    <col min="8" max="8" width="15.5" style="13" customWidth="1"/>
    <col min="9" max="9" width="28.5" style="15" customWidth="1"/>
    <col min="10" max="52" width="8.5" style="15"/>
    <col min="53" max="16384" width="8.5" style="13"/>
  </cols>
  <sheetData>
    <row r="2" spans="2:9" ht="16">
      <c r="B2" s="372" t="s">
        <v>502</v>
      </c>
      <c r="C2" s="47"/>
      <c r="D2" s="47"/>
      <c r="E2" s="59"/>
      <c r="F2" s="15"/>
      <c r="G2" s="15"/>
      <c r="H2" s="15"/>
    </row>
    <row r="3" spans="2:9" ht="14">
      <c r="B3" s="165" t="s">
        <v>20</v>
      </c>
      <c r="C3" s="15"/>
      <c r="D3" s="339" t="str">
        <f>'Table of Contents'!B2</f>
        <v xml:space="preserve">Broadleaf Flats </v>
      </c>
      <c r="E3" s="20"/>
      <c r="F3" s="15"/>
      <c r="G3" s="15"/>
      <c r="H3" s="15"/>
    </row>
    <row r="4" spans="2:9" ht="14">
      <c r="B4" s="165" t="s">
        <v>2</v>
      </c>
      <c r="C4" s="15"/>
      <c r="D4" s="339" t="str">
        <f>'Table of Contents'!C4</f>
        <v>Cal Poly SLO - Driftwood Propery Development</v>
      </c>
      <c r="E4" s="20"/>
      <c r="F4" s="15"/>
      <c r="G4" s="15"/>
      <c r="H4" s="15"/>
    </row>
    <row r="5" spans="2:9" ht="14">
      <c r="B5" s="165" t="s">
        <v>21</v>
      </c>
      <c r="C5" s="15"/>
      <c r="D5" s="595">
        <f>'Table of Contents'!C6</f>
        <v>45726</v>
      </c>
      <c r="E5" s="20"/>
      <c r="F5" s="15"/>
      <c r="G5" s="15"/>
      <c r="H5" s="15"/>
    </row>
    <row r="6" spans="2:9" ht="14">
      <c r="B6" s="341" t="s">
        <v>22</v>
      </c>
      <c r="C6" s="342"/>
      <c r="D6" s="735">
        <v>11</v>
      </c>
      <c r="E6" s="736"/>
      <c r="F6" s="15"/>
      <c r="G6" s="15"/>
      <c r="H6" s="15"/>
    </row>
    <row r="7" spans="2:9" ht="14">
      <c r="B7" s="15"/>
      <c r="C7" s="15"/>
      <c r="D7" s="15"/>
      <c r="E7" s="15"/>
      <c r="F7" s="15"/>
      <c r="G7" s="15"/>
      <c r="H7" s="15"/>
    </row>
    <row r="8" spans="2:9" ht="14">
      <c r="B8" s="15"/>
      <c r="C8" s="15"/>
      <c r="D8" s="15"/>
      <c r="E8" s="15"/>
      <c r="F8" s="15"/>
      <c r="G8" s="15"/>
      <c r="H8" s="15"/>
    </row>
    <row r="9" spans="2:9" ht="14" customHeight="1">
      <c r="B9" s="133" t="s">
        <v>503</v>
      </c>
      <c r="C9" s="134"/>
      <c r="D9" s="134"/>
      <c r="E9" s="134"/>
      <c r="F9" s="135" t="s">
        <v>504</v>
      </c>
      <c r="G9" s="135" t="s">
        <v>111</v>
      </c>
      <c r="H9" s="136"/>
    </row>
    <row r="10" spans="2:9" ht="14" customHeight="1">
      <c r="B10" s="137" t="s">
        <v>505</v>
      </c>
      <c r="C10" s="15"/>
      <c r="D10" s="15"/>
      <c r="E10" s="15"/>
      <c r="F10" s="138" t="s">
        <v>506</v>
      </c>
      <c r="G10" s="138" t="s">
        <v>507</v>
      </c>
      <c r="H10" s="139" t="s">
        <v>69</v>
      </c>
    </row>
    <row r="11" spans="2:9" ht="14">
      <c r="B11" s="140"/>
      <c r="C11" s="15"/>
      <c r="D11" s="15"/>
      <c r="E11" s="15"/>
      <c r="F11" s="15"/>
      <c r="G11" s="15"/>
      <c r="H11" s="141"/>
      <c r="I11" s="655"/>
    </row>
    <row r="12" spans="2:9" ht="14">
      <c r="B12" s="142" t="s">
        <v>508</v>
      </c>
      <c r="C12" s="15"/>
      <c r="D12" s="15"/>
      <c r="E12" s="15"/>
      <c r="F12" s="15"/>
      <c r="G12" s="15"/>
      <c r="H12" s="141"/>
    </row>
    <row r="13" spans="2:9" ht="14">
      <c r="B13" s="140"/>
      <c r="C13" s="15"/>
      <c r="D13" s="15"/>
      <c r="E13" s="15"/>
      <c r="F13" s="15"/>
      <c r="G13" s="15"/>
      <c r="H13" s="141"/>
    </row>
    <row r="14" spans="2:9" ht="14">
      <c r="B14" s="140" t="s">
        <v>509</v>
      </c>
      <c r="C14" s="15"/>
      <c r="D14" s="15"/>
      <c r="E14" s="15"/>
      <c r="F14" s="672">
        <v>1.5</v>
      </c>
      <c r="G14" s="671">
        <v>53934</v>
      </c>
      <c r="H14" s="143">
        <f>+F14*G14</f>
        <v>80901</v>
      </c>
    </row>
    <row r="15" spans="2:9" ht="14">
      <c r="B15" s="144" t="s">
        <v>510</v>
      </c>
      <c r="C15" s="15"/>
      <c r="D15" s="15"/>
      <c r="E15" s="15"/>
      <c r="F15" s="672">
        <f>1.21+1.08+0.07</f>
        <v>2.36</v>
      </c>
      <c r="G15" s="671">
        <v>53934</v>
      </c>
      <c r="H15" s="143">
        <f t="shared" ref="H15:H25" si="0">+F15*G15</f>
        <v>127284.23999999999</v>
      </c>
    </row>
    <row r="16" spans="2:9" ht="14">
      <c r="B16" s="144" t="s">
        <v>511</v>
      </c>
      <c r="C16" s="15"/>
      <c r="D16" s="15"/>
      <c r="E16" s="15"/>
      <c r="F16" s="672">
        <v>0.5</v>
      </c>
      <c r="G16" s="671">
        <v>53934</v>
      </c>
      <c r="H16" s="143">
        <f t="shared" si="0"/>
        <v>26967</v>
      </c>
    </row>
    <row r="17" spans="2:9" ht="14">
      <c r="B17" s="144" t="s">
        <v>512</v>
      </c>
      <c r="C17" s="15"/>
      <c r="D17" s="15"/>
      <c r="E17" s="15"/>
      <c r="F17" s="672">
        <v>0.05</v>
      </c>
      <c r="G17" s="671">
        <v>53934</v>
      </c>
      <c r="H17" s="143">
        <f t="shared" si="0"/>
        <v>2696.7000000000003</v>
      </c>
    </row>
    <row r="18" spans="2:9" ht="14">
      <c r="B18" s="144" t="s">
        <v>513</v>
      </c>
      <c r="C18" s="15"/>
      <c r="D18" s="15"/>
      <c r="E18" s="15"/>
      <c r="F18" s="672">
        <f>2169+3088</f>
        <v>5257</v>
      </c>
      <c r="G18" s="671">
        <v>75</v>
      </c>
      <c r="H18" s="143">
        <f t="shared" si="0"/>
        <v>394275</v>
      </c>
    </row>
    <row r="19" spans="2:9" ht="14">
      <c r="B19" s="144" t="s">
        <v>514</v>
      </c>
      <c r="C19" s="15"/>
      <c r="D19" s="15"/>
      <c r="E19" s="15"/>
      <c r="F19" s="672">
        <v>731</v>
      </c>
      <c r="G19" s="671">
        <v>75</v>
      </c>
      <c r="H19" s="143">
        <f t="shared" si="0"/>
        <v>54825</v>
      </c>
    </row>
    <row r="20" spans="2:9" ht="14">
      <c r="B20" s="144" t="s">
        <v>515</v>
      </c>
      <c r="C20" s="15"/>
      <c r="D20" s="15"/>
      <c r="E20" s="15"/>
      <c r="F20" s="672">
        <v>0.01</v>
      </c>
      <c r="G20" s="671">
        <v>53934</v>
      </c>
      <c r="H20" s="143">
        <f t="shared" si="0"/>
        <v>539.34</v>
      </c>
    </row>
    <row r="21" spans="2:9" ht="14">
      <c r="B21" s="144" t="s">
        <v>516</v>
      </c>
      <c r="C21" s="15"/>
      <c r="D21" s="15"/>
      <c r="E21" s="15"/>
      <c r="F21" s="672">
        <v>0</v>
      </c>
      <c r="G21" s="671">
        <v>53934</v>
      </c>
      <c r="H21" s="143">
        <f t="shared" si="0"/>
        <v>0</v>
      </c>
    </row>
    <row r="22" spans="2:9" ht="14">
      <c r="B22" s="144" t="s">
        <v>517</v>
      </c>
      <c r="C22" s="15"/>
      <c r="D22" s="15"/>
      <c r="E22" s="15"/>
      <c r="F22" s="672">
        <v>8.48</v>
      </c>
      <c r="G22" s="671">
        <v>53934</v>
      </c>
      <c r="H22" s="143">
        <f t="shared" si="0"/>
        <v>457360.32</v>
      </c>
    </row>
    <row r="23" spans="2:9" ht="14">
      <c r="B23" s="144" t="s">
        <v>518</v>
      </c>
      <c r="C23" s="15"/>
      <c r="D23" s="15"/>
      <c r="E23" s="15"/>
      <c r="F23" s="672">
        <f>14078+13152</f>
        <v>27230</v>
      </c>
      <c r="G23" s="671">
        <v>75</v>
      </c>
      <c r="H23" s="143">
        <f t="shared" si="0"/>
        <v>2042250</v>
      </c>
    </row>
    <row r="24" spans="2:9" ht="14">
      <c r="B24" s="144" t="s">
        <v>519</v>
      </c>
      <c r="C24" s="15"/>
      <c r="D24" s="15"/>
      <c r="E24" s="15"/>
      <c r="F24" s="672">
        <v>623.45000000000005</v>
      </c>
      <c r="G24" s="671">
        <v>75</v>
      </c>
      <c r="H24" s="143">
        <f t="shared" si="0"/>
        <v>46758.75</v>
      </c>
    </row>
    <row r="25" spans="2:9" ht="14">
      <c r="B25" s="144" t="s">
        <v>520</v>
      </c>
      <c r="C25" s="15"/>
      <c r="D25" s="15"/>
      <c r="E25" s="15"/>
      <c r="F25" s="672">
        <v>5.17</v>
      </c>
      <c r="G25" s="671">
        <v>53934</v>
      </c>
      <c r="H25" s="143">
        <f t="shared" si="0"/>
        <v>278838.77999999997</v>
      </c>
    </row>
    <row r="26" spans="2:9" ht="14">
      <c r="B26" s="140"/>
      <c r="C26" s="15"/>
      <c r="D26" s="15"/>
      <c r="E26" s="15"/>
      <c r="F26" s="145"/>
      <c r="G26" s="122"/>
      <c r="H26" s="143"/>
    </row>
    <row r="27" spans="2:9" ht="14">
      <c r="B27" s="140"/>
      <c r="C27" s="15"/>
      <c r="D27" s="15"/>
      <c r="E27" s="15"/>
      <c r="F27" s="146"/>
      <c r="G27" s="121"/>
      <c r="H27" s="143"/>
    </row>
    <row r="28" spans="2:9" ht="14">
      <c r="B28" s="140" t="s">
        <v>521</v>
      </c>
      <c r="C28" s="15"/>
      <c r="D28" s="15"/>
      <c r="E28" s="15"/>
      <c r="F28" s="146"/>
      <c r="G28" s="121"/>
      <c r="H28" s="637">
        <v>0</v>
      </c>
      <c r="I28" s="670"/>
    </row>
    <row r="29" spans="2:9" ht="14">
      <c r="B29" s="140"/>
      <c r="C29" s="15"/>
      <c r="D29" s="15"/>
      <c r="E29" s="15"/>
      <c r="F29" s="147"/>
      <c r="G29" s="15"/>
      <c r="H29" s="141"/>
    </row>
    <row r="30" spans="2:9" ht="14">
      <c r="B30" s="148" t="s">
        <v>522</v>
      </c>
      <c r="C30" s="149"/>
      <c r="D30" s="149"/>
      <c r="E30" s="149"/>
      <c r="F30" s="150"/>
      <c r="G30" s="149"/>
      <c r="H30" s="151">
        <f>SUM(H14:H28)</f>
        <v>3512696.1299999994</v>
      </c>
      <c r="I30" s="670"/>
    </row>
    <row r="31" spans="2:9" ht="14">
      <c r="B31" s="140"/>
      <c r="C31" s="15"/>
      <c r="D31" s="15"/>
      <c r="E31" s="15"/>
      <c r="F31" s="147"/>
      <c r="G31" s="15"/>
      <c r="H31" s="141"/>
    </row>
    <row r="32" spans="2:9" ht="14">
      <c r="B32" s="152"/>
      <c r="C32" s="153"/>
      <c r="D32" s="153"/>
      <c r="E32" s="153"/>
      <c r="F32" s="153"/>
      <c r="G32" s="153"/>
      <c r="H32" s="154"/>
    </row>
    <row r="33" spans="2:8" ht="14">
      <c r="B33" s="15"/>
      <c r="C33" s="15"/>
      <c r="D33" s="15"/>
      <c r="E33" s="15"/>
      <c r="F33" s="15"/>
      <c r="G33" s="15"/>
      <c r="H33" s="15"/>
    </row>
    <row r="34" spans="2:8" s="15" customFormat="1" ht="14">
      <c r="H34" s="212"/>
    </row>
    <row r="35" spans="2:8" s="15" customFormat="1" ht="14"/>
    <row r="36" spans="2:8" s="15" customFormat="1" ht="14"/>
    <row r="37" spans="2:8" s="15" customFormat="1" ht="14"/>
    <row r="38" spans="2:8" s="15" customFormat="1" ht="14"/>
    <row r="39" spans="2:8" s="15" customFormat="1" ht="14"/>
    <row r="40" spans="2:8" s="15" customFormat="1" ht="14"/>
    <row r="41" spans="2:8" s="15" customFormat="1" ht="14"/>
    <row r="42" spans="2:8" s="15" customFormat="1" ht="14"/>
    <row r="43" spans="2:8" s="15" customFormat="1" ht="14"/>
    <row r="44" spans="2:8" s="15" customFormat="1" ht="14"/>
    <row r="45" spans="2:8" s="15" customFormat="1" ht="14"/>
    <row r="46" spans="2:8" s="15" customFormat="1" ht="14"/>
    <row r="47" spans="2:8" s="15" customFormat="1" ht="14"/>
    <row r="48" spans="2:8" s="15" customFormat="1" ht="14"/>
    <row r="49" s="15" customFormat="1" ht="14"/>
    <row r="50" s="15" customFormat="1" ht="14"/>
    <row r="51" s="15" customFormat="1" ht="14"/>
    <row r="52" s="15" customFormat="1" ht="14"/>
    <row r="53" s="15" customFormat="1" ht="14"/>
    <row r="54" s="15" customFormat="1" ht="14"/>
    <row r="55" s="15" customFormat="1" ht="14"/>
    <row r="56" s="15" customFormat="1" ht="14"/>
    <row r="57" s="15" customFormat="1" ht="14"/>
    <row r="58" s="15" customFormat="1" ht="14"/>
    <row r="59" s="15" customFormat="1" ht="14"/>
    <row r="60" s="15" customFormat="1" ht="14"/>
    <row r="61" s="15" customFormat="1" ht="14"/>
    <row r="62" s="15" customFormat="1" ht="14"/>
    <row r="63" s="15" customFormat="1" ht="14"/>
    <row r="64" s="15" customFormat="1" ht="14"/>
    <row r="65" s="15" customFormat="1" ht="14"/>
    <row r="66" s="15" customFormat="1" ht="14"/>
    <row r="67" s="15" customFormat="1" ht="14"/>
    <row r="68" s="15" customFormat="1" ht="14"/>
    <row r="69" s="15" customFormat="1" ht="14"/>
    <row r="70" s="15" customFormat="1" ht="14"/>
    <row r="71" s="15" customFormat="1" ht="14"/>
    <row r="72" s="15" customFormat="1" ht="14"/>
    <row r="73" s="15" customFormat="1" ht="14"/>
    <row r="74" s="15" customFormat="1" ht="14"/>
    <row r="75" s="15" customFormat="1" ht="14"/>
    <row r="76" s="15" customFormat="1" ht="14"/>
    <row r="77" s="15" customFormat="1" ht="14"/>
    <row r="78" s="15" customFormat="1" ht="14"/>
    <row r="79" s="15" customFormat="1" ht="14"/>
    <row r="80" s="15" customFormat="1" ht="14"/>
    <row r="81" s="15" customFormat="1" ht="14"/>
    <row r="82" s="15" customFormat="1" ht="14"/>
    <row r="83" s="15" customFormat="1" ht="14"/>
    <row r="84" s="15" customFormat="1" ht="14"/>
    <row r="85" s="15" customFormat="1" ht="14"/>
    <row r="86" s="15" customFormat="1" ht="14"/>
    <row r="87" s="15" customFormat="1" ht="14"/>
    <row r="88" s="15" customFormat="1" ht="14"/>
    <row r="89" s="15" customFormat="1" ht="14"/>
    <row r="90" s="15" customFormat="1" ht="14"/>
    <row r="91" s="15" customFormat="1" ht="14"/>
    <row r="92" s="15" customFormat="1" ht="14"/>
    <row r="93" s="15" customFormat="1" ht="14"/>
    <row r="94" s="15" customFormat="1" ht="14"/>
    <row r="95" s="15" customFormat="1" ht="14"/>
    <row r="96" s="15" customFormat="1" ht="14"/>
    <row r="97" s="15" customFormat="1" ht="14"/>
    <row r="98" s="15" customFormat="1" ht="14"/>
    <row r="99" s="15" customFormat="1" ht="14"/>
    <row r="100" s="15" customFormat="1" ht="14"/>
    <row r="101" s="15" customFormat="1" ht="14"/>
    <row r="102" s="15" customFormat="1" ht="14"/>
    <row r="103" s="15" customFormat="1" ht="14"/>
    <row r="104" s="15" customFormat="1" ht="14"/>
    <row r="105" s="15" customFormat="1" ht="14"/>
    <row r="106" s="15" customFormat="1" ht="14"/>
    <row r="107" s="15" customFormat="1" ht="14"/>
    <row r="108" s="15" customFormat="1" ht="14"/>
    <row r="109" s="15" customFormat="1" ht="14"/>
    <row r="110" s="15" customFormat="1" ht="14"/>
    <row r="111" s="15" customFormat="1" ht="14"/>
    <row r="112" s="15" customFormat="1" ht="14"/>
    <row r="113" s="15" customFormat="1" ht="14"/>
    <row r="114" s="15" customFormat="1" ht="14"/>
    <row r="115" s="15" customFormat="1" ht="14"/>
    <row r="116" s="15" customFormat="1" ht="14"/>
    <row r="117" s="15" customFormat="1" ht="14"/>
    <row r="118" s="15" customFormat="1" ht="14"/>
    <row r="119" s="15" customFormat="1" ht="14"/>
    <row r="120" s="15" customFormat="1" ht="14"/>
    <row r="121" s="15" customFormat="1" ht="14"/>
    <row r="122" s="15" customFormat="1" ht="14"/>
    <row r="123" s="15" customFormat="1" ht="14"/>
    <row r="124" s="15" customFormat="1" ht="14"/>
    <row r="125" s="15" customFormat="1" ht="14"/>
    <row r="126" s="15" customFormat="1" ht="14"/>
    <row r="127" s="15" customFormat="1" ht="14"/>
    <row r="128" s="15" customFormat="1" ht="14"/>
    <row r="129" s="15" customFormat="1" ht="14"/>
    <row r="130" s="15" customFormat="1" ht="14"/>
    <row r="131" s="15" customFormat="1" ht="14"/>
    <row r="132" s="15" customFormat="1" ht="14"/>
    <row r="133" s="15" customFormat="1" ht="14"/>
    <row r="134" s="15" customFormat="1" ht="14"/>
    <row r="135" s="15" customFormat="1" ht="14"/>
    <row r="136" s="15" customFormat="1" ht="14"/>
    <row r="137" s="15" customFormat="1" ht="14"/>
    <row r="138" s="15" customFormat="1" ht="14"/>
    <row r="139" s="15" customFormat="1" ht="14"/>
    <row r="140" s="15" customFormat="1" ht="14"/>
    <row r="141" s="15" customFormat="1" ht="14"/>
    <row r="142" s="15" customFormat="1" ht="14"/>
    <row r="143" s="15" customFormat="1" ht="14"/>
    <row r="144" s="15" customFormat="1" ht="14"/>
    <row r="145" s="15" customFormat="1" ht="14"/>
    <row r="146" s="15" customFormat="1" ht="14"/>
    <row r="147" s="15" customFormat="1" ht="14"/>
    <row r="148" s="15" customFormat="1" ht="14"/>
    <row r="149" s="15" customFormat="1" ht="14"/>
    <row r="150" s="15" customFormat="1" ht="14"/>
    <row r="151" s="15" customFormat="1" ht="14"/>
    <row r="152" s="15" customFormat="1" ht="14"/>
    <row r="153" s="15" customFormat="1" ht="14"/>
    <row r="154" s="15" customFormat="1" ht="14"/>
    <row r="155" s="15" customFormat="1" ht="14"/>
    <row r="156" s="15" customFormat="1" ht="14"/>
    <row r="157" s="15" customFormat="1" ht="14"/>
    <row r="158" s="15" customFormat="1" ht="14"/>
    <row r="159" s="15" customFormat="1" ht="14"/>
    <row r="160" s="15" customFormat="1" ht="14"/>
    <row r="161" s="15" customFormat="1" ht="14"/>
    <row r="162" s="15" customFormat="1" ht="14"/>
    <row r="163" s="15" customFormat="1" ht="14"/>
    <row r="164" s="15" customFormat="1" ht="14"/>
    <row r="165" s="15" customFormat="1" ht="14"/>
    <row r="166" s="15" customFormat="1" ht="14"/>
    <row r="167" s="15" customFormat="1" ht="14"/>
    <row r="168" s="15" customFormat="1" ht="14"/>
    <row r="169" s="15" customFormat="1" ht="14"/>
    <row r="170" s="15" customFormat="1" ht="14"/>
    <row r="171" s="15" customFormat="1" ht="14"/>
    <row r="172" s="15" customFormat="1" ht="14"/>
    <row r="173" s="15" customFormat="1" ht="14"/>
    <row r="174" s="15" customFormat="1" ht="14"/>
    <row r="175" s="15" customFormat="1" ht="14"/>
    <row r="176" s="15" customFormat="1" ht="14"/>
    <row r="177" s="15" customFormat="1" ht="14"/>
    <row r="178" s="15" customFormat="1" ht="14"/>
    <row r="179" s="15" customFormat="1" ht="14"/>
    <row r="180" s="15" customFormat="1" ht="14"/>
    <row r="181" s="15" customFormat="1" ht="14"/>
    <row r="182" s="15" customFormat="1" ht="14"/>
    <row r="183" s="15" customFormat="1" ht="14"/>
    <row r="184" s="15" customFormat="1" ht="14"/>
    <row r="185" s="15" customFormat="1" ht="14"/>
    <row r="186" s="15" customFormat="1" ht="14"/>
    <row r="187" s="15" customFormat="1" ht="14"/>
    <row r="188" s="15" customFormat="1" ht="14"/>
    <row r="189" s="15" customFormat="1" ht="14"/>
    <row r="190" s="15" customFormat="1" ht="14"/>
    <row r="191" s="15" customFormat="1" ht="14"/>
    <row r="192" s="15" customFormat="1" ht="14"/>
    <row r="193" s="15" customFormat="1" ht="14"/>
    <row r="194" s="15" customFormat="1" ht="14"/>
    <row r="195" s="15" customFormat="1" ht="14"/>
    <row r="196" s="15" customFormat="1" ht="14"/>
    <row r="197" s="15" customFormat="1" ht="14"/>
    <row r="198" s="15" customFormat="1" ht="14"/>
    <row r="199" s="15" customFormat="1" ht="14"/>
    <row r="200" s="15" customFormat="1" ht="14"/>
    <row r="201" s="15" customFormat="1" ht="14"/>
    <row r="202" s="15" customFormat="1" ht="14"/>
    <row r="203" s="15" customFormat="1" ht="14"/>
    <row r="204" s="15" customFormat="1" ht="14"/>
    <row r="205" s="15" customFormat="1" ht="14"/>
    <row r="206" s="15" customFormat="1" ht="14"/>
    <row r="207" s="15" customFormat="1" ht="14"/>
    <row r="208" s="15" customFormat="1" ht="14"/>
    <row r="209" s="15" customFormat="1" ht="14"/>
    <row r="210" s="15" customFormat="1" ht="14"/>
    <row r="211" s="15" customFormat="1" ht="14"/>
    <row r="212" s="15" customFormat="1" ht="14"/>
    <row r="213" s="15" customFormat="1" ht="14"/>
    <row r="214" s="15" customFormat="1" ht="14"/>
    <row r="215" s="15" customFormat="1" ht="14"/>
    <row r="216" s="15" customFormat="1" ht="14"/>
    <row r="217" s="15" customFormat="1" ht="14"/>
    <row r="218" s="15" customFormat="1" ht="14"/>
    <row r="219" s="15" customFormat="1" ht="14"/>
    <row r="220" s="15" customFormat="1" ht="14"/>
    <row r="221" s="15" customFormat="1" ht="14"/>
    <row r="222" s="15" customFormat="1" ht="14"/>
    <row r="223" s="15" customFormat="1" ht="14"/>
    <row r="224" s="15" customFormat="1" ht="14"/>
    <row r="225" s="15" customFormat="1" ht="14"/>
    <row r="226" s="15" customFormat="1" ht="14"/>
    <row r="227" s="15" customFormat="1" ht="14"/>
    <row r="228" s="15" customFormat="1" ht="14"/>
    <row r="229" s="15" customFormat="1" ht="14"/>
    <row r="230" s="15" customFormat="1" ht="14"/>
    <row r="231" ht="14"/>
  </sheetData>
  <mergeCells count="1">
    <mergeCell ref="D6:E6"/>
  </mergeCells>
  <pageMargins left="0.7" right="0.7" top="0.75" bottom="0.75" header="0.3" footer="0.3"/>
  <pageSetup scale="56"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1"/>
  <sheetViews>
    <sheetView showGridLines="0" workbookViewId="0">
      <selection activeCell="K50" sqref="K50"/>
    </sheetView>
  </sheetViews>
  <sheetFormatPr baseColWidth="10" defaultColWidth="8.83203125" defaultRowHeight="13"/>
  <cols>
    <col min="1" max="1" width="3.5" customWidth="1"/>
    <col min="2" max="2" width="2.5" customWidth="1"/>
    <col min="3" max="3" width="3.5" customWidth="1"/>
  </cols>
  <sheetData>
    <row r="1" spans="1:4">
      <c r="A1" s="176" t="s">
        <v>523</v>
      </c>
    </row>
    <row r="2" spans="1:4">
      <c r="B2" s="177" t="s">
        <v>524</v>
      </c>
    </row>
    <row r="3" spans="1:4">
      <c r="B3" s="177"/>
      <c r="C3" t="s">
        <v>525</v>
      </c>
    </row>
    <row r="4" spans="1:4">
      <c r="B4" s="177"/>
      <c r="D4" t="s">
        <v>526</v>
      </c>
    </row>
    <row r="5" spans="1:4">
      <c r="B5" s="177"/>
      <c r="C5" t="s">
        <v>527</v>
      </c>
    </row>
    <row r="6" spans="1:4">
      <c r="B6" s="177"/>
      <c r="D6" t="s">
        <v>528</v>
      </c>
    </row>
    <row r="7" spans="1:4">
      <c r="B7" s="177"/>
      <c r="D7" t="s">
        <v>529</v>
      </c>
    </row>
    <row r="8" spans="1:4">
      <c r="B8" s="177" t="s">
        <v>530</v>
      </c>
    </row>
    <row r="9" spans="1:4">
      <c r="B9" s="177"/>
      <c r="C9" t="s">
        <v>531</v>
      </c>
    </row>
    <row r="10" spans="1:4">
      <c r="B10" s="177"/>
      <c r="C10" t="s">
        <v>532</v>
      </c>
    </row>
    <row r="11" spans="1:4">
      <c r="B11" s="177"/>
    </row>
    <row r="12" spans="1:4">
      <c r="B12" s="177" t="s">
        <v>533</v>
      </c>
    </row>
    <row r="13" spans="1:4">
      <c r="C13" t="s">
        <v>534</v>
      </c>
    </row>
    <row r="14" spans="1:4">
      <c r="D14" t="s">
        <v>535</v>
      </c>
    </row>
    <row r="15" spans="1:4">
      <c r="D15" t="s">
        <v>536</v>
      </c>
    </row>
    <row r="16" spans="1:4">
      <c r="D16" t="s">
        <v>537</v>
      </c>
    </row>
    <row r="17" spans="1:5">
      <c r="C17" t="s">
        <v>538</v>
      </c>
    </row>
    <row r="18" spans="1:5">
      <c r="D18" t="s">
        <v>539</v>
      </c>
    </row>
    <row r="19" spans="1:5">
      <c r="D19" t="s">
        <v>540</v>
      </c>
    </row>
    <row r="20" spans="1:5">
      <c r="D20" t="s">
        <v>541</v>
      </c>
    </row>
    <row r="21" spans="1:5">
      <c r="C21" t="s">
        <v>542</v>
      </c>
    </row>
    <row r="22" spans="1:5">
      <c r="D22" t="s">
        <v>543</v>
      </c>
    </row>
    <row r="23" spans="1:5">
      <c r="D23" t="s">
        <v>544</v>
      </c>
    </row>
    <row r="24" spans="1:5">
      <c r="D24" t="s">
        <v>545</v>
      </c>
    </row>
    <row r="25" spans="1:5">
      <c r="D25" t="s">
        <v>546</v>
      </c>
    </row>
    <row r="27" spans="1:5">
      <c r="A27" s="176" t="s">
        <v>547</v>
      </c>
    </row>
    <row r="28" spans="1:5">
      <c r="B28" s="179" t="s">
        <v>548</v>
      </c>
    </row>
    <row r="29" spans="1:5">
      <c r="B29" s="179" t="s">
        <v>549</v>
      </c>
    </row>
    <row r="30" spans="1:5">
      <c r="C30" s="178" t="s">
        <v>550</v>
      </c>
    </row>
    <row r="31" spans="1:5">
      <c r="C31" s="178"/>
      <c r="D31" s="180" t="s">
        <v>551</v>
      </c>
    </row>
    <row r="32" spans="1:5">
      <c r="C32" s="178"/>
      <c r="E32" t="s">
        <v>552</v>
      </c>
    </row>
    <row r="33" spans="3:5">
      <c r="C33" s="178"/>
      <c r="E33" t="s">
        <v>553</v>
      </c>
    </row>
    <row r="34" spans="3:5">
      <c r="C34" s="178"/>
      <c r="E34" t="s">
        <v>554</v>
      </c>
    </row>
    <row r="35" spans="3:5">
      <c r="C35" s="178"/>
      <c r="D35" s="180" t="s">
        <v>555</v>
      </c>
    </row>
    <row r="36" spans="3:5">
      <c r="C36" s="178"/>
      <c r="D36" s="180" t="s">
        <v>556</v>
      </c>
    </row>
    <row r="37" spans="3:5">
      <c r="C37" s="178" t="s">
        <v>557</v>
      </c>
    </row>
    <row r="38" spans="3:5">
      <c r="C38" s="178"/>
      <c r="D38" s="180" t="s">
        <v>558</v>
      </c>
    </row>
    <row r="39" spans="3:5">
      <c r="C39" s="178"/>
      <c r="E39" t="s">
        <v>559</v>
      </c>
    </row>
    <row r="40" spans="3:5">
      <c r="C40" s="178"/>
      <c r="E40" t="s">
        <v>560</v>
      </c>
    </row>
    <row r="41" spans="3:5">
      <c r="C41" s="178"/>
      <c r="D41" s="180" t="s">
        <v>561</v>
      </c>
    </row>
    <row r="42" spans="3:5">
      <c r="C42" s="178" t="s">
        <v>562</v>
      </c>
    </row>
    <row r="43" spans="3:5">
      <c r="C43" s="179"/>
      <c r="D43" s="180" t="s">
        <v>563</v>
      </c>
    </row>
    <row r="44" spans="3:5">
      <c r="C44" s="179"/>
      <c r="D44" s="180"/>
      <c r="E44" t="s">
        <v>564</v>
      </c>
    </row>
    <row r="45" spans="3:5">
      <c r="C45" s="179"/>
      <c r="D45" s="180"/>
      <c r="E45" t="s">
        <v>565</v>
      </c>
    </row>
    <row r="46" spans="3:5">
      <c r="C46" s="179"/>
      <c r="D46" s="180" t="s">
        <v>566</v>
      </c>
    </row>
    <row r="47" spans="3:5">
      <c r="C47" s="179"/>
      <c r="E47" t="s">
        <v>567</v>
      </c>
    </row>
    <row r="48" spans="3:5">
      <c r="C48" s="179"/>
      <c r="D48" s="180" t="s">
        <v>568</v>
      </c>
    </row>
    <row r="49" spans="2:3">
      <c r="B49" s="179" t="s">
        <v>569</v>
      </c>
    </row>
    <row r="50" spans="2:3">
      <c r="B50" s="178"/>
      <c r="C50" t="s">
        <v>570</v>
      </c>
    </row>
    <row r="51" spans="2:3">
      <c r="B51" s="178"/>
      <c r="C51" t="s">
        <v>571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H21"/>
  <sheetViews>
    <sheetView workbookViewId="0">
      <selection activeCell="C32" sqref="C32:D32"/>
    </sheetView>
  </sheetViews>
  <sheetFormatPr baseColWidth="10" defaultColWidth="8.83203125" defaultRowHeight="13"/>
  <cols>
    <col min="2" max="2" width="23.33203125" customWidth="1"/>
    <col min="4" max="4" width="33.5" style="22" customWidth="1"/>
    <col min="6" max="6" width="22.5" customWidth="1"/>
  </cols>
  <sheetData>
    <row r="2" spans="2:8">
      <c r="B2" s="25" t="s">
        <v>572</v>
      </c>
      <c r="D2" s="25" t="s">
        <v>573</v>
      </c>
      <c r="F2" s="23" t="s">
        <v>574</v>
      </c>
      <c r="H2" s="23" t="s">
        <v>575</v>
      </c>
    </row>
    <row r="3" spans="2:8" ht="15" customHeight="1">
      <c r="B3" s="26" t="s">
        <v>576</v>
      </c>
      <c r="D3" s="26" t="s">
        <v>577</v>
      </c>
      <c r="F3" s="24" t="s">
        <v>578</v>
      </c>
      <c r="H3" s="28" t="s">
        <v>419</v>
      </c>
    </row>
    <row r="4" spans="2:8" ht="15" customHeight="1">
      <c r="B4" t="s">
        <v>29</v>
      </c>
      <c r="D4" s="27" t="s">
        <v>209</v>
      </c>
      <c r="F4" s="13" t="s">
        <v>280</v>
      </c>
      <c r="H4" s="31">
        <v>0.04</v>
      </c>
    </row>
    <row r="5" spans="2:8" ht="15" customHeight="1">
      <c r="B5" t="s">
        <v>579</v>
      </c>
      <c r="D5" s="27" t="s">
        <v>60</v>
      </c>
      <c r="F5" s="13" t="s">
        <v>282</v>
      </c>
      <c r="H5" s="31">
        <v>0.09</v>
      </c>
    </row>
    <row r="6" spans="2:8" ht="15" customHeight="1">
      <c r="B6" t="s">
        <v>580</v>
      </c>
      <c r="D6" s="27"/>
      <c r="F6" s="13" t="s">
        <v>283</v>
      </c>
    </row>
    <row r="7" spans="2:8" ht="15" customHeight="1">
      <c r="B7" t="s">
        <v>581</v>
      </c>
      <c r="D7" s="26" t="s">
        <v>582</v>
      </c>
      <c r="F7" s="13" t="s">
        <v>284</v>
      </c>
    </row>
    <row r="8" spans="2:8" ht="15" customHeight="1">
      <c r="B8" t="s">
        <v>583</v>
      </c>
      <c r="D8" s="27" t="s">
        <v>68</v>
      </c>
      <c r="F8" s="13" t="s">
        <v>584</v>
      </c>
      <c r="H8" t="s">
        <v>449</v>
      </c>
    </row>
    <row r="9" spans="2:8" ht="15" customHeight="1">
      <c r="B9" t="s">
        <v>585</v>
      </c>
      <c r="D9" s="27" t="s">
        <v>50</v>
      </c>
      <c r="F9" s="13" t="s">
        <v>285</v>
      </c>
      <c r="H9" t="s">
        <v>586</v>
      </c>
    </row>
    <row r="10" spans="2:8" ht="15" customHeight="1">
      <c r="B10" t="s">
        <v>587</v>
      </c>
      <c r="D10" s="27">
        <v>8609</v>
      </c>
      <c r="F10" s="13"/>
      <c r="H10" s="28"/>
    </row>
    <row r="11" spans="2:8" ht="15" customHeight="1">
      <c r="D11" s="27" t="s">
        <v>216</v>
      </c>
      <c r="F11" s="28" t="s">
        <v>268</v>
      </c>
    </row>
    <row r="12" spans="2:8" ht="15" customHeight="1">
      <c r="D12" s="27"/>
      <c r="F12" s="13" t="s">
        <v>281</v>
      </c>
    </row>
    <row r="13" spans="2:8" ht="15" customHeight="1">
      <c r="D13" s="26" t="s">
        <v>588</v>
      </c>
      <c r="F13" s="13" t="s">
        <v>589</v>
      </c>
    </row>
    <row r="14" spans="2:8" ht="15" customHeight="1">
      <c r="D14" s="27" t="s">
        <v>209</v>
      </c>
      <c r="F14" s="13" t="s">
        <v>590</v>
      </c>
    </row>
    <row r="15" spans="2:8" ht="15" customHeight="1">
      <c r="D15" s="27" t="s">
        <v>60</v>
      </c>
      <c r="F15" s="13" t="s">
        <v>285</v>
      </c>
    </row>
    <row r="16" spans="2:8" ht="15" customHeight="1">
      <c r="D16" s="27" t="s">
        <v>68</v>
      </c>
      <c r="F16" s="13" t="s">
        <v>591</v>
      </c>
    </row>
    <row r="17" spans="4:4" ht="15" customHeight="1">
      <c r="D17" s="27" t="s">
        <v>592</v>
      </c>
    </row>
    <row r="18" spans="4:4" ht="15" customHeight="1">
      <c r="D18" s="27" t="s">
        <v>50</v>
      </c>
    </row>
    <row r="19" spans="4:4" ht="15" customHeight="1">
      <c r="D19" s="27">
        <v>8609</v>
      </c>
    </row>
    <row r="20" spans="4:4" ht="15" customHeight="1">
      <c r="D20" s="27" t="s">
        <v>216</v>
      </c>
    </row>
    <row r="21" spans="4:4" ht="14">
      <c r="D21" s="2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10</vt:i4>
      </vt:variant>
    </vt:vector>
  </HeadingPairs>
  <TitlesOfParts>
    <vt:vector size="22" baseType="lpstr">
      <vt:lpstr>Table of Contents</vt:lpstr>
      <vt:lpstr>Summary</vt:lpstr>
      <vt:lpstr>Sources and Uses</vt:lpstr>
      <vt:lpstr>Rents</vt:lpstr>
      <vt:lpstr>Proforma - Base Year</vt:lpstr>
      <vt:lpstr>Debt &amp; Valuation</vt:lpstr>
      <vt:lpstr>Tax Credits</vt:lpstr>
      <vt:lpstr>Long Term Proforma</vt:lpstr>
      <vt:lpstr>Interest Reserve</vt:lpstr>
      <vt:lpstr>City Impact Fees</vt:lpstr>
      <vt:lpstr>Notes</vt:lpstr>
      <vt:lpstr>Drop Down Menus</vt:lpstr>
      <vt:lpstr>OppRes</vt:lpstr>
      <vt:lpstr>OppResArea</vt:lpstr>
      <vt:lpstr>'Debt &amp; Valuation'!Print_Area</vt:lpstr>
      <vt:lpstr>'Interest Reserve'!Print_Area</vt:lpstr>
      <vt:lpstr>'Long Term Proforma'!Print_Area</vt:lpstr>
      <vt:lpstr>'Proforma - Base Year'!Print_Area</vt:lpstr>
      <vt:lpstr>Rents!Print_Area</vt:lpstr>
      <vt:lpstr>'Sources and Uses'!Print_Area</vt:lpstr>
      <vt:lpstr>Summary!Print_Area</vt:lpstr>
      <vt:lpstr>'Tax Credits'!Print_Area</vt:lpstr>
    </vt:vector>
  </TitlesOfParts>
  <Manager/>
  <Company>Bank of America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Reinhardt</dc:creator>
  <cp:keywords/>
  <dc:description/>
  <cp:lastModifiedBy>Daniel Almond</cp:lastModifiedBy>
  <cp:revision/>
  <dcterms:created xsi:type="dcterms:W3CDTF">2021-02-02T06:04:26Z</dcterms:created>
  <dcterms:modified xsi:type="dcterms:W3CDTF">2025-04-14T00:09:28Z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TitusGUID">
    <vt:lpwstr>682974cd-eb58-40dd-b932-a652513a754e</vt:lpwstr>
  </property>
  <property fmtid="{D5CDD505-2E9C-101B-9397-08002B2CF9AE}" pid="4" name="Classification">
    <vt:lpwstr>Unclassified</vt:lpwstr>
  </property>
</Properties>
</file>