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drawingml.chart+xml" PartName="/xl/charts/chart1.xml"/>
  <Override ContentType="application/vnd.openxmlformats-officedocument.drawingml.chart+xml" PartName="/xl/charts/chart10.xml"/>
  <Override ContentType="application/vnd.openxmlformats-officedocument.drawingml.chart+xml" PartName="/xl/charts/chart6.xml"/>
  <Override ContentType="application/vnd.openxmlformats-officedocument.drawingml.chart+xml" PartName="/xl/charts/chart11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4.xml"/>
  <Override ContentType="application/vnd.openxmlformats-officedocument.drawingml.chart+xml" PartName="/xl/charts/chart9.xml"/>
  <Override ContentType="application/vnd.openxmlformats-officedocument.drawingml.chart+xml" PartName="/xl/charts/chart12.xml"/>
  <Override ContentType="application/vnd.openxmlformats-officedocument.drawingml.chart+xml" PartName="/xl/charts/chart5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dividual Type" sheetId="1" r:id="rId4"/>
    <sheet state="visible" name="All Types" sheetId="2" r:id="rId5"/>
    <sheet state="hidden" name="Reference" sheetId="3" r:id="rId6"/>
    <sheet state="visible" name="Data" sheetId="4" r:id="rId7"/>
    <sheet state="visible" name="BM Data" sheetId="5" r:id="rId8"/>
    <sheet state="visible" name="FR Table" sheetId="6" r:id="rId9"/>
    <sheet state="visible" name="Flow Rate" sheetId="7" r:id="rId10"/>
    <sheet state="hidden" name="Regression - All" sheetId="8" r:id="rId11"/>
    <sheet state="visible" name="Regression - Ind." sheetId="9" r:id="rId12"/>
    <sheet state="hidden" name="Form Responses" sheetId="10" r:id="rId13"/>
    <sheet state="hidden" name="BrewMaster Data" sheetId="11" r:id="rId14"/>
  </sheets>
  <definedNames>
    <definedName hidden="1" localSheetId="1" name="Z_76A77D05_E7F5_4A7B_BC56_261B749EFD9C_.wvu.FilterData">'All Types'!$B$112:$B$126</definedName>
    <definedName hidden="1" localSheetId="1" name="Z_F97A8D42_EE34_4014_8065_CC0079575586_.wvu.FilterData">'All Types'!$B$112:$B$126</definedName>
    <definedName hidden="1" localSheetId="1" name="Z_7E24BCAA_6EC9_4CDF_BEA9_AE02CA0BBAAC_.wvu.FilterData">'All Types'!$B$111:$B$116</definedName>
  </definedNames>
  <calcPr/>
  <customWorkbookViews>
    <customWorkbookView activeSheetId="0" maximized="1" tabRatio="600" windowHeight="0" windowWidth="0" guid="{76A77D05-E7F5-4A7B-BC56-261B749EFD9C}" name="Filter 2"/>
    <customWorkbookView activeSheetId="0" maximized="1" tabRatio="600" windowHeight="0" windowWidth="0" guid="{F97A8D42-EE34-4014-8065-CC0079575586}" name="Filter 3"/>
    <customWorkbookView activeSheetId="0" maximized="1" tabRatio="600" windowHeight="0" windowWidth="0" guid="{7E24BCAA-6EC9-4CDF-BEA9-AE02CA0BBAAC}" name="Filter 1"/>
  </customWorkbookViews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G3">
      <text>
        <t xml:space="preserve">Responder updated this value.</t>
      </text>
    </comment>
  </commentList>
</comments>
</file>

<file path=xl/sharedStrings.xml><?xml version="1.0" encoding="utf-8"?>
<sst xmlns="http://schemas.openxmlformats.org/spreadsheetml/2006/main" count="1554" uniqueCount="174">
  <si>
    <t>Location List</t>
  </si>
  <si>
    <t>Coffee List</t>
  </si>
  <si>
    <t>Brew Types</t>
  </si>
  <si>
    <t>Certainty Level</t>
  </si>
  <si>
    <t>Description</t>
  </si>
  <si>
    <t>Descriptor</t>
  </si>
  <si>
    <t>Output</t>
  </si>
  <si>
    <t>Brew</t>
  </si>
  <si>
    <t>Name</t>
  </si>
  <si>
    <t>little</t>
  </si>
  <si>
    <t>If Blank</t>
  </si>
  <si>
    <t>Norman</t>
  </si>
  <si>
    <t>Default</t>
  </si>
  <si>
    <t>Hario V60</t>
  </si>
  <si>
    <t>A</t>
  </si>
  <si>
    <t>Error Threhold</t>
  </si>
  <si>
    <t>some</t>
  </si>
  <si>
    <t>Brewed in Ada</t>
  </si>
  <si>
    <t>Ada</t>
  </si>
  <si>
    <t>B</t>
  </si>
  <si>
    <t>high</t>
  </si>
  <si>
    <t>Mistake in Brewing Process</t>
  </si>
  <si>
    <t>C</t>
  </si>
  <si>
    <t>very high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</si>
  <si>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</si>
  <si>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</si>
  <si>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</si>
  <si>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</si>
  <si>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</si>
  <si>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</si>
  <si>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</si>
  <si>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</si>
  <si>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</si>
  <si>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</si>
  <si>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</si>
  <si>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</si>
  <si>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</si>
  <si>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</si>
  <si>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</si>
  <si>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</si>
  <si>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</si>
  <si>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</si>
  <si>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</si>
  <si>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</si>
  <si>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</si>
  <si>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</si>
  <si>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</si>
  <si>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Date</t>
  </si>
  <si>
    <t>Location</t>
  </si>
  <si>
    <t>Brew Type</t>
  </si>
  <si>
    <t>Time to Complete</t>
  </si>
  <si>
    <t>Total Seconds</t>
  </si>
  <si>
    <t>Variance from 3:30</t>
  </si>
  <si>
    <t>Average Flow Rate</t>
  </si>
  <si>
    <t>Total Weight</t>
  </si>
  <si>
    <t xml:space="preserve">Select Location: </t>
  </si>
  <si>
    <t xml:space="preserve">Select Brew Method: </t>
  </si>
  <si>
    <t>All Coffee Types</t>
  </si>
  <si>
    <t>Notes on Below Tables</t>
  </si>
  <si>
    <t>*Data automatically omits anomolies, such as mistakes or change in brew methods</t>
  </si>
  <si>
    <t xml:space="preserve">Volatility of Brew Times: </t>
  </si>
  <si>
    <t>Index</t>
  </si>
  <si>
    <t>Coffee</t>
  </si>
  <si>
    <t>Time</t>
  </si>
  <si>
    <t>Grind</t>
  </si>
  <si>
    <t>Comment</t>
  </si>
  <si>
    <t>Recomendation</t>
  </si>
  <si>
    <t xml:space="preserve">Select Coffee Type: </t>
  </si>
  <si>
    <t>Columbia Tablón de Gomez Los Rosales</t>
  </si>
  <si>
    <t xml:space="preserve">Selected Location: </t>
  </si>
  <si>
    <t xml:space="preserve">Selected Brew Type: </t>
  </si>
  <si>
    <t xml:space="preserve"> </t>
  </si>
  <si>
    <t xml:space="preserve">Optimal Time: </t>
  </si>
  <si>
    <t>&lt;- Add in filter that shows the "Perfect!" brew</t>
  </si>
  <si>
    <t xml:space="preserve">Associated Grind: </t>
  </si>
  <si>
    <t xml:space="preserve">Comment: </t>
  </si>
  <si>
    <t xml:space="preserve">Recomendation: </t>
  </si>
  <si>
    <t>Brew Analysis</t>
  </si>
  <si>
    <t xml:space="preserve">Collected Oberservations: </t>
  </si>
  <si>
    <t>Observations Count</t>
  </si>
  <si>
    <t>Obs. per Second</t>
  </si>
  <si>
    <t>Avg. Flow Rate</t>
  </si>
  <si>
    <t>Helper ID</t>
  </si>
  <si>
    <t>g</t>
  </si>
  <si>
    <t>Min</t>
  </si>
  <si>
    <t>Average</t>
  </si>
  <si>
    <t>Max</t>
  </si>
  <si>
    <t>Records per Sec.</t>
  </si>
  <si>
    <t>Error Theshold</t>
  </si>
  <si>
    <t>Incorrect Avg.</t>
  </si>
  <si>
    <t>Cumulative Water</t>
  </si>
  <si>
    <t>Flow Rate</t>
  </si>
  <si>
    <t>Flow Rate per Sec</t>
  </si>
  <si>
    <t>Count</t>
  </si>
  <si>
    <t>Rate of Change</t>
  </si>
  <si>
    <t>Pour Count</t>
  </si>
  <si>
    <t>Coffee Type</t>
  </si>
  <si>
    <t>B0</t>
  </si>
  <si>
    <t>B1</t>
  </si>
  <si>
    <t>Timestamp</t>
  </si>
  <si>
    <t>Type of Coffee</t>
  </si>
  <si>
    <t>Grind Size</t>
  </si>
  <si>
    <t>Time to Completion</t>
  </si>
  <si>
    <t>Comments on Brew Outcome</t>
  </si>
  <si>
    <t>Did you use a different Brewing Method? (Default: V60)</t>
  </si>
  <si>
    <t>Did you change anything else?</t>
  </si>
  <si>
    <t>Any Recommendations?</t>
  </si>
  <si>
    <t>Did you use a different Coffee Amount? (Default: 23.0 grams)</t>
  </si>
  <si>
    <t>Did you use a different Coffee Amount? (Default: 23.0 grams) [11 oz]</t>
  </si>
  <si>
    <t>Did you use a different Coffee Amount? (Default: 23.0 grams) [12 oz]</t>
  </si>
  <si>
    <t>Did you use a different Coffee Amount? (Default: 23.0 grams) [14 oz]</t>
  </si>
  <si>
    <t>Columbia San Jose - Decaf (Onyx)</t>
  </si>
  <si>
    <t>3:40</t>
  </si>
  <si>
    <t>Dark</t>
  </si>
  <si>
    <t/>
  </si>
  <si>
    <t>4:30</t>
  </si>
  <si>
    <t>2 brews at once</t>
  </si>
  <si>
    <t>Southern Weather (Onyx)</t>
  </si>
  <si>
    <t>3:30</t>
  </si>
  <si>
    <t>Pefect!</t>
  </si>
  <si>
    <t>Bitter</t>
  </si>
  <si>
    <t>3:38</t>
  </si>
  <si>
    <t>3:25</t>
  </si>
  <si>
    <t>Slower on earlier pours / Faster on later pours</t>
  </si>
  <si>
    <t>Weak</t>
  </si>
  <si>
    <t>3:27</t>
  </si>
  <si>
    <t>3:28</t>
  </si>
  <si>
    <t>3:29</t>
  </si>
  <si>
    <t>3:37</t>
  </si>
  <si>
    <t>Columbia Aponte Village (Onyx)</t>
  </si>
  <si>
    <t>3:35</t>
  </si>
  <si>
    <t>3:15</t>
  </si>
  <si>
    <t>3:05</t>
  </si>
  <si>
    <t>Kalita Wave</t>
  </si>
  <si>
    <t>Tropical Weather (Onyx)</t>
  </si>
  <si>
    <t>3:45</t>
  </si>
  <si>
    <t>3:32</t>
  </si>
  <si>
    <t>Columbia Cauca - Decaf (Onyx)</t>
  </si>
  <si>
    <t>4:10</t>
  </si>
  <si>
    <t>Monarch (Onyx)</t>
  </si>
  <si>
    <t>3:50</t>
  </si>
  <si>
    <t>No Taste</t>
  </si>
  <si>
    <t>Puru Vilcanzia (Onyx)</t>
  </si>
  <si>
    <t>3:55</t>
  </si>
  <si>
    <t>Go down in Grind Size / Increase flow rate</t>
  </si>
  <si>
    <t>Sweet</t>
  </si>
  <si>
    <t>3:34</t>
  </si>
  <si>
    <t>4:05</t>
  </si>
  <si>
    <t>3:42</t>
  </si>
  <si>
    <t>3:47</t>
  </si>
  <si>
    <t>3:31</t>
  </si>
  <si>
    <t>3:51</t>
  </si>
  <si>
    <t>3:41</t>
  </si>
  <si>
    <t>Nutty</t>
  </si>
  <si>
    <t>Brewed for Someone Else</t>
  </si>
  <si>
    <t>3:26</t>
  </si>
  <si>
    <t>3:36</t>
  </si>
  <si>
    <t>id</t>
  </si>
  <si>
    <t>name</t>
  </si>
  <si>
    <t>createdAt</t>
  </si>
  <si>
    <t>temperature</t>
  </si>
  <si>
    <t>grind</t>
  </si>
  <si>
    <t>tasty</t>
  </si>
  <si>
    <t>note</t>
  </si>
  <si>
    <t>total time</t>
  </si>
  <si>
    <t>average flowrate</t>
  </si>
  <si>
    <t>total weight</t>
  </si>
  <si>
    <t>brew data</t>
  </si>
  <si>
    <t>p52zDf7BXH</t>
  </si>
  <si>
    <t>0.00;1.20;2.80;2.90;3.80;4.19;4.19;5.00;5.80;6.00;6.30;6.70;7.20;9.10;10.20;10.40;10.50;10.90;12.60;13.30;14.60;14.80;16.00;16.20;16.90;17.70;18.10;19.29;19.79;20.60;21.10;22.10;22.70;23.40;24.30;25.20;26.00;26.40;27.60;28.00;29.20;29.80;30.00;30.50;31.20;31.80;32.40;32.90;35.00;35.70;35.90;36.20;36.70;37.30;38.00;38.90;40.20;40.40;41.60;42.40;43.00;43.70;44.50;45.00;45.70;46.50;47.20;48.40;49.60;49.80;50.10;50.70;53.20;53.00;53.20;53.50;54.70;55.10;55.10;55.00;55.00;55.10;55.30;55.40;55.40;57.10;56.60;56.50;56.50;56.50;56.50;56.60;56.60;56.30;56.50;56.60;56.50;56.50;56.40;56.50;56.30;56.30;56.50;56.50;56.60;56.60;56.30;56.50;56.60;56.60;56.60;56.70;56.80;56.80;56.80;56.80;56.20;56.30;56.50;56.70;56.70;56.70;56.70;56.70;56.60;56.10;56.30;56.50;56.50;56.50;56.50;56.50;56.70;56.70;56.80;56.90;56.70;56.60;56.70;56.70;56.80;56.60;56.50;56.50;56.60;56.60;56.30;56.40;56.50;56.60;56.50;56.50;56.60;56.60;56.60;58.30;59.30;59.40;60.30;64.19;62.70;62.40;62.80;63.70;64.40;65.19;65.50;66.40;66.90;67.50;68.10;69.00;69.80;70.80;71.30;71.69;72.60;73.00;73.60;75.40;75.60;76.19;76.90;77.60;80.10;82.50;82.00;82.20;82.60;83.30;83.90;84.60;86.60;86.90;87.30;88.10;88.70;89.60;90.50;91.70;95.10;93.20;93.80;94.50;95.10;95.70;96.20;96.60;96.20;29.40;36.70;28.40;-16.50;225.30;108.80;97.80;97.20;97.30;98.20;99.00;99.60;101.00;103.10;107.10;104.60;104.80;111.30;107.70;108.10;108.70;109.30;110.00;110.80;112.10;112.70;113.60;114.90;115.70;116.10;116.60;119.10;120.10;119.70;119.70;120.80;121.50;122.20;122.80;124.00;124.30;125.20;125.90;126.40;127.30;128.20;129.20;129.39;130.00;130.60;133.00;131.20;131.20;131.30;131.39;131.50;131.50;131.30;131.70;132.20;132.50;133.50;134.20;134.70;134.89;135.70;136.10;135.89;135.50;135.50;135.39;135.20;135.70;135.60;135.39;135.30;135.10;135.00;135.20;134.80;134.89;134.89;135.00;134.89;135.00;135.10;134.60;134.70;134.80;135.00;135.00;135.10;135.10;135.30;135.30;135.20;135.20;135.30;135.20;134.80;135.00;135.10;135.30;135.20;135.30;135.30;135.50;135.50;135.39;135.30;135.39;135.39;135.30;135.20;135.20;135.10;135.20;135.30;135.20;136.30;135.60;135.50;135.20;135.10;135.00;135.10;135.30;135.30;135.50;135.39;135.20;135.10;135.10;135.30;135.10;135.10;135.20;135.30;135.10;135.00;134.80;135.00;135.20;135.20;135.39;135.39;135.30;135.20;134.10;134.50;134.70;134.89;135.00;135.10;135.20;135.39;135.39;135.39;135.50;135.50;135.50;135.50;135.39;135.39;135.30;135.30;135.60;135.30;135.20;135.10;135.00;135.00;135.50;136.30;136.70;137.89;138.70;139.39;139.80;141.30;141.60;142.20;142.80;143.89;145.39;145.80;146.89;147.20;147.89;148.60;149.39;151.60;152.10;152.50;152.89;153.39;154.70;155.70;157.20;157.80;158.39;159.20;161.89;161.89;162.10;162.50;163.30;165.30;166.40;166.50;167.10;167.70;168.50;169.30;169.90;170.90;171.80;173.20;173.90;174.50;175.10;174.40;174.80;175.50;175.80;174.60;176.00;176.00;176.00;176.10;176.20;176.50;177.00;177.80;177.90;178.70;179.50;180.30;181.10;182.20;182.40;182.80;183.00;183.50;184.40;185.80;186.30;187.20;188.50;189.40;190.30;191.10;192.70;193.30;194.10;194.90;195.80;196.60;198.80;198.60;199.10;199.70;200.30;200.90;201.80;202.80;203.30;203.80;204.20;204.60;205.20;205.50;206.10;206.40;206.70;206.70;206.90;207.00;207.00;206.90;206.90;206.60;206.60;206.60;207.90;206.10;206.30;206.60;206.60;206.70;206.70;206.60;206.50;206.50;206.60;206.70;206.70;206.60;205.30;205.80;206.30;206.70;206.70;206.70;206.60;206.60;206.60;206.70;206.60;206.50;206.60;206.70;206.70;206.60;206.80;207.00;207.00;206.90;207.00;206.90;206.80;206.80;206.70;206.70;206.70;206.60;206.30;206.50;206.70;206.70;206.60;206.60;206.60;206.60;206.60;206.70;206.70;206.60;206.70;206.60;206.20;206.50;206.50;206.40;206.60;206.60;206.70;205.70;206.00;206.30;206.40;206.30;206.50;206.70;206.80;206.80;206.80;206.80;206.70;206.50;206.60;206.50;206.60;206.50;206.50;206.30;206.40;206.50;206.50;206.60;206.60;206.60;205.80;206.10;206.30;206.30;206.40;206.40;205.90;206.30;206.40;206.40;206.30;206.40;206.60;206.20;206.50;207.20;207.10;207.00;206.80;206.70;206.60;206.60;206.50;206.60;206.60;206.50;206.40;206.60;206.60;207.30;207.20;207.70;208.20;209.10;213.30;212.60;212.90;213.70;214.60;217.00;217.10;218.20;219.40;220.00;220.80;221.60;222.30;223.20;224.60;225.60;226.20;227.20;228.50;229.50;230.70;231.10;232.20;233.20;234.20;235.40;236.30;237.90;238.70;239.60;240.30;241.10;242.00;243.30;243.60;244.50;245.90;246.80;247.90;248.70;249.20;250.70;251.90;252.90;253.40;254.20;256.60;259.10;258.20;258.40;259.90;261.00;261.20;261.79;262.70;263.50;264.20;265.10;267.70;267.79;267.79;268.50;269.00;269.20;269.40;269.40;269.40;269.40;269.20;269.70;270.00;271.00;271.90;272.50;273.79;274.00;274.40;274.70;274.90;274.90;274.90;274.00;274.29;274.70;274.90;274.79;274.79;274.70;274.60;274.50;274.70;274.90;274.90;274.70;275.20;274.79;274.79;275.00;275.00;275.00;275.00;274.90;274.90;275.00;275.00;274.90;275.20;275.20;275.29;275.20;275.29;275.10;275.10;275.10;274.90;275.00;275.50;275.20;275.20;275.10;275.10;275.20;275.20;275.10;275.10;275.10;275.00;275.00;275.00;274.60;274.70;274.79;274.90;274.90;274.79;274.79;275.00;275.10;275.10;275.00;274.90;274.79;274.79;274.90;274.90;274.90;274.90;274.90;274.90;274.90;274.79;274.79;274.90;275.00;275.00;274.90;275.10;275.10;275.00;274.70;274.70;274.79;274.90;274.90;274.79;274.79;274.70;274.70;274.70;274.60;274.70;274.79;274.79;274.90;274.90;275.20;275.00;274.90;274.70;274.70;274.60;274.79;275.79;275.40;274.79;274.70;274.60;274.60;274.70;274.70;274.79;274.70;274.79;274.70;274.70;274.70;274.40;274.79;274.90;274.90;274.79;274.79;274.70;273.90;274.20;274.40;274.50;274.60;274.70;274.40;275.40;277.40;278.79;280.00;281.29;282.40;287.00;286.60;287.00;288.00;290.00;290.60;294.70;295.90;300.10;297.70;298.29;299.20;300.40;301.50;302.60;304.40;309.70;307.60;308.29;313.40;311.79;311.90;312.20;312.60;313.29;314.70;315.60;317.00;317.40;318.10;318.90;319.40;320.20;322.00;323.00;323.10;323.29;323.70;324.50;325.10;325.90;326.20;326.60;326.90;326.90;327.10;327.10;327.10;326.79;327.40;327.90;328.40;329.40;330.20;330.70;330.90;331.50;332.30;332.60;333.30;333.80;333.70;333.90;334.60;336.30;337.60;338.00;338.10;338.20;338.30;338.20;338.20;338.20;338.20;338.60;339.00;339.20;339.40;339.60;339.80;339.80;339.80;339.80;339.80;339.40;339.30;339.40;339.40;339.40;339.50;339.40;339.00;339.20;339.40;339.40;339.50;339.50;339.30;339.20;339.40;339.40;339.40;339.40;339.40;339.50;339.40;339.40;339.50;339.50;339.40;339.50;339.30;339.30;339.40;339.50;339.50;339.60;339.50;339.70;339.70;339.60;339.60;339.60;339.60;339.60;339.60;339.60;339.60;339.60;339.60;339.60;339.50;339.50;339.50;339.50;339.60;339.70;339.70;339.70;339.70;339.70;339.70;339.60;339.60;339.60;339.60;339.60;339.60;339.60;339.60;339.60;339.70;339.70;339.60;339.50;339.50;339.60;339.60;339.70;339.70;339.60;339.50;339.50;339.50;339.60;339.60;339.50;339.40;339.30;339.00;339.30;339.40;339.40;339.40;339.40;339.40;339.50;339.50;339.40;339.40;339.40;339.30;339.30;339.30;339.40;339.40;339.40;339.30;339.30;339.40;339.30;339.30;339.30;339.20;339.30;339.40;339.30;339.20;339.20;339.30;339.30;339.30;339.30;339.30;339.30;339.30;339.30;339.30;339.20;339.20;339.20;339.20;339.00;339.20;339.20;339.30;339.20;339.30;339.30;339.20;339.20;339.20;339.20;339.20;339.20;339.20;339.20;339.20;339.20;339.20;339.20;339.20;339.20;339.20;339.20;339.20;339.20;339.20;339.20;339.20;339.20;339.20;339.20;339.20;339.10;339.00;339.10;339.10;339.10;339.10;339.10;339.20;339.20;339.30;339.20;339.20;339.20;339.30;339.30;339.30;339.30;339.30;339.30;339.30;339.30;339.30;339.30;339.20;339.20;339.20;339.20;339.20;339.30;339.20;339.20;339.20;339.20;339.20;339.20;339.20;339.20;339.20;339.20;339.10;</t>
  </si>
  <si>
    <t>1CQ6Flvu9p</t>
  </si>
  <si>
    <t>0.00;5.00;6.80;2.80;4.00;4.00;5.30;7.20;8.00;8.89;9.70;12.00;12.90;14.20;15.50;15.80;17.40;18.10;19.00;20.10;20.60;21.30;22.10;23.40;23.70;24.60;25.90;26.60;27.70;28.20;28.60;29.40;30.10;30.20;32.59;32.40;32.80;33.09;33.50;33.80;35.80;36.40;37.59;37.80;38.09;38.30;39.30;39.90;41.60;42.10;42.70;43.50;43.60;44.00;44.90;45.50;46.10;47.00;47.50;48.00;48.80;50.40;50.50;50.50;50.50;50.60;50.60;50.70;51.20;52.50;52.80;53.00;53.40;53.90;54.40;54.80;54.90;55.00;54.90;55.00;55.00;55.30;55.90;56.70;56.80;56.90;56.90;56.90;56.90;56.70;56.60;56.50;56.50;56.70;56.90;57.00;56.90;56.90;56.90;56.90;56.90;56.90;56.90;56.90;56.90;57.00;56.90;56.90;56.80;56.80;56.80;56.70;56.50;56.50;56.60;56.70;56.80;56.80;56.80;56.80;56.70;56.70;56.70;56.80;56.70;56.70;56.70;56.70;56.80;56.80;56.90;56.80;56.90;56.90;56.90;56.80;56.80;56.80;56.90;56.90;56.70;56.70;56.80;56.70;56.80;56.80;56.80;56.70;56.50;57.00;62.50;61.60;61.50;61.70;62.50;63.60;68.10;71.60;68.80;68.69;68.90;69.60;70.30;71.60;72.60;73.60;74.19;74.80;75.30;75.69;76.40;77.40;79.10;79.10;79.30;79.90;80.40;80.80;81.19;82.00;83.60;84.80;84.70;84.80;85.20;85.80;86.30;86.90;87.50;88.00;89.50;89.70;90.10;90.70;91.40;92.10;94.40;94.20;94.50;95.00;95.60;96.10;96.60;97.10;97.90;98.30;99.30;99.70;100.00;100.50;100.80;101.30;102.20;102.40;103.40;103.70;104.50;105.00;106.00;106.10;106.30;106.70;107.20;107.60;108.30;108.60;109.20;109.70;110.30;110.90;112.10;112.40;113.10;113.80;114.60;115.20;115.60;116.30;118.40;118.40;118.40;118.70;118.80;119.20;119.70;120.00;120.60;121.20;121.80;122.40;123.00;124.20;124.40;125.10;125.80;126.60;127.20;127.80;128.10;128.80;129.39;130.00;130.80;131.50;132.60;132.89;133.20;133.70;134.39;134.60;136.60;136.70;137.00;137.60;138.10;138.20;138.30;138.30;138.20;138.10;138.10;138.10;138.20;138.10;138.50;138.39;138.39;138.39;138.20;138.10;138.20;138.30;138.30;137.80;138.00;138.10;138.20;138.30;138.30;138.20;138.00;138.20;138.39;138.39;138.39;138.39;138.00;138.20;138.20;138.20;138.20;138.39;138.39;138.30;138.30;138.30;138.30;138.30;138.20;137.80;138.00;138.30;138.30;138.30;138.30;138.30;138.10;138.30;138.20;138.30;138.39;138.30;138.30;138.30;138.10;138.10;138.10;138.20;138.10;138.20;138.10;138.20;138.10;138.20;138.20;138.30;138.39;138.30;138.20;138.00;137.89;138.00;137.70;137.89;138.10;138.20;138.20;138.20;138.20;138.20;138.20;138.20;138.20;138.20;138.20;138.20;138.10;138.10;138.10;138.00;138.00;138.10;138.30;138.30;138.30;138.20;138.20;138.20;138.20;138.20;138.50;140.39;140.39;140.60;141.20;141.80;142.20;142.70;143.60;143.80;144.70;145.39;145.70;146.70;147.70;148.00;148.50;149.20;149.80;150.50;152.89;153.70;153.89;154.10;154.50;154.89;155.70;156.60;158.00;158.20;158.80;159.39;160.00;160.80;161.30;162.00;162.30;162.80;163.39;164.10;165.30;166.00;166.60;167.40;168.50;169.40;170.30;171.40;171.70;172.30;172.90;173.60;174.50;175.20;175.90;176.20;177.30;177.90;178.30;179.50;180.00;180.40;181.30;181.90;182.50;183.00;184.20;184.60;185.10;185.60;186.10;186.70;187.60;188.90;190.00;190.20;190.70;191.40;192.20;193.20;194.40;194.60;195.20;196.00;196.80;197.60;198.50;199.20;199.70;201.10;201.60;203.00;203.90;204.60;205.10;207.60;208.00;208.30;208.80;209.60;210.40;211.20;211.20;212.10;212.90;213.80;214.60;215.60;215.90;216.60;216.70;216.90;217.00;217.10;217.00;217.00;217.20;217.10;217.00;217.00;217.00;217.00;217.00;217.00;216.80;216.80;216.80;216.80;216.70;216.70;216.70;216.70;216.40;216.50;216.70;216.80;216.60;216.50;216.60;216.50;216.60;216.80;216.70;216.70;216.60;216.70;216.80;216.70;216.70;216.60;216.60;216.60;216.50;216.20;216.30;216.30;216.40;216.50;216.40;216.40;216.40;216.40;216.40;216.50;216.40;216.50;216.50;216.40;216.40;216.30;216.30;216.50;216.60;216.70;216.80;216.80;216.70;216.70;216.70;216.70;216.20;216.20;216.40;216.50;216.50;216.50;216.30;216.30;216.40;216.50;216.50;216.60;216.50;216.40;216.40;216.50;216.50;216.50;216.50;216.60;216.50;216.50;216.50;216.50;216.50;216.40;216.40;216.40;216.40;216.40;216.50;216.60;216.50;216.50;216.50;216.40;216.40;216.40;216.40;216.80;216.70;216.60;216.60;216.50;216.40;216.50;216.60;216.70;216.80;217.40;218.00;219.90;220.20;220.50;221.20;221.80;222.60;222.80;223.60;224.00;224.70;225.50;226.00;226.50;226.90;227.40;229.30;231.00;231.30;231.70;232.20;235.20;235.90;236.10;235.90;237.60;237.90;238.60;239.50;240.40;241.20;242.30;243.20;243.60;244.40;245.10;247.90;248.00;248.50;249.10;249.70;250.60;254.10;253.20;253.50;253.70;254.20;254.90;255.70;256.60;258.20;258.50;259.20;259.90;260.70;261.70;262.60;263.10;264.70;265.20;265.79;266.70;267.50;268.29;269.10;269.60;274.60;273.50;273.90;274.00;274.40;275.10;275.70;276.79;277.20;278.10;277.90;277.79;277.79;277.90;277.79;277.70;277.70;277.40;277.50;277.50;277.70;277.70;277.70;278.00;277.50;277.40;277.50;277.60;277.60;277.60;277.60;277.60;277.60;277.60;277.60;277.60;277.29;277.40;277.40;277.50;277.50;277.50;277.40;277.29;277.20;277.40;277.50;277.50;277.40;277.29;277.20;277.29;277.29;277.20;277.20;277.29;276.70;277.00;277.10;277.10;277.20;277.29;277.20;277.00;277.10;277.20;277.40;277.40;277.40;277.40;277.20;277.20;277.20;277.20;277.20;277.20;277.29;277.40;277.50;277.50;277.40;277.40;277.50;277.50;277.40;277.29;277.20;277.29;277.40;277.40;277.40;277.40;277.40;277.40;277.40;277.40;277.29;277.29;277.00;276.90;277.00;277.10;277.20;277.29;277.29;277.10;277.20;277.20;277.20;277.20;277.29;277.29;277.40;277.40;277.40;277.40;277.40;277.20;277.20;277.20;277.20;277.29;277.40;277.40;277.00;277.10;277.20;277.20;277.20;277.20;277.20;277.00;277.00;277.20;277.20;277.20;277.29;277.29;277.29;277.20;277.20;277.20;276.40;277.20;277.20;277.29;277.29;277.20;277.20;277.20;277.00;277.10;277.20;277.20;277.10;277.10;277.00;276.90;276.90;276.90;276.90;276.79;277.10;278.40;279.60;280.70;281.70;283.70;286.00;285.50;285.70;285.90;288.70;289.40;290.00;290.90;292.00;293.20;296.29;297.29;297.40;300.00;301.10;303.29;303.60;303.90;306.29;308.20;309.79;309.50;309.90;310.50;314.60;316.00;316.00;316.29;316.90;320.29;320.50;320.90;322.20;323.20;324.40;325.50;329.40;330.40;330.60;330.80;331.60;335.20;335.30;335.80;336.70;337.70;339.00;340.30;345.30;344.80;345.00;345.00;344.90;345.00;345.00;344.90;344.90;345.00;345.00;345.00;344.90;344.90;345.80;345.60;345.30;345.00;344.90;344.80;344.70;345.30;344.70;344.60;344.60;344.70;344.70;344.80;344.40;344.50;344.70;344.70;344.70;344.80;344.70;344.70;344.70;344.70;344.80;344.80;344.80;344.80;344.90;344.80;344.80;344.80;344.80;344.80;344.70;344.60;344.60;344.20;344.40;344.60;344.60;344.80;344.80;343.90;344.20;344.50;344.60;344.80;344.70;344.70;344.50;344.50;344.20;344.20;344.20;344.50;344.60;344.60;344.50;344.50;344.40;344.40;344.20;344.20;344.20;344.20;344.30;344.40;344.40;344.50;344.40;344.40;344.40;344.40;344.40;344.40;344.60;344.60;344.50;344.50;344.20;344.30;344.40;344.40;344.40;344.30;344.30;344.20;344.20;344.30;344.20;344.30;344.30;344.00;344.10;344.30;344.40;344.40;344.40;344.40;344.40;344.30;344.30;344.30;344.10;344.30;344.20;344.20;344.20;344.30;344.30;344.30;344.30;344.20;344.20;344.30;344.40;344.40;344.30;344.30;344.30;344.30;344.30;344.20;344.20;344.10;344.10;344.10;344.30;344.30;344.10;344.20;344.20;344.30;344.30;344.30;344.30;344.20;344.20;344.20;344.10;344.10;344.10;343.90;343.90;344.10;344.20;344.20;344.10;344.00;344.00;344.00;344.00;344.00;344.20;344.20;344.10;344.10;344.10;344.10;344.20;344.20;344.20;344.20;344.10;344.10;344.10;344.00;344.00;344.00;343.90;343.90;343.90;343.90;343.90;344.00;344.00;343.80;343.70;343.70;343.70;343.70;343.70;343.70;343.80;343.70;343.80;343.80;343.90;343.90;343.80;343.80;343.80;343.80;343.80;343.80;343.90;343.60;343.70;343.70;343.70;343.70;343.70;343.70;343.70;343.60;343.70;</t>
  </si>
  <si>
    <t>LYBwlesj82</t>
  </si>
  <si>
    <t>0.00;2.40;2.40;3.80;4.60;5.50;5.50;5.50;5.60;5.70;6.00;6.30;6.70;6.90;7.40;7.40;7.70;8.39;10.00;10.70;11.10;11.10;11.40;11.90;12.50;13.40;13.70;14.60;14.80;15.20;15.70;16.20;16.70;17.20;17.90;19.20;19.50;19.50;20.00;20.60;21.10;21.60;22.00;22.70;23.70;23.80;24.00;24.50;24.70;25.20;25.30;25.50;26.10;26.10;26.20;26.50;26.80;27.20;27.70;28.40;29.80;30.00;30.20;30.60;32.30;33.20;33.80;34.59;35.30;35.80;36.00;37.09;37.30;37.50;37.90;38.20;38.30;38.40;38.30;38.30;38.30;38.30;38.40;39.80;39.80;39.90;40.09;40.59;41.20;41.70;42.30;43.20;44.80;44.90;45.10;45.50;46.00;46.60;47.10;47.60;47.90;48.30;48.50;48.70;48.90;49.50;49.90;50.30;50.90;51.60;52.50;52.80;53.70;54.00;54.40;54.90;55.50;55.80;56.00;56.10;56.10;56.10;56.10;56.10;56.10;56.10;56.00;56.00;56.00;56.00;55.80;55.90;55.90;56.00;56.40;56.80;57.10;57.10;57.10;57.00;56.90;56.90;57.00;57.00;57.00;57.00;57.00;57.00;56.90;56.90;56.90;56.90;56.40;56.50;56.80;56.90;60.70;59.40;58.80;59.10;59.90;60.70;61.50;62.40;64.10;64.69;65.19;67.69;67.69;68.50;68.69;68.90;69.60;70.19;72.80;73.19;75.19;75.10;74.80;74.80;75.19;75.90;76.90;77.80;77.19;79.69;79.90;80.60;81.50;82.30;83.10;84.00;84.30;85.00;85.90;86.90;88.50;89.60;90.40;91.90;92.10;92.50;93.80;94.80;95.60;96.40;97.90;98.70;99.30;100.10;100.70;101.60;103.40;105.40;105.00;105.50;106.20;106.30;108.90;108.50;108.90;109.30;110.10;111.30;112.10;115.60;114.90;114.70;115.10;116.00;116.80;117.20;117.90;120.20;119.90;121.80;121.90;122.10;122.60;123.20;124.20;124.50;125.70;126.40;127.10;127.80;128.20;128.39;128.39;127.50;127.80;128.00;128.70;129.30;129.80;130.20;130.60;131.30;132.30;132.89;133.30;133.20;133.30;133.50;133.60;133.50;133.60;133.50;132.39;132.50;132.50;134.50;134.80;135.20;135.39;135.39;135.39;135.60;135.20;135.30;135.50;135.50;135.50;135.39;135.30;135.30;135.39;135.50;135.50;135.50;135.50;135.39;135.39;135.39;135.50;135.50;135.39;135.30;135.20;137.10;135.60;135.50;135.50;135.39;135.30;135.30;135.39;135.89;135.60;135.50;135.39;135.39;135.50;135.50;135.20;135.30;135.39;135.39;135.39;135.60;135.70;135.70;135.70;135.70;135.60;135.60;135.60;135.50;135.50;135.30;135.30;135.39;135.50;135.50;135.50;135.20;135.30;135.50;135.60;135.50;135.60;135.70;135.70;135.70;135.70;135.70;135.50;135.60;135.60;135.60;135.50;135.39;135.39;135.39;135.50;135.50;135.39;135.50;135.50;135.70;135.70;135.70;135.70;135.70;135.70;135.70;135.60;135.60;135.60;135.50;135.50;135.50;135.50;135.30;135.20;135.30;135.39;135.39;135.89;135.89;135.89;135.39;135.39;135.39;135.39;135.50;136.50;136.39;135.50;135.50;135.50;135.60;135.80;136.20;136.70;137.10;137.80;138.20;138.70;139.20;139.89;140.20;141.00;141.30;141.70;142.30;143.10;143.39;144.89;145.20;145.70;146.30;146.89;147.39;147.89;149.10;149.20;149.89;150.39;150.89;151.30;152.30;152.50;153.00;154.00;154.70;156.39;156.70;156.89;157.20;157.60;158.30;159.39;159.80;160.20;160.80;161.39;162.10;162.70;163.60;164.00;164.60;165.20;165.60;166.10;166.60;167.10;167.80;168.30;168.90;169.50;170.10;170.50;170.80;171.50;171.80;172.40;173.20;173.80;174.00;174.40;175.00;175.60;176.20;176.80;177.60;178.00;178.60;179.20;179.70;179.90;180.30;181.10;181.60;182.10;182.40;182.90;183.40;184.10;184.40;184.70;185.70;186.10;186.90;187.30;187.50;187.80;188.20;188.80;189.40;189.90;190.80;191.70;192.20;193.20;193.30;193.40;193.70;194.20;194.70;195.10;195.90;196.10;196.50;197.30;197.90;198.40;199.20;199.30;199.60;200.00;200.40;201.10;202.10;203.40;203.20;203.30;203.50;203.80;204.60;205.00;205.10;205.10;205.10;205.10;205.10;205.10;205.10;205.10;204.50;204.50;204.80;205.10;205.00;204.90;205.20;205.30;205.30;205.30;205.30;205.20;204.80;204.80;205.00;205.10;205.10;205.00;205.00;205.00;205.00;205.00;205.00;205.00;204.90;204.90;204.90;205.00;205.00;205.10;205.20;205.10;205.10;205.00;205.00;205.00;205.10;205.10;205.00;204.90;204.90;204.90;204.90;204.60;204.70;204.90;204.80;204.90;205.00;205.00;205.00;204.90;204.90;204.90;204.80;204.80;204.80;204.90;204.80;204.80;204.80;204.80;204.90;204.90;204.90;204.90;205.00;204.90;205.00;204.90;204.90;204.90;205.00;205.00;204.90;204.90;204.90;204.90;204.90;204.90;204.80;204.80;204.80;204.80;204.70;204.80;204.90;204.90;204.90;204.90;204.90;204.80;204.80;204.80;204.80;204.80;204.80;204.80;204.80;204.80;204.80;204.80;204.80;204.80;204.90;204.90;204.90;204.80;204.90;204.90;204.90;204.90;204.80;204.70;204.70;204.80;204.80;204.80;204.90;204.80;204.70;204.80;204.80;204.70;204.50;204.40;204.60;204.80;204.80;204.70;204.60;204.60;204.60;204.50;204.50;204.50;204.60;204.70;204.80;204.80;204.80;209.50;208.40;207.40;205.30;204.60;205.70;206.00;206.40;207.00;207.40;208.00;209.00;208.10;210.20;210.30;211.10;213.10;213.50;213.70;214.00;214.40;214.80;215.60;216.40;216.90;217.60;218.20;218.90;219.60;220.20;220.90;221.20;221.80;222.40;223.00;224.00;224.60;224.90;225.30;225.80;226.50;227.20;227.70;228.50;228.80;229.20;229.90;230.70;231.30;232.60;232.90;233.20;233.70;234.30;235.30;236.10;237.00;237.10;237.60;238.00;238.60;239.00;239.60;240.50;241.00;241.80;242.40;243.00;243.60;245.20;246.80;246.70;246.90;247.40;247.80;248.50;249.00;249.90;250.30;251.10;251.80;252.50;253.20;254.30;255.00;255.30;256.29;256.90;257.50;258.00;258.70;259.10;260.00;260.40;261.10;262.40;262.90;263.50;264.20;264.90;265.70;266.40;268.20;268.40;269.50;270.29;271.20;272.00;272.60;273.40;275.40;275.50;276.20;276.70;277.20;277.70;278.79;281.90;281.90;282.60;283.50;286.00;285.50;285.60;285.79;285.79;286.00;286.10;286.10;286.20;286.29;286.40;286.40;286.29;286.20;286.20;286.20;286.20;286.10;286.10;286.10;286.10;286.10;286.10;286.00;286.00;286.00;285.90;285.90;285.90;286.00;286.10;286.20;286.20;286.20;286.20;286.20;286.20;286.20;286.20;286.10;286.10;286.10;286.10;286.10;286.10;286.10;286.10;286.10;286.10;286.20;286.20;286.10;286.10;286.10;286.10;286.20;286.29;286.29;286.29;286.20;286.20;286.20;286.10;286.10;286.00;286.00;286.00;286.00;286.00;286.10;286.00;286.10;286.10;286.10;286.10;286.10;285.90;285.90;286.00;286.10;286.00;285.90;285.90;286.10;286.10;286.20;286.20;286.20;286.20;286.20;286.10;286.20;286.20;286.20;286.10;286.10;286.10;286.20;286.20;286.20;286.20;286.20;286.20;286.10;286.10;286.10;286.10;286.10;286.10;286.10;286.10;286.10;286.10;286.10;286.00;286.00;286.00;286.00;286.00;286.00;286.00;285.79;285.79;285.79;285.79;285.79;285.79;285.90;286.00;286.00;285.90;285.90;286.00;285.90;285.90;286.00;286.10;286.10;286.10;286.20;286.20;286.20;286.20;286.20;286.20;286.20;286.10;286.10;286.10;286.00;286.00;286.00;286.00;286.00;286.00;286.00;286.00;286.00;286.00;286.00;286.00;285.90;285.90;285.90;285.90;285.90;285.79;285.79;285.90;286.00;286.00;285.90;285.90;285.70;285.90;286.00;286.10;286.00;286.00;285.90;285.90;285.90;286.29;286.90;288.20;289.29;290.29;291.90;294.00;294.20;296.00;296.40;298.00;298.40;298.70;299.10;299.70;300.20;300.79;301.50;302.50;304.29;304.60;304.90;305.40;305.90;306.60;307.29;308.29;309.70;309.79;310.10;310.60;311.10;311.60;312.10;312.79;313.79;314.40;314.70;314.90;315.29;315.70;316.20;316.40;317.00;317.50;318.00;318.00;318.20;318.40;318.79;319.29;320.00;320.50;321.60;321.70;321.79;322.10;322.60;323.40;324.79;325.10;325.40;325.79;326.50;326.70;327.60;329.20;329.30;329.30;329.70;330.30;331.00;332.30;332.70;333.90;334.30;335.10;335.70;336.10;336.40;336.60;337.00;337.20;337.80;338.20;338.50;338.90;339.50;339.70;340.10;340.50;340.90;341.20;341.70;341.80;342.20;342.50;342.50;342.60;342.70;342.70;342.70;342.70;342.70;342.70;342.70;342.70;342.70;342.80;342.90;343.00;343.10;343.00;342.90;342.90;342.90;342.90;342.90;342.90;342.80;342.90;342.90;342.90;342.90;342.90;342.90;342.90;342.90;342.90;342.90;342.90;342.90;342.90;342.80;342.80;342.80;342.80;342.70;342.70;342.70;342.70;342.70;342.80;342.80;342.90;342.90;342.80;342.80;342.70;342.70;342.70;342.70;342.60;342.60;342.60;342.60;342.60;342.60;342.60;342.60;342.60;342.60;342.60;342.50;342.50;342.50;342.50;342.50;342.50;342.60;342.60;342.60;342.50;342.50;342.50;342.40;342.40;342.40;342.30;342.30;342.30;342.30;342.40;342.40;342.50;342.50;342.50;342.40;342.40;342.30;342.30;342.30;342.50;342.50;342.40;342.40;342.30;342.30;342.40;342.40;342.40;342.40;342.40;342.40;342.30;342.30;342.30;342.30;342.30;342.30;342.30;342.30;342.20;342.20;342.50;342.50;342.50;342.60;342.60;342.60;342.50;342.50;342.50;342.50;342.50;342.50;342.60;342.60;342.50;342.50;342.50;342.40;342.30;342.30;342.30;342.50;342.50;342.50;342.50;342.40;342.30;342.30;342.30;342.30;342.30;342.30;342.30;342.30;342.30;342.30;342.30;342.30;342.30;342.30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</si>
</sst>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8">
    <numFmt numFmtId="164" formatCode="[m]:ss"/>
    <numFmt numFmtId="165" formatCode="#,##0.0000"/>
    <numFmt numFmtId="166" formatCode="m/d/yyyy h:mm:ss"/>
    <numFmt numFmtId="167" formatCode="M/d/yyyy"/>
    <numFmt numFmtId="168" formatCode="#,##0 &quot;sec.&quot;"/>
    <numFmt numFmtId="169" formatCode="M/d/yyyy H:mm:ss"/>
    <numFmt numFmtId="170" formatCode="_(* #,##0_);_(* \(#,##0\);_(* &quot;-&quot;??_);_(@_)"/>
    <numFmt numFmtId="171" formatCode="#,##0.000"/>
  </numFmts>
  <fonts count="20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sz val="10.0"/>
      <color theme="1"/>
      <name val="Arial"/>
    </font>
    <font>
      <sz val="11.0"/>
      <color theme="1"/>
      <name val="Arial"/>
    </font>
    <font>
      <b/>
      <sz val="13.0"/>
      <color theme="1"/>
      <name val="Arial"/>
    </font>
    <font>
      <sz val="13.0"/>
      <color theme="1"/>
      <name val="Arial"/>
    </font>
    <font>
      <b/>
      <sz val="11.0"/>
      <color theme="1"/>
      <name val="Arial"/>
    </font>
    <font>
      <b/>
      <sz val="11.0"/>
      <color rgb="FF666666"/>
      <name val="Arial"/>
    </font>
    <font>
      <b/>
      <i/>
      <sz val="11.0"/>
      <color rgb="FF666666"/>
      <name val="Arial"/>
    </font>
    <font>
      <b/>
      <sz val="14.0"/>
      <color theme="1"/>
      <name val="Arial"/>
    </font>
    <font>
      <b/>
      <color rgb="FF666666"/>
      <name val="Arial"/>
    </font>
    <font>
      <b/>
      <i/>
      <color rgb="FF666666"/>
      <name val="Arial"/>
    </font>
    <font>
      <b/>
      <sz val="16.0"/>
      <color theme="1"/>
      <name val="Arial"/>
    </font>
    <font/>
    <font>
      <i/>
      <color rgb="FF666666"/>
      <name val="Arial"/>
    </font>
    <font>
      <i/>
      <color rgb="FF999999"/>
      <name val="Arial"/>
    </font>
    <font>
      <sz val="11.0"/>
      <color rgb="FF000000"/>
      <name val="Inconsolata"/>
    </font>
    <font>
      <b/>
      <sz val="11.0"/>
      <color rgb="FF000000"/>
      <name val="Calibri"/>
    </font>
    <font>
      <sz val="11.0"/>
      <color rgb="FF000000"/>
      <name val="Calibri"/>
    </font>
  </fonts>
  <fills count="10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F9CB9C"/>
        <bgColor rgb="FFF9CB9C"/>
      </patternFill>
    </fill>
    <fill>
      <patternFill patternType="solid">
        <fgColor rgb="FFC9DAF8"/>
        <bgColor rgb="FFC9DAF8"/>
      </patternFill>
    </fill>
    <fill>
      <patternFill patternType="solid">
        <fgColor rgb="FFEFEFEF"/>
        <bgColor rgb="FFEFEFEF"/>
      </patternFill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  <fill>
      <patternFill patternType="solid">
        <fgColor rgb="FFCC4125"/>
        <bgColor rgb="FFCC4125"/>
      </patternFill>
    </fill>
    <fill>
      <patternFill patternType="solid">
        <fgColor rgb="FFD9D2E9"/>
        <bgColor rgb="FFD9D2E9"/>
      </patternFill>
    </fill>
  </fills>
  <borders count="24">
    <border/>
    <border>
      <left style="thin">
        <color rgb="FFE69138"/>
      </left>
      <right style="thin">
        <color rgb="FFE69138"/>
      </right>
      <top style="thin">
        <color rgb="FFE69138"/>
      </top>
      <bottom style="thin">
        <color rgb="FFE69138"/>
      </bottom>
    </border>
    <border>
      <bottom style="medium">
        <color rgb="FF000000"/>
      </bottom>
    </border>
    <border>
      <bottom style="thin">
        <color rgb="FF999999"/>
      </bottom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</border>
    <border>
      <left style="thin">
        <color rgb="FF999999"/>
      </left>
      <right style="thin">
        <color rgb="FF999999"/>
      </right>
      <bottom style="thin">
        <color rgb="FF999999"/>
      </bottom>
    </border>
    <border>
      <bottom style="thin">
        <color rgb="FFA4C2F4"/>
      </bottom>
    </border>
    <border>
      <left style="thin">
        <color rgb="FFEFEFEF"/>
      </left>
      <right style="thin">
        <color rgb="FFEFEFEF"/>
      </right>
      <bottom style="thin">
        <color rgb="FFEFEFEF"/>
      </bottom>
    </border>
    <border>
      <left style="thin">
        <color rgb="FFEFEFEF"/>
      </left>
      <right style="thin">
        <color rgb="FFEFEFEF"/>
      </right>
      <top style="thin">
        <color rgb="FFEFEFEF"/>
      </top>
      <bottom style="thin">
        <color rgb="FFEFEFEF"/>
      </bottom>
    </border>
    <border>
      <left style="thin">
        <color rgb="FFE69138"/>
      </left>
      <top style="thin">
        <color rgb="FFE69138"/>
      </top>
    </border>
    <border>
      <right style="thin">
        <color rgb="FFE69138"/>
      </right>
      <top style="thin">
        <color rgb="FFE69138"/>
      </top>
    </border>
    <border>
      <left style="thin">
        <color rgb="FFE69138"/>
      </left>
    </border>
    <border>
      <right style="thin">
        <color rgb="FFE69138"/>
      </right>
    </border>
    <border>
      <left style="thin">
        <color rgb="FF999999"/>
      </left>
      <top style="thin">
        <color rgb="FF999999"/>
      </top>
      <bottom style="thin">
        <color rgb="FF999999"/>
      </bottom>
    </border>
    <border>
      <right style="thin">
        <color rgb="FF999999"/>
      </right>
      <top style="thin">
        <color rgb="FF999999"/>
      </top>
      <bottom style="thin">
        <color rgb="FF999999"/>
      </bottom>
    </border>
    <border>
      <top style="thin">
        <color rgb="FF999999"/>
      </top>
      <bottom style="thin">
        <color rgb="FF999999"/>
      </bottom>
    </border>
    <border>
      <left style="thin">
        <color rgb="FF999999"/>
      </left>
      <top style="thin">
        <color rgb="FF999999"/>
      </top>
    </border>
    <border>
      <top style="thin">
        <color rgb="FF999999"/>
      </top>
    </border>
    <border>
      <right style="thin">
        <color rgb="FF999999"/>
      </right>
      <top style="thin">
        <color rgb="FF999999"/>
      </top>
    </border>
    <border>
      <left style="thin">
        <color rgb="FF999999"/>
      </left>
      <bottom style="thin">
        <color rgb="FF999999"/>
      </bottom>
    </border>
    <border>
      <right style="thin">
        <color rgb="FF999999"/>
      </right>
      <bottom style="thin">
        <color rgb="FF999999"/>
      </bottom>
    </border>
    <border>
      <right style="thin">
        <color rgb="FFEFEFEF"/>
      </right>
      <bottom style="thin">
        <color rgb="FFEFEFEF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medium">
        <color rgb="FF980000"/>
      </bottom>
    </border>
  </borders>
  <cellStyleXfs count="1">
    <xf borderId="0" fillId="0" fontId="0" numFmtId="0" applyAlignment="1" applyFont="1"/>
  </cellStyleXfs>
  <cellXfs count="10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164" xfId="0" applyFont="1" applyNumberFormat="1"/>
    <xf borderId="0" fillId="0" fontId="2" numFmtId="0" xfId="0" applyFont="1"/>
    <xf borderId="0" fillId="0" fontId="2" numFmtId="0" xfId="0" applyAlignment="1" applyFont="1">
      <alignment readingOrder="0"/>
    </xf>
    <xf borderId="1" fillId="3" fontId="3" numFmtId="0" xfId="0" applyAlignment="1" applyBorder="1" applyFill="1" applyFont="1">
      <alignment horizontal="center" readingOrder="0"/>
    </xf>
    <xf borderId="0" fillId="0" fontId="1" numFmtId="0" xfId="0" applyAlignment="1" applyFont="1">
      <alignment readingOrder="0"/>
    </xf>
    <xf borderId="0" fillId="4" fontId="1" numFmtId="0" xfId="0" applyAlignment="1" applyFill="1" applyFont="1">
      <alignment horizontal="center" shrinkToFit="0" wrapText="1"/>
    </xf>
    <xf borderId="0" fillId="5" fontId="1" numFmtId="0" xfId="0" applyAlignment="1" applyFill="1" applyFont="1">
      <alignment horizontal="center" readingOrder="0" shrinkToFit="0" wrapText="1"/>
    </xf>
    <xf borderId="0" fillId="5" fontId="1" numFmtId="165" xfId="0" applyAlignment="1" applyFont="1" applyNumberFormat="1">
      <alignment horizontal="center" readingOrder="0" shrinkToFit="0" wrapText="1"/>
    </xf>
    <xf borderId="0" fillId="0" fontId="2" numFmtId="166" xfId="0" applyFont="1" applyNumberFormat="1"/>
    <xf borderId="0" fillId="0" fontId="2" numFmtId="0" xfId="0" applyAlignment="1" applyFont="1">
      <alignment shrinkToFit="0" wrapText="0"/>
    </xf>
    <xf borderId="0" fillId="0" fontId="2" numFmtId="164" xfId="0" applyAlignment="1" applyFont="1" applyNumberFormat="1">
      <alignment horizontal="left" shrinkToFit="0" wrapText="0"/>
    </xf>
    <xf borderId="0" fillId="0" fontId="2" numFmtId="167" xfId="0" applyAlignment="1" applyFont="1" applyNumberFormat="1">
      <alignment horizontal="left" shrinkToFit="0" wrapText="0"/>
    </xf>
    <xf borderId="0" fillId="0" fontId="2" numFmtId="164" xfId="0" applyAlignment="1" applyFont="1" applyNumberFormat="1">
      <alignment horizontal="right" shrinkToFit="0" wrapText="0"/>
    </xf>
    <xf borderId="0" fillId="0" fontId="2" numFmtId="3" xfId="0" applyAlignment="1" applyFont="1" applyNumberFormat="1">
      <alignment horizontal="right" shrinkToFit="0" wrapText="0"/>
    </xf>
    <xf borderId="0" fillId="0" fontId="2" numFmtId="165" xfId="0" applyAlignment="1" applyFont="1" applyNumberFormat="1">
      <alignment horizontal="right" shrinkToFit="0" wrapText="0"/>
    </xf>
    <xf borderId="0" fillId="0" fontId="2" numFmtId="0" xfId="0" applyAlignment="1" applyFont="1">
      <alignment shrinkToFit="0" wrapText="1"/>
    </xf>
    <xf borderId="0" fillId="0" fontId="4" numFmtId="0" xfId="0" applyFont="1"/>
    <xf borderId="0" fillId="0" fontId="5" numFmtId="0" xfId="0" applyAlignment="1" applyFont="1">
      <alignment horizontal="right" readingOrder="0"/>
    </xf>
    <xf borderId="1" fillId="3" fontId="6" numFmtId="0" xfId="0" applyAlignment="1" applyBorder="1" applyFont="1">
      <alignment horizontal="center" readingOrder="0"/>
    </xf>
    <xf borderId="0" fillId="0" fontId="7" numFmtId="0" xfId="0" applyAlignment="1" applyFont="1">
      <alignment horizontal="center" readingOrder="0"/>
    </xf>
    <xf borderId="0" fillId="0" fontId="7" numFmtId="0" xfId="0" applyAlignment="1" applyFont="1">
      <alignment readingOrder="0"/>
    </xf>
    <xf borderId="0" fillId="0" fontId="8" numFmtId="0" xfId="0" applyAlignment="1" applyFont="1">
      <alignment readingOrder="0" shrinkToFit="0" wrapText="0"/>
    </xf>
    <xf borderId="0" fillId="0" fontId="9" numFmtId="0" xfId="0" applyAlignment="1" applyFont="1">
      <alignment readingOrder="0"/>
    </xf>
    <xf borderId="0" fillId="0" fontId="8" numFmtId="0" xfId="0" applyAlignment="1" applyFont="1">
      <alignment readingOrder="0" shrinkToFit="0" wrapText="1"/>
    </xf>
    <xf borderId="0" fillId="0" fontId="8" numFmtId="0" xfId="0" applyAlignment="1" applyFont="1">
      <alignment readingOrder="0"/>
    </xf>
    <xf borderId="0" fillId="0" fontId="10" numFmtId="0" xfId="0" applyAlignment="1" applyFont="1">
      <alignment horizontal="center" readingOrder="0"/>
    </xf>
    <xf borderId="0" fillId="0" fontId="11" numFmtId="0" xfId="0" applyAlignment="1" applyFont="1">
      <alignment readingOrder="0" shrinkToFit="0" wrapText="0"/>
    </xf>
    <xf borderId="0" fillId="0" fontId="12" numFmtId="0" xfId="0" applyAlignment="1" applyFont="1">
      <alignment readingOrder="0"/>
    </xf>
    <xf borderId="0" fillId="0" fontId="11" numFmtId="0" xfId="0" applyAlignment="1" applyFont="1">
      <alignment readingOrder="0" shrinkToFit="0" wrapText="1"/>
    </xf>
    <xf borderId="0" fillId="0" fontId="11" numFmtId="0" xfId="0" applyAlignment="1" applyFont="1">
      <alignment readingOrder="0"/>
    </xf>
    <xf borderId="2" fillId="0" fontId="13" numFmtId="0" xfId="0" applyAlignment="1" applyBorder="1" applyFont="1">
      <alignment horizontal="center" readingOrder="0"/>
    </xf>
    <xf borderId="2" fillId="0" fontId="14" numFmtId="0" xfId="0" applyBorder="1" applyFont="1"/>
    <xf borderId="3" fillId="0" fontId="11" numFmtId="0" xfId="0" applyAlignment="1" applyBorder="1" applyFont="1">
      <alignment readingOrder="0" shrinkToFit="0" wrapText="0"/>
    </xf>
    <xf borderId="3" fillId="0" fontId="12" numFmtId="0" xfId="0" applyAlignment="1" applyBorder="1" applyFont="1">
      <alignment readingOrder="0"/>
    </xf>
    <xf borderId="3" fillId="0" fontId="11" numFmtId="0" xfId="0" applyAlignment="1" applyBorder="1" applyFont="1">
      <alignment readingOrder="0" shrinkToFit="0" wrapText="1"/>
    </xf>
    <xf borderId="3" fillId="0" fontId="11" numFmtId="0" xfId="0" applyAlignment="1" applyBorder="1" applyFont="1">
      <alignment readingOrder="0"/>
    </xf>
    <xf borderId="0" fillId="0" fontId="15" numFmtId="0" xfId="0" applyAlignment="1" applyFont="1">
      <alignment readingOrder="0"/>
    </xf>
    <xf borderId="0" fillId="0" fontId="16" numFmtId="0" xfId="0" applyFont="1"/>
    <xf borderId="0" fillId="0" fontId="10" numFmtId="0" xfId="0" applyAlignment="1" applyFont="1">
      <alignment horizontal="right" readingOrder="0"/>
    </xf>
    <xf borderId="4" fillId="6" fontId="10" numFmtId="0" xfId="0" applyAlignment="1" applyBorder="1" applyFill="1" applyFont="1">
      <alignment horizontal="center" vertical="center"/>
    </xf>
    <xf borderId="5" fillId="6" fontId="10" numFmtId="168" xfId="0" applyAlignment="1" applyBorder="1" applyFont="1" applyNumberFormat="1">
      <alignment horizontal="center"/>
    </xf>
    <xf borderId="6" fillId="4" fontId="1" numFmtId="0" xfId="0" applyAlignment="1" applyBorder="1" applyFont="1">
      <alignment horizontal="center" readingOrder="0" shrinkToFit="0" wrapText="0"/>
    </xf>
    <xf borderId="6" fillId="4" fontId="1" numFmtId="0" xfId="0" applyAlignment="1" applyBorder="1" applyFont="1">
      <alignment horizontal="center" readingOrder="0"/>
    </xf>
    <xf borderId="6" fillId="4" fontId="1" numFmtId="0" xfId="0" applyAlignment="1" applyBorder="1" applyFont="1">
      <alignment horizontal="center" readingOrder="0" shrinkToFit="0" wrapText="1"/>
    </xf>
    <xf borderId="0" fillId="0" fontId="2" numFmtId="0" xfId="0" applyAlignment="1" applyFont="1">
      <alignment horizontal="center"/>
    </xf>
    <xf borderId="7" fillId="0" fontId="2" numFmtId="169" xfId="0" applyAlignment="1" applyBorder="1" applyFont="1" applyNumberFormat="1">
      <alignment horizontal="right" shrinkToFit="0" vertical="bottom" wrapText="0"/>
    </xf>
    <xf borderId="7" fillId="0" fontId="2" numFmtId="0" xfId="0" applyBorder="1" applyFont="1"/>
    <xf borderId="7" fillId="0" fontId="2" numFmtId="164" xfId="0" applyAlignment="1" applyBorder="1" applyFont="1" applyNumberFormat="1">
      <alignment horizontal="right" shrinkToFit="0" vertical="bottom" wrapText="0"/>
    </xf>
    <xf borderId="7" fillId="0" fontId="2" numFmtId="49" xfId="0" applyAlignment="1" applyBorder="1" applyFont="1" applyNumberFormat="1">
      <alignment horizontal="right" shrinkToFit="0" vertical="bottom" wrapText="0"/>
    </xf>
    <xf borderId="7" fillId="0" fontId="2" numFmtId="0" xfId="0" applyAlignment="1" applyBorder="1" applyFont="1">
      <alignment shrinkToFit="0" wrapText="0"/>
    </xf>
    <xf borderId="8" fillId="0" fontId="2" numFmtId="0" xfId="0" applyBorder="1" applyFont="1"/>
    <xf borderId="0" fillId="0" fontId="5" numFmtId="0" xfId="0" applyAlignment="1" applyFont="1">
      <alignment horizontal="right" readingOrder="0" vertical="center"/>
    </xf>
    <xf borderId="9" fillId="3" fontId="6" numFmtId="0" xfId="0" applyAlignment="1" applyBorder="1" applyFont="1">
      <alignment horizontal="center" readingOrder="0" shrinkToFit="0" vertical="center" wrapText="1"/>
    </xf>
    <xf borderId="10" fillId="0" fontId="14" numFmtId="0" xfId="0" applyBorder="1" applyFont="1"/>
    <xf borderId="11" fillId="0" fontId="14" numFmtId="0" xfId="0" applyBorder="1" applyFont="1"/>
    <xf borderId="12" fillId="0" fontId="14" numFmtId="0" xfId="0" applyBorder="1" applyFont="1"/>
    <xf borderId="13" fillId="6" fontId="6" numFmtId="0" xfId="0" applyAlignment="1" applyBorder="1" applyFont="1">
      <alignment horizontal="center" readingOrder="0"/>
    </xf>
    <xf borderId="14" fillId="0" fontId="14" numFmtId="0" xfId="0" applyBorder="1" applyFont="1"/>
    <xf borderId="2" fillId="0" fontId="13" numFmtId="0" xfId="0" applyAlignment="1" applyBorder="1" applyFont="1">
      <alignment horizontal="center" readingOrder="0" vertical="center"/>
    </xf>
    <xf borderId="4" fillId="6" fontId="10" numFmtId="164" xfId="0" applyAlignment="1" applyBorder="1" applyFont="1" applyNumberFormat="1">
      <alignment horizontal="center" vertical="center"/>
    </xf>
    <xf borderId="4" fillId="6" fontId="10" numFmtId="49" xfId="0" applyAlignment="1" applyBorder="1" applyFont="1" applyNumberFormat="1">
      <alignment horizontal="center" vertical="center"/>
    </xf>
    <xf borderId="0" fillId="0" fontId="2" numFmtId="0" xfId="0" applyFont="1"/>
    <xf borderId="13" fillId="6" fontId="10" numFmtId="0" xfId="0" applyAlignment="1" applyBorder="1" applyFont="1">
      <alignment horizontal="center" vertical="center"/>
    </xf>
    <xf borderId="15" fillId="0" fontId="14" numFmtId="0" xfId="0" applyBorder="1" applyFont="1"/>
    <xf borderId="0" fillId="6" fontId="10" numFmtId="0" xfId="0" applyAlignment="1" applyFont="1">
      <alignment horizontal="center" shrinkToFit="0" vertical="center" wrapText="1"/>
    </xf>
    <xf borderId="0" fillId="0" fontId="13" numFmtId="0" xfId="0" applyAlignment="1" applyFont="1">
      <alignment horizontal="center" readingOrder="0" vertical="center"/>
    </xf>
    <xf borderId="16" fillId="6" fontId="10" numFmtId="0" xfId="0" applyAlignment="1" applyBorder="1" applyFont="1">
      <alignment horizontal="center" shrinkToFit="0" vertical="center" wrapText="1"/>
    </xf>
    <xf borderId="17" fillId="0" fontId="14" numFmtId="0" xfId="0" applyBorder="1" applyFont="1"/>
    <xf borderId="18" fillId="0" fontId="14" numFmtId="0" xfId="0" applyBorder="1" applyFont="1"/>
    <xf borderId="19" fillId="0" fontId="14" numFmtId="0" xfId="0" applyBorder="1" applyFont="1"/>
    <xf borderId="3" fillId="0" fontId="14" numFmtId="0" xfId="0" applyBorder="1" applyFont="1"/>
    <xf borderId="20" fillId="0" fontId="14" numFmtId="0" xfId="0" applyBorder="1" applyFont="1"/>
    <xf borderId="5" fillId="6" fontId="10" numFmtId="168" xfId="0" applyAlignment="1" applyBorder="1" applyFont="1" applyNumberFormat="1">
      <alignment horizontal="center" vertical="center"/>
    </xf>
    <xf borderId="0" fillId="0" fontId="2" numFmtId="0" xfId="0" applyAlignment="1" applyFont="1">
      <alignment horizontal="center" shrinkToFit="0" wrapText="1"/>
    </xf>
    <xf borderId="0" fillId="0" fontId="1" numFmtId="0" xfId="0" applyAlignment="1" applyFont="1">
      <alignment horizontal="center" shrinkToFit="0" wrapText="1"/>
    </xf>
    <xf borderId="0" fillId="0" fontId="1" numFmtId="168" xfId="0" applyAlignment="1" applyFont="1" applyNumberFormat="1">
      <alignment horizontal="left"/>
    </xf>
    <xf borderId="0" fillId="7" fontId="17" numFmtId="0" xfId="0" applyAlignment="1" applyFill="1" applyFont="1">
      <alignment readingOrder="0"/>
    </xf>
    <xf borderId="0" fillId="0" fontId="2" numFmtId="10" xfId="0" applyFont="1" applyNumberFormat="1"/>
    <xf borderId="0" fillId="0" fontId="2" numFmtId="10" xfId="0" applyAlignment="1" applyFont="1" applyNumberFormat="1">
      <alignment readingOrder="0"/>
    </xf>
    <xf borderId="0" fillId="4" fontId="18" numFmtId="0" xfId="0" applyAlignment="1" applyFont="1">
      <alignment horizontal="center" readingOrder="0" shrinkToFit="0" vertical="bottom" wrapText="1"/>
    </xf>
    <xf borderId="0" fillId="8" fontId="18" numFmtId="0" xfId="0" applyAlignment="1" applyFill="1" applyFont="1">
      <alignment horizontal="center" readingOrder="0" shrinkToFit="0" vertical="bottom" wrapText="1"/>
    </xf>
    <xf borderId="0" fillId="5" fontId="18" numFmtId="0" xfId="0" applyAlignment="1" applyFont="1">
      <alignment horizontal="center" readingOrder="0" shrinkToFit="0" vertical="bottom" wrapText="1"/>
    </xf>
    <xf borderId="0" fillId="0" fontId="19" numFmtId="0" xfId="0" applyAlignment="1" applyFont="1">
      <alignment readingOrder="0" shrinkToFit="0" vertical="bottom" wrapText="0"/>
    </xf>
    <xf borderId="0" fillId="0" fontId="19" numFmtId="0" xfId="0" applyAlignment="1" applyFont="1">
      <alignment horizontal="center" readingOrder="0" shrinkToFit="0" vertical="bottom" wrapText="0"/>
    </xf>
    <xf borderId="0" fillId="0" fontId="19" numFmtId="0" xfId="0" applyAlignment="1" applyFont="1">
      <alignment horizontal="right" readingOrder="0" shrinkToFit="0" vertical="bottom" wrapText="0"/>
    </xf>
    <xf borderId="0" fillId="0" fontId="19" numFmtId="0" xfId="0" applyAlignment="1" applyFont="1">
      <alignment shrinkToFit="0" vertical="bottom" wrapText="0"/>
    </xf>
    <xf borderId="7" fillId="0" fontId="2" numFmtId="170" xfId="0" applyAlignment="1" applyBorder="1" applyFont="1" applyNumberFormat="1">
      <alignment horizontal="right" shrinkToFit="0" vertical="bottom" wrapText="0"/>
    </xf>
    <xf borderId="21" fillId="0" fontId="2" numFmtId="170" xfId="0" applyAlignment="1" applyBorder="1" applyFont="1" applyNumberFormat="1">
      <alignment horizontal="right" shrinkToFit="0" vertical="bottom" wrapText="0"/>
    </xf>
    <xf borderId="0" fillId="0" fontId="2" numFmtId="170" xfId="0" applyFont="1" applyNumberFormat="1"/>
    <xf borderId="0" fillId="0" fontId="2" numFmtId="170" xfId="0" applyAlignment="1" applyFont="1" applyNumberFormat="1">
      <alignment shrinkToFit="0" wrapText="0"/>
    </xf>
    <xf borderId="0" fillId="0" fontId="1" numFmtId="0" xfId="0" applyAlignment="1" applyFont="1">
      <alignment horizontal="right" readingOrder="0"/>
    </xf>
    <xf borderId="22" fillId="5" fontId="2" numFmtId="0" xfId="0" applyBorder="1" applyFont="1"/>
    <xf borderId="22" fillId="5" fontId="2" numFmtId="171" xfId="0" applyBorder="1" applyFont="1" applyNumberFormat="1"/>
    <xf borderId="0" fillId="0" fontId="1" numFmtId="0" xfId="0" applyAlignment="1" applyFont="1">
      <alignment horizontal="center" readingOrder="0" shrinkToFit="0" wrapText="1"/>
    </xf>
    <xf borderId="0" fillId="4" fontId="1" numFmtId="0" xfId="0" applyAlignment="1" applyFont="1">
      <alignment horizontal="center" readingOrder="0" shrinkToFit="0" wrapText="1"/>
    </xf>
    <xf borderId="23" fillId="0" fontId="2" numFmtId="0" xfId="0" applyBorder="1" applyFont="1"/>
    <xf borderId="23" fillId="0" fontId="2" numFmtId="10" xfId="0" applyBorder="1" applyFont="1" applyNumberFormat="1"/>
    <xf borderId="0" fillId="0" fontId="2" numFmtId="3" xfId="0" applyFont="1" applyNumberFormat="1"/>
    <xf borderId="0" fillId="4" fontId="1" numFmtId="165" xfId="0" applyAlignment="1" applyFont="1" applyNumberFormat="1">
      <alignment horizontal="center" readingOrder="0" shrinkToFit="0" wrapText="1"/>
    </xf>
    <xf borderId="0" fillId="0" fontId="2" numFmtId="3" xfId="0" applyAlignment="1" applyFont="1" applyNumberFormat="1">
      <alignment readingOrder="0"/>
    </xf>
    <xf borderId="0" fillId="0" fontId="2" numFmtId="3" xfId="0" applyFont="1" applyNumberFormat="1"/>
    <xf borderId="0" fillId="0" fontId="2" numFmtId="165" xfId="0" applyFont="1" applyNumberFormat="1"/>
    <xf borderId="0" fillId="9" fontId="1" numFmtId="0" xfId="0" applyAlignment="1" applyFill="1" applyFont="1">
      <alignment horizontal="center" shrinkToFit="0" wrapText="1"/>
    </xf>
    <xf borderId="0" fillId="9" fontId="1" numFmtId="0" xfId="0" applyAlignment="1" applyFont="1">
      <alignment horizontal="center" readingOrder="0" shrinkToFit="0" wrapText="1"/>
    </xf>
    <xf borderId="0" fillId="0" fontId="2" numFmtId="166" xfId="0" applyAlignment="1" applyFont="1" applyNumberFormat="1">
      <alignment readingOrder="0"/>
    </xf>
    <xf quotePrefix="1" borderId="0" fillId="0" fontId="2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t>Relationship Between Pour Times and Grind Size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>'Regression - Ind.'!$F$1:$F$50</c:f>
            </c:strRef>
          </c:tx>
          <c:spPr>
            <a:ln w="47625">
              <a:noFill/>
            </a:ln>
          </c:spPr>
          <c:marker>
            <c:symbol val="triangle"/>
            <c:size val="10"/>
            <c:spPr>
              <a:solidFill>
                <a:srgbClr val="073763"/>
              </a:solidFill>
              <a:ln cmpd="sng">
                <a:solidFill>
                  <a:srgbClr val="073763"/>
                </a:solidFill>
              </a:ln>
            </c:spPr>
          </c:marker>
          <c:trendline>
            <c:name/>
            <c:spPr>
              <a:ln w="38100">
                <a:solidFill>
                  <a:srgbClr val="F1C232">
                    <a:alpha val="60000"/>
                  </a:srgbClr>
                </a:solidFill>
              </a:ln>
            </c:spPr>
            <c:trendlineType val="linear"/>
            <c:dispRSqr val="1"/>
            <c:dispEq val="1"/>
          </c:trendline>
          <c:xVal>
            <c:numRef>
              <c:f>'Regression - Ind.'!$D$51:$D$1000</c:f>
            </c:numRef>
          </c:xVal>
          <c:yVal>
            <c:numRef>
              <c:f>'Regression - Ind.'!$F$51:$F$1000</c:f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0096714"/>
        <c:axId val="2109775693"/>
      </c:scatterChart>
      <c:valAx>
        <c:axId val="570096714"/>
        <c:scaling>
          <c:orientation val="minMax"/>
          <c:max val="25.0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/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 sz="1600">
                <a:solidFill>
                  <a:srgbClr val="000000"/>
                </a:solidFill>
                <a:latin typeface="+mn-lt"/>
              </a:defRPr>
            </a:pPr>
          </a:p>
        </c:txPr>
        <c:crossAx val="2109775693"/>
      </c:valAx>
      <c:valAx>
        <c:axId val="210977569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/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 sz="1600">
                <a:solidFill>
                  <a:srgbClr val="000000"/>
                </a:solidFill>
                <a:latin typeface="+mn-lt"/>
              </a:defRPr>
            </a:pPr>
          </a:p>
        </c:txPr>
        <c:crossAx val="570096714"/>
      </c:valAx>
    </c:plotArea>
    <c:legend>
      <c:legendPos val="b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t>Time Series - Pour Times and Grind Size</a:t>
            </a:r>
          </a:p>
        </c:rich>
      </c:tx>
      <c:overlay val="0"/>
    </c:title>
    <c:plotArea>
      <c:layout/>
      <c:barChart>
        <c:barDir val="col"/>
        <c:grouping val="stacked"/>
        <c:ser>
          <c:idx val="0"/>
          <c:order val="0"/>
          <c:tx>
            <c:strRef>
              <c:f>'Regression - Ind.'!$D$1</c:f>
            </c:strRef>
          </c:tx>
          <c:spPr>
            <a:solidFill>
              <a:srgbClr val="D9D2E9"/>
            </a:solidFill>
          </c:spPr>
          <c:dLbls>
            <c:txPr>
              <a:bodyPr/>
              <a:lstStyle/>
              <a:p>
                <a:pPr lvl="0">
                  <a:defRPr sz="1600">
                    <a:solidFill>
                      <a:srgbClr val="434343"/>
                    </a:solidFill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'Regression - Ind.'!$A$2:$A$1000</c:f>
            </c:strRef>
          </c:cat>
          <c:val>
            <c:numRef>
              <c:f>'Regression - Ind.'!$D$2:$D$1000</c:f>
            </c:numRef>
          </c:val>
        </c:ser>
        <c:overlap val="100"/>
        <c:axId val="185902355"/>
        <c:axId val="537742466"/>
      </c:barChart>
      <c:catAx>
        <c:axId val="18590235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 sz="1400">
                    <a:solidFill>
                      <a:srgbClr val="000000"/>
                    </a:solidFill>
                    <a:latin typeface="+mn-lt"/>
                  </a:defRPr>
                </a:pPr>
                <a:r>
                  <a:t>Pour Count</a:t>
                </a:r>
              </a:p>
            </c:rich>
          </c:tx>
          <c:overlay val="0"/>
        </c:title>
        <c:txPr>
          <a:bodyPr/>
          <a:lstStyle/>
          <a:p>
            <a:pPr lvl="0">
              <a:defRPr b="0" sz="1600">
                <a:solidFill>
                  <a:srgbClr val="000000"/>
                </a:solidFill>
                <a:latin typeface="+mn-lt"/>
              </a:defRPr>
            </a:pPr>
          </a:p>
        </c:txPr>
        <c:crossAx val="537742466"/>
      </c:catAx>
      <c:valAx>
        <c:axId val="53774246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sz="1600">
                    <a:solidFill>
                      <a:srgbClr val="000000"/>
                    </a:solidFill>
                    <a:latin typeface="+mn-lt"/>
                  </a:defRPr>
                </a:pPr>
                <a:r>
                  <a:t>Grind Size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 sz="1600">
                <a:solidFill>
                  <a:srgbClr val="000000"/>
                </a:solidFill>
                <a:latin typeface="+mn-lt"/>
              </a:defRPr>
            </a:pPr>
          </a:p>
        </c:txPr>
        <c:crossAx val="185902355"/>
      </c:valAx>
      <c:barChart>
        <c:barDir val="col"/>
        <c:grouping val="stacked"/>
        <c:ser>
          <c:idx val="1"/>
          <c:order val="1"/>
          <c:tx>
            <c:strRef>
              <c:f>'Regression - Ind.'!$F$1</c:f>
            </c:strRef>
          </c:tx>
          <c:spPr>
            <a:solidFill>
              <a:srgbClr val="CFE2F3"/>
            </a:solidFill>
          </c:spPr>
          <c:dLbls>
            <c:txPr>
              <a:bodyPr/>
              <a:lstStyle/>
              <a:p>
                <a:pPr lvl="0">
                  <a:defRPr sz="1600">
                    <a:solidFill>
                      <a:srgbClr val="434343"/>
                    </a:solidFill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'Regression - Ind.'!$A$2:$A$1000</c:f>
            </c:strRef>
          </c:cat>
          <c:val>
            <c:numRef>
              <c:f>'Regression - Ind.'!$F$2:$F$1000</c:f>
            </c:numRef>
          </c:val>
        </c:ser>
        <c:overlap val="100"/>
        <c:axId val="1209000573"/>
        <c:axId val="162539214"/>
      </c:barChart>
      <c:catAx>
        <c:axId val="1209000573"/>
        <c:scaling>
          <c:orientation val="minMax"/>
        </c:scaling>
        <c:delete val="1"/>
        <c:axPos val="b"/>
        <c:txPr>
          <a:bodyPr/>
          <a:lstStyle/>
          <a:p>
            <a:pPr lvl="0">
              <a:defRPr b="0" sz="1600">
                <a:solidFill>
                  <a:srgbClr val="000000"/>
                </a:solidFill>
                <a:latin typeface="+mn-lt"/>
              </a:defRPr>
            </a:pPr>
          </a:p>
        </c:txPr>
        <c:crossAx val="162539214"/>
      </c:catAx>
      <c:valAx>
        <c:axId val="162539214"/>
        <c:scaling>
          <c:orientation val="minMax"/>
        </c:scaling>
        <c:delete val="0"/>
        <c:axPos val="r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sz="1600">
                    <a:solidFill>
                      <a:srgbClr val="000000"/>
                    </a:solidFill>
                    <a:latin typeface="+mn-lt"/>
                  </a:defRPr>
                </a:pPr>
                <a:r>
                  <a:t>Pour Time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 sz="1600">
                <a:solidFill>
                  <a:srgbClr val="000000"/>
                </a:solidFill>
                <a:latin typeface="+mn-lt"/>
              </a:defRPr>
            </a:pPr>
          </a:p>
        </c:txPr>
        <c:crossAx val="1209000573"/>
        <c:crosses val="max"/>
      </c:valAx>
    </c:plotArea>
    <c:legend>
      <c:legendPos val="b"/>
      <c:overlay val="0"/>
      <c:txPr>
        <a:bodyPr/>
        <a:lstStyle/>
        <a:p>
          <a:pPr lvl="0">
            <a:defRPr b="0" sz="160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t>Range of Grind Sizes by Comment</a:t>
            </a:r>
          </a:p>
        </c:rich>
      </c:tx>
      <c:overlay val="0"/>
    </c:title>
    <c:plotArea>
      <c:layout/>
      <c:stockChart>
        <c:ser>
          <c:idx val="0"/>
          <c:order val="0"/>
          <c:tx>
            <c:strRef>
              <c:f>'All Types'!$J$30</c:f>
            </c:strRef>
          </c:tx>
          <c:spPr>
            <a:ln cmpd="sng">
              <a:noFill/>
            </a:ln>
          </c:spPr>
          <c:marker>
            <c:symbol val="none"/>
          </c:marker>
          <c:cat>
            <c:strRef>
              <c:f>'All Types'!$I$31:$I$37</c:f>
            </c:strRef>
          </c:cat>
          <c:val>
            <c:numRef>
              <c:f>'All Types'!$J$31:$J$35</c:f>
            </c:numRef>
          </c:val>
          <c:smooth val="0"/>
        </c:ser>
        <c:ser>
          <c:idx val="1"/>
          <c:order val="1"/>
          <c:tx>
            <c:strRef>
              <c:f>'All Types'!$L$30</c:f>
            </c:strRef>
          </c:tx>
          <c:spPr>
            <a:ln cmpd="sng">
              <a:noFill/>
            </a:ln>
          </c:spPr>
          <c:marker>
            <c:symbol val="none"/>
          </c:marker>
          <c:cat>
            <c:strRef>
              <c:f>'All Types'!$I$31:$I$37</c:f>
            </c:strRef>
          </c:cat>
          <c:val>
            <c:numRef>
              <c:f>'All Types'!$L$31:$L$37</c:f>
            </c:numRef>
          </c:val>
          <c:smooth val="0"/>
        </c:ser>
        <c:ser>
          <c:idx val="2"/>
          <c:order val="2"/>
          <c:tx>
            <c:strRef>
              <c:f>'All Types'!$J$30</c:f>
            </c:strRef>
          </c:tx>
          <c:spPr>
            <a:ln cmpd="sng">
              <a:noFill/>
            </a:ln>
          </c:spPr>
          <c:marker>
            <c:symbol val="none"/>
          </c:marker>
          <c:cat>
            <c:strRef>
              <c:f>'All Types'!$I$31:$I$37</c:f>
            </c:strRef>
          </c:cat>
          <c:val>
            <c:numRef>
              <c:f>'All Types'!$J$31:$J$37</c:f>
            </c:numRef>
          </c:val>
          <c:smooth val="0"/>
        </c:ser>
        <c:ser>
          <c:idx val="3"/>
          <c:order val="3"/>
          <c:tx>
            <c:strRef>
              <c:f>'All Types'!$L$30</c:f>
            </c:strRef>
          </c:tx>
          <c:spPr>
            <a:ln cmpd="sng">
              <a:noFill/>
            </a:ln>
          </c:spPr>
          <c:marker>
            <c:symbol val="none"/>
          </c:marker>
          <c:cat>
            <c:strRef>
              <c:f>'All Types'!$I$31:$I$37</c:f>
            </c:strRef>
          </c:cat>
          <c:val>
            <c:numRef>
              <c:f>'All Types'!$L$31:$L$37</c:f>
            </c:numRef>
          </c:val>
          <c:smooth val="0"/>
        </c:ser>
        <c:hiLowLines/>
        <c:upDownBars>
          <c:upBars>
            <c:spPr>
              <a:solidFill>
                <a:schemeClr val="accent1"/>
              </a:solidFill>
              <a:ln cmpd="sng" w="19050">
                <a:solidFill>
                  <a:schemeClr val="accent1"/>
                </a:solidFill>
              </a:ln>
            </c:spPr>
          </c:upBars>
          <c:downBars>
            <c:spPr>
              <a:solidFill>
                <a:srgbClr val="FFFFFF"/>
              </a:solidFill>
              <a:ln cmpd="sng" w="19050">
                <a:solidFill>
                  <a:schemeClr val="accent1"/>
                </a:solidFill>
              </a:ln>
            </c:spPr>
          </c:downBars>
        </c:upDownBars>
        <c:axId val="1834015414"/>
        <c:axId val="1145979393"/>
      </c:stockChart>
      <c:dateAx>
        <c:axId val="1834015414"/>
        <c:scaling>
          <c:orientation val="minMax"/>
        </c:scaling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/>
                </a:r>
              </a:p>
            </c:rich>
          </c:tx>
          <c:overlay val="0"/>
        </c:title>
        <c:txPr>
          <a:bodyPr/>
          <a:lstStyle/>
          <a:p>
            <a:pPr lvl="0">
              <a:defRPr b="0" sz="1400">
                <a:solidFill>
                  <a:srgbClr val="000000"/>
                </a:solidFill>
                <a:latin typeface="+mn-lt"/>
              </a:defRPr>
            </a:pPr>
          </a:p>
        </c:txPr>
        <c:crossAx val="1145979393"/>
      </c:dateAx>
      <c:valAx>
        <c:axId val="1145979393"/>
        <c:scaling>
          <c:orientation val="minMax"/>
          <c:max val="25.0"/>
        </c:scaling>
        <c:delete val="0"/>
        <c:axPos val="l"/>
        <c:majorGridlines>
          <c:spPr>
            <a:ln>
              <a:solidFill>
                <a:srgbClr val="CCCCCC"/>
              </a:solidFill>
            </a:ln>
          </c:spPr>
        </c:majorGridlines>
        <c:minorGridlines>
          <c:spPr>
            <a:ln>
              <a:solidFill>
                <a:srgbClr val="EFEFEF"/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/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 sz="1400">
                <a:solidFill>
                  <a:srgbClr val="000000"/>
                </a:solidFill>
                <a:latin typeface="+mn-lt"/>
              </a:defRPr>
            </a:pPr>
          </a:p>
        </c:txPr>
        <c:crossAx val="1834015414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t>Optimal Coffee Times (by Location)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'All Types'!$K$10</c:f>
            </c:strRef>
          </c:tx>
          <c:spPr>
            <a:solidFill>
              <a:srgbClr val="A4C2F4"/>
            </a:solidFill>
          </c:spPr>
          <c:dLbls>
            <c:txPr>
              <a:bodyPr/>
              <a:lstStyle/>
              <a:p>
                <a:pPr lvl="0">
                  <a:defRPr sz="1600">
                    <a:solidFill>
                      <a:srgbClr val="434343"/>
                    </a:solidFill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'All Types'!$I$11:$I$20</c:f>
            </c:strRef>
          </c:cat>
          <c:val>
            <c:numRef>
              <c:f>'All Types'!$K$11:$K$20</c:f>
            </c:numRef>
          </c:val>
        </c:ser>
        <c:axId val="2044450711"/>
        <c:axId val="239621648"/>
      </c:barChart>
      <c:catAx>
        <c:axId val="204445071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>Coffee</a:t>
                </a:r>
              </a:p>
            </c:rich>
          </c:tx>
          <c:overlay val="0"/>
        </c:title>
        <c:txPr>
          <a:bodyPr/>
          <a:lstStyle/>
          <a:p>
            <a:pPr lvl="0">
              <a:defRPr b="0" sz="1400">
                <a:solidFill>
                  <a:srgbClr val="000000"/>
                </a:solidFill>
                <a:latin typeface="+mn-lt"/>
              </a:defRPr>
            </a:pPr>
          </a:p>
        </c:txPr>
        <c:crossAx val="239621648"/>
      </c:catAx>
      <c:valAx>
        <c:axId val="23962164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>Grind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 sz="1400">
                <a:solidFill>
                  <a:srgbClr val="000000"/>
                </a:solidFill>
                <a:latin typeface="+mn-lt"/>
              </a:defRPr>
            </a:pPr>
          </a:p>
        </c:txPr>
        <c:crossAx val="204445071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t>Closest Coffee Grind to 3:30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'All Types'!$K$10</c:f>
            </c:strRef>
          </c:tx>
          <c:spPr>
            <a:solidFill>
              <a:srgbClr val="D9D2E9"/>
            </a:solidFill>
          </c:spPr>
          <c:dLbls>
            <c:txPr>
              <a:bodyPr/>
              <a:lstStyle/>
              <a:p>
                <a:pPr lvl="0">
                  <a:defRPr i="0" sz="1300">
                    <a:solidFill>
                      <a:srgbClr val="434343"/>
                    </a:solidFill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'All Types'!$I$11:$I$20</c:f>
            </c:strRef>
          </c:cat>
          <c:val>
            <c:numRef>
              <c:f>'All Types'!$K$11:$K$20</c:f>
            </c:numRef>
          </c:val>
        </c:ser>
        <c:axId val="394041765"/>
        <c:axId val="444939438"/>
      </c:barChart>
      <c:catAx>
        <c:axId val="39404176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 sz="1400">
                    <a:solidFill>
                      <a:srgbClr val="000000"/>
                    </a:solidFill>
                    <a:latin typeface="+mn-lt"/>
                  </a:defRPr>
                </a:pPr>
                <a:r>
                  <a:t>Coffee</a:t>
                </a:r>
              </a:p>
            </c:rich>
          </c:tx>
          <c:overlay val="0"/>
        </c:title>
        <c:txPr>
          <a:bodyPr/>
          <a:lstStyle/>
          <a:p>
            <a:pPr lvl="0">
              <a:defRPr b="0" sz="1400">
                <a:solidFill>
                  <a:srgbClr val="000000"/>
                </a:solidFill>
                <a:latin typeface="+mn-lt"/>
              </a:defRPr>
            </a:pPr>
          </a:p>
        </c:txPr>
        <c:crossAx val="444939438"/>
      </c:catAx>
      <c:valAx>
        <c:axId val="44493943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sz="1400">
                    <a:solidFill>
                      <a:srgbClr val="000000"/>
                    </a:solidFill>
                    <a:latin typeface="+mn-lt"/>
                  </a:defRPr>
                </a:pPr>
                <a:r>
                  <a:t>Grind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 sz="1400">
                <a:solidFill>
                  <a:srgbClr val="000000"/>
                </a:solidFill>
                <a:latin typeface="+mn-lt"/>
              </a:defRPr>
            </a:pPr>
          </a:p>
        </c:txPr>
        <c:crossAx val="394041765"/>
      </c:valAx>
      <c:barChart>
        <c:barDir val="col"/>
        <c:ser>
          <c:idx val="1"/>
          <c:order val="1"/>
          <c:tx>
            <c:strRef>
              <c:f>'All Types'!$J$10</c:f>
            </c:strRef>
          </c:tx>
          <c:spPr>
            <a:solidFill>
              <a:srgbClr val="CFE2F3"/>
            </a:solidFill>
          </c:spPr>
          <c:dLbls>
            <c:txPr>
              <a:bodyPr/>
              <a:lstStyle/>
              <a:p>
                <a:pPr lvl="0">
                  <a:defRPr sz="1300">
                    <a:solidFill>
                      <a:srgbClr val="434343"/>
                    </a:solidFill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'All Types'!$I$11:$I$20</c:f>
            </c:strRef>
          </c:cat>
          <c:val>
            <c:numRef>
              <c:f>'All Types'!$J$11:$J$20</c:f>
            </c:numRef>
          </c:val>
        </c:ser>
        <c:axId val="1099351746"/>
        <c:axId val="2102457944"/>
      </c:barChart>
      <c:catAx>
        <c:axId val="1099351746"/>
        <c:scaling>
          <c:orientation val="minMax"/>
        </c:scaling>
        <c:delete val="1"/>
        <c:axPos val="b"/>
        <c:txPr>
          <a:bodyPr/>
          <a:lstStyle/>
          <a:p>
            <a:pPr lvl="0">
              <a:defRPr b="0" sz="1400">
                <a:solidFill>
                  <a:srgbClr val="000000"/>
                </a:solidFill>
                <a:latin typeface="+mn-lt"/>
              </a:defRPr>
            </a:pPr>
          </a:p>
        </c:txPr>
        <c:crossAx val="2102457944"/>
      </c:catAx>
      <c:valAx>
        <c:axId val="2102457944"/>
        <c:scaling>
          <c:orientation val="minMax"/>
        </c:scaling>
        <c:delete val="0"/>
        <c:axPos val="r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/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 sz="1400">
                <a:solidFill>
                  <a:srgbClr val="000000"/>
                </a:solidFill>
                <a:latin typeface="+mn-lt"/>
              </a:defRPr>
            </a:pPr>
          </a:p>
        </c:txPr>
        <c:crossAx val="1099351746"/>
        <c:crosses val="max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t>Relationship Between Pour Times and Grind Size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>'Regression - All'!$B$1:$B$12</c:f>
            </c:strRef>
          </c:tx>
          <c:spPr>
            <a:ln w="47625">
              <a:noFill/>
            </a:ln>
          </c:spPr>
          <c:marker>
            <c:symbol val="circle"/>
            <c:size val="10"/>
            <c:spPr>
              <a:solidFill>
                <a:srgbClr val="0B5394"/>
              </a:solidFill>
              <a:ln cmpd="sng">
                <a:solidFill>
                  <a:srgbClr val="0B5394"/>
                </a:solidFill>
              </a:ln>
            </c:spPr>
          </c:marker>
          <c:trendline>
            <c:name/>
            <c:spPr>
              <a:ln w="38100">
                <a:solidFill>
                  <a:srgbClr val="F1C232">
                    <a:alpha val="60000"/>
                  </a:srgbClr>
                </a:solidFill>
              </a:ln>
            </c:spPr>
            <c:trendlineType val="linear"/>
            <c:dispRSqr val="1"/>
            <c:dispEq val="1"/>
          </c:trendline>
          <c:xVal>
            <c:numRef>
              <c:f>'Regression - All'!$A$13:$A$1000</c:f>
            </c:numRef>
          </c:xVal>
          <c:yVal>
            <c:numRef>
              <c:f>'Regression - All'!$B$13:$B$1000</c:f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90432176"/>
        <c:axId val="1630914505"/>
      </c:scatterChart>
      <c:valAx>
        <c:axId val="1290432176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/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 sz="1400">
                <a:solidFill>
                  <a:srgbClr val="000000"/>
                </a:solidFill>
                <a:latin typeface="+mn-lt"/>
              </a:defRPr>
            </a:pPr>
          </a:p>
        </c:txPr>
        <c:crossAx val="1630914505"/>
      </c:valAx>
      <c:valAx>
        <c:axId val="163091450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/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 sz="1400">
                <a:solidFill>
                  <a:srgbClr val="000000"/>
                </a:solidFill>
                <a:latin typeface="+mn-lt"/>
              </a:defRPr>
            </a:pPr>
          </a:p>
        </c:txPr>
        <c:crossAx val="1290432176"/>
      </c:valAx>
    </c:plotArea>
    <c:legend>
      <c:legendPos val="b"/>
      <c:overlay val="0"/>
      <c:txPr>
        <a:bodyPr/>
        <a:lstStyle/>
        <a:p>
          <a:pPr lvl="0">
            <a:defRPr b="0" sz="1400">
              <a:solidFill>
                <a:srgbClr val="1A1A1A"/>
              </a:solidFill>
              <a:latin typeface="+mn-lt"/>
            </a:defRPr>
          </a:pPr>
        </a:p>
      </c:txPr>
    </c:legend>
    <c:plotVisOnly val="0"/>
  </c:chart>
</c:chartSpace>
</file>

<file path=xl/charts/chart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varyColors val="0"/>
        <c:ser>
          <c:idx val="0"/>
          <c:order val="0"/>
          <c:spPr>
            <a:ln w="47625"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yVal>
            <c:numRef>
              <c:f>'Flow Rate'!$C$9:$C$1120</c:f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49895893"/>
        <c:axId val="1091452870"/>
      </c:scatterChart>
      <c:valAx>
        <c:axId val="1249895893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/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91452870"/>
      </c:valAx>
      <c:valAx>
        <c:axId val="109145287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/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49895893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8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varyColors val="0"/>
        <c:ser>
          <c:idx val="0"/>
          <c:order val="0"/>
          <c:spPr>
            <a:ln w="47625"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yVal>
            <c:numRef>
              <c:f>'Flow Rate'!$B$8:$B$1120</c:f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02736394"/>
        <c:axId val="1731423430"/>
      </c:scatterChart>
      <c:valAx>
        <c:axId val="1302736394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/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31423430"/>
      </c:valAx>
      <c:valAx>
        <c:axId val="173142343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/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02736394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9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t>Cumulative Water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marker>
            <c:symbol val="none"/>
          </c:marker>
          <c:val>
            <c:numRef>
              <c:f>'Flow Rate'!$B$8:$B$1120</c:f>
            </c:numRef>
          </c:val>
          <c:smooth val="0"/>
        </c:ser>
        <c:axId val="1177076367"/>
        <c:axId val="864869942"/>
      </c:lineChart>
      <c:catAx>
        <c:axId val="117707636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/>
                </a:r>
              </a:p>
            </c:rich>
          </c:tx>
          <c:overlay val="0"/>
        </c:title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64869942"/>
      </c:catAx>
      <c:valAx>
        <c:axId val="86486994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>Cumulative Water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77076367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0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t>Flow Rate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spPr>
            <a:ln w="47625"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yVal>
            <c:numRef>
              <c:f>'Flow Rate'!$C$9:$C$1120</c:f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03737200"/>
        <c:axId val="304603668"/>
      </c:scatterChart>
      <c:valAx>
        <c:axId val="2103737200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/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04603668"/>
      </c:valAx>
      <c:valAx>
        <c:axId val="30460366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>Flow Rate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10373720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col"/>
        <c:ser>
          <c:idx val="0"/>
          <c:order val="0"/>
          <c:spPr>
            <a:solidFill>
              <a:schemeClr val="accent1"/>
            </a:solidFill>
          </c:spPr>
          <c:cat>
            <c:strRef>
              <c:f>'Flow Rate'!$F$8:$F$34</c:f>
            </c:strRef>
          </c:cat>
          <c:val>
            <c:numRef>
              <c:f>'Flow Rate'!$G$8:$G$34</c:f>
            </c:numRef>
          </c:val>
        </c:ser>
        <c:axId val="681349183"/>
        <c:axId val="278157179"/>
      </c:barChart>
      <c:catAx>
        <c:axId val="68134918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/>
                </a:r>
              </a:p>
            </c:rich>
          </c:tx>
          <c:overlay val="0"/>
        </c:title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78157179"/>
      </c:catAx>
      <c:valAx>
        <c:axId val="27815717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/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81349183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axId val="191156661"/>
        <c:axId val="638409731"/>
      </c:scatterChart>
      <c:valAx>
        <c:axId val="191156661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/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38409731"/>
      </c:valAx>
      <c:valAx>
        <c:axId val="638409731"/>
        <c:scaling>
          <c:orientation val="minMax"/>
        </c:scaling>
        <c:delete val="0"/>
        <c:axPos val="l"/>
        <c:numFmt formatCode="General" sourceLinked="1"/>
        <c:tickLblPos val="nextTo"/>
        <c:spPr>
          <a:ln w="47625">
            <a:noFill/>
          </a:ln>
        </c:spPr>
        <c:crossAx val="19115666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3.xml"/><Relationship Id="rId2" Type="http://schemas.openxmlformats.org/officeDocument/2006/relationships/chart" Target="../charts/chart4.xml"/><Relationship Id="rId3" Type="http://schemas.openxmlformats.org/officeDocument/2006/relationships/chart" Target="../charts/chart5.xml"/><Relationship Id="rId4" Type="http://schemas.openxmlformats.org/officeDocument/2006/relationships/chart" Target="../charts/chart6.xml"/></Relationships>
</file>

<file path=xl/drawings/_rels/drawing7.xml.rels><?xml version="1.0" encoding="UTF-8" standalone="yes"?><Relationships xmlns="http://schemas.openxmlformats.org/package/2006/relationships"><Relationship Id="rId1" Type="http://schemas.openxmlformats.org/officeDocument/2006/relationships/chart" Target="../charts/chart7.xml"/><Relationship Id="rId2" Type="http://schemas.openxmlformats.org/officeDocument/2006/relationships/chart" Target="../charts/chart8.xml"/><Relationship Id="rId3" Type="http://schemas.openxmlformats.org/officeDocument/2006/relationships/chart" Target="../charts/chart9.xml"/><Relationship Id="rId4" Type="http://schemas.openxmlformats.org/officeDocument/2006/relationships/chart" Target="../charts/chart10.xml"/><Relationship Id="rId5" Type="http://schemas.openxmlformats.org/officeDocument/2006/relationships/chart" Target="../charts/chart11.xml"/></Relationships>
</file>

<file path=xl/drawings/_rels/drawing8.xml.rels><?xml version="1.0" encoding="UTF-8" standalone="yes"?><Relationships xmlns="http://schemas.openxmlformats.org/package/2006/relationships"><Relationship Id="rId1" Type="http://schemas.openxmlformats.org/officeDocument/2006/relationships/chart" Target="../charts/chart1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44</xdr:row>
      <xdr:rowOff>19050</xdr:rowOff>
    </xdr:from>
    <xdr:ext cx="6953250" cy="3533775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1</xdr:col>
      <xdr:colOff>0</xdr:colOff>
      <xdr:row>25</xdr:row>
      <xdr:rowOff>38100</xdr:rowOff>
    </xdr:from>
    <xdr:ext cx="6953250" cy="3533775"/>
    <xdr:graphicFrame>
      <xdr:nvGraphicFramePr>
        <xdr:cNvPr id="6" name="Chart 6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219075</xdr:colOff>
      <xdr:row>47</xdr:row>
      <xdr:rowOff>161925</xdr:rowOff>
    </xdr:from>
    <xdr:ext cx="6238875" cy="33432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14</xdr:col>
      <xdr:colOff>0</xdr:colOff>
      <xdr:row>73</xdr:row>
      <xdr:rowOff>142875</xdr:rowOff>
    </xdr:from>
    <xdr:ext cx="5715000" cy="3533775"/>
    <xdr:graphicFrame>
      <xdr:nvGraphicFramePr>
        <xdr:cNvPr id="3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0</xdr:col>
      <xdr:colOff>200025</xdr:colOff>
      <xdr:row>9</xdr:row>
      <xdr:rowOff>0</xdr:rowOff>
    </xdr:from>
    <xdr:ext cx="6276975" cy="3533775"/>
    <xdr:graphicFrame>
      <xdr:nvGraphicFramePr>
        <xdr:cNvPr id="4" name="Chart 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0</xdr:col>
      <xdr:colOff>219075</xdr:colOff>
      <xdr:row>27</xdr:row>
      <xdr:rowOff>180975</xdr:rowOff>
    </xdr:from>
    <xdr:ext cx="6238875" cy="3533775"/>
    <xdr:graphicFrame>
      <xdr:nvGraphicFramePr>
        <xdr:cNvPr id="5" name="Chart 5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8</xdr:col>
      <xdr:colOff>904875</xdr:colOff>
      <xdr:row>1085</xdr:row>
      <xdr:rowOff>9525</xdr:rowOff>
    </xdr:from>
    <xdr:ext cx="8820150" cy="6238875"/>
    <xdr:graphicFrame>
      <xdr:nvGraphicFramePr>
        <xdr:cNvPr id="7" name="Chart 7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0</xdr:col>
      <xdr:colOff>0</xdr:colOff>
      <xdr:row>1085</xdr:row>
      <xdr:rowOff>9525</xdr:rowOff>
    </xdr:from>
    <xdr:ext cx="7353300" cy="6276975"/>
    <xdr:graphicFrame>
      <xdr:nvGraphicFramePr>
        <xdr:cNvPr id="8" name="Chart 8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8</xdr:col>
      <xdr:colOff>304800</xdr:colOff>
      <xdr:row>6</xdr:row>
      <xdr:rowOff>9525</xdr:rowOff>
    </xdr:from>
    <xdr:ext cx="4752975" cy="3886200"/>
    <xdr:graphicFrame>
      <xdr:nvGraphicFramePr>
        <xdr:cNvPr id="9" name="Chart 9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13</xdr:col>
      <xdr:colOff>333375</xdr:colOff>
      <xdr:row>6</xdr:row>
      <xdr:rowOff>9525</xdr:rowOff>
    </xdr:from>
    <xdr:ext cx="5495925" cy="3886200"/>
    <xdr:graphicFrame>
      <xdr:nvGraphicFramePr>
        <xdr:cNvPr id="10" name="Chart 10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  <xdr:oneCellAnchor>
    <xdr:from>
      <xdr:col>8</xdr:col>
      <xdr:colOff>247650</xdr:colOff>
      <xdr:row>25</xdr:row>
      <xdr:rowOff>123825</xdr:rowOff>
    </xdr:from>
    <xdr:ext cx="5715000" cy="3533775"/>
    <xdr:graphicFrame>
      <xdr:nvGraphicFramePr>
        <xdr:cNvPr id="11" name="Chart 1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5"/>
        </a:graphicData>
      </a:graphic>
    </xdr:graphicFrame>
    <xdr:clientData fLocksWithSheet="0"/>
  </xdr:one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238125</xdr:colOff>
      <xdr:row>970</xdr:row>
      <xdr:rowOff>66675</xdr:rowOff>
    </xdr:from>
    <xdr:ext cx="5715000" cy="3533775"/>
    <xdr:graphicFrame>
      <xdr:nvGraphicFramePr>
        <xdr:cNvPr id="12" name="Chart 1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0.xml"/><Relationship Id="rId3" Type="http://schemas.openxmlformats.org/officeDocument/2006/relationships/vmlDrawing" Target="../drawings/vmlDrawing1.v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D966"/>
    <outlinePr summaryBelow="0" summaryRight="0"/>
  </sheetPr>
  <sheetViews>
    <sheetView showGridLines="0" workbookViewId="0"/>
  </sheetViews>
  <sheetFormatPr customHeight="1" defaultColWidth="14.43" defaultRowHeight="15.75"/>
  <cols>
    <col customWidth="1" min="1" max="1" width="3.57"/>
    <col customWidth="1" min="2" max="2" width="28.29"/>
    <col customWidth="1" min="3" max="3" width="13.14"/>
    <col customWidth="1" min="4" max="4" width="11.29"/>
    <col customWidth="1" min="5" max="5" width="23.86"/>
    <col customWidth="1" min="6" max="6" width="28.29"/>
    <col customWidth="1" min="7" max="8" width="3.57"/>
    <col customWidth="1" min="9" max="35" width="8.86"/>
  </cols>
  <sheetData>
    <row r="1">
      <c r="B1" s="6"/>
      <c r="C1" s="6"/>
      <c r="D1" s="6"/>
      <c r="E1" s="6"/>
      <c r="F1" s="6"/>
      <c r="G1" s="6"/>
      <c r="H1" s="6"/>
    </row>
    <row r="2">
      <c r="A2" s="18"/>
      <c r="B2" s="53" t="s">
        <v>67</v>
      </c>
      <c r="D2" s="54" t="s">
        <v>68</v>
      </c>
      <c r="E2" s="55"/>
      <c r="G2" s="22"/>
      <c r="H2" s="22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</row>
    <row r="3">
      <c r="A3" s="18"/>
      <c r="D3" s="56"/>
      <c r="E3" s="57"/>
      <c r="G3" s="22"/>
      <c r="H3" s="22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18"/>
      <c r="AW3" s="18"/>
      <c r="AX3" s="18"/>
      <c r="AY3" s="18"/>
      <c r="AZ3" s="18"/>
      <c r="BA3" s="18"/>
    </row>
    <row r="4">
      <c r="A4" s="18"/>
      <c r="C4" s="19" t="s">
        <v>69</v>
      </c>
      <c r="D4" s="58" t="str">
        <f>'All Types'!D2</f>
        <v>Ada</v>
      </c>
      <c r="E4" s="59"/>
      <c r="G4" s="22"/>
      <c r="H4" s="22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</row>
    <row r="5">
      <c r="B5" s="27"/>
      <c r="C5" s="19" t="s">
        <v>70</v>
      </c>
      <c r="D5" s="58" t="str">
        <f>'All Types'!D3</f>
        <v>Hario V60</v>
      </c>
      <c r="E5" s="59"/>
      <c r="G5" s="6"/>
      <c r="H5" s="6"/>
    </row>
    <row r="6" ht="20.25" customHeight="1">
      <c r="B6" s="27"/>
      <c r="C6" s="27"/>
      <c r="D6" s="27"/>
      <c r="E6" s="27"/>
      <c r="F6" s="27"/>
      <c r="G6" s="6"/>
      <c r="H6" s="6"/>
    </row>
    <row r="7">
      <c r="B7" s="60" t="str">
        <f>"Optimal Brew | "&amp;D2</f>
        <v>Optimal Brew | Columbia Tablón de Gomez Los Rosales</v>
      </c>
      <c r="C7" s="33"/>
      <c r="D7" s="33"/>
      <c r="E7" s="33"/>
      <c r="F7" s="33"/>
      <c r="G7" s="6"/>
      <c r="H7" s="6"/>
    </row>
    <row r="8" ht="8.25" customHeight="1">
      <c r="B8" s="38" t="s">
        <v>71</v>
      </c>
      <c r="C8" s="38"/>
      <c r="D8" s="38"/>
      <c r="E8" s="38"/>
      <c r="F8" s="38"/>
      <c r="G8" s="38"/>
      <c r="H8" s="38"/>
    </row>
    <row r="9">
      <c r="D9" s="40" t="s">
        <v>72</v>
      </c>
      <c r="E9" s="61">
        <f>VLOOKUP($D$2,'All Types'!$I$11:$M$25,COLUMNS('All Types'!$I$11:J$11),false)</f>
        <v>0.002430555556</v>
      </c>
      <c r="F9" s="39" t="s">
        <v>73</v>
      </c>
      <c r="J9" s="2"/>
    </row>
    <row r="10">
      <c r="D10" s="40" t="s">
        <v>74</v>
      </c>
      <c r="E10" s="62">
        <f>VLOOKUP($D$2,'All Types'!$I$11:$M$25,COLUMNS('All Types'!$I$11:K$11),false)</f>
        <v>24</v>
      </c>
      <c r="J10" s="2"/>
    </row>
    <row r="11">
      <c r="D11" s="40" t="s">
        <v>75</v>
      </c>
      <c r="E11" s="41" t="str">
        <f>VLOOKUP($D$2,'All Types'!$I$11:$M$25,COLUMNS('All Types'!$I$11:L$11),false)</f>
        <v>Weak</v>
      </c>
      <c r="J11" s="2"/>
    </row>
    <row r="12" ht="8.25" customHeight="1">
      <c r="B12" s="63"/>
    </row>
    <row r="13">
      <c r="B13" s="40" t="s">
        <v>76</v>
      </c>
      <c r="C13" s="64" t="str">
        <f>VLOOKUP($D$2,'All Types'!$I$11:$M$25,COLUMNS('All Types'!$I$11:M$11),false)</f>
        <v>Slower on earlier pours / Faster on later pours</v>
      </c>
      <c r="D13" s="65"/>
      <c r="E13" s="65"/>
      <c r="F13" s="59"/>
    </row>
    <row r="14" ht="8.25" customHeight="1">
      <c r="B14" s="38" t="s">
        <v>71</v>
      </c>
      <c r="C14" s="38"/>
      <c r="D14" s="38"/>
      <c r="E14" s="38"/>
      <c r="F14" s="38"/>
      <c r="G14" s="38"/>
      <c r="H14" s="38"/>
    </row>
    <row r="15" ht="19.5" hidden="1" customHeight="1">
      <c r="B15" s="66"/>
      <c r="C15" s="66"/>
      <c r="D15" s="66"/>
      <c r="E15" s="66"/>
      <c r="F15" s="66"/>
    </row>
    <row r="16" ht="19.5" hidden="1" customHeight="1">
      <c r="B16" s="66"/>
      <c r="C16" s="66"/>
      <c r="D16" s="66"/>
      <c r="E16" s="66"/>
      <c r="F16" s="66"/>
    </row>
    <row r="17">
      <c r="B17" s="67"/>
      <c r="C17" s="67"/>
      <c r="D17" s="67"/>
      <c r="E17" s="67"/>
      <c r="F17" s="67"/>
      <c r="G17" s="6"/>
      <c r="H17" s="6"/>
    </row>
    <row r="18">
      <c r="B18" s="60" t="s">
        <v>77</v>
      </c>
      <c r="C18" s="33"/>
      <c r="D18" s="33"/>
      <c r="E18" s="33"/>
      <c r="F18" s="33"/>
      <c r="G18" s="6"/>
      <c r="H18" s="6"/>
    </row>
    <row r="19" ht="8.25" customHeight="1">
      <c r="B19" s="38"/>
      <c r="C19" s="38"/>
      <c r="D19" s="38"/>
      <c r="E19" s="38"/>
      <c r="F19" s="38"/>
      <c r="G19" s="38"/>
      <c r="H19" s="38"/>
    </row>
    <row r="20" ht="19.5" customHeight="1">
      <c r="B20" s="68" t="str">
        <f>IFERROR("With "&amp; VLOOKUP(RSQ('Regression - Ind.'!C:C,'Regression - Ind.'!D:D),Reference!$F$2:$G$5,2,true) &amp;" certainty, increasing the Grind Size by 1-unit " &amp; if(SLOPE('Regression - Ind.'!C:C,'Regression - Ind.'!D:D) &lt; 0, "decreases","increases") &amp; " the brew time by " &amp; TEXT(SLOPE('Regression - Ind.'!C:C,'Regression - Ind.'!D:D),"#,#0.0;#,#0.0") &amp; " seconds.","Not Enough Data Points for Grind Analysis")</f>
        <v>With high certainty, increasing the Grind Size by 1-unit decreases the brew time by 4.4 seconds.</v>
      </c>
      <c r="C20" s="69"/>
      <c r="D20" s="69"/>
      <c r="E20" s="69"/>
      <c r="F20" s="70"/>
    </row>
    <row r="21" ht="19.5" customHeight="1">
      <c r="B21" s="71"/>
      <c r="C21" s="72"/>
      <c r="D21" s="72"/>
      <c r="E21" s="72"/>
      <c r="F21" s="73"/>
      <c r="G21" s="38"/>
      <c r="H21" s="38"/>
    </row>
    <row r="22" ht="8.25" customHeight="1">
      <c r="B22" s="38" t="s">
        <v>71</v>
      </c>
      <c r="C22" s="38"/>
      <c r="D22" s="38"/>
      <c r="E22" s="38"/>
      <c r="F22" s="38"/>
      <c r="G22" s="38"/>
      <c r="H22" s="38"/>
    </row>
    <row r="23">
      <c r="D23" s="40" t="s">
        <v>78</v>
      </c>
      <c r="E23" s="41">
        <f>COUNTIFS(Data!$B:$B,$D$2,Data!$K:$K,$D$4,Data!$L:$L,$D$5)</f>
        <v>6</v>
      </c>
    </row>
    <row r="24">
      <c r="A24" s="46"/>
      <c r="D24" s="40" t="s">
        <v>60</v>
      </c>
      <c r="E24" s="74">
        <f>IFERROR(_xlfn.STDEV.S('Regression - Ind.'!C:C),0)</f>
        <v>7.678975626</v>
      </c>
    </row>
    <row r="31">
      <c r="A31" s="75"/>
      <c r="L31" s="75"/>
      <c r="M31" s="75"/>
      <c r="N31" s="75"/>
      <c r="O31" s="75"/>
      <c r="P31" s="75"/>
      <c r="Q31" s="75"/>
      <c r="R31" s="75"/>
      <c r="S31" s="75"/>
      <c r="T31" s="75"/>
      <c r="U31" s="75"/>
      <c r="V31" s="75"/>
      <c r="W31" s="75"/>
      <c r="X31" s="75"/>
      <c r="Y31" s="75"/>
      <c r="Z31" s="75"/>
      <c r="AA31" s="75"/>
      <c r="AB31" s="75"/>
      <c r="AC31" s="75"/>
      <c r="AD31" s="75"/>
      <c r="AE31" s="75"/>
      <c r="AF31" s="75"/>
      <c r="AG31" s="75"/>
      <c r="AH31" s="75"/>
      <c r="AI31" s="75"/>
      <c r="AJ31" s="75"/>
      <c r="AK31" s="75"/>
      <c r="AL31" s="75"/>
      <c r="AM31" s="75"/>
      <c r="AN31" s="75"/>
      <c r="AO31" s="75"/>
      <c r="AP31" s="75"/>
      <c r="AQ31" s="75"/>
      <c r="AR31" s="75"/>
      <c r="AS31" s="75"/>
      <c r="AT31" s="75"/>
      <c r="AU31" s="75"/>
      <c r="AV31" s="75"/>
      <c r="AW31" s="75"/>
      <c r="AX31" s="75"/>
      <c r="AY31" s="75"/>
      <c r="AZ31" s="75"/>
      <c r="BA31" s="75"/>
    </row>
    <row r="48" hidden="1"/>
    <row r="51">
      <c r="A51" s="75"/>
      <c r="B51" s="76"/>
      <c r="C51" s="76"/>
      <c r="D51" s="76"/>
      <c r="E51" s="76"/>
      <c r="F51" s="76"/>
      <c r="G51" s="76"/>
      <c r="H51" s="76"/>
      <c r="I51" s="75"/>
      <c r="J51" s="75"/>
      <c r="K51" s="75"/>
      <c r="L51" s="75"/>
      <c r="M51" s="75"/>
      <c r="N51" s="75"/>
      <c r="O51" s="75"/>
      <c r="P51" s="75"/>
      <c r="Q51" s="75"/>
      <c r="R51" s="75"/>
      <c r="S51" s="75"/>
      <c r="T51" s="75"/>
      <c r="U51" s="75"/>
      <c r="V51" s="75"/>
      <c r="W51" s="75"/>
      <c r="X51" s="75"/>
      <c r="Y51" s="75"/>
      <c r="Z51" s="75"/>
      <c r="AA51" s="75"/>
      <c r="AB51" s="75"/>
      <c r="AC51" s="75"/>
      <c r="AD51" s="75"/>
      <c r="AE51" s="75"/>
      <c r="AF51" s="75"/>
      <c r="AG51" s="75"/>
      <c r="AH51" s="75"/>
      <c r="AI51" s="75"/>
      <c r="AJ51" s="75"/>
      <c r="AK51" s="75"/>
      <c r="AL51" s="75"/>
      <c r="AM51" s="75"/>
      <c r="AN51" s="75"/>
      <c r="AO51" s="75"/>
      <c r="AP51" s="75"/>
      <c r="AQ51" s="75"/>
      <c r="AR51" s="75"/>
      <c r="AS51" s="75"/>
      <c r="AT51" s="75"/>
      <c r="AU51" s="75"/>
      <c r="AV51" s="75"/>
      <c r="AW51" s="75"/>
      <c r="AX51" s="75"/>
      <c r="AY51" s="75"/>
      <c r="AZ51" s="75"/>
      <c r="BA51" s="75"/>
    </row>
    <row r="52">
      <c r="I52" s="75"/>
      <c r="J52" s="75"/>
      <c r="K52" s="75"/>
      <c r="L52" s="75"/>
      <c r="M52" s="75"/>
      <c r="N52" s="75"/>
      <c r="O52" s="75"/>
    </row>
    <row r="61">
      <c r="B61" s="2">
        <f>IF(Data!$K45='Individual Type'!$D$4,Data!M45,"")</f>
        <v>0.002488425926</v>
      </c>
    </row>
    <row r="66">
      <c r="B66" s="77"/>
    </row>
    <row r="67">
      <c r="B67" s="78"/>
    </row>
    <row r="70">
      <c r="B70" s="79"/>
    </row>
    <row r="72">
      <c r="B72" s="80"/>
    </row>
    <row r="73">
      <c r="B73" s="80"/>
    </row>
    <row r="74">
      <c r="B74" s="80"/>
    </row>
    <row r="75">
      <c r="B75" s="80"/>
    </row>
    <row r="82">
      <c r="B82" s="38"/>
    </row>
    <row r="124">
      <c r="B124" s="63"/>
    </row>
  </sheetData>
  <mergeCells count="8">
    <mergeCell ref="B2:C3"/>
    <mergeCell ref="D2:E3"/>
    <mergeCell ref="D4:E4"/>
    <mergeCell ref="D5:E5"/>
    <mergeCell ref="B7:F7"/>
    <mergeCell ref="C13:F13"/>
    <mergeCell ref="B18:F18"/>
    <mergeCell ref="B20:F21"/>
  </mergeCells>
  <conditionalFormatting sqref="E10">
    <cfRule type="colorScale" priority="1">
      <colorScale>
        <cfvo type="formula" val="27"/>
        <cfvo type="formula" val="20"/>
        <cfvo type="formula" val="10"/>
        <color rgb="FFB7E1CD"/>
        <color rgb="FFFFF2CC"/>
        <color rgb="FFEA9999"/>
      </colorScale>
    </cfRule>
  </conditionalFormatting>
  <conditionalFormatting sqref="E9">
    <cfRule type="colorScale" priority="2">
      <colorScale>
        <cfvo type="formula" val="0.002777777778"/>
        <cfvo type="formula" val="0.002430555556"/>
        <cfvo type="formula" val="0.002083333333"/>
        <color rgb="FFFFE599"/>
        <color rgb="FFB7E1CD"/>
        <color rgb="FFFFE599"/>
      </colorScale>
    </cfRule>
  </conditionalFormatting>
  <dataValidations>
    <dataValidation type="list" allowBlank="1" sqref="D2">
      <formula1>Reference!$C$2:$C$1000</formula1>
    </dataValidation>
  </dataValidation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D966"/>
    <outlinePr summaryBelow="0" summaryRight="0"/>
  </sheetPr>
  <sheetViews>
    <sheetView showGridLines="0" workbookViewId="0"/>
  </sheetViews>
  <sheetFormatPr customHeight="1" defaultColWidth="14.43" defaultRowHeight="15.75"/>
  <cols>
    <col customWidth="1" min="1" max="1" width="3.57"/>
    <col customWidth="1" min="2" max="5" width="23.86"/>
    <col customWidth="1" min="6" max="7" width="3.57"/>
    <col customWidth="1" hidden="1" min="8" max="8" width="9.71"/>
    <col customWidth="1" min="9" max="9" width="44.86"/>
    <col customWidth="1" min="10" max="12" width="9.71"/>
    <col customWidth="1" min="13" max="13" width="54.14"/>
    <col customWidth="1" min="14" max="45" width="8.86"/>
  </cols>
  <sheetData>
    <row r="1">
      <c r="B1" s="6"/>
      <c r="C1" s="6"/>
      <c r="D1" s="6"/>
      <c r="E1" s="6"/>
      <c r="F1" s="6"/>
      <c r="G1" s="6"/>
      <c r="H1" s="11"/>
      <c r="I1" s="6"/>
      <c r="J1" s="11"/>
      <c r="K1" s="11"/>
      <c r="L1" s="11"/>
      <c r="M1" s="17"/>
    </row>
    <row r="2">
      <c r="A2" s="18"/>
      <c r="C2" s="19" t="s">
        <v>55</v>
      </c>
      <c r="D2" s="20" t="s">
        <v>18</v>
      </c>
      <c r="E2" s="21"/>
      <c r="F2" s="22"/>
      <c r="G2" s="22"/>
      <c r="H2" s="23"/>
      <c r="I2" s="24"/>
      <c r="J2" s="23"/>
      <c r="K2" s="23"/>
      <c r="L2" s="23"/>
      <c r="M2" s="25"/>
      <c r="N2" s="26"/>
      <c r="O2" s="26"/>
      <c r="P2" s="26"/>
      <c r="Q2" s="26"/>
      <c r="R2" s="26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8"/>
      <c r="BF2" s="18"/>
      <c r="BG2" s="18"/>
      <c r="BH2" s="18"/>
      <c r="BI2" s="18"/>
      <c r="BJ2" s="18"/>
      <c r="BK2" s="18"/>
    </row>
    <row r="3">
      <c r="B3" s="27"/>
      <c r="C3" s="19" t="s">
        <v>56</v>
      </c>
      <c r="D3" s="20" t="s">
        <v>13</v>
      </c>
      <c r="E3" s="27"/>
      <c r="F3" s="6"/>
      <c r="G3" s="6"/>
      <c r="H3" s="28"/>
      <c r="I3" s="29"/>
      <c r="J3" s="28"/>
      <c r="K3" s="28"/>
      <c r="L3" s="28"/>
      <c r="M3" s="30"/>
      <c r="N3" s="31"/>
      <c r="O3" s="31"/>
      <c r="P3" s="31"/>
      <c r="Q3" s="31"/>
      <c r="R3" s="31"/>
    </row>
    <row r="4" ht="20.25" customHeight="1">
      <c r="B4" s="27"/>
      <c r="C4" s="27"/>
      <c r="D4" s="27"/>
      <c r="E4" s="27"/>
      <c r="F4" s="27"/>
      <c r="G4" s="6"/>
      <c r="H4" s="6"/>
    </row>
    <row r="5">
      <c r="B5" s="32" t="s">
        <v>57</v>
      </c>
      <c r="C5" s="33"/>
      <c r="D5" s="33"/>
      <c r="E5" s="33"/>
      <c r="F5" s="6"/>
      <c r="G5" s="6"/>
      <c r="H5" s="34"/>
      <c r="I5" s="35" t="s">
        <v>58</v>
      </c>
      <c r="J5" s="34"/>
      <c r="K5" s="34"/>
      <c r="L5" s="34"/>
      <c r="M5" s="36"/>
      <c r="N5" s="37"/>
      <c r="O5" s="37"/>
      <c r="P5" s="37"/>
      <c r="Q5" s="37"/>
      <c r="R5" s="37"/>
    </row>
    <row r="6">
      <c r="B6" s="38"/>
      <c r="C6" s="38"/>
      <c r="D6" s="38"/>
      <c r="E6" s="38"/>
      <c r="F6" s="38"/>
      <c r="G6" s="38"/>
      <c r="H6" s="11"/>
      <c r="I6" s="39" t="s">
        <v>59</v>
      </c>
      <c r="J6" s="11"/>
      <c r="K6" s="11"/>
      <c r="L6" s="11"/>
      <c r="M6" s="17"/>
    </row>
    <row r="7">
      <c r="B7" s="38"/>
      <c r="C7" s="40" t="str">
        <f>'Individual Type'!D23</f>
        <v>Collected Oberservations: </v>
      </c>
      <c r="D7" s="41">
        <f>COUNT('Regression - All'!A:A)</f>
        <v>40</v>
      </c>
      <c r="E7" s="38"/>
      <c r="F7" s="38"/>
      <c r="G7" s="38"/>
      <c r="H7" s="11"/>
      <c r="J7" s="11"/>
      <c r="K7" s="11"/>
      <c r="L7" s="11"/>
      <c r="M7" s="17"/>
    </row>
    <row r="8">
      <c r="B8" s="38"/>
      <c r="C8" s="40" t="s">
        <v>60</v>
      </c>
      <c r="D8" s="42">
        <f>_xlfn.STDEV.S('Regression - All'!C:C)</f>
        <v>6.886441528</v>
      </c>
      <c r="E8" s="38"/>
      <c r="F8" s="38"/>
      <c r="G8" s="38"/>
      <c r="J8" s="11"/>
      <c r="K8" s="11"/>
      <c r="L8" s="11"/>
      <c r="M8" s="17"/>
    </row>
    <row r="9">
      <c r="B9" s="38"/>
      <c r="C9" s="38"/>
      <c r="D9" s="38"/>
      <c r="E9" s="38"/>
      <c r="F9" s="38"/>
      <c r="G9" s="38"/>
      <c r="H9" s="11"/>
      <c r="J9" s="11"/>
      <c r="K9" s="11"/>
      <c r="L9" s="11"/>
      <c r="M9" s="17"/>
    </row>
    <row r="10">
      <c r="H10" s="43" t="s">
        <v>61</v>
      </c>
      <c r="I10" s="44" t="s">
        <v>62</v>
      </c>
      <c r="J10" s="43" t="s">
        <v>63</v>
      </c>
      <c r="K10" s="43" t="s">
        <v>64</v>
      </c>
      <c r="L10" s="43" t="s">
        <v>65</v>
      </c>
      <c r="M10" s="45" t="s">
        <v>66</v>
      </c>
    </row>
    <row r="11">
      <c r="A11" s="46"/>
      <c r="H11" s="47" t="str">
        <f>IF(MINIFS(Data!A:A,Data!O:O,MINIFS(Data!O:O, Data!$B:$B,$I11,Data!$K:$K,$D$2,Data!$L:$L,$D$3),Data!$B:$B,$I11,Data!$K:$K,$D$2,Data!$L:$L,$D$3)=0,"",
MINIFS(Data!A:A,Data!O:O,MINIFS(Data!O:O, Data!$B:$B,$I11,Data!$K:$K,$D$2,Data!$L:$L,$D$3),Data!$B:$B,$I11,Data!$K:$K,$D$2,Data!$L:$L,$D$3))</f>
        <v/>
      </c>
      <c r="I11" s="48" t="str">
        <f>IFERROR(__xludf.DUMMYFUNCTION("UNIQUE(Data!B2:B1000)"),"Columbia San Jose - Decaf (Onyx)")</f>
        <v>Columbia San Jose - Decaf (Onyx)</v>
      </c>
      <c r="J11" s="49" t="str">
        <f t="array" ref="J11">IFERROR(INDEX(Data!M:M,MATCH($H11,Data!$A:$A,0),1),"")</f>
        <v/>
      </c>
      <c r="K11" s="50" t="str">
        <f t="array" ref="K11">IFERROR(INDEX(Data!C:C,MATCH($H11,Data!$A:$A,0),1),"")</f>
        <v/>
      </c>
      <c r="L11" s="51" t="str">
        <f t="array" ref="L11">IFERROR(INDEX(Data!E:E,MATCH($H11,Data!$A:$A,0),1),"")</f>
        <v/>
      </c>
      <c r="M11" s="51" t="str">
        <f t="array" ref="M11">IFERROR(INDEX(Data!H:H,MATCH($H11,Data!$A:$A,0),1),"")</f>
        <v/>
      </c>
    </row>
    <row r="12">
      <c r="H12" s="47">
        <f>IF(MINIFS(Data!A:A,Data!O:O,MINIFS(Data!O:O, Data!$B:$B,$I12,Data!$K:$K,$D$2,Data!$L:$L,$D$3),Data!$B:$B,$I12,Data!$K:$K,$D$2,Data!$L:$L,$D$3)=0,"",
MINIFS(Data!A:A,Data!O:O,MINIFS(Data!O:O, Data!$B:$B,$I12,Data!$K:$K,$D$2,Data!$L:$L,$D$3),Data!$B:$B,$I12,Data!$K:$K,$D$2,Data!$L:$L,$D$3))</f>
        <v>43923.38563</v>
      </c>
      <c r="I12" s="52" t="str">
        <f>IFERROR(__xludf.DUMMYFUNCTION("""COMPUTED_VALUE"""),"Southern Weather (Onyx)")</f>
        <v>Southern Weather (Onyx)</v>
      </c>
      <c r="J12" s="49">
        <f t="array" ref="J12">IFERROR(INDEX(Data!M:M,MATCH($H12,Data!$A:$A,0),1),"")</f>
        <v>0.002430555556</v>
      </c>
      <c r="K12" s="50">
        <f t="array" ref="K12">IFERROR(INDEX(Data!C:C,MATCH($H12,Data!$A:$A,0),1),"")</f>
        <v>20</v>
      </c>
      <c r="L12" s="51" t="str">
        <f t="array" ref="L12">IFERROR(INDEX(Data!E:E,MATCH($H12,Data!$A:$A,0),1),"")</f>
        <v>Weak</v>
      </c>
      <c r="M12" s="51" t="str">
        <f t="array" ref="M12">IFERROR(INDEX(Data!H:H,MATCH($H12,Data!$A:$A,0),1),"")</f>
        <v>Slower on earlier pours / Faster on later pours</v>
      </c>
    </row>
    <row r="13">
      <c r="H13" s="47" t="str">
        <f>IF(MINIFS(Data!A:A,Data!O:O,MINIFS(Data!O:O, Data!$B:$B,$I13,Data!$K:$K,$D$2,Data!$L:$L,$D$3),Data!$B:$B,$I13,Data!$K:$K,$D$2,Data!$L:$L,$D$3)=0,"",
MINIFS(Data!A:A,Data!O:O,MINIFS(Data!O:O, Data!$B:$B,$I13,Data!$K:$K,$D$2,Data!$L:$L,$D$3),Data!$B:$B,$I13,Data!$K:$K,$D$2,Data!$L:$L,$D$3))</f>
        <v/>
      </c>
      <c r="I13" s="52" t="str">
        <f>IFERROR(__xludf.DUMMYFUNCTION("""COMPUTED_VALUE"""),"Columbia Aponte Village (Onyx)")</f>
        <v>Columbia Aponte Village (Onyx)</v>
      </c>
      <c r="J13" s="49" t="str">
        <f t="array" ref="J13">IFERROR(INDEX(Data!M:M,MATCH($H13,Data!$A:$A,0),1),"")</f>
        <v/>
      </c>
      <c r="K13" s="50" t="str">
        <f t="array" ref="K13">IFERROR(INDEX(Data!C:C,MATCH($H13,Data!$A:$A,0),1),"")</f>
        <v/>
      </c>
      <c r="L13" s="51" t="str">
        <f t="array" ref="L13">IFERROR(INDEX(Data!E:E,MATCH($H13,Data!$A:$A,0),1),"")</f>
        <v/>
      </c>
      <c r="M13" s="51" t="str">
        <f t="array" ref="M13">IFERROR(INDEX(Data!H:H,MATCH($H13,Data!$A:$A,0),1),"")</f>
        <v/>
      </c>
    </row>
    <row r="14">
      <c r="H14" s="47" t="str">
        <f>IF(MINIFS(Data!A:A,Data!O:O,MINIFS(Data!O:O, Data!$B:$B,$I14,Data!$K:$K,$D$2,Data!$L:$L,$D$3),Data!$B:$B,$I14,Data!$K:$K,$D$2,Data!$L:$L,$D$3)=0,"",
MINIFS(Data!A:A,Data!O:O,MINIFS(Data!O:O, Data!$B:$B,$I14,Data!$K:$K,$D$2,Data!$L:$L,$D$3),Data!$B:$B,$I14,Data!$K:$K,$D$2,Data!$L:$L,$D$3))</f>
        <v/>
      </c>
      <c r="I14" s="52" t="str">
        <f>IFERROR(__xludf.DUMMYFUNCTION("""COMPUTED_VALUE"""),"Tropical Weather (Onyx)")</f>
        <v>Tropical Weather (Onyx)</v>
      </c>
      <c r="J14" s="49" t="str">
        <f t="array" ref="J14">IFERROR(INDEX(Data!M:M,MATCH($H14,Data!$A:$A,0),1),"")</f>
        <v/>
      </c>
      <c r="K14" s="50" t="str">
        <f t="array" ref="K14">IFERROR(INDEX(Data!C:C,MATCH($H14,Data!$A:$A,0),1),"")</f>
        <v/>
      </c>
      <c r="L14" s="51" t="str">
        <f t="array" ref="L14">IFERROR(INDEX(Data!E:E,MATCH($H14,Data!$A:$A,0),1),"")</f>
        <v/>
      </c>
      <c r="M14" s="51" t="str">
        <f t="array" ref="M14">IFERROR(INDEX(Data!H:H,MATCH($H14,Data!$A:$A,0),1),"")</f>
        <v/>
      </c>
    </row>
    <row r="15">
      <c r="H15" s="47">
        <f>IF(MINIFS(Data!A:A,Data!O:O,MINIFS(Data!O:O, Data!$B:$B,$I15,Data!$K:$K,$D$2,Data!$L:$L,$D$3),Data!$B:$B,$I15,Data!$K:$K,$D$2,Data!$L:$L,$D$3)=0,"",
MINIFS(Data!A:A,Data!O:O,MINIFS(Data!O:O, Data!$B:$B,$I15,Data!$K:$K,$D$2,Data!$L:$L,$D$3),Data!$B:$B,$I15,Data!$K:$K,$D$2,Data!$L:$L,$D$3))</f>
        <v>43933.93426</v>
      </c>
      <c r="I15" s="52" t="str">
        <f>IFERROR(__xludf.DUMMYFUNCTION("""COMPUTED_VALUE"""),"Columbia Cauca - Decaf (Onyx)")</f>
        <v>Columbia Cauca - Decaf (Onyx)</v>
      </c>
      <c r="J15" s="49">
        <f t="array" ref="J15">IFERROR(INDEX(Data!M:M,MATCH($H15,Data!$A:$A,0),1),"")</f>
        <v>0.002430555556</v>
      </c>
      <c r="K15" s="50">
        <f t="array" ref="K15">IFERROR(INDEX(Data!C:C,MATCH($H15,Data!$A:$A,0),1),"")</f>
        <v>24</v>
      </c>
      <c r="L15" s="51" t="str">
        <f t="array" ref="L15">IFERROR(INDEX(Data!E:E,MATCH($H15,Data!$A:$A,0),1),"")</f>
        <v>Pefect!</v>
      </c>
      <c r="M15" s="51" t="str">
        <f t="array" ref="M15">IFERROR(INDEX(Data!H:H,MATCH($H15,Data!$A:$A,0),1),"")</f>
        <v>Slower on earlier pours / Faster on later pours</v>
      </c>
    </row>
    <row r="16">
      <c r="H16" s="47">
        <f>IF(MINIFS(Data!A:A,Data!O:O,MINIFS(Data!O:O, Data!$B:$B,$I16,Data!$K:$K,$D$2,Data!$L:$L,$D$3),Data!$B:$B,$I16,Data!$K:$K,$D$2,Data!$L:$L,$D$3)=0,"",
MINIFS(Data!A:A,Data!O:O,MINIFS(Data!O:O, Data!$B:$B,$I16,Data!$K:$K,$D$2,Data!$L:$L,$D$3),Data!$B:$B,$I16,Data!$K:$K,$D$2,Data!$L:$L,$D$3))</f>
        <v>43933.80232</v>
      </c>
      <c r="I16" s="52" t="str">
        <f>IFERROR(__xludf.DUMMYFUNCTION("""COMPUTED_VALUE"""),"Monarch (Onyx)")</f>
        <v>Monarch (Onyx)</v>
      </c>
      <c r="J16" s="49">
        <f t="array" ref="J16">IFERROR(INDEX(Data!M:M,MATCH($H16,Data!$A:$A,0),1),"")</f>
        <v>0.002430555556</v>
      </c>
      <c r="K16" s="50">
        <f t="array" ref="K16">IFERROR(INDEX(Data!C:C,MATCH($H16,Data!$A:$A,0),1),"")</f>
        <v>21</v>
      </c>
      <c r="L16" s="51" t="str">
        <f t="array" ref="L16">IFERROR(INDEX(Data!E:E,MATCH($H16,Data!$A:$A,0),1),"")</f>
        <v>Pefect!</v>
      </c>
      <c r="M16" s="51" t="str">
        <f t="array" ref="M16">IFERROR(INDEX(Data!H:H,MATCH($H16,Data!$A:$A,0),1),"")</f>
        <v>Slower on earlier pours / Faster on later pours</v>
      </c>
    </row>
    <row r="17">
      <c r="H17" s="47">
        <f>IF(MINIFS(Data!A:A,Data!O:O,MINIFS(Data!O:O, Data!$B:$B,$I17,Data!$K:$K,$D$2,Data!$L:$L,$D$3),Data!$B:$B,$I17,Data!$K:$K,$D$2,Data!$L:$L,$D$3)=0,"",
MINIFS(Data!A:A,Data!O:O,MINIFS(Data!O:O, Data!$B:$B,$I17,Data!$K:$K,$D$2,Data!$L:$L,$D$3),Data!$B:$B,$I17,Data!$K:$K,$D$2,Data!$L:$L,$D$3))</f>
        <v>43921.3933</v>
      </c>
      <c r="I17" s="52" t="str">
        <f>IFERROR(__xludf.DUMMYFUNCTION("""COMPUTED_VALUE"""),"Puru Vilcanzia (Onyx)")</f>
        <v>Puru Vilcanzia (Onyx)</v>
      </c>
      <c r="J17" s="49">
        <f t="array" ref="J17">IFERROR(INDEX(Data!M:M,MATCH($H17,Data!$A:$A,0),1),"")</f>
        <v>0.002476851852</v>
      </c>
      <c r="K17" s="50">
        <f t="array" ref="K17">IFERROR(INDEX(Data!C:C,MATCH($H17,Data!$A:$A,0),1),"")</f>
        <v>23</v>
      </c>
      <c r="L17" s="51" t="str">
        <f t="array" ref="L17">IFERROR(INDEX(Data!E:E,MATCH($H17,Data!$A:$A,0),1),"")</f>
        <v>Sweet</v>
      </c>
      <c r="M17" s="51" t="str">
        <f t="array" ref="M17">IFERROR(INDEX(Data!H:H,MATCH($H17,Data!$A:$A,0),1),"")</f>
        <v>Slower on earlier pours / Faster on later pours</v>
      </c>
    </row>
    <row r="18">
      <c r="A18" s="75"/>
      <c r="H18" s="47">
        <f>IF(MINIFS(Data!A:A,Data!O:O,MINIFS(Data!O:O, Data!$B:$B,$I18,Data!$K:$K,$D$2,Data!$L:$L,$D$3),Data!$B:$B,$I18,Data!$K:$K,$D$2,Data!$L:$L,$D$3)=0,"",
MINIFS(Data!A:A,Data!O:O,MINIFS(Data!O:O, Data!$B:$B,$I18,Data!$K:$K,$D$2,Data!$L:$L,$D$3),Data!$B:$B,$I18,Data!$K:$K,$D$2,Data!$L:$L,$D$3))</f>
        <v>43932.84927</v>
      </c>
      <c r="I18" s="52" t="str">
        <f>IFERROR(__xludf.DUMMYFUNCTION("""COMPUTED_VALUE"""),"Columbia Tablón de Gomez Los Rosales")</f>
        <v>Columbia Tablón de Gomez Los Rosales</v>
      </c>
      <c r="J18" s="49">
        <f t="array" ref="J18">IFERROR(INDEX(Data!M:M,MATCH($H18,Data!$A:$A,0),1),"")</f>
        <v>0.002430555556</v>
      </c>
      <c r="K18" s="50">
        <f t="array" ref="K18">IFERROR(INDEX(Data!C:C,MATCH($H18,Data!$A:$A,0),1),"")</f>
        <v>24</v>
      </c>
      <c r="L18" s="51" t="str">
        <f t="array" ref="L18">IFERROR(INDEX(Data!E:E,MATCH($H18,Data!$A:$A,0),1),"")</f>
        <v>Weak</v>
      </c>
      <c r="M18" s="51" t="str">
        <f t="array" ref="M18">IFERROR(INDEX(Data!H:H,MATCH($H18,Data!$A:$A,0),1),"")</f>
        <v>Slower on earlier pours / Faster on later pours</v>
      </c>
      <c r="V18" s="75"/>
      <c r="W18" s="75"/>
      <c r="X18" s="75"/>
      <c r="Y18" s="75"/>
      <c r="Z18" s="75"/>
      <c r="AA18" s="75"/>
      <c r="AB18" s="75"/>
      <c r="AC18" s="75"/>
      <c r="AD18" s="75"/>
      <c r="AE18" s="75"/>
      <c r="AF18" s="75"/>
      <c r="AG18" s="75"/>
      <c r="AH18" s="75"/>
      <c r="AI18" s="75"/>
      <c r="AJ18" s="75"/>
      <c r="AK18" s="75"/>
      <c r="AL18" s="75"/>
      <c r="AM18" s="75"/>
      <c r="AN18" s="75"/>
      <c r="AO18" s="75"/>
      <c r="AP18" s="75"/>
      <c r="AQ18" s="75"/>
      <c r="AR18" s="75"/>
      <c r="AS18" s="75"/>
      <c r="AT18" s="75"/>
      <c r="AU18" s="75"/>
      <c r="AV18" s="75"/>
      <c r="AW18" s="75"/>
      <c r="AX18" s="75"/>
      <c r="AY18" s="75"/>
      <c r="AZ18" s="75"/>
      <c r="BA18" s="75"/>
      <c r="BB18" s="75"/>
      <c r="BC18" s="75"/>
      <c r="BD18" s="75"/>
      <c r="BE18" s="75"/>
      <c r="BF18" s="75"/>
      <c r="BG18" s="75"/>
      <c r="BH18" s="75"/>
      <c r="BI18" s="75"/>
      <c r="BJ18" s="75"/>
      <c r="BK18" s="75"/>
    </row>
    <row r="19">
      <c r="H19" s="47" t="str">
        <f>IF(MINIFS(Data!A:A,Data!O:O,MINIFS(Data!O:O, Data!$B:$B,$I19,Data!$K:$K,$D$2,Data!$L:$L,$D$3),Data!$B:$B,$I19,Data!$K:$K,$D$2,Data!$L:$L,$D$3)=0,"",
MINIFS(Data!A:A,Data!O:O,MINIFS(Data!O:O, Data!$B:$B,$I19,Data!$K:$K,$D$2,Data!$L:$L,$D$3),Data!$B:$B,$I19,Data!$K:$K,$D$2,Data!$L:$L,$D$3))</f>
        <v/>
      </c>
      <c r="I19" s="52" t="str">
        <f>IFERROR(__xludf.DUMMYFUNCTION("""COMPUTED_VALUE"""),"")</f>
        <v/>
      </c>
      <c r="J19" s="49" t="str">
        <f t="array" ref="J19">IFERROR(INDEX(Data!M:M,MATCH($H19,Data!$A:$A,0),1),"")</f>
        <v/>
      </c>
      <c r="K19" s="50" t="str">
        <f t="array" ref="K19">IFERROR(INDEX(Data!C:C,MATCH($H19,Data!$A:$A,0),1),"")</f>
        <v/>
      </c>
      <c r="L19" s="51" t="str">
        <f t="array" ref="L19">IFERROR(INDEX(Data!E:E,MATCH($H19,Data!$A:$A,0),1),"")</f>
        <v/>
      </c>
      <c r="M19" s="51" t="str">
        <f t="array" ref="M19">IFERROR(INDEX(Data!H:H,MATCH($H19,Data!$A:$A,0),1),"")</f>
        <v/>
      </c>
    </row>
    <row r="20">
      <c r="H20" s="47" t="str">
        <f>IF(MINIFS(Data!A:A,Data!O:O,MINIFS(Data!O:O, Data!$B:$B,$I20,Data!$K:$K,$D$2,Data!$L:$L,$D$3),Data!$B:$B,$I20,Data!$K:$K,$D$2,Data!$L:$L,$D$3)=0,"",
MINIFS(Data!A:A,Data!O:O,MINIFS(Data!O:O, Data!$B:$B,$I20,Data!$K:$K,$D$2,Data!$L:$L,$D$3),Data!$B:$B,$I20,Data!$K:$K,$D$2,Data!$L:$L,$D$3))</f>
        <v/>
      </c>
      <c r="I20" s="52"/>
      <c r="J20" s="49" t="str">
        <f t="array" ref="J20">IFERROR(INDEX(Data!M:M,MATCH($H20,Data!$A:$A,0),1),"")</f>
        <v/>
      </c>
      <c r="K20" s="50" t="str">
        <f t="array" ref="K20">IFERROR(INDEX(Data!C:C,MATCH($H20,Data!$A:$A,0),1),"")</f>
        <v/>
      </c>
      <c r="L20" s="51" t="str">
        <f t="array" ref="L20">IFERROR(INDEX(Data!E:E,MATCH($H20,Data!$A:$A,0),1),"")</f>
        <v/>
      </c>
      <c r="M20" s="51" t="str">
        <f t="array" ref="M20">IFERROR(INDEX(Data!H:H,MATCH($H20,Data!$A:$A,0),1),"")</f>
        <v/>
      </c>
    </row>
    <row r="21">
      <c r="H21" s="11"/>
      <c r="J21" s="11"/>
      <c r="K21" s="11"/>
      <c r="L21" s="11"/>
      <c r="M21" s="17"/>
    </row>
    <row r="22">
      <c r="H22" s="11"/>
      <c r="J22" s="11"/>
      <c r="K22" s="11"/>
      <c r="L22" s="11"/>
      <c r="M22" s="17"/>
    </row>
    <row r="23">
      <c r="E23" s="4" t="s">
        <v>83</v>
      </c>
      <c r="H23" s="11"/>
      <c r="I23" s="38"/>
      <c r="J23" s="11"/>
      <c r="K23" s="11"/>
      <c r="L23" s="11"/>
      <c r="M23" s="17"/>
    </row>
    <row r="24">
      <c r="H24" s="11"/>
      <c r="I24" s="38"/>
      <c r="J24" s="11"/>
      <c r="K24" s="11"/>
      <c r="L24" s="11"/>
      <c r="M24" s="17"/>
    </row>
    <row r="25">
      <c r="H25" s="11"/>
      <c r="J25" s="11"/>
      <c r="K25" s="11"/>
      <c r="L25" s="11"/>
    </row>
    <row r="26">
      <c r="H26" s="11"/>
      <c r="J26" s="11"/>
      <c r="K26" s="11"/>
      <c r="L26" s="11"/>
    </row>
    <row r="27">
      <c r="H27" s="11"/>
      <c r="J27" s="11"/>
      <c r="K27" s="11"/>
      <c r="L27" s="11"/>
    </row>
    <row r="28">
      <c r="H28" s="11"/>
      <c r="J28" s="11"/>
      <c r="K28" s="11"/>
      <c r="L28" s="11"/>
      <c r="M28" s="17"/>
    </row>
    <row r="29">
      <c r="H29" s="43"/>
      <c r="I29" s="44" t="str">
        <f>IFERROR(__xludf.DUMMYFUNCTION("UNIQUE(Data!E:E)"),"Comments on Brew Outcome")</f>
        <v>Comments on Brew Outcome</v>
      </c>
      <c r="J29" s="43" t="s">
        <v>84</v>
      </c>
      <c r="K29" s="43" t="s">
        <v>85</v>
      </c>
      <c r="L29" s="43" t="s">
        <v>86</v>
      </c>
      <c r="M29" s="75"/>
    </row>
    <row r="30">
      <c r="H30" s="88"/>
      <c r="I30" s="48" t="str">
        <f>IFERROR(__xludf.DUMMYFUNCTION("""COMPUTED_VALUE"""),"Dark")</f>
        <v>Dark</v>
      </c>
      <c r="J30" s="88">
        <f>iferror(MINIFS(Data!$C:$C,Data!$E:$E,$I30,Data!$K:$K,$D$2,Data!$L:$L,$D$3),"")</f>
        <v>20</v>
      </c>
      <c r="K30" s="88">
        <f>iferror(MINIFS(Data!$C:$C,Data!$E:$E,$I30,Data!$K:$K,$D$2,Data!$L:$L,$D$3),"")</f>
        <v>20</v>
      </c>
      <c r="L30" s="89">
        <f>iferror(AVERAGEIFS(Data!$C:$C,Data!$E:$E,$I30,Data!$K:$K,$D$2,Data!$L:$L,$D$3),"")</f>
        <v>21.66666667</v>
      </c>
      <c r="M30" s="63"/>
    </row>
    <row r="31">
      <c r="H31" s="88"/>
      <c r="I31" s="48" t="str">
        <f>IFERROR(__xludf.DUMMYFUNCTION("""COMPUTED_VALUE"""),"Pefect!")</f>
        <v>Pefect!</v>
      </c>
      <c r="J31" s="88">
        <f>iferror(MINIFS(Data!$C:$C,Data!$E:$E,$I31,Data!$K:$K,$D$2,Data!$L:$L,$D$3),"")</f>
        <v>20</v>
      </c>
      <c r="K31" s="88">
        <f>iferror(MINIFS(Data!$C:$C,Data!$E:$E,$I31,Data!$K:$K,$D$2,Data!$L:$L,$D$3),"")</f>
        <v>20</v>
      </c>
      <c r="L31" s="88">
        <f>iferror(AVERAGEIFS(Data!$C:$C,Data!$E:$E,$I31,Data!$K:$K,$D$2,Data!$L:$L,$D$3),"")</f>
        <v>21.875</v>
      </c>
      <c r="M31" s="90"/>
    </row>
    <row r="32">
      <c r="H32" s="88"/>
      <c r="I32" s="48" t="str">
        <f>IFERROR(__xludf.DUMMYFUNCTION("""COMPUTED_VALUE"""),"Bitter")</f>
        <v>Bitter</v>
      </c>
      <c r="J32" s="88">
        <f>iferror(MINIFS(Data!$C:$C,Data!$E:$E,$I32,Data!$K:$K,$D$2,Data!$L:$L,$D$3),"")</f>
        <v>17</v>
      </c>
      <c r="K32" s="88">
        <f>iferror(MINIFS(Data!$C:$C,Data!$E:$E,$I32,Data!$K:$K,$D$2,Data!$L:$L,$D$3),"")</f>
        <v>17</v>
      </c>
      <c r="L32" s="88">
        <f>iferror(AVERAGEIFS(Data!$C:$C,Data!$E:$E,$I32,Data!$K:$K,$D$2,Data!$L:$L,$D$3),"")</f>
        <v>19.28571429</v>
      </c>
      <c r="M32" s="90"/>
    </row>
    <row r="33">
      <c r="H33" s="88"/>
      <c r="I33" s="48" t="str">
        <f>IFERROR(__xludf.DUMMYFUNCTION("""COMPUTED_VALUE"""),"Weak")</f>
        <v>Weak</v>
      </c>
      <c r="J33" s="88">
        <f>iferror(MINIFS(Data!$C:$C,Data!$E:$E,$I33,Data!$K:$K,$D$2,Data!$L:$L,$D$3),"")</f>
        <v>20</v>
      </c>
      <c r="K33" s="88">
        <f>iferror(MINIFS(Data!$C:$C,Data!$E:$E,$I33,Data!$K:$K,$D$2,Data!$L:$L,$D$3),"")</f>
        <v>20</v>
      </c>
      <c r="L33" s="88">
        <f>iferror(AVERAGEIFS(Data!$C:$C,Data!$E:$E,$I33,Data!$K:$K,$D$2,Data!$L:$L,$D$3),"")</f>
        <v>22</v>
      </c>
      <c r="M33" s="90"/>
    </row>
    <row r="34" hidden="1">
      <c r="H34" s="88"/>
      <c r="I34" s="48" t="str">
        <f>IFERROR(__xludf.DUMMYFUNCTION("""COMPUTED_VALUE"""),"")</f>
        <v/>
      </c>
      <c r="J34" s="88">
        <f>iferror(MINIFS(Data!$C:$C,Data!$E:$E,$I34,Data!$K:$K,$D$2,Data!$L:$L,$D$3),"")</f>
        <v>0</v>
      </c>
      <c r="K34" s="88">
        <f>iferror(MINIFS(Data!$C:$C,Data!$E:$E,$I34,Data!$K:$K,$D$2,Data!$L:$L,$D$3),"")</f>
        <v>0</v>
      </c>
      <c r="L34" s="88" t="str">
        <f>iferror(AVERAGEIFS(Data!$C:$C,Data!$E:$E,$I34,Data!$K:$K,$D$2,Data!$L:$L,$D$3),"")</f>
        <v/>
      </c>
      <c r="M34" s="90"/>
    </row>
    <row r="35">
      <c r="H35" s="88"/>
      <c r="I35" s="48" t="str">
        <f>IFERROR(__xludf.DUMMYFUNCTION("""COMPUTED_VALUE"""),"No Taste")</f>
        <v>No Taste</v>
      </c>
      <c r="J35" s="88">
        <f>iferror(MINIFS(Data!$C:$C,Data!$E:$E,$I35,Data!$K:$K,$D$2,Data!$L:$L,$D$3),"")</f>
        <v>20</v>
      </c>
      <c r="K35" s="88">
        <f>iferror(MINIFS(Data!$C:$C,Data!$E:$E,$I35,Data!$K:$K,$D$2,Data!$L:$L,$D$3),"")</f>
        <v>20</v>
      </c>
      <c r="L35" s="88">
        <f>iferror(AVERAGEIFS(Data!$C:$C,Data!$E:$E,$I35,Data!$K:$K,$D$2,Data!$L:$L,$D$3),"")</f>
        <v>20</v>
      </c>
      <c r="M35" s="90"/>
    </row>
    <row r="36">
      <c r="H36" s="88"/>
      <c r="I36" s="52" t="str">
        <f>IFERROR(__xludf.DUMMYFUNCTION("""COMPUTED_VALUE"""),"Sweet")</f>
        <v>Sweet</v>
      </c>
      <c r="J36" s="88">
        <f>iferror(MINIFS(Data!$C:$C,Data!$E:$E,$I36,Data!$K:$K,$D$2,Data!$L:$L,$D$3),"")</f>
        <v>19</v>
      </c>
      <c r="K36" s="88">
        <f>iferror(MINIFS(Data!$C:$C,Data!$E:$E,$I36,Data!$K:$K,$D$2,Data!$L:$L,$D$3),"")</f>
        <v>19</v>
      </c>
      <c r="L36" s="88">
        <f>iferror(AVERAGEIFS(Data!$C:$C,Data!$E:$E,$I36,Data!$K:$K,$D$2,Data!$L:$L,$D$3),"")</f>
        <v>21.9</v>
      </c>
      <c r="M36" s="90"/>
    </row>
    <row r="37">
      <c r="I37" s="3" t="str">
        <f>IFERROR(__xludf.DUMMYFUNCTION("""COMPUTED_VALUE"""),"Nutty")</f>
        <v>Nutty</v>
      </c>
      <c r="J37" s="88">
        <f>iferror(MINIFS(Data!$C:$C,Data!$E:$E,$I37,Data!$K:$K,$D$2,Data!$L:$L,$D$3),"")</f>
        <v>23</v>
      </c>
      <c r="K37" s="88">
        <f>iferror(MINIFS(Data!$C:$C,Data!$E:$E,$I37,Data!$K:$K,$D$2,Data!$L:$L,$D$3),"")</f>
        <v>23</v>
      </c>
      <c r="L37" s="88">
        <f>iferror(AVERAGEIFS(Data!$C:$C,Data!$E:$E,$I37,Data!$K:$K,$D$2,Data!$L:$L,$D$3),"")</f>
        <v>23.5</v>
      </c>
      <c r="M37" s="90"/>
    </row>
    <row r="38">
      <c r="A38" s="75"/>
      <c r="B38" s="76"/>
      <c r="C38" s="76"/>
      <c r="D38" s="76"/>
      <c r="E38" s="76"/>
      <c r="F38" s="76"/>
      <c r="G38" s="76"/>
      <c r="H38" s="91"/>
      <c r="I38" s="3" t="str">
        <f>IFERROR(__xludf.DUMMYFUNCTION("""COMPUTED_VALUE"""),"Brewed for Someone Else")</f>
        <v>Brewed for Someone Else</v>
      </c>
      <c r="J38" s="91"/>
      <c r="K38" s="11"/>
      <c r="L38" s="11"/>
      <c r="N38" s="75"/>
      <c r="O38" s="75"/>
      <c r="P38" s="75"/>
      <c r="Q38" s="75"/>
      <c r="R38" s="75"/>
      <c r="S38" s="75"/>
      <c r="T38" s="75"/>
      <c r="U38" s="75"/>
      <c r="V38" s="75"/>
      <c r="W38" s="75"/>
      <c r="X38" s="75"/>
      <c r="Y38" s="75"/>
      <c r="Z38" s="75"/>
      <c r="AA38" s="75"/>
      <c r="AB38" s="75"/>
      <c r="AC38" s="75"/>
      <c r="AD38" s="75"/>
      <c r="AE38" s="75"/>
      <c r="AF38" s="75"/>
      <c r="AG38" s="75"/>
      <c r="AH38" s="75"/>
      <c r="AI38" s="75"/>
      <c r="AJ38" s="75"/>
      <c r="AK38" s="75"/>
      <c r="AL38" s="75"/>
      <c r="AM38" s="75"/>
      <c r="AN38" s="75"/>
      <c r="AO38" s="75"/>
      <c r="AP38" s="75"/>
      <c r="AQ38" s="75"/>
      <c r="AR38" s="75"/>
      <c r="AS38" s="75"/>
      <c r="AT38" s="75"/>
      <c r="AU38" s="75"/>
      <c r="AV38" s="75"/>
      <c r="AW38" s="75"/>
      <c r="AX38" s="75"/>
      <c r="AY38" s="75"/>
      <c r="AZ38" s="75"/>
      <c r="BA38" s="75"/>
      <c r="BB38" s="75"/>
      <c r="BC38" s="75"/>
      <c r="BD38" s="75"/>
      <c r="BE38" s="75"/>
      <c r="BF38" s="75"/>
      <c r="BG38" s="75"/>
      <c r="BH38" s="75"/>
      <c r="BI38" s="75"/>
      <c r="BJ38" s="75"/>
      <c r="BK38" s="75"/>
    </row>
    <row r="39">
      <c r="H39" s="11"/>
      <c r="J39" s="11"/>
      <c r="K39" s="11"/>
      <c r="L39" s="11"/>
      <c r="M39" s="17"/>
      <c r="N39" s="75"/>
      <c r="O39" s="75"/>
      <c r="P39" s="75"/>
      <c r="Q39" s="75"/>
      <c r="R39" s="75"/>
      <c r="S39" s="75"/>
      <c r="T39" s="75"/>
      <c r="U39" s="75"/>
      <c r="V39" s="75"/>
      <c r="W39" s="75"/>
      <c r="X39" s="75"/>
      <c r="Y39" s="75"/>
    </row>
    <row r="40">
      <c r="H40" s="11"/>
      <c r="J40" s="11"/>
      <c r="K40" s="11"/>
      <c r="L40" s="11"/>
      <c r="M40" s="17"/>
    </row>
    <row r="41">
      <c r="H41" s="11"/>
      <c r="J41" s="11"/>
      <c r="K41" s="11"/>
      <c r="L41" s="11"/>
      <c r="M41" s="17"/>
    </row>
    <row r="42">
      <c r="H42" s="11"/>
      <c r="J42" s="11"/>
      <c r="K42" s="11"/>
      <c r="L42" s="11"/>
      <c r="M42" s="17"/>
    </row>
    <row r="43">
      <c r="H43" s="11"/>
      <c r="J43" s="11"/>
      <c r="K43" s="11"/>
      <c r="L43" s="11"/>
      <c r="M43" s="17"/>
    </row>
    <row r="44">
      <c r="H44" s="11"/>
      <c r="J44" s="11"/>
      <c r="K44" s="11"/>
      <c r="L44" s="11"/>
      <c r="M44" s="17"/>
    </row>
    <row r="45">
      <c r="H45" s="11"/>
      <c r="J45" s="11"/>
      <c r="K45" s="11"/>
      <c r="L45" s="11"/>
      <c r="M45" s="17"/>
    </row>
    <row r="46">
      <c r="H46" s="11"/>
      <c r="J46" s="11"/>
      <c r="K46" s="11"/>
      <c r="L46" s="11"/>
      <c r="M46" s="17"/>
    </row>
    <row r="47">
      <c r="H47" s="11"/>
      <c r="J47" s="11"/>
      <c r="K47" s="11"/>
      <c r="L47" s="11"/>
      <c r="M47" s="17"/>
    </row>
    <row r="48">
      <c r="H48" s="11"/>
      <c r="J48" s="11"/>
      <c r="K48" s="11"/>
      <c r="L48" s="11"/>
      <c r="M48" s="17"/>
    </row>
    <row r="49">
      <c r="H49" s="11"/>
      <c r="J49" s="11"/>
      <c r="K49" s="11"/>
      <c r="L49" s="11"/>
      <c r="M49" s="17"/>
    </row>
    <row r="50">
      <c r="B50" s="2">
        <f>IF(Data!$K45='All Types'!$D$2,Data!M45,"")</f>
        <v>0.002488425926</v>
      </c>
      <c r="H50" s="11"/>
      <c r="J50" s="11"/>
      <c r="K50" s="11"/>
      <c r="L50" s="11"/>
      <c r="M50" s="17"/>
    </row>
    <row r="51">
      <c r="H51" s="11"/>
      <c r="J51" s="11"/>
      <c r="K51" s="11"/>
      <c r="L51" s="11"/>
      <c r="M51" s="17"/>
    </row>
    <row r="52">
      <c r="H52" s="11"/>
      <c r="J52" s="11"/>
      <c r="K52" s="11"/>
      <c r="L52" s="11"/>
      <c r="M52" s="17"/>
    </row>
    <row r="53">
      <c r="H53" s="11"/>
      <c r="J53" s="11"/>
      <c r="K53" s="11"/>
      <c r="L53" s="11"/>
      <c r="M53" s="17"/>
    </row>
    <row r="54">
      <c r="H54" s="11"/>
      <c r="J54" s="11"/>
      <c r="K54" s="11"/>
      <c r="L54" s="11"/>
      <c r="M54" s="17"/>
    </row>
    <row r="55">
      <c r="H55" s="11"/>
      <c r="J55" s="11"/>
      <c r="K55" s="11"/>
      <c r="L55" s="11"/>
      <c r="M55" s="17"/>
    </row>
    <row r="56">
      <c r="H56" s="11"/>
      <c r="J56" s="11"/>
      <c r="K56" s="11"/>
      <c r="L56" s="11"/>
      <c r="M56" s="17"/>
    </row>
    <row r="57">
      <c r="H57" s="11"/>
      <c r="J57" s="11"/>
      <c r="K57" s="11"/>
      <c r="L57" s="11"/>
      <c r="M57" s="17"/>
    </row>
    <row r="58">
      <c r="H58" s="11"/>
      <c r="J58" s="11"/>
      <c r="K58" s="11"/>
      <c r="L58" s="11"/>
      <c r="M58" s="17"/>
    </row>
    <row r="59">
      <c r="H59" s="11"/>
      <c r="J59" s="11"/>
      <c r="K59" s="11"/>
      <c r="L59" s="11"/>
      <c r="M59" s="17"/>
    </row>
    <row r="60">
      <c r="H60" s="11"/>
      <c r="J60" s="11"/>
      <c r="K60" s="11"/>
      <c r="L60" s="11"/>
      <c r="M60" s="17"/>
    </row>
    <row r="61">
      <c r="H61" s="11"/>
      <c r="J61" s="11"/>
      <c r="K61" s="11"/>
      <c r="L61" s="11"/>
      <c r="M61" s="17"/>
    </row>
    <row r="62">
      <c r="H62" s="11"/>
      <c r="J62" s="11"/>
      <c r="K62" s="11"/>
      <c r="L62" s="11"/>
      <c r="M62" s="17"/>
    </row>
    <row r="63">
      <c r="H63" s="11"/>
      <c r="J63" s="11"/>
      <c r="K63" s="11"/>
      <c r="L63" s="11"/>
      <c r="M63" s="17"/>
    </row>
    <row r="64">
      <c r="H64" s="11"/>
      <c r="J64" s="11"/>
      <c r="K64" s="11"/>
      <c r="L64" s="11"/>
      <c r="M64" s="17"/>
    </row>
    <row r="65">
      <c r="H65" s="11"/>
      <c r="J65" s="11"/>
      <c r="K65" s="11"/>
      <c r="L65" s="11"/>
      <c r="M65" s="17"/>
    </row>
    <row r="66">
      <c r="H66" s="11"/>
      <c r="J66" s="11"/>
      <c r="K66" s="11"/>
      <c r="L66" s="11"/>
      <c r="M66" s="17"/>
    </row>
    <row r="67">
      <c r="H67" s="11"/>
      <c r="J67" s="11"/>
      <c r="K67" s="11"/>
      <c r="L67" s="11"/>
      <c r="M67" s="17"/>
    </row>
    <row r="68">
      <c r="H68" s="11"/>
      <c r="J68" s="11"/>
      <c r="K68" s="11"/>
      <c r="L68" s="11"/>
      <c r="M68" s="17"/>
    </row>
    <row r="69">
      <c r="B69" s="38"/>
      <c r="H69" s="11"/>
      <c r="J69" s="11"/>
      <c r="K69" s="11"/>
      <c r="L69" s="11"/>
      <c r="M69" s="17"/>
    </row>
    <row r="70">
      <c r="H70" s="11"/>
      <c r="J70" s="11"/>
      <c r="K70" s="11"/>
      <c r="L70" s="11"/>
      <c r="M70" s="17"/>
    </row>
    <row r="71">
      <c r="H71" s="11"/>
      <c r="J71" s="11"/>
      <c r="K71" s="11"/>
      <c r="L71" s="11"/>
      <c r="M71" s="17"/>
    </row>
    <row r="72">
      <c r="H72" s="11"/>
      <c r="J72" s="11"/>
      <c r="K72" s="11"/>
      <c r="L72" s="11"/>
      <c r="M72" s="17"/>
    </row>
    <row r="73">
      <c r="H73" s="11"/>
      <c r="J73" s="11"/>
      <c r="K73" s="11"/>
      <c r="L73" s="11"/>
      <c r="M73" s="17"/>
    </row>
    <row r="74">
      <c r="H74" s="11"/>
      <c r="J74" s="11"/>
      <c r="K74" s="11"/>
      <c r="L74" s="11"/>
      <c r="M74" s="17"/>
    </row>
    <row r="75">
      <c r="H75" s="11"/>
      <c r="J75" s="11"/>
      <c r="K75" s="11"/>
      <c r="L75" s="11"/>
      <c r="M75" s="17"/>
    </row>
    <row r="76">
      <c r="H76" s="11"/>
      <c r="J76" s="11"/>
      <c r="K76" s="11"/>
      <c r="L76" s="11"/>
      <c r="M76" s="17"/>
    </row>
    <row r="77">
      <c r="H77" s="11"/>
      <c r="J77" s="11"/>
      <c r="K77" s="11"/>
      <c r="L77" s="11"/>
      <c r="M77" s="17"/>
    </row>
    <row r="78">
      <c r="H78" s="11"/>
      <c r="J78" s="11"/>
      <c r="K78" s="11"/>
      <c r="L78" s="11"/>
      <c r="M78" s="17"/>
    </row>
    <row r="79">
      <c r="H79" s="11"/>
      <c r="J79" s="11"/>
      <c r="K79" s="11"/>
      <c r="L79" s="11"/>
      <c r="M79" s="17"/>
    </row>
    <row r="80">
      <c r="H80" s="11"/>
      <c r="J80" s="11"/>
      <c r="K80" s="11"/>
      <c r="L80" s="11"/>
      <c r="M80" s="17"/>
    </row>
    <row r="81">
      <c r="H81" s="11"/>
      <c r="J81" s="11"/>
      <c r="K81" s="11"/>
      <c r="L81" s="11"/>
      <c r="M81" s="17"/>
    </row>
    <row r="82">
      <c r="H82" s="11"/>
      <c r="J82" s="11"/>
      <c r="K82" s="11"/>
      <c r="L82" s="11"/>
      <c r="M82" s="17"/>
    </row>
    <row r="83">
      <c r="H83" s="11"/>
      <c r="J83" s="11"/>
      <c r="K83" s="11"/>
      <c r="L83" s="11"/>
      <c r="M83" s="17"/>
    </row>
    <row r="84">
      <c r="H84" s="11"/>
      <c r="J84" s="11"/>
      <c r="K84" s="11"/>
      <c r="L84" s="11"/>
      <c r="M84" s="17"/>
    </row>
    <row r="85">
      <c r="H85" s="11"/>
      <c r="J85" s="11"/>
      <c r="K85" s="11"/>
      <c r="L85" s="11"/>
      <c r="M85" s="17"/>
    </row>
    <row r="86">
      <c r="H86" s="11"/>
      <c r="J86" s="11"/>
      <c r="K86" s="11"/>
      <c r="L86" s="11"/>
      <c r="M86" s="17"/>
    </row>
    <row r="87">
      <c r="H87" s="11"/>
      <c r="J87" s="11"/>
      <c r="K87" s="11"/>
      <c r="L87" s="11"/>
      <c r="M87" s="17"/>
    </row>
    <row r="88">
      <c r="H88" s="11"/>
      <c r="J88" s="11"/>
      <c r="K88" s="11"/>
      <c r="L88" s="11"/>
      <c r="M88" s="17"/>
    </row>
    <row r="89">
      <c r="H89" s="11"/>
      <c r="J89" s="11"/>
      <c r="K89" s="11"/>
      <c r="L89" s="11"/>
      <c r="M89" s="17"/>
    </row>
    <row r="90">
      <c r="H90" s="11"/>
      <c r="J90" s="11"/>
      <c r="K90" s="11"/>
      <c r="L90" s="11"/>
      <c r="M90" s="17"/>
    </row>
    <row r="91">
      <c r="H91" s="11"/>
      <c r="J91" s="11"/>
      <c r="K91" s="11"/>
      <c r="L91" s="11"/>
      <c r="M91" s="17"/>
    </row>
    <row r="92">
      <c r="H92" s="11"/>
      <c r="J92" s="11"/>
      <c r="K92" s="11"/>
      <c r="L92" s="11"/>
      <c r="M92" s="17"/>
    </row>
    <row r="93">
      <c r="H93" s="11"/>
      <c r="J93" s="11"/>
      <c r="K93" s="11"/>
      <c r="L93" s="11"/>
      <c r="M93" s="17"/>
    </row>
    <row r="94">
      <c r="H94" s="11"/>
      <c r="J94" s="11"/>
      <c r="K94" s="11"/>
      <c r="L94" s="11"/>
      <c r="M94" s="17"/>
    </row>
    <row r="95">
      <c r="H95" s="11"/>
      <c r="J95" s="11"/>
      <c r="K95" s="11"/>
      <c r="L95" s="11"/>
      <c r="M95" s="17"/>
    </row>
    <row r="96">
      <c r="H96" s="11"/>
      <c r="J96" s="11"/>
      <c r="K96" s="11"/>
      <c r="L96" s="11"/>
      <c r="M96" s="17"/>
    </row>
    <row r="97">
      <c r="H97" s="11"/>
      <c r="J97" s="11"/>
      <c r="K97" s="11"/>
      <c r="L97" s="11"/>
      <c r="M97" s="17"/>
    </row>
    <row r="98">
      <c r="H98" s="11"/>
      <c r="J98" s="11"/>
      <c r="K98" s="11"/>
      <c r="L98" s="11"/>
      <c r="M98" s="17"/>
    </row>
    <row r="99">
      <c r="H99" s="11"/>
      <c r="J99" s="11"/>
      <c r="K99" s="11"/>
      <c r="L99" s="11"/>
      <c r="M99" s="17"/>
    </row>
    <row r="100">
      <c r="H100" s="11"/>
      <c r="J100" s="11"/>
      <c r="K100" s="11"/>
      <c r="L100" s="11"/>
      <c r="M100" s="17"/>
    </row>
    <row r="101">
      <c r="H101" s="11"/>
      <c r="J101" s="11"/>
      <c r="K101" s="11"/>
      <c r="L101" s="11"/>
      <c r="M101" s="17"/>
    </row>
    <row r="102">
      <c r="H102" s="11"/>
      <c r="J102" s="11"/>
      <c r="K102" s="11"/>
      <c r="L102" s="11"/>
      <c r="M102" s="17"/>
    </row>
    <row r="103">
      <c r="H103" s="11"/>
      <c r="J103" s="11"/>
      <c r="K103" s="11"/>
      <c r="L103" s="11"/>
      <c r="M103" s="17"/>
    </row>
    <row r="104">
      <c r="H104" s="11"/>
      <c r="J104" s="11"/>
      <c r="K104" s="11"/>
      <c r="L104" s="11"/>
      <c r="M104" s="17"/>
    </row>
    <row r="105">
      <c r="H105" s="11"/>
      <c r="J105" s="11"/>
      <c r="K105" s="11"/>
      <c r="L105" s="11"/>
      <c r="M105" s="17"/>
    </row>
    <row r="106">
      <c r="H106" s="11"/>
      <c r="J106" s="11"/>
      <c r="K106" s="11"/>
      <c r="L106" s="11"/>
      <c r="M106" s="17"/>
    </row>
    <row r="107">
      <c r="H107" s="11"/>
      <c r="J107" s="11"/>
      <c r="K107" s="11"/>
      <c r="L107" s="11"/>
      <c r="M107" s="17"/>
    </row>
    <row r="108">
      <c r="H108" s="11"/>
      <c r="J108" s="11"/>
      <c r="K108" s="11"/>
      <c r="L108" s="11"/>
      <c r="M108" s="17"/>
    </row>
    <row r="109">
      <c r="H109" s="11"/>
      <c r="J109" s="11"/>
      <c r="K109" s="11"/>
      <c r="L109" s="11"/>
      <c r="M109" s="17"/>
    </row>
    <row r="110">
      <c r="H110" s="11"/>
      <c r="J110" s="11"/>
      <c r="K110" s="11"/>
      <c r="L110" s="11"/>
      <c r="M110" s="17"/>
    </row>
    <row r="111">
      <c r="B111" s="63"/>
      <c r="H111" s="11"/>
      <c r="J111" s="11"/>
      <c r="K111" s="11"/>
      <c r="L111" s="11"/>
      <c r="M111" s="17"/>
    </row>
    <row r="112">
      <c r="H112" s="11"/>
      <c r="J112" s="11"/>
      <c r="K112" s="11"/>
      <c r="L112" s="11"/>
      <c r="M112" s="17"/>
    </row>
    <row r="113">
      <c r="H113" s="11"/>
      <c r="J113" s="11"/>
      <c r="K113" s="11"/>
      <c r="L113" s="11"/>
      <c r="M113" s="17"/>
    </row>
    <row r="114">
      <c r="H114" s="11"/>
      <c r="J114" s="11"/>
      <c r="K114" s="11"/>
      <c r="L114" s="11"/>
      <c r="M114" s="17"/>
    </row>
    <row r="115">
      <c r="H115" s="11"/>
      <c r="J115" s="11"/>
      <c r="K115" s="11"/>
      <c r="L115" s="11"/>
      <c r="M115" s="17"/>
    </row>
    <row r="116">
      <c r="H116" s="11"/>
      <c r="J116" s="11"/>
      <c r="K116" s="11"/>
      <c r="L116" s="11"/>
      <c r="M116" s="17"/>
    </row>
    <row r="117">
      <c r="H117" s="11"/>
      <c r="J117" s="11"/>
      <c r="K117" s="11"/>
      <c r="L117" s="11"/>
      <c r="M117" s="17"/>
    </row>
    <row r="118">
      <c r="H118" s="11"/>
      <c r="J118" s="11"/>
      <c r="K118" s="11"/>
      <c r="L118" s="11"/>
      <c r="M118" s="17"/>
    </row>
    <row r="119">
      <c r="H119" s="11"/>
      <c r="J119" s="11"/>
      <c r="K119" s="11"/>
      <c r="L119" s="11"/>
      <c r="M119" s="17"/>
    </row>
    <row r="120">
      <c r="H120" s="11"/>
      <c r="J120" s="11"/>
      <c r="K120" s="11"/>
      <c r="L120" s="11"/>
      <c r="M120" s="17"/>
    </row>
    <row r="121">
      <c r="H121" s="11"/>
      <c r="J121" s="11"/>
      <c r="K121" s="11"/>
      <c r="L121" s="11"/>
      <c r="M121" s="17"/>
    </row>
    <row r="122">
      <c r="H122" s="11"/>
      <c r="J122" s="11"/>
      <c r="K122" s="11"/>
      <c r="L122" s="11"/>
      <c r="M122" s="17"/>
    </row>
    <row r="123">
      <c r="H123" s="11"/>
      <c r="J123" s="11"/>
      <c r="K123" s="11"/>
      <c r="L123" s="11"/>
      <c r="M123" s="17"/>
    </row>
    <row r="124">
      <c r="H124" s="11"/>
      <c r="J124" s="11"/>
      <c r="K124" s="11"/>
      <c r="L124" s="11"/>
      <c r="M124" s="17"/>
    </row>
    <row r="125">
      <c r="H125" s="11"/>
      <c r="J125" s="11"/>
      <c r="K125" s="11"/>
      <c r="L125" s="11"/>
      <c r="M125" s="17"/>
    </row>
    <row r="126">
      <c r="H126" s="11"/>
      <c r="J126" s="11"/>
      <c r="K126" s="11"/>
      <c r="L126" s="11"/>
      <c r="M126" s="17"/>
    </row>
    <row r="127">
      <c r="H127" s="11"/>
      <c r="J127" s="11"/>
      <c r="K127" s="11"/>
      <c r="L127" s="11"/>
      <c r="M127" s="17"/>
    </row>
    <row r="128">
      <c r="H128" s="11"/>
      <c r="J128" s="11"/>
      <c r="K128" s="11"/>
      <c r="L128" s="11"/>
      <c r="M128" s="17"/>
    </row>
    <row r="129">
      <c r="H129" s="11"/>
      <c r="J129" s="11"/>
      <c r="K129" s="11"/>
      <c r="L129" s="11"/>
      <c r="M129" s="17"/>
    </row>
    <row r="130">
      <c r="H130" s="11"/>
      <c r="J130" s="11"/>
      <c r="K130" s="11"/>
      <c r="L130" s="11"/>
      <c r="M130" s="17"/>
    </row>
    <row r="131">
      <c r="H131" s="11"/>
      <c r="J131" s="11"/>
      <c r="K131" s="11"/>
      <c r="L131" s="11"/>
      <c r="M131" s="17"/>
    </row>
    <row r="132">
      <c r="H132" s="11"/>
      <c r="J132" s="11"/>
      <c r="K132" s="11"/>
      <c r="L132" s="11"/>
      <c r="M132" s="17"/>
    </row>
    <row r="133">
      <c r="H133" s="11"/>
      <c r="J133" s="11"/>
      <c r="K133" s="11"/>
      <c r="L133" s="11"/>
      <c r="M133" s="17"/>
    </row>
    <row r="134">
      <c r="H134" s="11"/>
      <c r="J134" s="11"/>
      <c r="K134" s="11"/>
      <c r="L134" s="11"/>
      <c r="M134" s="17"/>
    </row>
    <row r="135">
      <c r="H135" s="11"/>
      <c r="J135" s="11"/>
      <c r="K135" s="11"/>
      <c r="L135" s="11"/>
      <c r="M135" s="17"/>
    </row>
    <row r="136">
      <c r="H136" s="11"/>
      <c r="J136" s="11"/>
      <c r="K136" s="11"/>
      <c r="L136" s="11"/>
      <c r="M136" s="17"/>
    </row>
    <row r="137">
      <c r="H137" s="11"/>
      <c r="J137" s="11"/>
      <c r="K137" s="11"/>
      <c r="L137" s="11"/>
      <c r="M137" s="17"/>
    </row>
    <row r="138">
      <c r="H138" s="11"/>
      <c r="J138" s="11"/>
      <c r="K138" s="11"/>
      <c r="L138" s="11"/>
      <c r="M138" s="17"/>
    </row>
    <row r="139">
      <c r="H139" s="11"/>
      <c r="J139" s="11"/>
      <c r="K139" s="11"/>
      <c r="L139" s="11"/>
      <c r="M139" s="17"/>
    </row>
    <row r="140">
      <c r="H140" s="11"/>
      <c r="J140" s="11"/>
      <c r="K140" s="11"/>
      <c r="L140" s="11"/>
      <c r="M140" s="17"/>
    </row>
    <row r="141">
      <c r="H141" s="11"/>
      <c r="J141" s="11"/>
      <c r="K141" s="11"/>
      <c r="L141" s="11"/>
      <c r="M141" s="17"/>
    </row>
    <row r="142">
      <c r="H142" s="11"/>
      <c r="J142" s="11"/>
      <c r="K142" s="11"/>
      <c r="L142" s="11"/>
      <c r="M142" s="17"/>
    </row>
    <row r="143">
      <c r="H143" s="11"/>
      <c r="J143" s="11"/>
      <c r="K143" s="11"/>
      <c r="L143" s="11"/>
      <c r="M143" s="17"/>
    </row>
    <row r="144">
      <c r="H144" s="11"/>
      <c r="J144" s="11"/>
      <c r="K144" s="11"/>
      <c r="L144" s="11"/>
      <c r="M144" s="17"/>
    </row>
    <row r="145">
      <c r="H145" s="11"/>
      <c r="J145" s="11"/>
      <c r="K145" s="11"/>
      <c r="L145" s="11"/>
      <c r="M145" s="17"/>
    </row>
    <row r="146">
      <c r="H146" s="11"/>
      <c r="J146" s="11"/>
      <c r="K146" s="11"/>
      <c r="L146" s="11"/>
      <c r="M146" s="17"/>
    </row>
    <row r="147">
      <c r="H147" s="11"/>
      <c r="J147" s="11"/>
      <c r="K147" s="11"/>
      <c r="L147" s="11"/>
      <c r="M147" s="17"/>
    </row>
    <row r="148">
      <c r="H148" s="11"/>
      <c r="J148" s="11"/>
      <c r="K148" s="11"/>
      <c r="L148" s="11"/>
      <c r="M148" s="17"/>
    </row>
    <row r="149">
      <c r="H149" s="11"/>
      <c r="J149" s="11"/>
      <c r="K149" s="11"/>
      <c r="L149" s="11"/>
      <c r="M149" s="17"/>
    </row>
    <row r="150">
      <c r="H150" s="11"/>
      <c r="J150" s="11"/>
      <c r="K150" s="11"/>
      <c r="L150" s="11"/>
      <c r="M150" s="17"/>
    </row>
    <row r="151">
      <c r="H151" s="11"/>
      <c r="J151" s="11"/>
      <c r="K151" s="11"/>
      <c r="L151" s="11"/>
      <c r="M151" s="17"/>
    </row>
    <row r="152">
      <c r="H152" s="11"/>
      <c r="J152" s="11"/>
      <c r="K152" s="11"/>
      <c r="L152" s="11"/>
      <c r="M152" s="17"/>
    </row>
    <row r="153">
      <c r="H153" s="11"/>
      <c r="J153" s="11"/>
      <c r="K153" s="11"/>
      <c r="L153" s="11"/>
      <c r="M153" s="17"/>
    </row>
    <row r="154">
      <c r="H154" s="11"/>
      <c r="J154" s="11"/>
      <c r="K154" s="11"/>
      <c r="L154" s="11"/>
      <c r="M154" s="17"/>
    </row>
    <row r="155">
      <c r="H155" s="11"/>
      <c r="J155" s="11"/>
      <c r="K155" s="11"/>
      <c r="L155" s="11"/>
      <c r="M155" s="17"/>
    </row>
    <row r="156">
      <c r="H156" s="11"/>
      <c r="J156" s="11"/>
      <c r="K156" s="11"/>
      <c r="L156" s="11"/>
      <c r="M156" s="17"/>
    </row>
    <row r="157">
      <c r="H157" s="11"/>
      <c r="J157" s="11"/>
      <c r="K157" s="11"/>
      <c r="L157" s="11"/>
      <c r="M157" s="17"/>
    </row>
    <row r="158">
      <c r="H158" s="11"/>
      <c r="J158" s="11"/>
      <c r="K158" s="11"/>
      <c r="L158" s="11"/>
      <c r="M158" s="17"/>
    </row>
    <row r="159">
      <c r="H159" s="11"/>
      <c r="J159" s="11"/>
      <c r="K159" s="11"/>
      <c r="L159" s="11"/>
      <c r="M159" s="17"/>
    </row>
    <row r="160">
      <c r="H160" s="11"/>
      <c r="J160" s="11"/>
      <c r="K160" s="11"/>
      <c r="L160" s="11"/>
      <c r="M160" s="17"/>
    </row>
    <row r="161">
      <c r="H161" s="11"/>
      <c r="J161" s="11"/>
      <c r="K161" s="11"/>
      <c r="L161" s="11"/>
      <c r="M161" s="17"/>
    </row>
    <row r="162">
      <c r="H162" s="11"/>
      <c r="J162" s="11"/>
      <c r="K162" s="11"/>
      <c r="L162" s="11"/>
      <c r="M162" s="17"/>
    </row>
    <row r="163">
      <c r="H163" s="11"/>
      <c r="J163" s="11"/>
      <c r="K163" s="11"/>
      <c r="L163" s="11"/>
      <c r="M163" s="17"/>
    </row>
    <row r="164">
      <c r="H164" s="11"/>
      <c r="J164" s="11"/>
      <c r="K164" s="11"/>
      <c r="L164" s="11"/>
      <c r="M164" s="17"/>
    </row>
    <row r="165">
      <c r="H165" s="11"/>
      <c r="J165" s="11"/>
      <c r="K165" s="11"/>
      <c r="L165" s="11"/>
      <c r="M165" s="17"/>
    </row>
    <row r="166">
      <c r="H166" s="11"/>
      <c r="J166" s="11"/>
      <c r="K166" s="11"/>
      <c r="L166" s="11"/>
      <c r="M166" s="17"/>
    </row>
    <row r="167">
      <c r="H167" s="11"/>
      <c r="J167" s="11"/>
      <c r="K167" s="11"/>
      <c r="L167" s="11"/>
      <c r="M167" s="17"/>
    </row>
    <row r="168">
      <c r="H168" s="11"/>
      <c r="J168" s="11"/>
      <c r="K168" s="11"/>
      <c r="L168" s="11"/>
      <c r="M168" s="17"/>
    </row>
    <row r="169">
      <c r="H169" s="11"/>
      <c r="J169" s="11"/>
      <c r="K169" s="11"/>
      <c r="L169" s="11"/>
      <c r="M169" s="17"/>
    </row>
    <row r="170">
      <c r="H170" s="11"/>
      <c r="J170" s="11"/>
      <c r="K170" s="11"/>
      <c r="L170" s="11"/>
      <c r="M170" s="17"/>
    </row>
    <row r="171">
      <c r="H171" s="11"/>
      <c r="J171" s="11"/>
      <c r="K171" s="11"/>
      <c r="L171" s="11"/>
      <c r="M171" s="17"/>
    </row>
    <row r="172">
      <c r="H172" s="11"/>
      <c r="J172" s="11"/>
      <c r="K172" s="11"/>
      <c r="L172" s="11"/>
      <c r="M172" s="17"/>
    </row>
    <row r="173">
      <c r="H173" s="11"/>
      <c r="J173" s="11"/>
      <c r="K173" s="11"/>
      <c r="L173" s="11"/>
      <c r="M173" s="17"/>
    </row>
    <row r="174">
      <c r="H174" s="11"/>
      <c r="J174" s="11"/>
      <c r="K174" s="11"/>
      <c r="L174" s="11"/>
      <c r="M174" s="17"/>
    </row>
    <row r="175">
      <c r="H175" s="11"/>
      <c r="J175" s="11"/>
      <c r="K175" s="11"/>
      <c r="L175" s="11"/>
      <c r="M175" s="17"/>
    </row>
    <row r="176">
      <c r="H176" s="11"/>
      <c r="J176" s="11"/>
      <c r="K176" s="11"/>
      <c r="L176" s="11"/>
      <c r="M176" s="17"/>
    </row>
    <row r="177">
      <c r="H177" s="11"/>
      <c r="J177" s="11"/>
      <c r="K177" s="11"/>
      <c r="L177" s="11"/>
      <c r="M177" s="17"/>
    </row>
    <row r="178">
      <c r="H178" s="11"/>
      <c r="J178" s="11"/>
      <c r="K178" s="11"/>
      <c r="L178" s="11"/>
      <c r="M178" s="17"/>
    </row>
    <row r="179">
      <c r="H179" s="11"/>
      <c r="J179" s="11"/>
      <c r="K179" s="11"/>
      <c r="L179" s="11"/>
      <c r="M179" s="17"/>
    </row>
    <row r="180">
      <c r="H180" s="11"/>
      <c r="J180" s="11"/>
      <c r="K180" s="11"/>
      <c r="L180" s="11"/>
      <c r="M180" s="17"/>
    </row>
    <row r="181">
      <c r="H181" s="11"/>
      <c r="J181" s="11"/>
      <c r="K181" s="11"/>
      <c r="L181" s="11"/>
      <c r="M181" s="17"/>
    </row>
    <row r="182">
      <c r="H182" s="11"/>
      <c r="J182" s="11"/>
      <c r="K182" s="11"/>
      <c r="L182" s="11"/>
      <c r="M182" s="17"/>
    </row>
    <row r="183">
      <c r="H183" s="11"/>
      <c r="J183" s="11"/>
      <c r="K183" s="11"/>
      <c r="L183" s="11"/>
      <c r="M183" s="17"/>
    </row>
    <row r="184">
      <c r="H184" s="11"/>
      <c r="J184" s="11"/>
      <c r="K184" s="11"/>
      <c r="L184" s="11"/>
      <c r="M184" s="17"/>
    </row>
    <row r="185">
      <c r="H185" s="11"/>
      <c r="J185" s="11"/>
      <c r="K185" s="11"/>
      <c r="L185" s="11"/>
      <c r="M185" s="17"/>
    </row>
    <row r="186">
      <c r="H186" s="11"/>
      <c r="J186" s="11"/>
      <c r="K186" s="11"/>
      <c r="L186" s="11"/>
      <c r="M186" s="17"/>
    </row>
    <row r="187">
      <c r="H187" s="11"/>
      <c r="J187" s="11"/>
      <c r="K187" s="11"/>
      <c r="L187" s="11"/>
      <c r="M187" s="17"/>
    </row>
    <row r="188">
      <c r="H188" s="11"/>
      <c r="J188" s="11"/>
      <c r="K188" s="11"/>
      <c r="L188" s="11"/>
      <c r="M188" s="17"/>
    </row>
    <row r="189">
      <c r="H189" s="11"/>
      <c r="J189" s="11"/>
      <c r="K189" s="11"/>
      <c r="L189" s="11"/>
      <c r="M189" s="17"/>
    </row>
    <row r="190">
      <c r="H190" s="11"/>
      <c r="J190" s="11"/>
      <c r="K190" s="11"/>
      <c r="L190" s="11"/>
      <c r="M190" s="17"/>
    </row>
    <row r="191">
      <c r="H191" s="11"/>
      <c r="J191" s="11"/>
      <c r="K191" s="11"/>
      <c r="L191" s="11"/>
      <c r="M191" s="17"/>
    </row>
    <row r="192">
      <c r="H192" s="11"/>
      <c r="J192" s="11"/>
      <c r="K192" s="11"/>
      <c r="L192" s="11"/>
      <c r="M192" s="17"/>
    </row>
    <row r="193">
      <c r="H193" s="11"/>
      <c r="J193" s="11"/>
      <c r="K193" s="11"/>
      <c r="L193" s="11"/>
      <c r="M193" s="17"/>
    </row>
    <row r="194">
      <c r="H194" s="11"/>
      <c r="J194" s="11"/>
      <c r="K194" s="11"/>
      <c r="L194" s="11"/>
      <c r="M194" s="17"/>
    </row>
    <row r="195">
      <c r="H195" s="11"/>
      <c r="J195" s="11"/>
      <c r="K195" s="11"/>
      <c r="L195" s="11"/>
      <c r="M195" s="17"/>
    </row>
    <row r="196">
      <c r="H196" s="11"/>
      <c r="J196" s="11"/>
      <c r="K196" s="11"/>
      <c r="L196" s="11"/>
      <c r="M196" s="17"/>
    </row>
    <row r="197">
      <c r="H197" s="11"/>
      <c r="J197" s="11"/>
      <c r="K197" s="11"/>
      <c r="L197" s="11"/>
      <c r="M197" s="17"/>
    </row>
    <row r="198">
      <c r="H198" s="11"/>
      <c r="J198" s="11"/>
      <c r="K198" s="11"/>
      <c r="L198" s="11"/>
      <c r="M198" s="17"/>
    </row>
    <row r="199">
      <c r="H199" s="11"/>
      <c r="J199" s="11"/>
      <c r="K199" s="11"/>
      <c r="L199" s="11"/>
      <c r="M199" s="17"/>
    </row>
    <row r="200">
      <c r="H200" s="11"/>
      <c r="J200" s="11"/>
      <c r="K200" s="11"/>
      <c r="L200" s="11"/>
      <c r="M200" s="17"/>
    </row>
    <row r="201">
      <c r="H201" s="11"/>
      <c r="J201" s="11"/>
      <c r="K201" s="11"/>
      <c r="L201" s="11"/>
      <c r="M201" s="17"/>
    </row>
    <row r="202">
      <c r="H202" s="11"/>
      <c r="J202" s="11"/>
      <c r="K202" s="11"/>
      <c r="L202" s="11"/>
      <c r="M202" s="17"/>
    </row>
    <row r="203">
      <c r="H203" s="11"/>
      <c r="J203" s="11"/>
      <c r="K203" s="11"/>
      <c r="L203" s="11"/>
      <c r="M203" s="17"/>
    </row>
    <row r="204">
      <c r="H204" s="11"/>
      <c r="J204" s="11"/>
      <c r="K204" s="11"/>
      <c r="L204" s="11"/>
      <c r="M204" s="17"/>
    </row>
    <row r="205">
      <c r="H205" s="11"/>
      <c r="J205" s="11"/>
      <c r="K205" s="11"/>
      <c r="L205" s="11"/>
      <c r="M205" s="17"/>
    </row>
    <row r="206">
      <c r="H206" s="11"/>
      <c r="J206" s="11"/>
      <c r="K206" s="11"/>
      <c r="L206" s="11"/>
      <c r="M206" s="17"/>
    </row>
    <row r="207">
      <c r="H207" s="11"/>
      <c r="J207" s="11"/>
      <c r="K207" s="11"/>
      <c r="L207" s="11"/>
      <c r="M207" s="17"/>
    </row>
    <row r="208">
      <c r="H208" s="11"/>
      <c r="J208" s="11"/>
      <c r="K208" s="11"/>
      <c r="L208" s="11"/>
      <c r="M208" s="17"/>
    </row>
    <row r="209">
      <c r="H209" s="11"/>
      <c r="J209" s="11"/>
      <c r="K209" s="11"/>
      <c r="L209" s="11"/>
      <c r="M209" s="17"/>
    </row>
    <row r="210">
      <c r="H210" s="11"/>
      <c r="J210" s="11"/>
      <c r="K210" s="11"/>
      <c r="L210" s="11"/>
      <c r="M210" s="17"/>
    </row>
    <row r="211">
      <c r="H211" s="11"/>
      <c r="J211" s="11"/>
      <c r="K211" s="11"/>
      <c r="L211" s="11"/>
      <c r="M211" s="17"/>
    </row>
    <row r="212">
      <c r="H212" s="11"/>
      <c r="J212" s="11"/>
      <c r="K212" s="11"/>
      <c r="L212" s="11"/>
      <c r="M212" s="17"/>
    </row>
    <row r="213">
      <c r="H213" s="11"/>
      <c r="J213" s="11"/>
      <c r="K213" s="11"/>
      <c r="L213" s="11"/>
      <c r="M213" s="17"/>
    </row>
    <row r="214">
      <c r="H214" s="11"/>
      <c r="J214" s="11"/>
      <c r="K214" s="11"/>
      <c r="L214" s="11"/>
      <c r="M214" s="17"/>
    </row>
    <row r="215">
      <c r="H215" s="11"/>
      <c r="J215" s="11"/>
      <c r="K215" s="11"/>
      <c r="L215" s="11"/>
      <c r="M215" s="17"/>
    </row>
    <row r="216">
      <c r="H216" s="11"/>
      <c r="J216" s="11"/>
      <c r="K216" s="11"/>
      <c r="L216" s="11"/>
      <c r="M216" s="17"/>
    </row>
    <row r="217">
      <c r="H217" s="11"/>
      <c r="J217" s="11"/>
      <c r="K217" s="11"/>
      <c r="L217" s="11"/>
      <c r="M217" s="17"/>
    </row>
    <row r="218">
      <c r="H218" s="11"/>
      <c r="J218" s="11"/>
      <c r="K218" s="11"/>
      <c r="L218" s="11"/>
      <c r="M218" s="17"/>
    </row>
    <row r="219">
      <c r="H219" s="11"/>
      <c r="J219" s="11"/>
      <c r="K219" s="11"/>
      <c r="L219" s="11"/>
      <c r="M219" s="17"/>
    </row>
    <row r="220">
      <c r="H220" s="11"/>
      <c r="J220" s="11"/>
      <c r="K220" s="11"/>
      <c r="L220" s="11"/>
      <c r="M220" s="17"/>
    </row>
    <row r="221">
      <c r="H221" s="11"/>
      <c r="J221" s="11"/>
      <c r="K221" s="11"/>
      <c r="L221" s="11"/>
      <c r="M221" s="17"/>
    </row>
    <row r="222">
      <c r="H222" s="11"/>
      <c r="J222" s="11"/>
      <c r="K222" s="11"/>
      <c r="L222" s="11"/>
      <c r="M222" s="17"/>
    </row>
    <row r="223">
      <c r="H223" s="11"/>
      <c r="J223" s="11"/>
      <c r="K223" s="11"/>
      <c r="L223" s="11"/>
      <c r="M223" s="17"/>
    </row>
    <row r="224">
      <c r="H224" s="11"/>
      <c r="J224" s="11"/>
      <c r="K224" s="11"/>
      <c r="L224" s="11"/>
      <c r="M224" s="17"/>
    </row>
    <row r="225">
      <c r="H225" s="11"/>
      <c r="J225" s="11"/>
      <c r="K225" s="11"/>
      <c r="L225" s="11"/>
      <c r="M225" s="17"/>
    </row>
    <row r="226">
      <c r="H226" s="11"/>
      <c r="J226" s="11"/>
      <c r="K226" s="11"/>
      <c r="L226" s="11"/>
      <c r="M226" s="17"/>
    </row>
    <row r="227">
      <c r="H227" s="11"/>
      <c r="J227" s="11"/>
      <c r="K227" s="11"/>
      <c r="L227" s="11"/>
      <c r="M227" s="17"/>
    </row>
    <row r="228">
      <c r="H228" s="11"/>
      <c r="J228" s="11"/>
      <c r="K228" s="11"/>
      <c r="L228" s="11"/>
      <c r="M228" s="17"/>
    </row>
    <row r="229">
      <c r="H229" s="11"/>
      <c r="J229" s="11"/>
      <c r="K229" s="11"/>
      <c r="L229" s="11"/>
      <c r="M229" s="17"/>
    </row>
    <row r="230">
      <c r="H230" s="11"/>
      <c r="J230" s="11"/>
      <c r="K230" s="11"/>
      <c r="L230" s="11"/>
      <c r="M230" s="17"/>
    </row>
    <row r="231">
      <c r="H231" s="11"/>
      <c r="J231" s="11"/>
      <c r="K231" s="11"/>
      <c r="L231" s="11"/>
      <c r="M231" s="17"/>
    </row>
    <row r="232">
      <c r="H232" s="11"/>
      <c r="J232" s="11"/>
      <c r="K232" s="11"/>
      <c r="L232" s="11"/>
      <c r="M232" s="17"/>
    </row>
    <row r="233">
      <c r="H233" s="11"/>
      <c r="J233" s="11"/>
      <c r="K233" s="11"/>
      <c r="L233" s="11"/>
      <c r="M233" s="17"/>
    </row>
    <row r="234">
      <c r="H234" s="11"/>
      <c r="J234" s="11"/>
      <c r="K234" s="11"/>
      <c r="L234" s="11"/>
      <c r="M234" s="17"/>
    </row>
    <row r="235">
      <c r="H235" s="11"/>
      <c r="J235" s="11"/>
      <c r="K235" s="11"/>
      <c r="L235" s="11"/>
      <c r="M235" s="17"/>
    </row>
    <row r="236">
      <c r="H236" s="11"/>
      <c r="J236" s="11"/>
      <c r="K236" s="11"/>
      <c r="L236" s="11"/>
      <c r="M236" s="17"/>
    </row>
    <row r="237">
      <c r="H237" s="11"/>
      <c r="J237" s="11"/>
      <c r="K237" s="11"/>
      <c r="L237" s="11"/>
      <c r="M237" s="17"/>
    </row>
    <row r="238">
      <c r="H238" s="11"/>
      <c r="J238" s="11"/>
      <c r="K238" s="11"/>
      <c r="L238" s="11"/>
      <c r="M238" s="17"/>
    </row>
    <row r="239">
      <c r="H239" s="11"/>
      <c r="J239" s="11"/>
      <c r="K239" s="11"/>
      <c r="L239" s="11"/>
      <c r="M239" s="17"/>
    </row>
    <row r="240">
      <c r="H240" s="11"/>
      <c r="J240" s="11"/>
      <c r="K240" s="11"/>
      <c r="L240" s="11"/>
      <c r="M240" s="17"/>
    </row>
    <row r="241">
      <c r="H241" s="11"/>
      <c r="J241" s="11"/>
      <c r="K241" s="11"/>
      <c r="L241" s="11"/>
      <c r="M241" s="17"/>
    </row>
    <row r="242">
      <c r="H242" s="11"/>
      <c r="J242" s="11"/>
      <c r="K242" s="11"/>
      <c r="L242" s="11"/>
      <c r="M242" s="17"/>
    </row>
    <row r="243">
      <c r="H243" s="11"/>
      <c r="J243" s="11"/>
      <c r="K243" s="11"/>
      <c r="L243" s="11"/>
      <c r="M243" s="17"/>
    </row>
    <row r="244">
      <c r="H244" s="11"/>
      <c r="J244" s="11"/>
      <c r="K244" s="11"/>
      <c r="L244" s="11"/>
      <c r="M244" s="17"/>
    </row>
    <row r="245">
      <c r="H245" s="11"/>
      <c r="J245" s="11"/>
      <c r="K245" s="11"/>
      <c r="L245" s="11"/>
      <c r="M245" s="17"/>
    </row>
    <row r="246">
      <c r="H246" s="11"/>
      <c r="J246" s="11"/>
      <c r="K246" s="11"/>
      <c r="L246" s="11"/>
      <c r="M246" s="17"/>
    </row>
    <row r="247">
      <c r="H247" s="11"/>
      <c r="J247" s="11"/>
      <c r="K247" s="11"/>
      <c r="L247" s="11"/>
      <c r="M247" s="17"/>
    </row>
    <row r="248">
      <c r="H248" s="11"/>
      <c r="J248" s="11"/>
      <c r="K248" s="11"/>
      <c r="L248" s="11"/>
      <c r="M248" s="17"/>
    </row>
    <row r="249">
      <c r="H249" s="11"/>
      <c r="J249" s="11"/>
      <c r="K249" s="11"/>
      <c r="L249" s="11"/>
      <c r="M249" s="17"/>
    </row>
    <row r="250">
      <c r="H250" s="11"/>
      <c r="J250" s="11"/>
      <c r="K250" s="11"/>
      <c r="L250" s="11"/>
      <c r="M250" s="17"/>
    </row>
    <row r="251">
      <c r="H251" s="11"/>
      <c r="J251" s="11"/>
      <c r="K251" s="11"/>
      <c r="L251" s="11"/>
      <c r="M251" s="17"/>
    </row>
    <row r="252">
      <c r="H252" s="11"/>
      <c r="J252" s="11"/>
      <c r="K252" s="11"/>
      <c r="L252" s="11"/>
      <c r="M252" s="17"/>
    </row>
    <row r="253">
      <c r="H253" s="11"/>
      <c r="J253" s="11"/>
      <c r="K253" s="11"/>
      <c r="L253" s="11"/>
      <c r="M253" s="17"/>
    </row>
    <row r="254">
      <c r="H254" s="11"/>
      <c r="J254" s="11"/>
      <c r="K254" s="11"/>
      <c r="L254" s="11"/>
      <c r="M254" s="17"/>
    </row>
    <row r="255">
      <c r="H255" s="11"/>
      <c r="J255" s="11"/>
      <c r="K255" s="11"/>
      <c r="L255" s="11"/>
      <c r="M255" s="17"/>
    </row>
    <row r="256">
      <c r="H256" s="11"/>
      <c r="J256" s="11"/>
      <c r="K256" s="11"/>
      <c r="L256" s="11"/>
      <c r="M256" s="17"/>
    </row>
    <row r="257">
      <c r="H257" s="11"/>
      <c r="J257" s="11"/>
      <c r="K257" s="11"/>
      <c r="L257" s="11"/>
      <c r="M257" s="17"/>
    </row>
    <row r="258">
      <c r="H258" s="11"/>
      <c r="J258" s="11"/>
      <c r="K258" s="11"/>
      <c r="L258" s="11"/>
      <c r="M258" s="17"/>
    </row>
    <row r="259">
      <c r="H259" s="11"/>
      <c r="J259" s="11"/>
      <c r="K259" s="11"/>
      <c r="L259" s="11"/>
      <c r="M259" s="17"/>
    </row>
    <row r="260">
      <c r="H260" s="11"/>
      <c r="J260" s="11"/>
      <c r="K260" s="11"/>
      <c r="L260" s="11"/>
      <c r="M260" s="17"/>
    </row>
    <row r="261">
      <c r="H261" s="11"/>
      <c r="J261" s="11"/>
      <c r="K261" s="11"/>
      <c r="L261" s="11"/>
      <c r="M261" s="17"/>
    </row>
    <row r="262">
      <c r="H262" s="11"/>
      <c r="J262" s="11"/>
      <c r="K262" s="11"/>
      <c r="L262" s="11"/>
      <c r="M262" s="17"/>
    </row>
    <row r="263">
      <c r="H263" s="11"/>
      <c r="J263" s="11"/>
      <c r="K263" s="11"/>
      <c r="L263" s="11"/>
      <c r="M263" s="17"/>
    </row>
    <row r="264">
      <c r="H264" s="11"/>
      <c r="J264" s="11"/>
      <c r="K264" s="11"/>
      <c r="L264" s="11"/>
      <c r="M264" s="17"/>
    </row>
    <row r="265">
      <c r="H265" s="11"/>
      <c r="J265" s="11"/>
      <c r="K265" s="11"/>
      <c r="L265" s="11"/>
      <c r="M265" s="17"/>
    </row>
    <row r="266">
      <c r="H266" s="11"/>
      <c r="J266" s="11"/>
      <c r="K266" s="11"/>
      <c r="L266" s="11"/>
      <c r="M266" s="17"/>
    </row>
    <row r="267">
      <c r="H267" s="11"/>
      <c r="J267" s="11"/>
      <c r="K267" s="11"/>
      <c r="L267" s="11"/>
      <c r="M267" s="17"/>
    </row>
    <row r="268">
      <c r="H268" s="11"/>
      <c r="J268" s="11"/>
      <c r="K268" s="11"/>
      <c r="L268" s="11"/>
      <c r="M268" s="17"/>
    </row>
    <row r="269">
      <c r="H269" s="11"/>
      <c r="J269" s="11"/>
      <c r="K269" s="11"/>
      <c r="L269" s="11"/>
      <c r="M269" s="17"/>
    </row>
    <row r="270">
      <c r="H270" s="11"/>
      <c r="J270" s="11"/>
      <c r="K270" s="11"/>
      <c r="L270" s="11"/>
      <c r="M270" s="17"/>
    </row>
    <row r="271">
      <c r="H271" s="11"/>
      <c r="J271" s="11"/>
      <c r="K271" s="11"/>
      <c r="L271" s="11"/>
      <c r="M271" s="17"/>
    </row>
    <row r="272">
      <c r="H272" s="11"/>
      <c r="J272" s="11"/>
      <c r="K272" s="11"/>
      <c r="L272" s="11"/>
      <c r="M272" s="17"/>
    </row>
    <row r="273">
      <c r="H273" s="11"/>
      <c r="J273" s="11"/>
      <c r="K273" s="11"/>
      <c r="L273" s="11"/>
      <c r="M273" s="17"/>
    </row>
    <row r="274">
      <c r="H274" s="11"/>
      <c r="J274" s="11"/>
      <c r="K274" s="11"/>
      <c r="L274" s="11"/>
      <c r="M274" s="17"/>
    </row>
    <row r="275">
      <c r="H275" s="11"/>
      <c r="J275" s="11"/>
      <c r="K275" s="11"/>
      <c r="L275" s="11"/>
      <c r="M275" s="17"/>
    </row>
    <row r="276">
      <c r="H276" s="11"/>
      <c r="J276" s="11"/>
      <c r="K276" s="11"/>
      <c r="L276" s="11"/>
      <c r="M276" s="17"/>
    </row>
    <row r="277">
      <c r="H277" s="11"/>
      <c r="J277" s="11"/>
      <c r="K277" s="11"/>
      <c r="L277" s="11"/>
      <c r="M277" s="17"/>
    </row>
    <row r="278">
      <c r="H278" s="11"/>
      <c r="J278" s="11"/>
      <c r="K278" s="11"/>
      <c r="L278" s="11"/>
      <c r="M278" s="17"/>
    </row>
    <row r="279">
      <c r="H279" s="11"/>
      <c r="J279" s="11"/>
      <c r="K279" s="11"/>
      <c r="L279" s="11"/>
      <c r="M279" s="17"/>
    </row>
    <row r="280">
      <c r="H280" s="11"/>
      <c r="J280" s="11"/>
      <c r="K280" s="11"/>
      <c r="L280" s="11"/>
      <c r="M280" s="17"/>
    </row>
    <row r="281">
      <c r="H281" s="11"/>
      <c r="J281" s="11"/>
      <c r="K281" s="11"/>
      <c r="L281" s="11"/>
      <c r="M281" s="17"/>
    </row>
    <row r="282">
      <c r="H282" s="11"/>
      <c r="J282" s="11"/>
      <c r="K282" s="11"/>
      <c r="L282" s="11"/>
      <c r="M282" s="17"/>
    </row>
    <row r="283">
      <c r="H283" s="11"/>
      <c r="J283" s="11"/>
      <c r="K283" s="11"/>
      <c r="L283" s="11"/>
      <c r="M283" s="17"/>
    </row>
    <row r="284">
      <c r="H284" s="11"/>
      <c r="J284" s="11"/>
      <c r="K284" s="11"/>
      <c r="L284" s="11"/>
      <c r="M284" s="17"/>
    </row>
    <row r="285">
      <c r="H285" s="11"/>
      <c r="J285" s="11"/>
      <c r="K285" s="11"/>
      <c r="L285" s="11"/>
      <c r="M285" s="17"/>
    </row>
    <row r="286">
      <c r="H286" s="11"/>
      <c r="J286" s="11"/>
      <c r="K286" s="11"/>
      <c r="L286" s="11"/>
      <c r="M286" s="17"/>
    </row>
    <row r="287">
      <c r="H287" s="11"/>
      <c r="J287" s="11"/>
      <c r="K287" s="11"/>
      <c r="L287" s="11"/>
      <c r="M287" s="17"/>
    </row>
    <row r="288">
      <c r="H288" s="11"/>
      <c r="J288" s="11"/>
      <c r="K288" s="11"/>
      <c r="L288" s="11"/>
      <c r="M288" s="17"/>
    </row>
    <row r="289">
      <c r="H289" s="11"/>
      <c r="J289" s="11"/>
      <c r="K289" s="11"/>
      <c r="L289" s="11"/>
      <c r="M289" s="17"/>
    </row>
    <row r="290">
      <c r="H290" s="11"/>
      <c r="J290" s="11"/>
      <c r="K290" s="11"/>
      <c r="L290" s="11"/>
      <c r="M290" s="17"/>
    </row>
    <row r="291">
      <c r="H291" s="11"/>
      <c r="J291" s="11"/>
      <c r="K291" s="11"/>
      <c r="L291" s="11"/>
      <c r="M291" s="17"/>
    </row>
    <row r="292">
      <c r="H292" s="11"/>
      <c r="J292" s="11"/>
      <c r="K292" s="11"/>
      <c r="L292" s="11"/>
      <c r="M292" s="17"/>
    </row>
    <row r="293">
      <c r="H293" s="11"/>
      <c r="J293" s="11"/>
      <c r="K293" s="11"/>
      <c r="L293" s="11"/>
      <c r="M293" s="17"/>
    </row>
    <row r="294">
      <c r="H294" s="11"/>
      <c r="J294" s="11"/>
      <c r="K294" s="11"/>
      <c r="L294" s="11"/>
      <c r="M294" s="17"/>
    </row>
    <row r="295">
      <c r="H295" s="11"/>
      <c r="J295" s="11"/>
      <c r="K295" s="11"/>
      <c r="L295" s="11"/>
      <c r="M295" s="17"/>
    </row>
    <row r="296">
      <c r="H296" s="11"/>
      <c r="J296" s="11"/>
      <c r="K296" s="11"/>
      <c r="L296" s="11"/>
      <c r="M296" s="17"/>
    </row>
    <row r="297">
      <c r="H297" s="11"/>
      <c r="J297" s="11"/>
      <c r="K297" s="11"/>
      <c r="L297" s="11"/>
      <c r="M297" s="17"/>
    </row>
    <row r="298">
      <c r="H298" s="11"/>
      <c r="J298" s="11"/>
      <c r="K298" s="11"/>
      <c r="L298" s="11"/>
      <c r="M298" s="17"/>
    </row>
    <row r="299">
      <c r="H299" s="11"/>
      <c r="J299" s="11"/>
      <c r="K299" s="11"/>
      <c r="L299" s="11"/>
      <c r="M299" s="17"/>
    </row>
    <row r="300">
      <c r="H300" s="11"/>
      <c r="J300" s="11"/>
      <c r="K300" s="11"/>
      <c r="L300" s="11"/>
      <c r="M300" s="17"/>
    </row>
    <row r="301">
      <c r="H301" s="11"/>
      <c r="J301" s="11"/>
      <c r="K301" s="11"/>
      <c r="L301" s="11"/>
      <c r="M301" s="17"/>
    </row>
    <row r="302">
      <c r="H302" s="11"/>
      <c r="J302" s="11"/>
      <c r="K302" s="11"/>
      <c r="L302" s="11"/>
      <c r="M302" s="17"/>
    </row>
    <row r="303">
      <c r="H303" s="11"/>
      <c r="J303" s="11"/>
      <c r="K303" s="11"/>
      <c r="L303" s="11"/>
      <c r="M303" s="17"/>
    </row>
    <row r="304">
      <c r="H304" s="11"/>
      <c r="J304" s="11"/>
      <c r="K304" s="11"/>
      <c r="L304" s="11"/>
      <c r="M304" s="17"/>
    </row>
    <row r="305">
      <c r="H305" s="11"/>
      <c r="J305" s="11"/>
      <c r="K305" s="11"/>
      <c r="L305" s="11"/>
      <c r="M305" s="17"/>
    </row>
    <row r="306">
      <c r="H306" s="11"/>
      <c r="J306" s="11"/>
      <c r="K306" s="11"/>
      <c r="L306" s="11"/>
      <c r="M306" s="17"/>
    </row>
    <row r="307">
      <c r="H307" s="11"/>
      <c r="J307" s="11"/>
      <c r="K307" s="11"/>
      <c r="L307" s="11"/>
      <c r="M307" s="17"/>
    </row>
    <row r="308">
      <c r="H308" s="11"/>
      <c r="J308" s="11"/>
      <c r="K308" s="11"/>
      <c r="L308" s="11"/>
      <c r="M308" s="17"/>
    </row>
    <row r="309">
      <c r="H309" s="11"/>
      <c r="J309" s="11"/>
      <c r="K309" s="11"/>
      <c r="L309" s="11"/>
      <c r="M309" s="17"/>
    </row>
    <row r="310">
      <c r="H310" s="11"/>
      <c r="J310" s="11"/>
      <c r="K310" s="11"/>
      <c r="L310" s="11"/>
      <c r="M310" s="17"/>
    </row>
    <row r="311">
      <c r="H311" s="11"/>
      <c r="J311" s="11"/>
      <c r="K311" s="11"/>
      <c r="L311" s="11"/>
      <c r="M311" s="17"/>
    </row>
    <row r="312">
      <c r="H312" s="11"/>
      <c r="J312" s="11"/>
      <c r="K312" s="11"/>
      <c r="L312" s="11"/>
      <c r="M312" s="17"/>
    </row>
    <row r="313">
      <c r="H313" s="11"/>
      <c r="J313" s="11"/>
      <c r="K313" s="11"/>
      <c r="L313" s="11"/>
      <c r="M313" s="17"/>
    </row>
    <row r="314">
      <c r="H314" s="11"/>
      <c r="J314" s="11"/>
      <c r="K314" s="11"/>
      <c r="L314" s="11"/>
      <c r="M314" s="17"/>
    </row>
    <row r="315">
      <c r="H315" s="11"/>
      <c r="J315" s="11"/>
      <c r="K315" s="11"/>
      <c r="L315" s="11"/>
      <c r="M315" s="17"/>
    </row>
    <row r="316">
      <c r="H316" s="11"/>
      <c r="J316" s="11"/>
      <c r="K316" s="11"/>
      <c r="L316" s="11"/>
      <c r="M316" s="17"/>
    </row>
    <row r="317">
      <c r="H317" s="11"/>
      <c r="J317" s="11"/>
      <c r="K317" s="11"/>
      <c r="L317" s="11"/>
      <c r="M317" s="17"/>
    </row>
    <row r="318">
      <c r="H318" s="11"/>
      <c r="J318" s="11"/>
      <c r="K318" s="11"/>
      <c r="L318" s="11"/>
      <c r="M318" s="17"/>
    </row>
    <row r="319">
      <c r="H319" s="11"/>
      <c r="J319" s="11"/>
      <c r="K319" s="11"/>
      <c r="L319" s="11"/>
      <c r="M319" s="17"/>
    </row>
    <row r="320">
      <c r="H320" s="11"/>
      <c r="J320" s="11"/>
      <c r="K320" s="11"/>
      <c r="L320" s="11"/>
      <c r="M320" s="17"/>
    </row>
    <row r="321">
      <c r="H321" s="11"/>
      <c r="J321" s="11"/>
      <c r="K321" s="11"/>
      <c r="L321" s="11"/>
      <c r="M321" s="17"/>
    </row>
    <row r="322">
      <c r="H322" s="11"/>
      <c r="J322" s="11"/>
      <c r="K322" s="11"/>
      <c r="L322" s="11"/>
      <c r="M322" s="17"/>
    </row>
    <row r="323">
      <c r="H323" s="11"/>
      <c r="J323" s="11"/>
      <c r="K323" s="11"/>
      <c r="L323" s="11"/>
      <c r="M323" s="17"/>
    </row>
    <row r="324">
      <c r="H324" s="11"/>
      <c r="J324" s="11"/>
      <c r="K324" s="11"/>
      <c r="L324" s="11"/>
      <c r="M324" s="17"/>
    </row>
    <row r="325">
      <c r="H325" s="11"/>
      <c r="J325" s="11"/>
      <c r="K325" s="11"/>
      <c r="L325" s="11"/>
      <c r="M325" s="17"/>
    </row>
    <row r="326">
      <c r="H326" s="11"/>
      <c r="J326" s="11"/>
      <c r="K326" s="11"/>
      <c r="L326" s="11"/>
      <c r="M326" s="17"/>
    </row>
    <row r="327">
      <c r="H327" s="11"/>
      <c r="J327" s="11"/>
      <c r="K327" s="11"/>
      <c r="L327" s="11"/>
      <c r="M327" s="17"/>
    </row>
    <row r="328">
      <c r="H328" s="11"/>
      <c r="J328" s="11"/>
      <c r="K328" s="11"/>
      <c r="L328" s="11"/>
      <c r="M328" s="17"/>
    </row>
    <row r="329">
      <c r="H329" s="11"/>
      <c r="J329" s="11"/>
      <c r="K329" s="11"/>
      <c r="L329" s="11"/>
      <c r="M329" s="17"/>
    </row>
    <row r="330">
      <c r="H330" s="11"/>
      <c r="J330" s="11"/>
      <c r="K330" s="11"/>
      <c r="L330" s="11"/>
      <c r="M330" s="17"/>
    </row>
    <row r="331">
      <c r="H331" s="11"/>
      <c r="J331" s="11"/>
      <c r="K331" s="11"/>
      <c r="L331" s="11"/>
      <c r="M331" s="17"/>
    </row>
    <row r="332">
      <c r="H332" s="11"/>
      <c r="J332" s="11"/>
      <c r="K332" s="11"/>
      <c r="L332" s="11"/>
      <c r="M332" s="17"/>
    </row>
    <row r="333">
      <c r="H333" s="11"/>
      <c r="J333" s="11"/>
      <c r="K333" s="11"/>
      <c r="L333" s="11"/>
      <c r="M333" s="17"/>
    </row>
    <row r="334">
      <c r="H334" s="11"/>
      <c r="J334" s="11"/>
      <c r="K334" s="11"/>
      <c r="L334" s="11"/>
      <c r="M334" s="17"/>
    </row>
    <row r="335">
      <c r="H335" s="11"/>
      <c r="J335" s="11"/>
      <c r="K335" s="11"/>
      <c r="L335" s="11"/>
      <c r="M335" s="17"/>
    </row>
    <row r="336">
      <c r="H336" s="11"/>
      <c r="J336" s="11"/>
      <c r="K336" s="11"/>
      <c r="L336" s="11"/>
      <c r="M336" s="17"/>
    </row>
    <row r="337">
      <c r="H337" s="11"/>
      <c r="J337" s="11"/>
      <c r="K337" s="11"/>
      <c r="L337" s="11"/>
      <c r="M337" s="17"/>
    </row>
    <row r="338">
      <c r="H338" s="11"/>
      <c r="J338" s="11"/>
      <c r="K338" s="11"/>
      <c r="L338" s="11"/>
      <c r="M338" s="17"/>
    </row>
    <row r="339">
      <c r="H339" s="11"/>
      <c r="J339" s="11"/>
      <c r="K339" s="11"/>
      <c r="L339" s="11"/>
      <c r="M339" s="17"/>
    </row>
    <row r="340">
      <c r="H340" s="11"/>
      <c r="J340" s="11"/>
      <c r="K340" s="11"/>
      <c r="L340" s="11"/>
      <c r="M340" s="17"/>
    </row>
    <row r="341">
      <c r="H341" s="11"/>
      <c r="J341" s="11"/>
      <c r="K341" s="11"/>
      <c r="L341" s="11"/>
      <c r="M341" s="17"/>
    </row>
    <row r="342">
      <c r="H342" s="11"/>
      <c r="J342" s="11"/>
      <c r="K342" s="11"/>
      <c r="L342" s="11"/>
      <c r="M342" s="17"/>
    </row>
    <row r="343">
      <c r="H343" s="11"/>
      <c r="J343" s="11"/>
      <c r="K343" s="11"/>
      <c r="L343" s="11"/>
      <c r="M343" s="17"/>
    </row>
    <row r="344">
      <c r="H344" s="11"/>
      <c r="J344" s="11"/>
      <c r="K344" s="11"/>
      <c r="L344" s="11"/>
      <c r="M344" s="17"/>
    </row>
    <row r="345">
      <c r="H345" s="11"/>
      <c r="J345" s="11"/>
      <c r="K345" s="11"/>
      <c r="L345" s="11"/>
      <c r="M345" s="17"/>
    </row>
    <row r="346">
      <c r="H346" s="11"/>
      <c r="J346" s="11"/>
      <c r="K346" s="11"/>
      <c r="L346" s="11"/>
      <c r="M346" s="17"/>
    </row>
    <row r="347">
      <c r="H347" s="11"/>
      <c r="J347" s="11"/>
      <c r="K347" s="11"/>
      <c r="L347" s="11"/>
      <c r="M347" s="17"/>
    </row>
    <row r="348">
      <c r="H348" s="11"/>
      <c r="J348" s="11"/>
      <c r="K348" s="11"/>
      <c r="L348" s="11"/>
      <c r="M348" s="17"/>
    </row>
    <row r="349">
      <c r="H349" s="11"/>
      <c r="J349" s="11"/>
      <c r="K349" s="11"/>
      <c r="L349" s="11"/>
      <c r="M349" s="17"/>
    </row>
    <row r="350">
      <c r="H350" s="11"/>
      <c r="J350" s="11"/>
      <c r="K350" s="11"/>
      <c r="L350" s="11"/>
      <c r="M350" s="17"/>
    </row>
    <row r="351">
      <c r="H351" s="11"/>
      <c r="J351" s="11"/>
      <c r="K351" s="11"/>
      <c r="L351" s="11"/>
      <c r="M351" s="17"/>
    </row>
    <row r="352">
      <c r="H352" s="11"/>
      <c r="J352" s="11"/>
      <c r="K352" s="11"/>
      <c r="L352" s="11"/>
      <c r="M352" s="17"/>
    </row>
    <row r="353">
      <c r="H353" s="11"/>
      <c r="J353" s="11"/>
      <c r="K353" s="11"/>
      <c r="L353" s="11"/>
      <c r="M353" s="17"/>
    </row>
    <row r="354">
      <c r="H354" s="11"/>
      <c r="J354" s="11"/>
      <c r="K354" s="11"/>
      <c r="L354" s="11"/>
      <c r="M354" s="17"/>
    </row>
    <row r="355">
      <c r="H355" s="11"/>
      <c r="J355" s="11"/>
      <c r="K355" s="11"/>
      <c r="L355" s="11"/>
      <c r="M355" s="17"/>
    </row>
    <row r="356">
      <c r="H356" s="11"/>
      <c r="J356" s="11"/>
      <c r="K356" s="11"/>
      <c r="L356" s="11"/>
      <c r="M356" s="17"/>
    </row>
    <row r="357">
      <c r="H357" s="11"/>
      <c r="J357" s="11"/>
      <c r="K357" s="11"/>
      <c r="L357" s="11"/>
      <c r="M357" s="17"/>
    </row>
    <row r="358">
      <c r="H358" s="11"/>
      <c r="J358" s="11"/>
      <c r="K358" s="11"/>
      <c r="L358" s="11"/>
      <c r="M358" s="17"/>
    </row>
    <row r="359">
      <c r="H359" s="11"/>
      <c r="J359" s="11"/>
      <c r="K359" s="11"/>
      <c r="L359" s="11"/>
      <c r="M359" s="17"/>
    </row>
    <row r="360">
      <c r="H360" s="11"/>
      <c r="J360" s="11"/>
      <c r="K360" s="11"/>
      <c r="L360" s="11"/>
      <c r="M360" s="17"/>
    </row>
    <row r="361">
      <c r="H361" s="11"/>
      <c r="J361" s="11"/>
      <c r="K361" s="11"/>
      <c r="L361" s="11"/>
      <c r="M361" s="17"/>
    </row>
    <row r="362">
      <c r="H362" s="11"/>
      <c r="J362" s="11"/>
      <c r="K362" s="11"/>
      <c r="L362" s="11"/>
      <c r="M362" s="17"/>
    </row>
    <row r="363">
      <c r="H363" s="11"/>
      <c r="J363" s="11"/>
      <c r="K363" s="11"/>
      <c r="L363" s="11"/>
      <c r="M363" s="17"/>
    </row>
    <row r="364">
      <c r="H364" s="11"/>
      <c r="J364" s="11"/>
      <c r="K364" s="11"/>
      <c r="L364" s="11"/>
      <c r="M364" s="17"/>
    </row>
    <row r="365">
      <c r="H365" s="11"/>
      <c r="J365" s="11"/>
      <c r="K365" s="11"/>
      <c r="L365" s="11"/>
      <c r="M365" s="17"/>
    </row>
    <row r="366">
      <c r="H366" s="11"/>
      <c r="J366" s="11"/>
      <c r="K366" s="11"/>
      <c r="L366" s="11"/>
      <c r="M366" s="17"/>
    </row>
    <row r="367">
      <c r="H367" s="11"/>
      <c r="J367" s="11"/>
      <c r="K367" s="11"/>
      <c r="L367" s="11"/>
      <c r="M367" s="17"/>
    </row>
    <row r="368">
      <c r="H368" s="11"/>
      <c r="J368" s="11"/>
      <c r="K368" s="11"/>
      <c r="L368" s="11"/>
      <c r="M368" s="17"/>
    </row>
    <row r="369">
      <c r="H369" s="11"/>
      <c r="J369" s="11"/>
      <c r="K369" s="11"/>
      <c r="L369" s="11"/>
      <c r="M369" s="17"/>
    </row>
    <row r="370">
      <c r="H370" s="11"/>
      <c r="J370" s="11"/>
      <c r="K370" s="11"/>
      <c r="L370" s="11"/>
      <c r="M370" s="17"/>
    </row>
    <row r="371">
      <c r="H371" s="11"/>
      <c r="J371" s="11"/>
      <c r="K371" s="11"/>
      <c r="L371" s="11"/>
      <c r="M371" s="17"/>
    </row>
    <row r="372">
      <c r="H372" s="11"/>
      <c r="J372" s="11"/>
      <c r="K372" s="11"/>
      <c r="L372" s="11"/>
      <c r="M372" s="17"/>
    </row>
    <row r="373">
      <c r="H373" s="11"/>
      <c r="J373" s="11"/>
      <c r="K373" s="11"/>
      <c r="L373" s="11"/>
      <c r="M373" s="17"/>
    </row>
    <row r="374">
      <c r="H374" s="11"/>
      <c r="J374" s="11"/>
      <c r="K374" s="11"/>
      <c r="L374" s="11"/>
      <c r="M374" s="17"/>
    </row>
    <row r="375">
      <c r="H375" s="11"/>
      <c r="J375" s="11"/>
      <c r="K375" s="11"/>
      <c r="L375" s="11"/>
      <c r="M375" s="17"/>
    </row>
    <row r="376">
      <c r="H376" s="11"/>
      <c r="J376" s="11"/>
      <c r="K376" s="11"/>
      <c r="L376" s="11"/>
      <c r="M376" s="17"/>
    </row>
    <row r="377">
      <c r="H377" s="11"/>
      <c r="J377" s="11"/>
      <c r="K377" s="11"/>
      <c r="L377" s="11"/>
      <c r="M377" s="17"/>
    </row>
    <row r="378">
      <c r="H378" s="11"/>
      <c r="J378" s="11"/>
      <c r="K378" s="11"/>
      <c r="L378" s="11"/>
      <c r="M378" s="17"/>
    </row>
    <row r="379">
      <c r="H379" s="11"/>
      <c r="J379" s="11"/>
      <c r="K379" s="11"/>
      <c r="L379" s="11"/>
      <c r="M379" s="17"/>
    </row>
    <row r="380">
      <c r="H380" s="11"/>
      <c r="J380" s="11"/>
      <c r="K380" s="11"/>
      <c r="L380" s="11"/>
      <c r="M380" s="17"/>
    </row>
    <row r="381">
      <c r="H381" s="11"/>
      <c r="J381" s="11"/>
      <c r="K381" s="11"/>
      <c r="L381" s="11"/>
      <c r="M381" s="17"/>
    </row>
    <row r="382">
      <c r="H382" s="11"/>
      <c r="J382" s="11"/>
      <c r="K382" s="11"/>
      <c r="L382" s="11"/>
      <c r="M382" s="17"/>
    </row>
    <row r="383">
      <c r="H383" s="11"/>
      <c r="J383" s="11"/>
      <c r="K383" s="11"/>
      <c r="L383" s="11"/>
      <c r="M383" s="17"/>
    </row>
    <row r="384">
      <c r="H384" s="11"/>
      <c r="J384" s="11"/>
      <c r="K384" s="11"/>
      <c r="L384" s="11"/>
      <c r="M384" s="17"/>
    </row>
    <row r="385">
      <c r="H385" s="11"/>
      <c r="J385" s="11"/>
      <c r="K385" s="11"/>
      <c r="L385" s="11"/>
      <c r="M385" s="17"/>
    </row>
    <row r="386">
      <c r="H386" s="11"/>
      <c r="J386" s="11"/>
      <c r="K386" s="11"/>
      <c r="L386" s="11"/>
      <c r="M386" s="17"/>
    </row>
    <row r="387">
      <c r="H387" s="11"/>
      <c r="J387" s="11"/>
      <c r="K387" s="11"/>
      <c r="L387" s="11"/>
      <c r="M387" s="17"/>
    </row>
    <row r="388">
      <c r="H388" s="11"/>
      <c r="J388" s="11"/>
      <c r="K388" s="11"/>
      <c r="L388" s="11"/>
      <c r="M388" s="17"/>
    </row>
    <row r="389">
      <c r="H389" s="11"/>
      <c r="J389" s="11"/>
      <c r="K389" s="11"/>
      <c r="L389" s="11"/>
      <c r="M389" s="17"/>
    </row>
    <row r="390">
      <c r="H390" s="11"/>
      <c r="J390" s="11"/>
      <c r="K390" s="11"/>
      <c r="L390" s="11"/>
      <c r="M390" s="17"/>
    </row>
    <row r="391">
      <c r="H391" s="11"/>
      <c r="J391" s="11"/>
      <c r="K391" s="11"/>
      <c r="L391" s="11"/>
      <c r="M391" s="17"/>
    </row>
    <row r="392">
      <c r="H392" s="11"/>
      <c r="J392" s="11"/>
      <c r="K392" s="11"/>
      <c r="L392" s="11"/>
      <c r="M392" s="17"/>
    </row>
    <row r="393">
      <c r="H393" s="11"/>
      <c r="J393" s="11"/>
      <c r="K393" s="11"/>
      <c r="L393" s="11"/>
      <c r="M393" s="17"/>
    </row>
    <row r="394">
      <c r="H394" s="11"/>
      <c r="J394" s="11"/>
      <c r="K394" s="11"/>
      <c r="L394" s="11"/>
      <c r="M394" s="17"/>
    </row>
    <row r="395">
      <c r="H395" s="11"/>
      <c r="J395" s="11"/>
      <c r="K395" s="11"/>
      <c r="L395" s="11"/>
      <c r="M395" s="17"/>
    </row>
    <row r="396">
      <c r="H396" s="11"/>
      <c r="J396" s="11"/>
      <c r="K396" s="11"/>
      <c r="L396" s="11"/>
      <c r="M396" s="17"/>
    </row>
    <row r="397">
      <c r="H397" s="11"/>
      <c r="J397" s="11"/>
      <c r="K397" s="11"/>
      <c r="L397" s="11"/>
      <c r="M397" s="17"/>
    </row>
    <row r="398">
      <c r="H398" s="11"/>
      <c r="J398" s="11"/>
      <c r="K398" s="11"/>
      <c r="L398" s="11"/>
      <c r="M398" s="17"/>
    </row>
    <row r="399">
      <c r="H399" s="11"/>
      <c r="J399" s="11"/>
      <c r="K399" s="11"/>
      <c r="L399" s="11"/>
      <c r="M399" s="17"/>
    </row>
    <row r="400">
      <c r="H400" s="11"/>
      <c r="J400" s="11"/>
      <c r="K400" s="11"/>
      <c r="L400" s="11"/>
      <c r="M400" s="17"/>
    </row>
    <row r="401">
      <c r="H401" s="11"/>
      <c r="J401" s="11"/>
      <c r="K401" s="11"/>
      <c r="L401" s="11"/>
      <c r="M401" s="17"/>
    </row>
    <row r="402">
      <c r="H402" s="11"/>
      <c r="J402" s="11"/>
      <c r="K402" s="11"/>
      <c r="L402" s="11"/>
      <c r="M402" s="17"/>
    </row>
    <row r="403">
      <c r="H403" s="11"/>
      <c r="J403" s="11"/>
      <c r="K403" s="11"/>
      <c r="L403" s="11"/>
      <c r="M403" s="17"/>
    </row>
    <row r="404">
      <c r="H404" s="11"/>
      <c r="J404" s="11"/>
      <c r="K404" s="11"/>
      <c r="L404" s="11"/>
      <c r="M404" s="17"/>
    </row>
    <row r="405">
      <c r="H405" s="11"/>
      <c r="J405" s="11"/>
      <c r="K405" s="11"/>
      <c r="L405" s="11"/>
      <c r="M405" s="17"/>
    </row>
    <row r="406">
      <c r="H406" s="11"/>
      <c r="J406" s="11"/>
      <c r="K406" s="11"/>
      <c r="L406" s="11"/>
      <c r="M406" s="17"/>
    </row>
    <row r="407">
      <c r="H407" s="11"/>
      <c r="J407" s="11"/>
      <c r="K407" s="11"/>
      <c r="L407" s="11"/>
      <c r="M407" s="17"/>
    </row>
    <row r="408">
      <c r="H408" s="11"/>
      <c r="J408" s="11"/>
      <c r="K408" s="11"/>
      <c r="L408" s="11"/>
      <c r="M408" s="17"/>
    </row>
    <row r="409">
      <c r="H409" s="11"/>
      <c r="J409" s="11"/>
      <c r="K409" s="11"/>
      <c r="L409" s="11"/>
      <c r="M409" s="17"/>
    </row>
    <row r="410">
      <c r="H410" s="11"/>
      <c r="J410" s="11"/>
      <c r="K410" s="11"/>
      <c r="L410" s="11"/>
      <c r="M410" s="17"/>
    </row>
    <row r="411">
      <c r="H411" s="11"/>
      <c r="J411" s="11"/>
      <c r="K411" s="11"/>
      <c r="L411" s="11"/>
      <c r="M411" s="17"/>
    </row>
    <row r="412">
      <c r="H412" s="11"/>
      <c r="J412" s="11"/>
      <c r="K412" s="11"/>
      <c r="L412" s="11"/>
      <c r="M412" s="17"/>
    </row>
    <row r="413">
      <c r="H413" s="11"/>
      <c r="J413" s="11"/>
      <c r="K413" s="11"/>
      <c r="L413" s="11"/>
      <c r="M413" s="17"/>
    </row>
    <row r="414">
      <c r="H414" s="11"/>
      <c r="J414" s="11"/>
      <c r="K414" s="11"/>
      <c r="L414" s="11"/>
      <c r="M414" s="17"/>
    </row>
    <row r="415">
      <c r="H415" s="11"/>
      <c r="J415" s="11"/>
      <c r="K415" s="11"/>
      <c r="L415" s="11"/>
      <c r="M415" s="17"/>
    </row>
    <row r="416">
      <c r="H416" s="11"/>
      <c r="J416" s="11"/>
      <c r="K416" s="11"/>
      <c r="L416" s="11"/>
      <c r="M416" s="17"/>
    </row>
    <row r="417">
      <c r="H417" s="11"/>
      <c r="J417" s="11"/>
      <c r="K417" s="11"/>
      <c r="L417" s="11"/>
      <c r="M417" s="17"/>
    </row>
    <row r="418">
      <c r="H418" s="11"/>
      <c r="J418" s="11"/>
      <c r="K418" s="11"/>
      <c r="L418" s="11"/>
      <c r="M418" s="17"/>
    </row>
    <row r="419">
      <c r="H419" s="11"/>
      <c r="J419" s="11"/>
      <c r="K419" s="11"/>
      <c r="L419" s="11"/>
      <c r="M419" s="17"/>
    </row>
    <row r="420">
      <c r="H420" s="11"/>
      <c r="J420" s="11"/>
      <c r="K420" s="11"/>
      <c r="L420" s="11"/>
      <c r="M420" s="17"/>
    </row>
    <row r="421">
      <c r="H421" s="11"/>
      <c r="J421" s="11"/>
      <c r="K421" s="11"/>
      <c r="L421" s="11"/>
      <c r="M421" s="17"/>
    </row>
    <row r="422">
      <c r="H422" s="11"/>
      <c r="J422" s="11"/>
      <c r="K422" s="11"/>
      <c r="L422" s="11"/>
      <c r="M422" s="17"/>
    </row>
    <row r="423">
      <c r="H423" s="11"/>
      <c r="J423" s="11"/>
      <c r="K423" s="11"/>
      <c r="L423" s="11"/>
      <c r="M423" s="17"/>
    </row>
    <row r="424">
      <c r="H424" s="11"/>
      <c r="J424" s="11"/>
      <c r="K424" s="11"/>
      <c r="L424" s="11"/>
      <c r="M424" s="17"/>
    </row>
    <row r="425">
      <c r="H425" s="11"/>
      <c r="J425" s="11"/>
      <c r="K425" s="11"/>
      <c r="L425" s="11"/>
      <c r="M425" s="17"/>
    </row>
    <row r="426">
      <c r="H426" s="11"/>
      <c r="J426" s="11"/>
      <c r="K426" s="11"/>
      <c r="L426" s="11"/>
      <c r="M426" s="17"/>
    </row>
    <row r="427">
      <c r="H427" s="11"/>
      <c r="J427" s="11"/>
      <c r="K427" s="11"/>
      <c r="L427" s="11"/>
      <c r="M427" s="17"/>
    </row>
    <row r="428">
      <c r="H428" s="11"/>
      <c r="J428" s="11"/>
      <c r="K428" s="11"/>
      <c r="L428" s="11"/>
      <c r="M428" s="17"/>
    </row>
    <row r="429">
      <c r="H429" s="11"/>
      <c r="J429" s="11"/>
      <c r="K429" s="11"/>
      <c r="L429" s="11"/>
      <c r="M429" s="17"/>
    </row>
    <row r="430">
      <c r="H430" s="11"/>
      <c r="J430" s="11"/>
      <c r="K430" s="11"/>
      <c r="L430" s="11"/>
      <c r="M430" s="17"/>
    </row>
    <row r="431">
      <c r="H431" s="11"/>
      <c r="J431" s="11"/>
      <c r="K431" s="11"/>
      <c r="L431" s="11"/>
      <c r="M431" s="17"/>
    </row>
    <row r="432">
      <c r="H432" s="11"/>
      <c r="J432" s="11"/>
      <c r="K432" s="11"/>
      <c r="L432" s="11"/>
      <c r="M432" s="17"/>
    </row>
    <row r="433">
      <c r="H433" s="11"/>
      <c r="J433" s="11"/>
      <c r="K433" s="11"/>
      <c r="L433" s="11"/>
      <c r="M433" s="17"/>
    </row>
    <row r="434">
      <c r="H434" s="11"/>
      <c r="J434" s="11"/>
      <c r="K434" s="11"/>
      <c r="L434" s="11"/>
      <c r="M434" s="17"/>
    </row>
    <row r="435">
      <c r="H435" s="11"/>
      <c r="J435" s="11"/>
      <c r="K435" s="11"/>
      <c r="L435" s="11"/>
      <c r="M435" s="17"/>
    </row>
    <row r="436">
      <c r="H436" s="11"/>
      <c r="J436" s="11"/>
      <c r="K436" s="11"/>
      <c r="L436" s="11"/>
      <c r="M436" s="17"/>
    </row>
    <row r="437">
      <c r="H437" s="11"/>
      <c r="J437" s="11"/>
      <c r="K437" s="11"/>
      <c r="L437" s="11"/>
      <c r="M437" s="17"/>
    </row>
    <row r="438">
      <c r="H438" s="11"/>
      <c r="J438" s="11"/>
      <c r="K438" s="11"/>
      <c r="L438" s="11"/>
      <c r="M438" s="17"/>
    </row>
    <row r="439">
      <c r="H439" s="11"/>
      <c r="J439" s="11"/>
      <c r="K439" s="11"/>
      <c r="L439" s="11"/>
      <c r="M439" s="17"/>
    </row>
    <row r="440">
      <c r="H440" s="11"/>
      <c r="J440" s="11"/>
      <c r="K440" s="11"/>
      <c r="L440" s="11"/>
      <c r="M440" s="17"/>
    </row>
    <row r="441">
      <c r="H441" s="11"/>
      <c r="J441" s="11"/>
      <c r="K441" s="11"/>
      <c r="L441" s="11"/>
      <c r="M441" s="17"/>
    </row>
    <row r="442">
      <c r="H442" s="11"/>
      <c r="J442" s="11"/>
      <c r="K442" s="11"/>
      <c r="L442" s="11"/>
      <c r="M442" s="17"/>
    </row>
    <row r="443">
      <c r="H443" s="11"/>
      <c r="J443" s="11"/>
      <c r="K443" s="11"/>
      <c r="L443" s="11"/>
      <c r="M443" s="17"/>
    </row>
    <row r="444">
      <c r="H444" s="11"/>
      <c r="J444" s="11"/>
      <c r="K444" s="11"/>
      <c r="L444" s="11"/>
      <c r="M444" s="17"/>
    </row>
    <row r="445">
      <c r="H445" s="11"/>
      <c r="J445" s="11"/>
      <c r="K445" s="11"/>
      <c r="L445" s="11"/>
      <c r="M445" s="17"/>
    </row>
    <row r="446">
      <c r="H446" s="11"/>
      <c r="J446" s="11"/>
      <c r="K446" s="11"/>
      <c r="L446" s="11"/>
      <c r="M446" s="17"/>
    </row>
    <row r="447">
      <c r="H447" s="11"/>
      <c r="J447" s="11"/>
      <c r="K447" s="11"/>
      <c r="L447" s="11"/>
      <c r="M447" s="17"/>
    </row>
    <row r="448">
      <c r="H448" s="11"/>
      <c r="J448" s="11"/>
      <c r="K448" s="11"/>
      <c r="L448" s="11"/>
      <c r="M448" s="17"/>
    </row>
    <row r="449">
      <c r="H449" s="11"/>
      <c r="J449" s="11"/>
      <c r="K449" s="11"/>
      <c r="L449" s="11"/>
      <c r="M449" s="17"/>
    </row>
    <row r="450">
      <c r="H450" s="11"/>
      <c r="J450" s="11"/>
      <c r="K450" s="11"/>
      <c r="L450" s="11"/>
      <c r="M450" s="17"/>
    </row>
    <row r="451">
      <c r="H451" s="11"/>
      <c r="J451" s="11"/>
      <c r="K451" s="11"/>
      <c r="L451" s="11"/>
      <c r="M451" s="17"/>
    </row>
    <row r="452">
      <c r="H452" s="11"/>
      <c r="J452" s="11"/>
      <c r="K452" s="11"/>
      <c r="L452" s="11"/>
      <c r="M452" s="17"/>
    </row>
    <row r="453">
      <c r="H453" s="11"/>
      <c r="J453" s="11"/>
      <c r="K453" s="11"/>
      <c r="L453" s="11"/>
      <c r="M453" s="17"/>
    </row>
    <row r="454">
      <c r="H454" s="11"/>
      <c r="J454" s="11"/>
      <c r="K454" s="11"/>
      <c r="L454" s="11"/>
      <c r="M454" s="17"/>
    </row>
    <row r="455">
      <c r="H455" s="11"/>
      <c r="J455" s="11"/>
      <c r="K455" s="11"/>
      <c r="L455" s="11"/>
      <c r="M455" s="17"/>
    </row>
    <row r="456">
      <c r="H456" s="11"/>
      <c r="J456" s="11"/>
      <c r="K456" s="11"/>
      <c r="L456" s="11"/>
      <c r="M456" s="17"/>
    </row>
    <row r="457">
      <c r="H457" s="11"/>
      <c r="J457" s="11"/>
      <c r="K457" s="11"/>
      <c r="L457" s="11"/>
      <c r="M457" s="17"/>
    </row>
    <row r="458">
      <c r="H458" s="11"/>
      <c r="J458" s="11"/>
      <c r="K458" s="11"/>
      <c r="L458" s="11"/>
      <c r="M458" s="17"/>
    </row>
    <row r="459">
      <c r="H459" s="11"/>
      <c r="J459" s="11"/>
      <c r="K459" s="11"/>
      <c r="L459" s="11"/>
      <c r="M459" s="17"/>
    </row>
    <row r="460">
      <c r="H460" s="11"/>
      <c r="J460" s="11"/>
      <c r="K460" s="11"/>
      <c r="L460" s="11"/>
      <c r="M460" s="17"/>
    </row>
    <row r="461">
      <c r="H461" s="11"/>
      <c r="J461" s="11"/>
      <c r="K461" s="11"/>
      <c r="L461" s="11"/>
      <c r="M461" s="17"/>
    </row>
    <row r="462">
      <c r="H462" s="11"/>
      <c r="J462" s="11"/>
      <c r="K462" s="11"/>
      <c r="L462" s="11"/>
      <c r="M462" s="17"/>
    </row>
    <row r="463">
      <c r="H463" s="11"/>
      <c r="J463" s="11"/>
      <c r="K463" s="11"/>
      <c r="L463" s="11"/>
      <c r="M463" s="17"/>
    </row>
    <row r="464">
      <c r="H464" s="11"/>
      <c r="J464" s="11"/>
      <c r="K464" s="11"/>
      <c r="L464" s="11"/>
      <c r="M464" s="17"/>
    </row>
    <row r="465">
      <c r="H465" s="11"/>
      <c r="J465" s="11"/>
      <c r="K465" s="11"/>
      <c r="L465" s="11"/>
      <c r="M465" s="17"/>
    </row>
    <row r="466">
      <c r="H466" s="11"/>
      <c r="J466" s="11"/>
      <c r="K466" s="11"/>
      <c r="L466" s="11"/>
      <c r="M466" s="17"/>
    </row>
    <row r="467">
      <c r="H467" s="11"/>
      <c r="J467" s="11"/>
      <c r="K467" s="11"/>
      <c r="L467" s="11"/>
      <c r="M467" s="17"/>
    </row>
    <row r="468">
      <c r="H468" s="11"/>
      <c r="J468" s="11"/>
      <c r="K468" s="11"/>
      <c r="L468" s="11"/>
      <c r="M468" s="17"/>
    </row>
    <row r="469">
      <c r="H469" s="11"/>
      <c r="J469" s="11"/>
      <c r="K469" s="11"/>
      <c r="L469" s="11"/>
      <c r="M469" s="17"/>
    </row>
    <row r="470">
      <c r="H470" s="11"/>
      <c r="J470" s="11"/>
      <c r="K470" s="11"/>
      <c r="L470" s="11"/>
      <c r="M470" s="17"/>
    </row>
    <row r="471">
      <c r="H471" s="11"/>
      <c r="J471" s="11"/>
      <c r="K471" s="11"/>
      <c r="L471" s="11"/>
      <c r="M471" s="17"/>
    </row>
    <row r="472">
      <c r="H472" s="11"/>
      <c r="J472" s="11"/>
      <c r="K472" s="11"/>
      <c r="L472" s="11"/>
      <c r="M472" s="17"/>
    </row>
    <row r="473">
      <c r="H473" s="11"/>
      <c r="J473" s="11"/>
      <c r="K473" s="11"/>
      <c r="L473" s="11"/>
      <c r="M473" s="17"/>
    </row>
    <row r="474">
      <c r="H474" s="11"/>
      <c r="J474" s="11"/>
      <c r="K474" s="11"/>
      <c r="L474" s="11"/>
      <c r="M474" s="17"/>
    </row>
    <row r="475">
      <c r="H475" s="11"/>
      <c r="J475" s="11"/>
      <c r="K475" s="11"/>
      <c r="L475" s="11"/>
      <c r="M475" s="17"/>
    </row>
    <row r="476">
      <c r="H476" s="11"/>
      <c r="J476" s="11"/>
      <c r="K476" s="11"/>
      <c r="L476" s="11"/>
      <c r="M476" s="17"/>
    </row>
    <row r="477">
      <c r="H477" s="11"/>
      <c r="J477" s="11"/>
      <c r="K477" s="11"/>
      <c r="L477" s="11"/>
      <c r="M477" s="17"/>
    </row>
    <row r="478">
      <c r="H478" s="11"/>
      <c r="J478" s="11"/>
      <c r="K478" s="11"/>
      <c r="L478" s="11"/>
      <c r="M478" s="17"/>
    </row>
    <row r="479">
      <c r="H479" s="11"/>
      <c r="J479" s="11"/>
      <c r="K479" s="11"/>
      <c r="L479" s="11"/>
      <c r="M479" s="17"/>
    </row>
    <row r="480">
      <c r="H480" s="11"/>
      <c r="J480" s="11"/>
      <c r="K480" s="11"/>
      <c r="L480" s="11"/>
      <c r="M480" s="17"/>
    </row>
    <row r="481">
      <c r="H481" s="11"/>
      <c r="J481" s="11"/>
      <c r="K481" s="11"/>
      <c r="L481" s="11"/>
      <c r="M481" s="17"/>
    </row>
    <row r="482">
      <c r="H482" s="11"/>
      <c r="J482" s="11"/>
      <c r="K482" s="11"/>
      <c r="L482" s="11"/>
      <c r="M482" s="17"/>
    </row>
    <row r="483">
      <c r="H483" s="11"/>
      <c r="J483" s="11"/>
      <c r="K483" s="11"/>
      <c r="L483" s="11"/>
      <c r="M483" s="17"/>
    </row>
    <row r="484">
      <c r="H484" s="11"/>
      <c r="J484" s="11"/>
      <c r="K484" s="11"/>
      <c r="L484" s="11"/>
      <c r="M484" s="17"/>
    </row>
    <row r="485">
      <c r="H485" s="11"/>
      <c r="J485" s="11"/>
      <c r="K485" s="11"/>
      <c r="L485" s="11"/>
      <c r="M485" s="17"/>
    </row>
    <row r="486">
      <c r="H486" s="11"/>
      <c r="J486" s="11"/>
      <c r="K486" s="11"/>
      <c r="L486" s="11"/>
      <c r="M486" s="17"/>
    </row>
    <row r="487">
      <c r="H487" s="11"/>
      <c r="J487" s="11"/>
      <c r="K487" s="11"/>
      <c r="L487" s="11"/>
      <c r="M487" s="17"/>
    </row>
    <row r="488">
      <c r="H488" s="11"/>
      <c r="J488" s="11"/>
      <c r="K488" s="11"/>
      <c r="L488" s="11"/>
      <c r="M488" s="17"/>
    </row>
    <row r="489">
      <c r="H489" s="11"/>
      <c r="J489" s="11"/>
      <c r="K489" s="11"/>
      <c r="L489" s="11"/>
      <c r="M489" s="17"/>
    </row>
    <row r="490">
      <c r="H490" s="11"/>
      <c r="J490" s="11"/>
      <c r="K490" s="11"/>
      <c r="L490" s="11"/>
      <c r="M490" s="17"/>
    </row>
    <row r="491">
      <c r="H491" s="11"/>
      <c r="J491" s="11"/>
      <c r="K491" s="11"/>
      <c r="L491" s="11"/>
      <c r="M491" s="17"/>
    </row>
    <row r="492">
      <c r="H492" s="11"/>
      <c r="J492" s="11"/>
      <c r="K492" s="11"/>
      <c r="L492" s="11"/>
      <c r="M492" s="17"/>
    </row>
    <row r="493">
      <c r="H493" s="11"/>
      <c r="J493" s="11"/>
      <c r="K493" s="11"/>
      <c r="L493" s="11"/>
      <c r="M493" s="17"/>
    </row>
    <row r="494">
      <c r="H494" s="11"/>
      <c r="J494" s="11"/>
      <c r="K494" s="11"/>
      <c r="L494" s="11"/>
      <c r="M494" s="17"/>
    </row>
    <row r="495">
      <c r="H495" s="11"/>
      <c r="J495" s="11"/>
      <c r="K495" s="11"/>
      <c r="L495" s="11"/>
      <c r="M495" s="17"/>
    </row>
    <row r="496">
      <c r="H496" s="11"/>
      <c r="J496" s="11"/>
      <c r="K496" s="11"/>
      <c r="L496" s="11"/>
      <c r="M496" s="17"/>
    </row>
    <row r="497">
      <c r="H497" s="11"/>
      <c r="J497" s="11"/>
      <c r="K497" s="11"/>
      <c r="L497" s="11"/>
      <c r="M497" s="17"/>
    </row>
    <row r="498">
      <c r="H498" s="11"/>
      <c r="J498" s="11"/>
      <c r="K498" s="11"/>
      <c r="L498" s="11"/>
      <c r="M498" s="17"/>
    </row>
    <row r="499">
      <c r="H499" s="11"/>
      <c r="J499" s="11"/>
      <c r="K499" s="11"/>
      <c r="L499" s="11"/>
      <c r="M499" s="17"/>
    </row>
    <row r="500">
      <c r="H500" s="11"/>
      <c r="J500" s="11"/>
      <c r="K500" s="11"/>
      <c r="L500" s="11"/>
      <c r="M500" s="17"/>
    </row>
    <row r="501">
      <c r="H501" s="11"/>
      <c r="J501" s="11"/>
      <c r="K501" s="11"/>
      <c r="L501" s="11"/>
      <c r="M501" s="17"/>
    </row>
    <row r="502">
      <c r="H502" s="11"/>
      <c r="J502" s="11"/>
      <c r="K502" s="11"/>
      <c r="L502" s="11"/>
      <c r="M502" s="17"/>
    </row>
    <row r="503">
      <c r="H503" s="11"/>
      <c r="J503" s="11"/>
      <c r="K503" s="11"/>
      <c r="L503" s="11"/>
      <c r="M503" s="17"/>
    </row>
    <row r="504">
      <c r="H504" s="11"/>
      <c r="J504" s="11"/>
      <c r="K504" s="11"/>
      <c r="L504" s="11"/>
      <c r="M504" s="17"/>
    </row>
    <row r="505">
      <c r="H505" s="11"/>
      <c r="J505" s="11"/>
      <c r="K505" s="11"/>
      <c r="L505" s="11"/>
      <c r="M505" s="17"/>
    </row>
    <row r="506">
      <c r="H506" s="11"/>
      <c r="J506" s="11"/>
      <c r="K506" s="11"/>
      <c r="L506" s="11"/>
      <c r="M506" s="17"/>
    </row>
    <row r="507">
      <c r="H507" s="11"/>
      <c r="J507" s="11"/>
      <c r="K507" s="11"/>
      <c r="L507" s="11"/>
      <c r="M507" s="17"/>
    </row>
    <row r="508">
      <c r="H508" s="11"/>
      <c r="J508" s="11"/>
      <c r="K508" s="11"/>
      <c r="L508" s="11"/>
      <c r="M508" s="17"/>
    </row>
    <row r="509">
      <c r="H509" s="11"/>
      <c r="J509" s="11"/>
      <c r="K509" s="11"/>
      <c r="L509" s="11"/>
      <c r="M509" s="17"/>
    </row>
    <row r="510">
      <c r="H510" s="11"/>
      <c r="J510" s="11"/>
      <c r="K510" s="11"/>
      <c r="L510" s="11"/>
      <c r="M510" s="17"/>
    </row>
    <row r="511">
      <c r="H511" s="11"/>
      <c r="J511" s="11"/>
      <c r="K511" s="11"/>
      <c r="L511" s="11"/>
      <c r="M511" s="17"/>
    </row>
    <row r="512">
      <c r="H512" s="11"/>
      <c r="J512" s="11"/>
      <c r="K512" s="11"/>
      <c r="L512" s="11"/>
      <c r="M512" s="17"/>
    </row>
    <row r="513">
      <c r="H513" s="11"/>
      <c r="J513" s="11"/>
      <c r="K513" s="11"/>
      <c r="L513" s="11"/>
      <c r="M513" s="17"/>
    </row>
    <row r="514">
      <c r="H514" s="11"/>
      <c r="J514" s="11"/>
      <c r="K514" s="11"/>
      <c r="L514" s="11"/>
      <c r="M514" s="17"/>
    </row>
    <row r="515">
      <c r="H515" s="11"/>
      <c r="J515" s="11"/>
      <c r="K515" s="11"/>
      <c r="L515" s="11"/>
      <c r="M515" s="17"/>
    </row>
    <row r="516">
      <c r="H516" s="11"/>
      <c r="J516" s="11"/>
      <c r="K516" s="11"/>
      <c r="L516" s="11"/>
      <c r="M516" s="17"/>
    </row>
    <row r="517">
      <c r="H517" s="11"/>
      <c r="J517" s="11"/>
      <c r="K517" s="11"/>
      <c r="L517" s="11"/>
      <c r="M517" s="17"/>
    </row>
    <row r="518">
      <c r="H518" s="11"/>
      <c r="J518" s="11"/>
      <c r="K518" s="11"/>
      <c r="L518" s="11"/>
      <c r="M518" s="17"/>
    </row>
    <row r="519">
      <c r="H519" s="11"/>
      <c r="J519" s="11"/>
      <c r="K519" s="11"/>
      <c r="L519" s="11"/>
      <c r="M519" s="17"/>
    </row>
    <row r="520">
      <c r="H520" s="11"/>
      <c r="J520" s="11"/>
      <c r="K520" s="11"/>
      <c r="L520" s="11"/>
      <c r="M520" s="17"/>
    </row>
    <row r="521">
      <c r="H521" s="11"/>
      <c r="J521" s="11"/>
      <c r="K521" s="11"/>
      <c r="L521" s="11"/>
      <c r="M521" s="17"/>
    </row>
    <row r="522">
      <c r="H522" s="11"/>
      <c r="J522" s="11"/>
      <c r="K522" s="11"/>
      <c r="L522" s="11"/>
      <c r="M522" s="17"/>
    </row>
    <row r="523">
      <c r="H523" s="11"/>
      <c r="J523" s="11"/>
      <c r="K523" s="11"/>
      <c r="L523" s="11"/>
      <c r="M523" s="17"/>
    </row>
    <row r="524">
      <c r="H524" s="11"/>
      <c r="J524" s="11"/>
      <c r="K524" s="11"/>
      <c r="L524" s="11"/>
      <c r="M524" s="17"/>
    </row>
    <row r="525">
      <c r="H525" s="11"/>
      <c r="J525" s="11"/>
      <c r="K525" s="11"/>
      <c r="L525" s="11"/>
      <c r="M525" s="17"/>
    </row>
    <row r="526">
      <c r="H526" s="11"/>
      <c r="J526" s="11"/>
      <c r="K526" s="11"/>
      <c r="L526" s="11"/>
      <c r="M526" s="17"/>
    </row>
    <row r="527">
      <c r="H527" s="11"/>
      <c r="J527" s="11"/>
      <c r="K527" s="11"/>
      <c r="L527" s="11"/>
      <c r="M527" s="17"/>
    </row>
    <row r="528">
      <c r="H528" s="11"/>
      <c r="J528" s="11"/>
      <c r="K528" s="11"/>
      <c r="L528" s="11"/>
      <c r="M528" s="17"/>
    </row>
    <row r="529">
      <c r="H529" s="11"/>
      <c r="J529" s="11"/>
      <c r="K529" s="11"/>
      <c r="L529" s="11"/>
      <c r="M529" s="17"/>
    </row>
    <row r="530">
      <c r="H530" s="11"/>
      <c r="J530" s="11"/>
      <c r="K530" s="11"/>
      <c r="L530" s="11"/>
      <c r="M530" s="17"/>
    </row>
    <row r="531">
      <c r="H531" s="11"/>
      <c r="J531" s="11"/>
      <c r="K531" s="11"/>
      <c r="L531" s="11"/>
      <c r="M531" s="17"/>
    </row>
    <row r="532">
      <c r="H532" s="11"/>
      <c r="J532" s="11"/>
      <c r="K532" s="11"/>
      <c r="L532" s="11"/>
      <c r="M532" s="17"/>
    </row>
    <row r="533">
      <c r="H533" s="11"/>
      <c r="J533" s="11"/>
      <c r="K533" s="11"/>
      <c r="L533" s="11"/>
      <c r="M533" s="17"/>
    </row>
    <row r="534">
      <c r="H534" s="11"/>
      <c r="J534" s="11"/>
      <c r="K534" s="11"/>
      <c r="L534" s="11"/>
      <c r="M534" s="17"/>
    </row>
    <row r="535">
      <c r="H535" s="11"/>
      <c r="J535" s="11"/>
      <c r="K535" s="11"/>
      <c r="L535" s="11"/>
      <c r="M535" s="17"/>
    </row>
    <row r="536">
      <c r="H536" s="11"/>
      <c r="J536" s="11"/>
      <c r="K536" s="11"/>
      <c r="L536" s="11"/>
      <c r="M536" s="17"/>
    </row>
    <row r="537">
      <c r="H537" s="11"/>
      <c r="J537" s="11"/>
      <c r="K537" s="11"/>
      <c r="L537" s="11"/>
      <c r="M537" s="17"/>
    </row>
    <row r="538">
      <c r="H538" s="11"/>
      <c r="J538" s="11"/>
      <c r="K538" s="11"/>
      <c r="L538" s="11"/>
      <c r="M538" s="17"/>
    </row>
    <row r="539">
      <c r="H539" s="11"/>
      <c r="J539" s="11"/>
      <c r="K539" s="11"/>
      <c r="L539" s="11"/>
      <c r="M539" s="17"/>
    </row>
    <row r="540">
      <c r="H540" s="11"/>
      <c r="J540" s="11"/>
      <c r="K540" s="11"/>
      <c r="L540" s="11"/>
      <c r="M540" s="17"/>
    </row>
    <row r="541">
      <c r="H541" s="11"/>
      <c r="J541" s="11"/>
      <c r="K541" s="11"/>
      <c r="L541" s="11"/>
      <c r="M541" s="17"/>
    </row>
    <row r="542">
      <c r="H542" s="11"/>
      <c r="J542" s="11"/>
      <c r="K542" s="11"/>
      <c r="L542" s="11"/>
      <c r="M542" s="17"/>
    </row>
    <row r="543">
      <c r="H543" s="11"/>
      <c r="J543" s="11"/>
      <c r="K543" s="11"/>
      <c r="L543" s="11"/>
      <c r="M543" s="17"/>
    </row>
    <row r="544">
      <c r="H544" s="11"/>
      <c r="J544" s="11"/>
      <c r="K544" s="11"/>
      <c r="L544" s="11"/>
      <c r="M544" s="17"/>
    </row>
    <row r="545">
      <c r="H545" s="11"/>
      <c r="J545" s="11"/>
      <c r="K545" s="11"/>
      <c r="L545" s="11"/>
      <c r="M545" s="17"/>
    </row>
    <row r="546">
      <c r="H546" s="11"/>
      <c r="J546" s="11"/>
      <c r="K546" s="11"/>
      <c r="L546" s="11"/>
      <c r="M546" s="17"/>
    </row>
    <row r="547">
      <c r="H547" s="11"/>
      <c r="J547" s="11"/>
      <c r="K547" s="11"/>
      <c r="L547" s="11"/>
      <c r="M547" s="17"/>
    </row>
    <row r="548">
      <c r="H548" s="11"/>
      <c r="J548" s="11"/>
      <c r="K548" s="11"/>
      <c r="L548" s="11"/>
      <c r="M548" s="17"/>
    </row>
    <row r="549">
      <c r="H549" s="11"/>
      <c r="J549" s="11"/>
      <c r="K549" s="11"/>
      <c r="L549" s="11"/>
      <c r="M549" s="17"/>
    </row>
    <row r="550">
      <c r="H550" s="11"/>
      <c r="J550" s="11"/>
      <c r="K550" s="11"/>
      <c r="L550" s="11"/>
      <c r="M550" s="17"/>
    </row>
    <row r="551">
      <c r="H551" s="11"/>
      <c r="J551" s="11"/>
      <c r="K551" s="11"/>
      <c r="L551" s="11"/>
      <c r="M551" s="17"/>
    </row>
    <row r="552">
      <c r="H552" s="11"/>
      <c r="J552" s="11"/>
      <c r="K552" s="11"/>
      <c r="L552" s="11"/>
      <c r="M552" s="17"/>
    </row>
    <row r="553">
      <c r="H553" s="11"/>
      <c r="J553" s="11"/>
      <c r="K553" s="11"/>
      <c r="L553" s="11"/>
      <c r="M553" s="17"/>
    </row>
    <row r="554">
      <c r="H554" s="11"/>
      <c r="J554" s="11"/>
      <c r="K554" s="11"/>
      <c r="L554" s="11"/>
      <c r="M554" s="17"/>
    </row>
    <row r="555">
      <c r="H555" s="11"/>
      <c r="J555" s="11"/>
      <c r="K555" s="11"/>
      <c r="L555" s="11"/>
      <c r="M555" s="17"/>
    </row>
    <row r="556">
      <c r="H556" s="11"/>
      <c r="J556" s="11"/>
      <c r="K556" s="11"/>
      <c r="L556" s="11"/>
      <c r="M556" s="17"/>
    </row>
    <row r="557">
      <c r="H557" s="11"/>
      <c r="J557" s="11"/>
      <c r="K557" s="11"/>
      <c r="L557" s="11"/>
      <c r="M557" s="17"/>
    </row>
    <row r="558">
      <c r="H558" s="11"/>
      <c r="J558" s="11"/>
      <c r="K558" s="11"/>
      <c r="L558" s="11"/>
      <c r="M558" s="17"/>
    </row>
    <row r="559">
      <c r="H559" s="11"/>
      <c r="J559" s="11"/>
      <c r="K559" s="11"/>
      <c r="L559" s="11"/>
      <c r="M559" s="17"/>
    </row>
    <row r="560">
      <c r="H560" s="11"/>
      <c r="J560" s="11"/>
      <c r="K560" s="11"/>
      <c r="L560" s="11"/>
      <c r="M560" s="17"/>
    </row>
    <row r="561">
      <c r="H561" s="11"/>
      <c r="J561" s="11"/>
      <c r="K561" s="11"/>
      <c r="L561" s="11"/>
      <c r="M561" s="17"/>
    </row>
    <row r="562">
      <c r="H562" s="11"/>
      <c r="J562" s="11"/>
      <c r="K562" s="11"/>
      <c r="L562" s="11"/>
      <c r="M562" s="17"/>
    </row>
    <row r="563">
      <c r="H563" s="11"/>
      <c r="J563" s="11"/>
      <c r="K563" s="11"/>
      <c r="L563" s="11"/>
      <c r="M563" s="17"/>
    </row>
    <row r="564">
      <c r="H564" s="11"/>
      <c r="J564" s="11"/>
      <c r="K564" s="11"/>
      <c r="L564" s="11"/>
      <c r="M564" s="17"/>
    </row>
    <row r="565">
      <c r="H565" s="11"/>
      <c r="J565" s="11"/>
      <c r="K565" s="11"/>
      <c r="L565" s="11"/>
      <c r="M565" s="17"/>
    </row>
    <row r="566">
      <c r="H566" s="11"/>
      <c r="J566" s="11"/>
      <c r="K566" s="11"/>
      <c r="L566" s="11"/>
      <c r="M566" s="17"/>
    </row>
    <row r="567">
      <c r="H567" s="11"/>
      <c r="J567" s="11"/>
      <c r="K567" s="11"/>
      <c r="L567" s="11"/>
      <c r="M567" s="17"/>
    </row>
    <row r="568">
      <c r="H568" s="11"/>
      <c r="J568" s="11"/>
      <c r="K568" s="11"/>
      <c r="L568" s="11"/>
      <c r="M568" s="17"/>
    </row>
    <row r="569">
      <c r="H569" s="11"/>
      <c r="J569" s="11"/>
      <c r="K569" s="11"/>
      <c r="L569" s="11"/>
      <c r="M569" s="17"/>
    </row>
    <row r="570">
      <c r="H570" s="11"/>
      <c r="J570" s="11"/>
      <c r="K570" s="11"/>
      <c r="L570" s="11"/>
      <c r="M570" s="17"/>
    </row>
    <row r="571">
      <c r="H571" s="11"/>
      <c r="J571" s="11"/>
      <c r="K571" s="11"/>
      <c r="L571" s="11"/>
      <c r="M571" s="17"/>
    </row>
    <row r="572">
      <c r="H572" s="11"/>
      <c r="J572" s="11"/>
      <c r="K572" s="11"/>
      <c r="L572" s="11"/>
      <c r="M572" s="17"/>
    </row>
    <row r="573">
      <c r="H573" s="11"/>
      <c r="J573" s="11"/>
      <c r="K573" s="11"/>
      <c r="L573" s="11"/>
      <c r="M573" s="17"/>
    </row>
    <row r="574">
      <c r="H574" s="11"/>
      <c r="J574" s="11"/>
      <c r="K574" s="11"/>
      <c r="L574" s="11"/>
      <c r="M574" s="17"/>
    </row>
    <row r="575">
      <c r="H575" s="11"/>
      <c r="J575" s="11"/>
      <c r="K575" s="11"/>
      <c r="L575" s="11"/>
      <c r="M575" s="17"/>
    </row>
    <row r="576">
      <c r="H576" s="11"/>
      <c r="J576" s="11"/>
      <c r="K576" s="11"/>
      <c r="L576" s="11"/>
      <c r="M576" s="17"/>
    </row>
    <row r="577">
      <c r="H577" s="11"/>
      <c r="J577" s="11"/>
      <c r="K577" s="11"/>
      <c r="L577" s="11"/>
      <c r="M577" s="17"/>
    </row>
    <row r="578">
      <c r="H578" s="11"/>
      <c r="J578" s="11"/>
      <c r="K578" s="11"/>
      <c r="L578" s="11"/>
      <c r="M578" s="17"/>
    </row>
    <row r="579">
      <c r="H579" s="11"/>
      <c r="J579" s="11"/>
      <c r="K579" s="11"/>
      <c r="L579" s="11"/>
      <c r="M579" s="17"/>
    </row>
    <row r="580">
      <c r="H580" s="11"/>
      <c r="J580" s="11"/>
      <c r="K580" s="11"/>
      <c r="L580" s="11"/>
      <c r="M580" s="17"/>
    </row>
    <row r="581">
      <c r="H581" s="11"/>
      <c r="J581" s="11"/>
      <c r="K581" s="11"/>
      <c r="L581" s="11"/>
      <c r="M581" s="17"/>
    </row>
    <row r="582">
      <c r="H582" s="11"/>
      <c r="J582" s="11"/>
      <c r="K582" s="11"/>
      <c r="L582" s="11"/>
      <c r="M582" s="17"/>
    </row>
    <row r="583">
      <c r="H583" s="11"/>
      <c r="J583" s="11"/>
      <c r="K583" s="11"/>
      <c r="L583" s="11"/>
      <c r="M583" s="17"/>
    </row>
    <row r="584">
      <c r="H584" s="11"/>
      <c r="J584" s="11"/>
      <c r="K584" s="11"/>
      <c r="L584" s="11"/>
      <c r="M584" s="17"/>
    </row>
    <row r="585">
      <c r="H585" s="11"/>
      <c r="J585" s="11"/>
      <c r="K585" s="11"/>
      <c r="L585" s="11"/>
      <c r="M585" s="17"/>
    </row>
    <row r="586">
      <c r="H586" s="11"/>
      <c r="J586" s="11"/>
      <c r="K586" s="11"/>
      <c r="L586" s="11"/>
      <c r="M586" s="17"/>
    </row>
    <row r="587">
      <c r="H587" s="11"/>
      <c r="J587" s="11"/>
      <c r="K587" s="11"/>
      <c r="L587" s="11"/>
      <c r="M587" s="17"/>
    </row>
    <row r="588">
      <c r="H588" s="11"/>
      <c r="J588" s="11"/>
      <c r="K588" s="11"/>
      <c r="L588" s="11"/>
      <c r="M588" s="17"/>
    </row>
    <row r="589">
      <c r="H589" s="11"/>
      <c r="J589" s="11"/>
      <c r="K589" s="11"/>
      <c r="L589" s="11"/>
      <c r="M589" s="17"/>
    </row>
    <row r="590">
      <c r="H590" s="11"/>
      <c r="J590" s="11"/>
      <c r="K590" s="11"/>
      <c r="L590" s="11"/>
      <c r="M590" s="17"/>
    </row>
    <row r="591">
      <c r="H591" s="11"/>
      <c r="J591" s="11"/>
      <c r="K591" s="11"/>
      <c r="L591" s="11"/>
      <c r="M591" s="17"/>
    </row>
    <row r="592">
      <c r="H592" s="11"/>
      <c r="J592" s="11"/>
      <c r="K592" s="11"/>
      <c r="L592" s="11"/>
      <c r="M592" s="17"/>
    </row>
    <row r="593">
      <c r="H593" s="11"/>
      <c r="J593" s="11"/>
      <c r="K593" s="11"/>
      <c r="L593" s="11"/>
      <c r="M593" s="17"/>
    </row>
    <row r="594">
      <c r="H594" s="11"/>
      <c r="J594" s="11"/>
      <c r="K594" s="11"/>
      <c r="L594" s="11"/>
      <c r="M594" s="17"/>
    </row>
    <row r="595">
      <c r="H595" s="11"/>
      <c r="J595" s="11"/>
      <c r="K595" s="11"/>
      <c r="L595" s="11"/>
      <c r="M595" s="17"/>
    </row>
    <row r="596">
      <c r="H596" s="11"/>
      <c r="J596" s="11"/>
      <c r="K596" s="11"/>
      <c r="L596" s="11"/>
      <c r="M596" s="17"/>
    </row>
    <row r="597">
      <c r="H597" s="11"/>
      <c r="J597" s="11"/>
      <c r="K597" s="11"/>
      <c r="L597" s="11"/>
      <c r="M597" s="17"/>
    </row>
    <row r="598">
      <c r="H598" s="11"/>
      <c r="J598" s="11"/>
      <c r="K598" s="11"/>
      <c r="L598" s="11"/>
      <c r="M598" s="17"/>
    </row>
    <row r="599">
      <c r="H599" s="11"/>
      <c r="J599" s="11"/>
      <c r="K599" s="11"/>
      <c r="L599" s="11"/>
      <c r="M599" s="17"/>
    </row>
    <row r="600">
      <c r="H600" s="11"/>
      <c r="J600" s="11"/>
      <c r="K600" s="11"/>
      <c r="L600" s="11"/>
      <c r="M600" s="17"/>
    </row>
    <row r="601">
      <c r="H601" s="11"/>
      <c r="J601" s="11"/>
      <c r="K601" s="11"/>
      <c r="L601" s="11"/>
      <c r="M601" s="17"/>
    </row>
    <row r="602">
      <c r="H602" s="11"/>
      <c r="J602" s="11"/>
      <c r="K602" s="11"/>
      <c r="L602" s="11"/>
      <c r="M602" s="17"/>
    </row>
    <row r="603">
      <c r="H603" s="11"/>
      <c r="J603" s="11"/>
      <c r="K603" s="11"/>
      <c r="L603" s="11"/>
      <c r="M603" s="17"/>
    </row>
    <row r="604">
      <c r="H604" s="11"/>
      <c r="J604" s="11"/>
      <c r="K604" s="11"/>
      <c r="L604" s="11"/>
      <c r="M604" s="17"/>
    </row>
    <row r="605">
      <c r="H605" s="11"/>
      <c r="J605" s="11"/>
      <c r="K605" s="11"/>
      <c r="L605" s="11"/>
      <c r="M605" s="17"/>
    </row>
    <row r="606">
      <c r="H606" s="11"/>
      <c r="J606" s="11"/>
      <c r="K606" s="11"/>
      <c r="L606" s="11"/>
      <c r="M606" s="17"/>
    </row>
    <row r="607">
      <c r="H607" s="11"/>
      <c r="J607" s="11"/>
      <c r="K607" s="11"/>
      <c r="L607" s="11"/>
      <c r="M607" s="17"/>
    </row>
    <row r="608">
      <c r="H608" s="11"/>
      <c r="J608" s="11"/>
      <c r="K608" s="11"/>
      <c r="L608" s="11"/>
      <c r="M608" s="17"/>
    </row>
    <row r="609">
      <c r="H609" s="11"/>
      <c r="J609" s="11"/>
      <c r="K609" s="11"/>
      <c r="L609" s="11"/>
      <c r="M609" s="17"/>
    </row>
    <row r="610">
      <c r="H610" s="11"/>
      <c r="J610" s="11"/>
      <c r="K610" s="11"/>
      <c r="L610" s="11"/>
      <c r="M610" s="17"/>
    </row>
    <row r="611">
      <c r="H611" s="11"/>
      <c r="J611" s="11"/>
      <c r="K611" s="11"/>
      <c r="L611" s="11"/>
      <c r="M611" s="17"/>
    </row>
    <row r="612">
      <c r="H612" s="11"/>
      <c r="J612" s="11"/>
      <c r="K612" s="11"/>
      <c r="L612" s="11"/>
      <c r="M612" s="17"/>
    </row>
    <row r="613">
      <c r="H613" s="11"/>
      <c r="J613" s="11"/>
      <c r="K613" s="11"/>
      <c r="L613" s="11"/>
      <c r="M613" s="17"/>
    </row>
    <row r="614">
      <c r="H614" s="11"/>
      <c r="J614" s="11"/>
      <c r="K614" s="11"/>
      <c r="L614" s="11"/>
      <c r="M614" s="17"/>
    </row>
    <row r="615">
      <c r="H615" s="11"/>
      <c r="J615" s="11"/>
      <c r="K615" s="11"/>
      <c r="L615" s="11"/>
      <c r="M615" s="17"/>
    </row>
    <row r="616">
      <c r="H616" s="11"/>
      <c r="J616" s="11"/>
      <c r="K616" s="11"/>
      <c r="L616" s="11"/>
      <c r="M616" s="17"/>
    </row>
    <row r="617">
      <c r="H617" s="11"/>
      <c r="J617" s="11"/>
      <c r="K617" s="11"/>
      <c r="L617" s="11"/>
      <c r="M617" s="17"/>
    </row>
    <row r="618">
      <c r="H618" s="11"/>
      <c r="J618" s="11"/>
      <c r="K618" s="11"/>
      <c r="L618" s="11"/>
      <c r="M618" s="17"/>
    </row>
    <row r="619">
      <c r="H619" s="11"/>
      <c r="J619" s="11"/>
      <c r="K619" s="11"/>
      <c r="L619" s="11"/>
      <c r="M619" s="17"/>
    </row>
    <row r="620">
      <c r="H620" s="11"/>
      <c r="J620" s="11"/>
      <c r="K620" s="11"/>
      <c r="L620" s="11"/>
      <c r="M620" s="17"/>
    </row>
    <row r="621">
      <c r="H621" s="11"/>
      <c r="J621" s="11"/>
      <c r="K621" s="11"/>
      <c r="L621" s="11"/>
      <c r="M621" s="17"/>
    </row>
    <row r="622">
      <c r="H622" s="11"/>
      <c r="J622" s="11"/>
      <c r="K622" s="11"/>
      <c r="L622" s="11"/>
      <c r="M622" s="17"/>
    </row>
    <row r="623">
      <c r="H623" s="11"/>
      <c r="J623" s="11"/>
      <c r="K623" s="11"/>
      <c r="L623" s="11"/>
      <c r="M623" s="17"/>
    </row>
    <row r="624">
      <c r="H624" s="11"/>
      <c r="J624" s="11"/>
      <c r="K624" s="11"/>
      <c r="L624" s="11"/>
      <c r="M624" s="17"/>
    </row>
    <row r="625">
      <c r="H625" s="11"/>
      <c r="J625" s="11"/>
      <c r="K625" s="11"/>
      <c r="L625" s="11"/>
      <c r="M625" s="17"/>
    </row>
    <row r="626">
      <c r="H626" s="11"/>
      <c r="J626" s="11"/>
      <c r="K626" s="11"/>
      <c r="L626" s="11"/>
      <c r="M626" s="17"/>
    </row>
    <row r="627">
      <c r="H627" s="11"/>
      <c r="J627" s="11"/>
      <c r="K627" s="11"/>
      <c r="L627" s="11"/>
      <c r="M627" s="17"/>
    </row>
    <row r="628">
      <c r="H628" s="11"/>
      <c r="J628" s="11"/>
      <c r="K628" s="11"/>
      <c r="L628" s="11"/>
      <c r="M628" s="17"/>
    </row>
    <row r="629">
      <c r="H629" s="11"/>
      <c r="J629" s="11"/>
      <c r="K629" s="11"/>
      <c r="L629" s="11"/>
      <c r="M629" s="17"/>
    </row>
    <row r="630">
      <c r="H630" s="11"/>
      <c r="J630" s="11"/>
      <c r="K630" s="11"/>
      <c r="L630" s="11"/>
      <c r="M630" s="17"/>
    </row>
    <row r="631">
      <c r="H631" s="11"/>
      <c r="J631" s="11"/>
      <c r="K631" s="11"/>
      <c r="L631" s="11"/>
      <c r="M631" s="17"/>
    </row>
    <row r="632">
      <c r="H632" s="11"/>
      <c r="J632" s="11"/>
      <c r="K632" s="11"/>
      <c r="L632" s="11"/>
      <c r="M632" s="17"/>
    </row>
    <row r="633">
      <c r="H633" s="11"/>
      <c r="J633" s="11"/>
      <c r="K633" s="11"/>
      <c r="L633" s="11"/>
      <c r="M633" s="17"/>
    </row>
    <row r="634">
      <c r="H634" s="11"/>
      <c r="J634" s="11"/>
      <c r="K634" s="11"/>
      <c r="L634" s="11"/>
      <c r="M634" s="17"/>
    </row>
    <row r="635">
      <c r="H635" s="11"/>
      <c r="J635" s="11"/>
      <c r="K635" s="11"/>
      <c r="L635" s="11"/>
      <c r="M635" s="17"/>
    </row>
    <row r="636">
      <c r="H636" s="11"/>
      <c r="J636" s="11"/>
      <c r="K636" s="11"/>
      <c r="L636" s="11"/>
      <c r="M636" s="17"/>
    </row>
    <row r="637">
      <c r="H637" s="11"/>
      <c r="J637" s="11"/>
      <c r="K637" s="11"/>
      <c r="L637" s="11"/>
      <c r="M637" s="17"/>
    </row>
    <row r="638">
      <c r="H638" s="11"/>
      <c r="J638" s="11"/>
      <c r="K638" s="11"/>
      <c r="L638" s="11"/>
      <c r="M638" s="17"/>
    </row>
    <row r="639">
      <c r="H639" s="11"/>
      <c r="J639" s="11"/>
      <c r="K639" s="11"/>
      <c r="L639" s="11"/>
      <c r="M639" s="17"/>
    </row>
    <row r="640">
      <c r="H640" s="11"/>
      <c r="J640" s="11"/>
      <c r="K640" s="11"/>
      <c r="L640" s="11"/>
      <c r="M640" s="17"/>
    </row>
    <row r="641">
      <c r="H641" s="11"/>
      <c r="J641" s="11"/>
      <c r="K641" s="11"/>
      <c r="L641" s="11"/>
      <c r="M641" s="17"/>
    </row>
    <row r="642">
      <c r="H642" s="11"/>
      <c r="J642" s="11"/>
      <c r="K642" s="11"/>
      <c r="L642" s="11"/>
      <c r="M642" s="17"/>
    </row>
    <row r="643">
      <c r="H643" s="11"/>
      <c r="J643" s="11"/>
      <c r="K643" s="11"/>
      <c r="L643" s="11"/>
      <c r="M643" s="17"/>
    </row>
    <row r="644">
      <c r="H644" s="11"/>
      <c r="J644" s="11"/>
      <c r="K644" s="11"/>
      <c r="L644" s="11"/>
      <c r="M644" s="17"/>
    </row>
    <row r="645">
      <c r="H645" s="11"/>
      <c r="J645" s="11"/>
      <c r="K645" s="11"/>
      <c r="L645" s="11"/>
      <c r="M645" s="17"/>
    </row>
    <row r="646">
      <c r="H646" s="11"/>
      <c r="J646" s="11"/>
      <c r="K646" s="11"/>
      <c r="L646" s="11"/>
      <c r="M646" s="17"/>
    </row>
    <row r="647">
      <c r="H647" s="11"/>
      <c r="J647" s="11"/>
      <c r="K647" s="11"/>
      <c r="L647" s="11"/>
      <c r="M647" s="17"/>
    </row>
    <row r="648">
      <c r="H648" s="11"/>
      <c r="J648" s="11"/>
      <c r="K648" s="11"/>
      <c r="L648" s="11"/>
      <c r="M648" s="17"/>
    </row>
    <row r="649">
      <c r="H649" s="11"/>
      <c r="J649" s="11"/>
      <c r="K649" s="11"/>
      <c r="L649" s="11"/>
      <c r="M649" s="17"/>
    </row>
    <row r="650">
      <c r="H650" s="11"/>
      <c r="J650" s="11"/>
      <c r="K650" s="11"/>
      <c r="L650" s="11"/>
      <c r="M650" s="17"/>
    </row>
    <row r="651">
      <c r="H651" s="11"/>
      <c r="J651" s="11"/>
      <c r="K651" s="11"/>
      <c r="L651" s="11"/>
      <c r="M651" s="17"/>
    </row>
    <row r="652">
      <c r="H652" s="11"/>
      <c r="J652" s="11"/>
      <c r="K652" s="11"/>
      <c r="L652" s="11"/>
      <c r="M652" s="17"/>
    </row>
    <row r="653">
      <c r="H653" s="11"/>
      <c r="J653" s="11"/>
      <c r="K653" s="11"/>
      <c r="L653" s="11"/>
      <c r="M653" s="17"/>
    </row>
    <row r="654">
      <c r="H654" s="11"/>
      <c r="J654" s="11"/>
      <c r="K654" s="11"/>
      <c r="L654" s="11"/>
      <c r="M654" s="17"/>
    </row>
    <row r="655">
      <c r="H655" s="11"/>
      <c r="J655" s="11"/>
      <c r="K655" s="11"/>
      <c r="L655" s="11"/>
      <c r="M655" s="17"/>
    </row>
    <row r="656">
      <c r="H656" s="11"/>
      <c r="J656" s="11"/>
      <c r="K656" s="11"/>
      <c r="L656" s="11"/>
      <c r="M656" s="17"/>
    </row>
    <row r="657">
      <c r="H657" s="11"/>
      <c r="J657" s="11"/>
      <c r="K657" s="11"/>
      <c r="L657" s="11"/>
      <c r="M657" s="17"/>
    </row>
    <row r="658">
      <c r="H658" s="11"/>
      <c r="J658" s="11"/>
      <c r="K658" s="11"/>
      <c r="L658" s="11"/>
      <c r="M658" s="17"/>
    </row>
    <row r="659">
      <c r="H659" s="11"/>
      <c r="J659" s="11"/>
      <c r="K659" s="11"/>
      <c r="L659" s="11"/>
      <c r="M659" s="17"/>
    </row>
    <row r="660">
      <c r="H660" s="11"/>
      <c r="J660" s="11"/>
      <c r="K660" s="11"/>
      <c r="L660" s="11"/>
      <c r="M660" s="17"/>
    </row>
    <row r="661">
      <c r="H661" s="11"/>
      <c r="J661" s="11"/>
      <c r="K661" s="11"/>
      <c r="L661" s="11"/>
      <c r="M661" s="17"/>
    </row>
    <row r="662">
      <c r="H662" s="11"/>
      <c r="J662" s="11"/>
      <c r="K662" s="11"/>
      <c r="L662" s="11"/>
      <c r="M662" s="17"/>
    </row>
    <row r="663">
      <c r="H663" s="11"/>
      <c r="J663" s="11"/>
      <c r="K663" s="11"/>
      <c r="L663" s="11"/>
      <c r="M663" s="17"/>
    </row>
    <row r="664">
      <c r="H664" s="11"/>
      <c r="J664" s="11"/>
      <c r="K664" s="11"/>
      <c r="L664" s="11"/>
      <c r="M664" s="17"/>
    </row>
    <row r="665">
      <c r="H665" s="11"/>
      <c r="J665" s="11"/>
      <c r="K665" s="11"/>
      <c r="L665" s="11"/>
      <c r="M665" s="17"/>
    </row>
    <row r="666">
      <c r="H666" s="11"/>
      <c r="J666" s="11"/>
      <c r="K666" s="11"/>
      <c r="L666" s="11"/>
      <c r="M666" s="17"/>
    </row>
    <row r="667">
      <c r="H667" s="11"/>
      <c r="J667" s="11"/>
      <c r="K667" s="11"/>
      <c r="L667" s="11"/>
      <c r="M667" s="17"/>
    </row>
    <row r="668">
      <c r="H668" s="11"/>
      <c r="J668" s="11"/>
      <c r="K668" s="11"/>
      <c r="L668" s="11"/>
      <c r="M668" s="17"/>
    </row>
    <row r="669">
      <c r="H669" s="11"/>
      <c r="J669" s="11"/>
      <c r="K669" s="11"/>
      <c r="L669" s="11"/>
      <c r="M669" s="17"/>
    </row>
    <row r="670">
      <c r="H670" s="11"/>
      <c r="J670" s="11"/>
      <c r="K670" s="11"/>
      <c r="L670" s="11"/>
      <c r="M670" s="17"/>
    </row>
    <row r="671">
      <c r="H671" s="11"/>
      <c r="J671" s="11"/>
      <c r="K671" s="11"/>
      <c r="L671" s="11"/>
      <c r="M671" s="17"/>
    </row>
    <row r="672">
      <c r="H672" s="11"/>
      <c r="J672" s="11"/>
      <c r="K672" s="11"/>
      <c r="L672" s="11"/>
      <c r="M672" s="17"/>
    </row>
    <row r="673">
      <c r="H673" s="11"/>
      <c r="J673" s="11"/>
      <c r="K673" s="11"/>
      <c r="L673" s="11"/>
      <c r="M673" s="17"/>
    </row>
    <row r="674">
      <c r="H674" s="11"/>
      <c r="J674" s="11"/>
      <c r="K674" s="11"/>
      <c r="L674" s="11"/>
      <c r="M674" s="17"/>
    </row>
    <row r="675">
      <c r="H675" s="11"/>
      <c r="J675" s="11"/>
      <c r="K675" s="11"/>
      <c r="L675" s="11"/>
      <c r="M675" s="17"/>
    </row>
    <row r="676">
      <c r="H676" s="11"/>
      <c r="J676" s="11"/>
      <c r="K676" s="11"/>
      <c r="L676" s="11"/>
      <c r="M676" s="17"/>
    </row>
    <row r="677">
      <c r="H677" s="11"/>
      <c r="J677" s="11"/>
      <c r="K677" s="11"/>
      <c r="L677" s="11"/>
      <c r="M677" s="17"/>
    </row>
    <row r="678">
      <c r="H678" s="11"/>
      <c r="J678" s="11"/>
      <c r="K678" s="11"/>
      <c r="L678" s="11"/>
      <c r="M678" s="17"/>
    </row>
    <row r="679">
      <c r="H679" s="11"/>
      <c r="J679" s="11"/>
      <c r="K679" s="11"/>
      <c r="L679" s="11"/>
      <c r="M679" s="17"/>
    </row>
    <row r="680">
      <c r="H680" s="11"/>
      <c r="J680" s="11"/>
      <c r="K680" s="11"/>
      <c r="L680" s="11"/>
      <c r="M680" s="17"/>
    </row>
    <row r="681">
      <c r="H681" s="11"/>
      <c r="J681" s="11"/>
      <c r="K681" s="11"/>
      <c r="L681" s="11"/>
      <c r="M681" s="17"/>
    </row>
    <row r="682">
      <c r="H682" s="11"/>
      <c r="J682" s="11"/>
      <c r="K682" s="11"/>
      <c r="L682" s="11"/>
      <c r="M682" s="17"/>
    </row>
    <row r="683">
      <c r="H683" s="11"/>
      <c r="J683" s="11"/>
      <c r="K683" s="11"/>
      <c r="L683" s="11"/>
      <c r="M683" s="17"/>
    </row>
    <row r="684">
      <c r="H684" s="11"/>
      <c r="J684" s="11"/>
      <c r="K684" s="11"/>
      <c r="L684" s="11"/>
      <c r="M684" s="17"/>
    </row>
    <row r="685">
      <c r="H685" s="11"/>
      <c r="J685" s="11"/>
      <c r="K685" s="11"/>
      <c r="L685" s="11"/>
      <c r="M685" s="17"/>
    </row>
    <row r="686">
      <c r="H686" s="11"/>
      <c r="J686" s="11"/>
      <c r="K686" s="11"/>
      <c r="L686" s="11"/>
      <c r="M686" s="17"/>
    </row>
    <row r="687">
      <c r="H687" s="11"/>
      <c r="J687" s="11"/>
      <c r="K687" s="11"/>
      <c r="L687" s="11"/>
      <c r="M687" s="17"/>
    </row>
    <row r="688">
      <c r="H688" s="11"/>
      <c r="J688" s="11"/>
      <c r="K688" s="11"/>
      <c r="L688" s="11"/>
      <c r="M688" s="17"/>
    </row>
    <row r="689">
      <c r="H689" s="11"/>
      <c r="J689" s="11"/>
      <c r="K689" s="11"/>
      <c r="L689" s="11"/>
      <c r="M689" s="17"/>
    </row>
    <row r="690">
      <c r="H690" s="11"/>
      <c r="J690" s="11"/>
      <c r="K690" s="11"/>
      <c r="L690" s="11"/>
      <c r="M690" s="17"/>
    </row>
    <row r="691">
      <c r="H691" s="11"/>
      <c r="J691" s="11"/>
      <c r="K691" s="11"/>
      <c r="L691" s="11"/>
      <c r="M691" s="17"/>
    </row>
    <row r="692">
      <c r="H692" s="11"/>
      <c r="J692" s="11"/>
      <c r="K692" s="11"/>
      <c r="L692" s="11"/>
      <c r="M692" s="17"/>
    </row>
    <row r="693">
      <c r="H693" s="11"/>
      <c r="J693" s="11"/>
      <c r="K693" s="11"/>
      <c r="L693" s="11"/>
      <c r="M693" s="17"/>
    </row>
    <row r="694">
      <c r="H694" s="11"/>
      <c r="J694" s="11"/>
      <c r="K694" s="11"/>
      <c r="L694" s="11"/>
      <c r="M694" s="17"/>
    </row>
    <row r="695">
      <c r="H695" s="11"/>
      <c r="J695" s="11"/>
      <c r="K695" s="11"/>
      <c r="L695" s="11"/>
      <c r="M695" s="17"/>
    </row>
    <row r="696">
      <c r="H696" s="11"/>
      <c r="J696" s="11"/>
      <c r="K696" s="11"/>
      <c r="L696" s="11"/>
      <c r="M696" s="17"/>
    </row>
    <row r="697">
      <c r="H697" s="11"/>
      <c r="J697" s="11"/>
      <c r="K697" s="11"/>
      <c r="L697" s="11"/>
      <c r="M697" s="17"/>
    </row>
    <row r="698">
      <c r="H698" s="11"/>
      <c r="J698" s="11"/>
      <c r="K698" s="11"/>
      <c r="L698" s="11"/>
      <c r="M698" s="17"/>
    </row>
    <row r="699">
      <c r="H699" s="11"/>
      <c r="J699" s="11"/>
      <c r="K699" s="11"/>
      <c r="L699" s="11"/>
      <c r="M699" s="17"/>
    </row>
    <row r="700">
      <c r="H700" s="11"/>
      <c r="J700" s="11"/>
      <c r="K700" s="11"/>
      <c r="L700" s="11"/>
      <c r="M700" s="17"/>
    </row>
    <row r="701">
      <c r="H701" s="11"/>
      <c r="J701" s="11"/>
      <c r="K701" s="11"/>
      <c r="L701" s="11"/>
      <c r="M701" s="17"/>
    </row>
    <row r="702">
      <c r="H702" s="11"/>
      <c r="J702" s="11"/>
      <c r="K702" s="11"/>
      <c r="L702" s="11"/>
      <c r="M702" s="17"/>
    </row>
    <row r="703">
      <c r="H703" s="11"/>
      <c r="J703" s="11"/>
      <c r="K703" s="11"/>
      <c r="L703" s="11"/>
      <c r="M703" s="17"/>
    </row>
    <row r="704">
      <c r="H704" s="11"/>
      <c r="J704" s="11"/>
      <c r="K704" s="11"/>
      <c r="L704" s="11"/>
      <c r="M704" s="17"/>
    </row>
    <row r="705">
      <c r="H705" s="11"/>
      <c r="J705" s="11"/>
      <c r="K705" s="11"/>
      <c r="L705" s="11"/>
      <c r="M705" s="17"/>
    </row>
    <row r="706">
      <c r="H706" s="11"/>
      <c r="J706" s="11"/>
      <c r="K706" s="11"/>
      <c r="L706" s="11"/>
      <c r="M706" s="17"/>
    </row>
    <row r="707">
      <c r="H707" s="11"/>
      <c r="J707" s="11"/>
      <c r="K707" s="11"/>
      <c r="L707" s="11"/>
      <c r="M707" s="17"/>
    </row>
    <row r="708">
      <c r="H708" s="11"/>
      <c r="J708" s="11"/>
      <c r="K708" s="11"/>
      <c r="L708" s="11"/>
      <c r="M708" s="17"/>
    </row>
    <row r="709">
      <c r="H709" s="11"/>
      <c r="J709" s="11"/>
      <c r="K709" s="11"/>
      <c r="L709" s="11"/>
      <c r="M709" s="17"/>
    </row>
    <row r="710">
      <c r="H710" s="11"/>
      <c r="J710" s="11"/>
      <c r="K710" s="11"/>
      <c r="L710" s="11"/>
      <c r="M710" s="17"/>
    </row>
    <row r="711">
      <c r="H711" s="11"/>
      <c r="J711" s="11"/>
      <c r="K711" s="11"/>
      <c r="L711" s="11"/>
      <c r="M711" s="17"/>
    </row>
    <row r="712">
      <c r="H712" s="11"/>
      <c r="J712" s="11"/>
      <c r="K712" s="11"/>
      <c r="L712" s="11"/>
      <c r="M712" s="17"/>
    </row>
    <row r="713">
      <c r="H713" s="11"/>
      <c r="J713" s="11"/>
      <c r="K713" s="11"/>
      <c r="L713" s="11"/>
      <c r="M713" s="17"/>
    </row>
    <row r="714">
      <c r="H714" s="11"/>
      <c r="J714" s="11"/>
      <c r="K714" s="11"/>
      <c r="L714" s="11"/>
      <c r="M714" s="17"/>
    </row>
    <row r="715">
      <c r="H715" s="11"/>
      <c r="J715" s="11"/>
      <c r="K715" s="11"/>
      <c r="L715" s="11"/>
      <c r="M715" s="17"/>
    </row>
    <row r="716">
      <c r="H716" s="11"/>
      <c r="J716" s="11"/>
      <c r="K716" s="11"/>
      <c r="L716" s="11"/>
      <c r="M716" s="17"/>
    </row>
    <row r="717">
      <c r="H717" s="11"/>
      <c r="J717" s="11"/>
      <c r="K717" s="11"/>
      <c r="L717" s="11"/>
      <c r="M717" s="17"/>
    </row>
    <row r="718">
      <c r="H718" s="11"/>
      <c r="J718" s="11"/>
      <c r="K718" s="11"/>
      <c r="L718" s="11"/>
      <c r="M718" s="17"/>
    </row>
    <row r="719">
      <c r="H719" s="11"/>
      <c r="J719" s="11"/>
      <c r="K719" s="11"/>
      <c r="L719" s="11"/>
      <c r="M719" s="17"/>
    </row>
    <row r="720">
      <c r="H720" s="11"/>
      <c r="J720" s="11"/>
      <c r="K720" s="11"/>
      <c r="L720" s="11"/>
      <c r="M720" s="17"/>
    </row>
    <row r="721">
      <c r="H721" s="11"/>
      <c r="J721" s="11"/>
      <c r="K721" s="11"/>
      <c r="L721" s="11"/>
      <c r="M721" s="17"/>
    </row>
    <row r="722">
      <c r="H722" s="11"/>
      <c r="J722" s="11"/>
      <c r="K722" s="11"/>
      <c r="L722" s="11"/>
      <c r="M722" s="17"/>
    </row>
    <row r="723">
      <c r="H723" s="11"/>
      <c r="J723" s="11"/>
      <c r="K723" s="11"/>
      <c r="L723" s="11"/>
      <c r="M723" s="17"/>
    </row>
    <row r="724">
      <c r="H724" s="11"/>
      <c r="J724" s="11"/>
      <c r="K724" s="11"/>
      <c r="L724" s="11"/>
      <c r="M724" s="17"/>
    </row>
    <row r="725">
      <c r="H725" s="11"/>
      <c r="J725" s="11"/>
      <c r="K725" s="11"/>
      <c r="L725" s="11"/>
      <c r="M725" s="17"/>
    </row>
    <row r="726">
      <c r="H726" s="11"/>
      <c r="J726" s="11"/>
      <c r="K726" s="11"/>
      <c r="L726" s="11"/>
      <c r="M726" s="17"/>
    </row>
    <row r="727">
      <c r="H727" s="11"/>
      <c r="J727" s="11"/>
      <c r="K727" s="11"/>
      <c r="L727" s="11"/>
      <c r="M727" s="17"/>
    </row>
    <row r="728">
      <c r="H728" s="11"/>
      <c r="J728" s="11"/>
      <c r="K728" s="11"/>
      <c r="L728" s="11"/>
      <c r="M728" s="17"/>
    </row>
    <row r="729">
      <c r="H729" s="11"/>
      <c r="J729" s="11"/>
      <c r="K729" s="11"/>
      <c r="L729" s="11"/>
      <c r="M729" s="17"/>
    </row>
    <row r="730">
      <c r="H730" s="11"/>
      <c r="J730" s="11"/>
      <c r="K730" s="11"/>
      <c r="L730" s="11"/>
      <c r="M730" s="17"/>
    </row>
    <row r="731">
      <c r="H731" s="11"/>
      <c r="J731" s="11"/>
      <c r="K731" s="11"/>
      <c r="L731" s="11"/>
      <c r="M731" s="17"/>
    </row>
    <row r="732">
      <c r="H732" s="11"/>
      <c r="J732" s="11"/>
      <c r="K732" s="11"/>
      <c r="L732" s="11"/>
      <c r="M732" s="17"/>
    </row>
    <row r="733">
      <c r="H733" s="11"/>
      <c r="J733" s="11"/>
      <c r="K733" s="11"/>
      <c r="L733" s="11"/>
      <c r="M733" s="17"/>
    </row>
    <row r="734">
      <c r="H734" s="11"/>
      <c r="J734" s="11"/>
      <c r="K734" s="11"/>
      <c r="L734" s="11"/>
      <c r="M734" s="17"/>
    </row>
    <row r="735">
      <c r="H735" s="11"/>
      <c r="J735" s="11"/>
      <c r="K735" s="11"/>
      <c r="L735" s="11"/>
      <c r="M735" s="17"/>
    </row>
    <row r="736">
      <c r="H736" s="11"/>
      <c r="J736" s="11"/>
      <c r="K736" s="11"/>
      <c r="L736" s="11"/>
      <c r="M736" s="17"/>
    </row>
    <row r="737">
      <c r="H737" s="11"/>
      <c r="J737" s="11"/>
      <c r="K737" s="11"/>
      <c r="L737" s="11"/>
      <c r="M737" s="17"/>
    </row>
    <row r="738">
      <c r="H738" s="11"/>
      <c r="J738" s="11"/>
      <c r="K738" s="11"/>
      <c r="L738" s="11"/>
      <c r="M738" s="17"/>
    </row>
    <row r="739">
      <c r="H739" s="11"/>
      <c r="J739" s="11"/>
      <c r="K739" s="11"/>
      <c r="L739" s="11"/>
      <c r="M739" s="17"/>
    </row>
    <row r="740">
      <c r="H740" s="11"/>
      <c r="J740" s="11"/>
      <c r="K740" s="11"/>
      <c r="L740" s="11"/>
      <c r="M740" s="17"/>
    </row>
    <row r="741">
      <c r="H741" s="11"/>
      <c r="J741" s="11"/>
      <c r="K741" s="11"/>
      <c r="L741" s="11"/>
      <c r="M741" s="17"/>
    </row>
    <row r="742">
      <c r="H742" s="11"/>
      <c r="J742" s="11"/>
      <c r="K742" s="11"/>
      <c r="L742" s="11"/>
      <c r="M742" s="17"/>
    </row>
    <row r="743">
      <c r="H743" s="11"/>
      <c r="J743" s="11"/>
      <c r="K743" s="11"/>
      <c r="L743" s="11"/>
      <c r="M743" s="17"/>
    </row>
    <row r="744">
      <c r="H744" s="11"/>
      <c r="J744" s="11"/>
      <c r="K744" s="11"/>
      <c r="L744" s="11"/>
      <c r="M744" s="17"/>
    </row>
    <row r="745">
      <c r="H745" s="11"/>
      <c r="J745" s="11"/>
      <c r="K745" s="11"/>
      <c r="L745" s="11"/>
      <c r="M745" s="17"/>
    </row>
    <row r="746">
      <c r="H746" s="11"/>
      <c r="J746" s="11"/>
      <c r="K746" s="11"/>
      <c r="L746" s="11"/>
      <c r="M746" s="17"/>
    </row>
    <row r="747">
      <c r="H747" s="11"/>
      <c r="J747" s="11"/>
      <c r="K747" s="11"/>
      <c r="L747" s="11"/>
      <c r="M747" s="17"/>
    </row>
    <row r="748">
      <c r="H748" s="11"/>
      <c r="J748" s="11"/>
      <c r="K748" s="11"/>
      <c r="L748" s="11"/>
      <c r="M748" s="17"/>
    </row>
    <row r="749">
      <c r="H749" s="11"/>
      <c r="J749" s="11"/>
      <c r="K749" s="11"/>
      <c r="L749" s="11"/>
      <c r="M749" s="17"/>
    </row>
    <row r="750">
      <c r="H750" s="11"/>
      <c r="J750" s="11"/>
      <c r="K750" s="11"/>
      <c r="L750" s="11"/>
      <c r="M750" s="17"/>
    </row>
    <row r="751">
      <c r="H751" s="11"/>
      <c r="J751" s="11"/>
      <c r="K751" s="11"/>
      <c r="L751" s="11"/>
      <c r="M751" s="17"/>
    </row>
    <row r="752">
      <c r="H752" s="11"/>
      <c r="J752" s="11"/>
      <c r="K752" s="11"/>
      <c r="L752" s="11"/>
      <c r="M752" s="17"/>
    </row>
    <row r="753">
      <c r="H753" s="11"/>
      <c r="J753" s="11"/>
      <c r="K753" s="11"/>
      <c r="L753" s="11"/>
      <c r="M753" s="17"/>
    </row>
    <row r="754">
      <c r="H754" s="11"/>
      <c r="J754" s="11"/>
      <c r="K754" s="11"/>
      <c r="L754" s="11"/>
      <c r="M754" s="17"/>
    </row>
    <row r="755">
      <c r="H755" s="11"/>
      <c r="J755" s="11"/>
      <c r="K755" s="11"/>
      <c r="L755" s="11"/>
      <c r="M755" s="17"/>
    </row>
    <row r="756">
      <c r="H756" s="11"/>
      <c r="J756" s="11"/>
      <c r="K756" s="11"/>
      <c r="L756" s="11"/>
      <c r="M756" s="17"/>
    </row>
    <row r="757">
      <c r="H757" s="11"/>
      <c r="J757" s="11"/>
      <c r="K757" s="11"/>
      <c r="L757" s="11"/>
      <c r="M757" s="17"/>
    </row>
    <row r="758">
      <c r="H758" s="11"/>
      <c r="J758" s="11"/>
      <c r="K758" s="11"/>
      <c r="L758" s="11"/>
      <c r="M758" s="17"/>
    </row>
    <row r="759">
      <c r="H759" s="11"/>
      <c r="J759" s="11"/>
      <c r="K759" s="11"/>
      <c r="L759" s="11"/>
      <c r="M759" s="17"/>
    </row>
    <row r="760">
      <c r="H760" s="11"/>
      <c r="J760" s="11"/>
      <c r="K760" s="11"/>
      <c r="L760" s="11"/>
      <c r="M760" s="17"/>
    </row>
    <row r="761">
      <c r="H761" s="11"/>
      <c r="J761" s="11"/>
      <c r="K761" s="11"/>
      <c r="L761" s="11"/>
      <c r="M761" s="17"/>
    </row>
    <row r="762">
      <c r="H762" s="11"/>
      <c r="J762" s="11"/>
      <c r="K762" s="11"/>
      <c r="L762" s="11"/>
      <c r="M762" s="17"/>
    </row>
    <row r="763">
      <c r="H763" s="11"/>
      <c r="J763" s="11"/>
      <c r="K763" s="11"/>
      <c r="L763" s="11"/>
      <c r="M763" s="17"/>
    </row>
    <row r="764">
      <c r="H764" s="11"/>
      <c r="J764" s="11"/>
      <c r="K764" s="11"/>
      <c r="L764" s="11"/>
      <c r="M764" s="17"/>
    </row>
    <row r="765">
      <c r="H765" s="11"/>
      <c r="J765" s="11"/>
      <c r="K765" s="11"/>
      <c r="L765" s="11"/>
      <c r="M765" s="17"/>
    </row>
    <row r="766">
      <c r="H766" s="11"/>
      <c r="J766" s="11"/>
      <c r="K766" s="11"/>
      <c r="L766" s="11"/>
      <c r="M766" s="17"/>
    </row>
    <row r="767">
      <c r="H767" s="11"/>
      <c r="J767" s="11"/>
      <c r="K767" s="11"/>
      <c r="L767" s="11"/>
      <c r="M767" s="17"/>
    </row>
    <row r="768">
      <c r="H768" s="11"/>
      <c r="J768" s="11"/>
      <c r="K768" s="11"/>
      <c r="L768" s="11"/>
      <c r="M768" s="17"/>
    </row>
    <row r="769">
      <c r="H769" s="11"/>
      <c r="J769" s="11"/>
      <c r="K769" s="11"/>
      <c r="L769" s="11"/>
      <c r="M769" s="17"/>
    </row>
    <row r="770">
      <c r="H770" s="11"/>
      <c r="J770" s="11"/>
      <c r="K770" s="11"/>
      <c r="L770" s="11"/>
      <c r="M770" s="17"/>
    </row>
    <row r="771">
      <c r="H771" s="11"/>
      <c r="J771" s="11"/>
      <c r="K771" s="11"/>
      <c r="L771" s="11"/>
      <c r="M771" s="17"/>
    </row>
    <row r="772">
      <c r="H772" s="11"/>
      <c r="J772" s="11"/>
      <c r="K772" s="11"/>
      <c r="L772" s="11"/>
      <c r="M772" s="17"/>
    </row>
    <row r="773">
      <c r="H773" s="11"/>
      <c r="J773" s="11"/>
      <c r="K773" s="11"/>
      <c r="L773" s="11"/>
      <c r="M773" s="17"/>
    </row>
    <row r="774">
      <c r="H774" s="11"/>
      <c r="J774" s="11"/>
      <c r="K774" s="11"/>
      <c r="L774" s="11"/>
      <c r="M774" s="17"/>
    </row>
    <row r="775">
      <c r="H775" s="11"/>
      <c r="J775" s="11"/>
      <c r="K775" s="11"/>
      <c r="L775" s="11"/>
      <c r="M775" s="17"/>
    </row>
    <row r="776">
      <c r="H776" s="11"/>
      <c r="J776" s="11"/>
      <c r="K776" s="11"/>
      <c r="L776" s="11"/>
      <c r="M776" s="17"/>
    </row>
    <row r="777">
      <c r="H777" s="11"/>
      <c r="J777" s="11"/>
      <c r="K777" s="11"/>
      <c r="L777" s="11"/>
      <c r="M777" s="17"/>
    </row>
    <row r="778">
      <c r="H778" s="11"/>
      <c r="J778" s="11"/>
      <c r="K778" s="11"/>
      <c r="L778" s="11"/>
      <c r="M778" s="17"/>
    </row>
    <row r="779">
      <c r="H779" s="11"/>
      <c r="J779" s="11"/>
      <c r="K779" s="11"/>
      <c r="L779" s="11"/>
      <c r="M779" s="17"/>
    </row>
    <row r="780">
      <c r="H780" s="11"/>
      <c r="J780" s="11"/>
      <c r="K780" s="11"/>
      <c r="L780" s="11"/>
      <c r="M780" s="17"/>
    </row>
    <row r="781">
      <c r="H781" s="11"/>
      <c r="J781" s="11"/>
      <c r="K781" s="11"/>
      <c r="L781" s="11"/>
      <c r="M781" s="17"/>
    </row>
    <row r="782">
      <c r="H782" s="11"/>
      <c r="J782" s="11"/>
      <c r="K782" s="11"/>
      <c r="L782" s="11"/>
      <c r="M782" s="17"/>
    </row>
    <row r="783">
      <c r="H783" s="11"/>
      <c r="J783" s="11"/>
      <c r="K783" s="11"/>
      <c r="L783" s="11"/>
      <c r="M783" s="17"/>
    </row>
    <row r="784">
      <c r="H784" s="11"/>
      <c r="J784" s="11"/>
      <c r="K784" s="11"/>
      <c r="L784" s="11"/>
      <c r="M784" s="17"/>
    </row>
    <row r="785">
      <c r="H785" s="11"/>
      <c r="J785" s="11"/>
      <c r="K785" s="11"/>
      <c r="L785" s="11"/>
      <c r="M785" s="17"/>
    </row>
    <row r="786">
      <c r="H786" s="11"/>
      <c r="J786" s="11"/>
      <c r="K786" s="11"/>
      <c r="L786" s="11"/>
      <c r="M786" s="17"/>
    </row>
    <row r="787">
      <c r="H787" s="11"/>
      <c r="J787" s="11"/>
      <c r="K787" s="11"/>
      <c r="L787" s="11"/>
      <c r="M787" s="17"/>
    </row>
    <row r="788">
      <c r="H788" s="11"/>
      <c r="J788" s="11"/>
      <c r="K788" s="11"/>
      <c r="L788" s="11"/>
      <c r="M788" s="17"/>
    </row>
    <row r="789">
      <c r="H789" s="11"/>
      <c r="J789" s="11"/>
      <c r="K789" s="11"/>
      <c r="L789" s="11"/>
      <c r="M789" s="17"/>
    </row>
    <row r="790">
      <c r="H790" s="11"/>
      <c r="J790" s="11"/>
      <c r="K790" s="11"/>
      <c r="L790" s="11"/>
      <c r="M790" s="17"/>
    </row>
    <row r="791">
      <c r="H791" s="11"/>
      <c r="J791" s="11"/>
      <c r="K791" s="11"/>
      <c r="L791" s="11"/>
      <c r="M791" s="17"/>
    </row>
    <row r="792">
      <c r="H792" s="11"/>
      <c r="J792" s="11"/>
      <c r="K792" s="11"/>
      <c r="L792" s="11"/>
      <c r="M792" s="17"/>
    </row>
    <row r="793">
      <c r="H793" s="11"/>
      <c r="J793" s="11"/>
      <c r="K793" s="11"/>
      <c r="L793" s="11"/>
      <c r="M793" s="17"/>
    </row>
    <row r="794">
      <c r="H794" s="11"/>
      <c r="J794" s="11"/>
      <c r="K794" s="11"/>
      <c r="L794" s="11"/>
      <c r="M794" s="17"/>
    </row>
    <row r="795">
      <c r="H795" s="11"/>
      <c r="J795" s="11"/>
      <c r="K795" s="11"/>
      <c r="L795" s="11"/>
      <c r="M795" s="17"/>
    </row>
    <row r="796">
      <c r="H796" s="11"/>
      <c r="J796" s="11"/>
      <c r="K796" s="11"/>
      <c r="L796" s="11"/>
      <c r="M796" s="17"/>
    </row>
    <row r="797">
      <c r="H797" s="11"/>
      <c r="J797" s="11"/>
      <c r="K797" s="11"/>
      <c r="L797" s="11"/>
      <c r="M797" s="17"/>
    </row>
    <row r="798">
      <c r="H798" s="11"/>
      <c r="J798" s="11"/>
      <c r="K798" s="11"/>
      <c r="L798" s="11"/>
      <c r="M798" s="17"/>
    </row>
    <row r="799">
      <c r="H799" s="11"/>
      <c r="J799" s="11"/>
      <c r="K799" s="11"/>
      <c r="L799" s="11"/>
      <c r="M799" s="17"/>
    </row>
    <row r="800">
      <c r="H800" s="11"/>
      <c r="J800" s="11"/>
      <c r="K800" s="11"/>
      <c r="L800" s="11"/>
      <c r="M800" s="17"/>
    </row>
    <row r="801">
      <c r="H801" s="11"/>
      <c r="J801" s="11"/>
      <c r="K801" s="11"/>
      <c r="L801" s="11"/>
      <c r="M801" s="17"/>
    </row>
    <row r="802">
      <c r="H802" s="11"/>
      <c r="J802" s="11"/>
      <c r="K802" s="11"/>
      <c r="L802" s="11"/>
      <c r="M802" s="17"/>
    </row>
    <row r="803">
      <c r="H803" s="11"/>
      <c r="J803" s="11"/>
      <c r="K803" s="11"/>
      <c r="L803" s="11"/>
      <c r="M803" s="17"/>
    </row>
    <row r="804">
      <c r="H804" s="11"/>
      <c r="J804" s="11"/>
      <c r="K804" s="11"/>
      <c r="L804" s="11"/>
      <c r="M804" s="17"/>
    </row>
    <row r="805">
      <c r="H805" s="11"/>
      <c r="J805" s="11"/>
      <c r="K805" s="11"/>
      <c r="L805" s="11"/>
      <c r="M805" s="17"/>
    </row>
    <row r="806">
      <c r="H806" s="11"/>
      <c r="J806" s="11"/>
      <c r="K806" s="11"/>
      <c r="L806" s="11"/>
      <c r="M806" s="17"/>
    </row>
    <row r="807">
      <c r="H807" s="11"/>
      <c r="J807" s="11"/>
      <c r="K807" s="11"/>
      <c r="L807" s="11"/>
      <c r="M807" s="17"/>
    </row>
    <row r="808">
      <c r="H808" s="11"/>
      <c r="J808" s="11"/>
      <c r="K808" s="11"/>
      <c r="L808" s="11"/>
      <c r="M808" s="17"/>
    </row>
    <row r="809">
      <c r="H809" s="11"/>
      <c r="J809" s="11"/>
      <c r="K809" s="11"/>
      <c r="L809" s="11"/>
      <c r="M809" s="17"/>
    </row>
    <row r="810">
      <c r="H810" s="11"/>
      <c r="J810" s="11"/>
      <c r="K810" s="11"/>
      <c r="L810" s="11"/>
      <c r="M810" s="17"/>
    </row>
    <row r="811">
      <c r="H811" s="11"/>
      <c r="J811" s="11"/>
      <c r="K811" s="11"/>
      <c r="L811" s="11"/>
      <c r="M811" s="17"/>
    </row>
    <row r="812">
      <c r="H812" s="11"/>
      <c r="J812" s="11"/>
      <c r="K812" s="11"/>
      <c r="L812" s="11"/>
      <c r="M812" s="17"/>
    </row>
    <row r="813">
      <c r="H813" s="11"/>
      <c r="J813" s="11"/>
      <c r="K813" s="11"/>
      <c r="L813" s="11"/>
      <c r="M813" s="17"/>
    </row>
    <row r="814">
      <c r="H814" s="11"/>
      <c r="J814" s="11"/>
      <c r="K814" s="11"/>
      <c r="L814" s="11"/>
      <c r="M814" s="17"/>
    </row>
    <row r="815">
      <c r="H815" s="11"/>
      <c r="J815" s="11"/>
      <c r="K815" s="11"/>
      <c r="L815" s="11"/>
      <c r="M815" s="17"/>
    </row>
    <row r="816">
      <c r="H816" s="11"/>
      <c r="J816" s="11"/>
      <c r="K816" s="11"/>
      <c r="L816" s="11"/>
      <c r="M816" s="17"/>
    </row>
    <row r="817">
      <c r="H817" s="11"/>
      <c r="J817" s="11"/>
      <c r="K817" s="11"/>
      <c r="L817" s="11"/>
      <c r="M817" s="17"/>
    </row>
    <row r="818">
      <c r="H818" s="11"/>
      <c r="J818" s="11"/>
      <c r="K818" s="11"/>
      <c r="L818" s="11"/>
      <c r="M818" s="17"/>
    </row>
    <row r="819">
      <c r="H819" s="11"/>
      <c r="J819" s="11"/>
      <c r="K819" s="11"/>
      <c r="L819" s="11"/>
      <c r="M819" s="17"/>
    </row>
    <row r="820">
      <c r="H820" s="11"/>
      <c r="J820" s="11"/>
      <c r="K820" s="11"/>
      <c r="L820" s="11"/>
      <c r="M820" s="17"/>
    </row>
    <row r="821">
      <c r="H821" s="11"/>
      <c r="J821" s="11"/>
      <c r="K821" s="11"/>
      <c r="L821" s="11"/>
      <c r="M821" s="17"/>
    </row>
    <row r="822">
      <c r="H822" s="11"/>
      <c r="J822" s="11"/>
      <c r="K822" s="11"/>
      <c r="L822" s="11"/>
      <c r="M822" s="17"/>
    </row>
    <row r="823">
      <c r="H823" s="11"/>
      <c r="J823" s="11"/>
      <c r="K823" s="11"/>
      <c r="L823" s="11"/>
      <c r="M823" s="17"/>
    </row>
    <row r="824">
      <c r="H824" s="11"/>
      <c r="J824" s="11"/>
      <c r="K824" s="11"/>
      <c r="L824" s="11"/>
      <c r="M824" s="17"/>
    </row>
    <row r="825">
      <c r="H825" s="11"/>
      <c r="J825" s="11"/>
      <c r="K825" s="11"/>
      <c r="L825" s="11"/>
      <c r="M825" s="17"/>
    </row>
    <row r="826">
      <c r="H826" s="11"/>
      <c r="J826" s="11"/>
      <c r="K826" s="11"/>
      <c r="L826" s="11"/>
      <c r="M826" s="17"/>
    </row>
    <row r="827">
      <c r="H827" s="11"/>
      <c r="J827" s="11"/>
      <c r="K827" s="11"/>
      <c r="L827" s="11"/>
      <c r="M827" s="17"/>
    </row>
    <row r="828">
      <c r="H828" s="11"/>
      <c r="J828" s="11"/>
      <c r="K828" s="11"/>
      <c r="L828" s="11"/>
      <c r="M828" s="17"/>
    </row>
    <row r="829">
      <c r="H829" s="11"/>
      <c r="J829" s="11"/>
      <c r="K829" s="11"/>
      <c r="L829" s="11"/>
      <c r="M829" s="17"/>
    </row>
    <row r="830">
      <c r="H830" s="11"/>
      <c r="J830" s="11"/>
      <c r="K830" s="11"/>
      <c r="L830" s="11"/>
      <c r="M830" s="17"/>
    </row>
    <row r="831">
      <c r="H831" s="11"/>
      <c r="J831" s="11"/>
      <c r="K831" s="11"/>
      <c r="L831" s="11"/>
      <c r="M831" s="17"/>
    </row>
    <row r="832">
      <c r="H832" s="11"/>
      <c r="J832" s="11"/>
      <c r="K832" s="11"/>
      <c r="L832" s="11"/>
      <c r="M832" s="17"/>
    </row>
    <row r="833">
      <c r="H833" s="11"/>
      <c r="J833" s="11"/>
      <c r="K833" s="11"/>
      <c r="L833" s="11"/>
      <c r="M833" s="17"/>
    </row>
    <row r="834">
      <c r="H834" s="11"/>
      <c r="J834" s="11"/>
      <c r="K834" s="11"/>
      <c r="L834" s="11"/>
      <c r="M834" s="17"/>
    </row>
    <row r="835">
      <c r="H835" s="11"/>
      <c r="J835" s="11"/>
      <c r="K835" s="11"/>
      <c r="L835" s="11"/>
      <c r="M835" s="17"/>
    </row>
    <row r="836">
      <c r="H836" s="11"/>
      <c r="J836" s="11"/>
      <c r="K836" s="11"/>
      <c r="L836" s="11"/>
      <c r="M836" s="17"/>
    </row>
    <row r="837">
      <c r="H837" s="11"/>
      <c r="J837" s="11"/>
      <c r="K837" s="11"/>
      <c r="L837" s="11"/>
      <c r="M837" s="17"/>
    </row>
    <row r="838">
      <c r="H838" s="11"/>
      <c r="J838" s="11"/>
      <c r="K838" s="11"/>
      <c r="L838" s="11"/>
      <c r="M838" s="17"/>
    </row>
    <row r="839">
      <c r="H839" s="11"/>
      <c r="J839" s="11"/>
      <c r="K839" s="11"/>
      <c r="L839" s="11"/>
      <c r="M839" s="17"/>
    </row>
    <row r="840">
      <c r="H840" s="11"/>
      <c r="J840" s="11"/>
      <c r="K840" s="11"/>
      <c r="L840" s="11"/>
      <c r="M840" s="17"/>
    </row>
    <row r="841">
      <c r="H841" s="11"/>
      <c r="J841" s="11"/>
      <c r="K841" s="11"/>
      <c r="L841" s="11"/>
      <c r="M841" s="17"/>
    </row>
    <row r="842">
      <c r="H842" s="11"/>
      <c r="J842" s="11"/>
      <c r="K842" s="11"/>
      <c r="L842" s="11"/>
      <c r="M842" s="17"/>
    </row>
    <row r="843">
      <c r="H843" s="11"/>
      <c r="J843" s="11"/>
      <c r="K843" s="11"/>
      <c r="L843" s="11"/>
      <c r="M843" s="17"/>
    </row>
    <row r="844">
      <c r="H844" s="11"/>
      <c r="J844" s="11"/>
      <c r="K844" s="11"/>
      <c r="L844" s="11"/>
      <c r="M844" s="17"/>
    </row>
    <row r="845">
      <c r="H845" s="11"/>
      <c r="J845" s="11"/>
      <c r="K845" s="11"/>
      <c r="L845" s="11"/>
      <c r="M845" s="17"/>
    </row>
    <row r="846">
      <c r="H846" s="11"/>
      <c r="J846" s="11"/>
      <c r="K846" s="11"/>
      <c r="L846" s="11"/>
      <c r="M846" s="17"/>
    </row>
    <row r="847">
      <c r="H847" s="11"/>
      <c r="J847" s="11"/>
      <c r="K847" s="11"/>
      <c r="L847" s="11"/>
      <c r="M847" s="17"/>
    </row>
    <row r="848">
      <c r="H848" s="11"/>
      <c r="J848" s="11"/>
      <c r="K848" s="11"/>
      <c r="L848" s="11"/>
      <c r="M848" s="17"/>
    </row>
    <row r="849">
      <c r="H849" s="11"/>
      <c r="J849" s="11"/>
      <c r="K849" s="11"/>
      <c r="L849" s="11"/>
      <c r="M849" s="17"/>
    </row>
    <row r="850">
      <c r="H850" s="11"/>
      <c r="J850" s="11"/>
      <c r="K850" s="11"/>
      <c r="L850" s="11"/>
      <c r="M850" s="17"/>
    </row>
    <row r="851">
      <c r="H851" s="11"/>
      <c r="J851" s="11"/>
      <c r="K851" s="11"/>
      <c r="L851" s="11"/>
      <c r="M851" s="17"/>
    </row>
    <row r="852">
      <c r="H852" s="11"/>
      <c r="J852" s="11"/>
      <c r="K852" s="11"/>
      <c r="L852" s="11"/>
      <c r="M852" s="17"/>
    </row>
    <row r="853">
      <c r="H853" s="11"/>
      <c r="J853" s="11"/>
      <c r="K853" s="11"/>
      <c r="L853" s="11"/>
      <c r="M853" s="17"/>
    </row>
    <row r="854">
      <c r="H854" s="11"/>
      <c r="J854" s="11"/>
      <c r="K854" s="11"/>
      <c r="L854" s="11"/>
      <c r="M854" s="17"/>
    </row>
    <row r="855">
      <c r="H855" s="11"/>
      <c r="J855" s="11"/>
      <c r="K855" s="11"/>
      <c r="L855" s="11"/>
      <c r="M855" s="17"/>
    </row>
    <row r="856">
      <c r="H856" s="11"/>
      <c r="J856" s="11"/>
      <c r="K856" s="11"/>
      <c r="L856" s="11"/>
      <c r="M856" s="17"/>
    </row>
    <row r="857">
      <c r="H857" s="11"/>
      <c r="J857" s="11"/>
      <c r="K857" s="11"/>
      <c r="L857" s="11"/>
      <c r="M857" s="17"/>
    </row>
    <row r="858">
      <c r="H858" s="11"/>
      <c r="J858" s="11"/>
      <c r="K858" s="11"/>
      <c r="L858" s="11"/>
      <c r="M858" s="17"/>
    </row>
    <row r="859">
      <c r="H859" s="11"/>
      <c r="J859" s="11"/>
      <c r="K859" s="11"/>
      <c r="L859" s="11"/>
      <c r="M859" s="17"/>
    </row>
    <row r="860">
      <c r="H860" s="11"/>
      <c r="J860" s="11"/>
      <c r="K860" s="11"/>
      <c r="L860" s="11"/>
      <c r="M860" s="17"/>
    </row>
    <row r="861">
      <c r="H861" s="11"/>
      <c r="J861" s="11"/>
      <c r="K861" s="11"/>
      <c r="L861" s="11"/>
      <c r="M861" s="17"/>
    </row>
    <row r="862">
      <c r="H862" s="11"/>
      <c r="J862" s="11"/>
      <c r="K862" s="11"/>
      <c r="L862" s="11"/>
      <c r="M862" s="17"/>
    </row>
    <row r="863">
      <c r="H863" s="11"/>
      <c r="J863" s="11"/>
      <c r="K863" s="11"/>
      <c r="L863" s="11"/>
      <c r="M863" s="17"/>
    </row>
    <row r="864">
      <c r="H864" s="11"/>
      <c r="J864" s="11"/>
      <c r="K864" s="11"/>
      <c r="L864" s="11"/>
      <c r="M864" s="17"/>
    </row>
    <row r="865">
      <c r="H865" s="11"/>
      <c r="J865" s="11"/>
      <c r="K865" s="11"/>
      <c r="L865" s="11"/>
      <c r="M865" s="17"/>
    </row>
    <row r="866">
      <c r="H866" s="11"/>
      <c r="J866" s="11"/>
      <c r="K866" s="11"/>
      <c r="L866" s="11"/>
      <c r="M866" s="17"/>
    </row>
    <row r="867">
      <c r="H867" s="11"/>
      <c r="J867" s="11"/>
      <c r="K867" s="11"/>
      <c r="L867" s="11"/>
      <c r="M867" s="17"/>
    </row>
    <row r="868">
      <c r="H868" s="11"/>
      <c r="J868" s="11"/>
      <c r="K868" s="11"/>
      <c r="L868" s="11"/>
      <c r="M868" s="17"/>
    </row>
    <row r="869">
      <c r="H869" s="11"/>
      <c r="J869" s="11"/>
      <c r="K869" s="11"/>
      <c r="L869" s="11"/>
      <c r="M869" s="17"/>
    </row>
    <row r="870">
      <c r="H870" s="11"/>
      <c r="J870" s="11"/>
      <c r="K870" s="11"/>
      <c r="L870" s="11"/>
      <c r="M870" s="17"/>
    </row>
    <row r="871">
      <c r="H871" s="11"/>
      <c r="J871" s="11"/>
      <c r="K871" s="11"/>
      <c r="L871" s="11"/>
      <c r="M871" s="17"/>
    </row>
    <row r="872">
      <c r="H872" s="11"/>
      <c r="J872" s="11"/>
      <c r="K872" s="11"/>
      <c r="L872" s="11"/>
      <c r="M872" s="17"/>
    </row>
    <row r="873">
      <c r="H873" s="11"/>
      <c r="J873" s="11"/>
      <c r="K873" s="11"/>
      <c r="L873" s="11"/>
      <c r="M873" s="17"/>
    </row>
    <row r="874">
      <c r="H874" s="11"/>
      <c r="J874" s="11"/>
      <c r="K874" s="11"/>
      <c r="L874" s="11"/>
      <c r="M874" s="17"/>
    </row>
    <row r="875">
      <c r="H875" s="11"/>
      <c r="J875" s="11"/>
      <c r="K875" s="11"/>
      <c r="L875" s="11"/>
      <c r="M875" s="17"/>
    </row>
    <row r="876">
      <c r="H876" s="11"/>
      <c r="J876" s="11"/>
      <c r="K876" s="11"/>
      <c r="L876" s="11"/>
      <c r="M876" s="17"/>
    </row>
    <row r="877">
      <c r="H877" s="11"/>
      <c r="J877" s="11"/>
      <c r="K877" s="11"/>
      <c r="L877" s="11"/>
      <c r="M877" s="17"/>
    </row>
    <row r="878">
      <c r="H878" s="11"/>
      <c r="J878" s="11"/>
      <c r="K878" s="11"/>
      <c r="L878" s="11"/>
      <c r="M878" s="17"/>
    </row>
    <row r="879">
      <c r="H879" s="11"/>
      <c r="J879" s="11"/>
      <c r="K879" s="11"/>
      <c r="L879" s="11"/>
      <c r="M879" s="17"/>
    </row>
    <row r="880">
      <c r="H880" s="11"/>
      <c r="J880" s="11"/>
      <c r="K880" s="11"/>
      <c r="L880" s="11"/>
      <c r="M880" s="17"/>
    </row>
    <row r="881">
      <c r="H881" s="11"/>
      <c r="J881" s="11"/>
      <c r="K881" s="11"/>
      <c r="L881" s="11"/>
      <c r="M881" s="17"/>
    </row>
    <row r="882">
      <c r="H882" s="11"/>
      <c r="J882" s="11"/>
      <c r="K882" s="11"/>
      <c r="L882" s="11"/>
      <c r="M882" s="17"/>
    </row>
    <row r="883">
      <c r="H883" s="11"/>
      <c r="J883" s="11"/>
      <c r="K883" s="11"/>
      <c r="L883" s="11"/>
      <c r="M883" s="17"/>
    </row>
    <row r="884">
      <c r="H884" s="11"/>
      <c r="J884" s="11"/>
      <c r="K884" s="11"/>
      <c r="L884" s="11"/>
      <c r="M884" s="17"/>
    </row>
    <row r="885">
      <c r="H885" s="11"/>
      <c r="J885" s="11"/>
      <c r="K885" s="11"/>
      <c r="L885" s="11"/>
      <c r="M885" s="17"/>
    </row>
    <row r="886">
      <c r="H886" s="11"/>
      <c r="J886" s="11"/>
      <c r="K886" s="11"/>
      <c r="L886" s="11"/>
      <c r="M886" s="17"/>
    </row>
    <row r="887">
      <c r="H887" s="11"/>
      <c r="J887" s="11"/>
      <c r="K887" s="11"/>
      <c r="L887" s="11"/>
      <c r="M887" s="17"/>
    </row>
    <row r="888">
      <c r="H888" s="11"/>
      <c r="J888" s="11"/>
      <c r="K888" s="11"/>
      <c r="L888" s="11"/>
      <c r="M888" s="17"/>
    </row>
    <row r="889">
      <c r="H889" s="11"/>
      <c r="J889" s="11"/>
      <c r="K889" s="11"/>
      <c r="L889" s="11"/>
      <c r="M889" s="17"/>
    </row>
    <row r="890">
      <c r="H890" s="11"/>
      <c r="J890" s="11"/>
      <c r="K890" s="11"/>
      <c r="L890" s="11"/>
      <c r="M890" s="17"/>
    </row>
    <row r="891">
      <c r="H891" s="11"/>
      <c r="J891" s="11"/>
      <c r="K891" s="11"/>
      <c r="L891" s="11"/>
      <c r="M891" s="17"/>
    </row>
    <row r="892">
      <c r="H892" s="11"/>
      <c r="J892" s="11"/>
      <c r="K892" s="11"/>
      <c r="L892" s="11"/>
      <c r="M892" s="17"/>
    </row>
    <row r="893">
      <c r="H893" s="11"/>
      <c r="J893" s="11"/>
      <c r="K893" s="11"/>
      <c r="L893" s="11"/>
      <c r="M893" s="17"/>
    </row>
    <row r="894">
      <c r="H894" s="11"/>
      <c r="J894" s="11"/>
      <c r="K894" s="11"/>
      <c r="L894" s="11"/>
      <c r="M894" s="17"/>
    </row>
    <row r="895">
      <c r="H895" s="11"/>
      <c r="J895" s="11"/>
      <c r="K895" s="11"/>
      <c r="L895" s="11"/>
      <c r="M895" s="17"/>
    </row>
    <row r="896">
      <c r="H896" s="11"/>
      <c r="J896" s="11"/>
      <c r="K896" s="11"/>
      <c r="L896" s="11"/>
      <c r="M896" s="17"/>
    </row>
    <row r="897">
      <c r="H897" s="11"/>
      <c r="J897" s="11"/>
      <c r="K897" s="11"/>
      <c r="L897" s="11"/>
      <c r="M897" s="17"/>
    </row>
    <row r="898">
      <c r="H898" s="11"/>
      <c r="J898" s="11"/>
      <c r="K898" s="11"/>
      <c r="L898" s="11"/>
      <c r="M898" s="17"/>
    </row>
    <row r="899">
      <c r="H899" s="11"/>
      <c r="J899" s="11"/>
      <c r="K899" s="11"/>
      <c r="L899" s="11"/>
      <c r="M899" s="17"/>
    </row>
    <row r="900">
      <c r="H900" s="11"/>
      <c r="J900" s="11"/>
      <c r="K900" s="11"/>
      <c r="L900" s="11"/>
      <c r="M900" s="17"/>
    </row>
    <row r="901">
      <c r="H901" s="11"/>
      <c r="J901" s="11"/>
      <c r="K901" s="11"/>
      <c r="L901" s="11"/>
      <c r="M901" s="17"/>
    </row>
    <row r="902">
      <c r="H902" s="11"/>
      <c r="J902" s="11"/>
      <c r="K902" s="11"/>
      <c r="L902" s="11"/>
      <c r="M902" s="17"/>
    </row>
    <row r="903">
      <c r="H903" s="11"/>
      <c r="J903" s="11"/>
      <c r="K903" s="11"/>
      <c r="L903" s="11"/>
      <c r="M903" s="17"/>
    </row>
    <row r="904">
      <c r="H904" s="11"/>
      <c r="J904" s="11"/>
      <c r="K904" s="11"/>
      <c r="L904" s="11"/>
      <c r="M904" s="17"/>
    </row>
    <row r="905">
      <c r="H905" s="11"/>
      <c r="J905" s="11"/>
      <c r="K905" s="11"/>
      <c r="L905" s="11"/>
      <c r="M905" s="17"/>
    </row>
    <row r="906">
      <c r="H906" s="11"/>
      <c r="J906" s="11"/>
      <c r="K906" s="11"/>
      <c r="L906" s="11"/>
      <c r="M906" s="17"/>
    </row>
    <row r="907">
      <c r="H907" s="11"/>
      <c r="J907" s="11"/>
      <c r="K907" s="11"/>
      <c r="L907" s="11"/>
      <c r="M907" s="17"/>
    </row>
    <row r="908">
      <c r="H908" s="11"/>
      <c r="J908" s="11"/>
      <c r="K908" s="11"/>
      <c r="L908" s="11"/>
      <c r="M908" s="17"/>
    </row>
    <row r="909">
      <c r="H909" s="11"/>
      <c r="J909" s="11"/>
      <c r="K909" s="11"/>
      <c r="L909" s="11"/>
      <c r="M909" s="17"/>
    </row>
    <row r="910">
      <c r="H910" s="11"/>
      <c r="J910" s="11"/>
      <c r="K910" s="11"/>
      <c r="L910" s="11"/>
      <c r="M910" s="17"/>
    </row>
    <row r="911">
      <c r="H911" s="11"/>
      <c r="J911" s="11"/>
      <c r="K911" s="11"/>
      <c r="L911" s="11"/>
      <c r="M911" s="17"/>
    </row>
    <row r="912">
      <c r="H912" s="11"/>
      <c r="J912" s="11"/>
      <c r="K912" s="11"/>
      <c r="L912" s="11"/>
      <c r="M912" s="17"/>
    </row>
    <row r="913">
      <c r="H913" s="11"/>
      <c r="J913" s="11"/>
      <c r="K913" s="11"/>
      <c r="L913" s="11"/>
      <c r="M913" s="17"/>
    </row>
    <row r="914">
      <c r="H914" s="11"/>
      <c r="J914" s="11"/>
      <c r="K914" s="11"/>
      <c r="L914" s="11"/>
      <c r="M914" s="17"/>
    </row>
    <row r="915">
      <c r="H915" s="11"/>
      <c r="J915" s="11"/>
      <c r="K915" s="11"/>
      <c r="L915" s="11"/>
      <c r="M915" s="17"/>
    </row>
    <row r="916">
      <c r="H916" s="11"/>
      <c r="J916" s="11"/>
      <c r="K916" s="11"/>
      <c r="L916" s="11"/>
      <c r="M916" s="17"/>
    </row>
    <row r="917">
      <c r="H917" s="11"/>
      <c r="J917" s="11"/>
      <c r="K917" s="11"/>
      <c r="L917" s="11"/>
      <c r="M917" s="17"/>
    </row>
    <row r="918">
      <c r="H918" s="11"/>
      <c r="J918" s="11"/>
      <c r="K918" s="11"/>
      <c r="L918" s="11"/>
      <c r="M918" s="17"/>
    </row>
    <row r="919">
      <c r="H919" s="11"/>
      <c r="J919" s="11"/>
      <c r="K919" s="11"/>
      <c r="L919" s="11"/>
      <c r="M919" s="17"/>
    </row>
    <row r="920">
      <c r="H920" s="11"/>
      <c r="J920" s="11"/>
      <c r="K920" s="11"/>
      <c r="L920" s="11"/>
      <c r="M920" s="17"/>
    </row>
    <row r="921">
      <c r="H921" s="11"/>
      <c r="J921" s="11"/>
      <c r="K921" s="11"/>
      <c r="L921" s="11"/>
      <c r="M921" s="17"/>
    </row>
    <row r="922">
      <c r="H922" s="11"/>
      <c r="J922" s="11"/>
      <c r="K922" s="11"/>
      <c r="L922" s="11"/>
      <c r="M922" s="17"/>
    </row>
    <row r="923">
      <c r="H923" s="11"/>
      <c r="J923" s="11"/>
      <c r="K923" s="11"/>
      <c r="L923" s="11"/>
      <c r="M923" s="17"/>
    </row>
    <row r="924">
      <c r="H924" s="11"/>
      <c r="J924" s="11"/>
      <c r="K924" s="11"/>
      <c r="L924" s="11"/>
      <c r="M924" s="17"/>
    </row>
    <row r="925">
      <c r="H925" s="11"/>
      <c r="J925" s="11"/>
      <c r="K925" s="11"/>
      <c r="L925" s="11"/>
      <c r="M925" s="17"/>
    </row>
    <row r="926">
      <c r="H926" s="11"/>
      <c r="J926" s="11"/>
      <c r="K926" s="11"/>
      <c r="L926" s="11"/>
      <c r="M926" s="17"/>
    </row>
    <row r="927">
      <c r="H927" s="11"/>
      <c r="J927" s="11"/>
      <c r="K927" s="11"/>
      <c r="L927" s="11"/>
      <c r="M927" s="17"/>
    </row>
    <row r="928">
      <c r="H928" s="11"/>
      <c r="J928" s="11"/>
      <c r="K928" s="11"/>
      <c r="L928" s="11"/>
      <c r="M928" s="17"/>
    </row>
    <row r="929">
      <c r="H929" s="11"/>
      <c r="J929" s="11"/>
      <c r="K929" s="11"/>
      <c r="L929" s="11"/>
      <c r="M929" s="17"/>
    </row>
    <row r="930">
      <c r="H930" s="11"/>
      <c r="J930" s="11"/>
      <c r="K930" s="11"/>
      <c r="L930" s="11"/>
      <c r="M930" s="17"/>
    </row>
    <row r="931">
      <c r="H931" s="11"/>
      <c r="J931" s="11"/>
      <c r="K931" s="11"/>
      <c r="L931" s="11"/>
      <c r="M931" s="17"/>
    </row>
    <row r="932">
      <c r="H932" s="11"/>
      <c r="J932" s="11"/>
      <c r="K932" s="11"/>
      <c r="L932" s="11"/>
      <c r="M932" s="17"/>
    </row>
    <row r="933">
      <c r="H933" s="11"/>
      <c r="J933" s="11"/>
      <c r="K933" s="11"/>
      <c r="L933" s="11"/>
      <c r="M933" s="17"/>
    </row>
    <row r="934">
      <c r="H934" s="11"/>
      <c r="J934" s="11"/>
      <c r="K934" s="11"/>
      <c r="L934" s="11"/>
      <c r="M934" s="17"/>
    </row>
    <row r="935">
      <c r="H935" s="11"/>
      <c r="J935" s="11"/>
      <c r="K935" s="11"/>
      <c r="L935" s="11"/>
      <c r="M935" s="17"/>
    </row>
    <row r="936">
      <c r="H936" s="11"/>
      <c r="J936" s="11"/>
      <c r="K936" s="11"/>
      <c r="L936" s="11"/>
      <c r="M936" s="17"/>
    </row>
    <row r="937">
      <c r="H937" s="11"/>
      <c r="J937" s="11"/>
      <c r="K937" s="11"/>
      <c r="L937" s="11"/>
      <c r="M937" s="17"/>
    </row>
    <row r="938">
      <c r="H938" s="11"/>
      <c r="J938" s="11"/>
      <c r="K938" s="11"/>
      <c r="L938" s="11"/>
      <c r="M938" s="17"/>
    </row>
    <row r="939">
      <c r="H939" s="11"/>
      <c r="J939" s="11"/>
      <c r="K939" s="11"/>
      <c r="L939" s="11"/>
      <c r="M939" s="17"/>
    </row>
    <row r="940">
      <c r="H940" s="11"/>
      <c r="J940" s="11"/>
      <c r="K940" s="11"/>
      <c r="L940" s="11"/>
      <c r="M940" s="17"/>
    </row>
    <row r="941">
      <c r="H941" s="11"/>
      <c r="J941" s="11"/>
      <c r="K941" s="11"/>
      <c r="L941" s="11"/>
      <c r="M941" s="17"/>
    </row>
    <row r="942">
      <c r="H942" s="11"/>
      <c r="J942" s="11"/>
      <c r="K942" s="11"/>
      <c r="L942" s="11"/>
      <c r="M942" s="17"/>
    </row>
    <row r="943">
      <c r="H943" s="11"/>
      <c r="J943" s="11"/>
      <c r="K943" s="11"/>
      <c r="L943" s="11"/>
      <c r="M943" s="17"/>
    </row>
    <row r="944">
      <c r="H944" s="11"/>
      <c r="J944" s="11"/>
      <c r="K944" s="11"/>
      <c r="L944" s="11"/>
      <c r="M944" s="17"/>
    </row>
    <row r="945">
      <c r="H945" s="11"/>
      <c r="J945" s="11"/>
      <c r="K945" s="11"/>
      <c r="L945" s="11"/>
      <c r="M945" s="17"/>
    </row>
    <row r="946">
      <c r="H946" s="11"/>
      <c r="J946" s="11"/>
      <c r="K946" s="11"/>
      <c r="L946" s="11"/>
      <c r="M946" s="17"/>
    </row>
    <row r="947">
      <c r="H947" s="11"/>
      <c r="J947" s="11"/>
      <c r="K947" s="11"/>
      <c r="L947" s="11"/>
      <c r="M947" s="17"/>
    </row>
    <row r="948">
      <c r="H948" s="11"/>
      <c r="J948" s="11"/>
      <c r="K948" s="11"/>
      <c r="L948" s="11"/>
      <c r="M948" s="17"/>
    </row>
    <row r="949">
      <c r="H949" s="11"/>
      <c r="J949" s="11"/>
      <c r="K949" s="11"/>
      <c r="L949" s="11"/>
      <c r="M949" s="17"/>
    </row>
    <row r="950">
      <c r="H950" s="11"/>
      <c r="J950" s="11"/>
      <c r="K950" s="11"/>
      <c r="L950" s="11"/>
      <c r="M950" s="17"/>
    </row>
    <row r="951">
      <c r="H951" s="11"/>
      <c r="J951" s="11"/>
      <c r="K951" s="11"/>
      <c r="L951" s="11"/>
      <c r="M951" s="17"/>
    </row>
    <row r="952">
      <c r="H952" s="11"/>
      <c r="J952" s="11"/>
      <c r="K952" s="11"/>
      <c r="L952" s="11"/>
      <c r="M952" s="17"/>
    </row>
    <row r="953">
      <c r="H953" s="11"/>
      <c r="J953" s="11"/>
      <c r="K953" s="11"/>
      <c r="L953" s="11"/>
      <c r="M953" s="17"/>
    </row>
    <row r="954">
      <c r="H954" s="11"/>
      <c r="J954" s="11"/>
      <c r="K954" s="11"/>
      <c r="L954" s="11"/>
      <c r="M954" s="17"/>
    </row>
    <row r="955">
      <c r="H955" s="11"/>
      <c r="J955" s="11"/>
      <c r="K955" s="11"/>
      <c r="L955" s="11"/>
      <c r="M955" s="17"/>
    </row>
    <row r="956">
      <c r="H956" s="11"/>
      <c r="J956" s="11"/>
      <c r="K956" s="11"/>
      <c r="L956" s="11"/>
      <c r="M956" s="17"/>
    </row>
    <row r="957">
      <c r="H957" s="11"/>
      <c r="J957" s="11"/>
      <c r="K957" s="11"/>
      <c r="L957" s="11"/>
      <c r="M957" s="17"/>
    </row>
    <row r="958">
      <c r="H958" s="11"/>
      <c r="J958" s="11"/>
      <c r="K958" s="11"/>
      <c r="L958" s="11"/>
      <c r="M958" s="17"/>
    </row>
    <row r="959">
      <c r="H959" s="11"/>
      <c r="J959" s="11"/>
      <c r="K959" s="11"/>
      <c r="L959" s="11"/>
      <c r="M959" s="17"/>
    </row>
    <row r="960">
      <c r="H960" s="11"/>
      <c r="J960" s="11"/>
      <c r="K960" s="11"/>
      <c r="L960" s="11"/>
      <c r="M960" s="17"/>
    </row>
    <row r="961">
      <c r="H961" s="11"/>
      <c r="J961" s="11"/>
      <c r="K961" s="11"/>
      <c r="L961" s="11"/>
      <c r="M961" s="17"/>
    </row>
    <row r="962">
      <c r="H962" s="11"/>
      <c r="J962" s="11"/>
      <c r="K962" s="11"/>
      <c r="L962" s="11"/>
      <c r="M962" s="17"/>
    </row>
    <row r="963">
      <c r="H963" s="11"/>
      <c r="J963" s="11"/>
      <c r="K963" s="11"/>
      <c r="L963" s="11"/>
      <c r="M963" s="17"/>
    </row>
    <row r="964">
      <c r="H964" s="11"/>
      <c r="J964" s="11"/>
      <c r="K964" s="11"/>
      <c r="L964" s="11"/>
      <c r="M964" s="17"/>
    </row>
    <row r="965">
      <c r="H965" s="11"/>
      <c r="J965" s="11"/>
      <c r="K965" s="11"/>
      <c r="L965" s="11"/>
      <c r="M965" s="17"/>
    </row>
    <row r="966">
      <c r="H966" s="11"/>
      <c r="J966" s="11"/>
      <c r="K966" s="11"/>
      <c r="L966" s="11"/>
      <c r="M966" s="17"/>
    </row>
    <row r="967">
      <c r="H967" s="11"/>
      <c r="J967" s="11"/>
      <c r="K967" s="11"/>
      <c r="L967" s="11"/>
      <c r="M967" s="17"/>
    </row>
    <row r="968">
      <c r="H968" s="11"/>
      <c r="J968" s="11"/>
      <c r="K968" s="11"/>
      <c r="L968" s="11"/>
      <c r="M968" s="17"/>
    </row>
    <row r="969">
      <c r="H969" s="11"/>
      <c r="J969" s="11"/>
      <c r="K969" s="11"/>
      <c r="L969" s="11"/>
      <c r="M969" s="17"/>
    </row>
    <row r="970">
      <c r="H970" s="11"/>
      <c r="J970" s="11"/>
      <c r="K970" s="11"/>
      <c r="L970" s="11"/>
      <c r="M970" s="17"/>
    </row>
    <row r="971">
      <c r="H971" s="11"/>
      <c r="J971" s="11"/>
      <c r="K971" s="11"/>
      <c r="L971" s="11"/>
      <c r="M971" s="17"/>
    </row>
    <row r="972">
      <c r="H972" s="11"/>
      <c r="J972" s="11"/>
      <c r="K972" s="11"/>
      <c r="L972" s="11"/>
      <c r="M972" s="17"/>
    </row>
    <row r="973">
      <c r="H973" s="11"/>
      <c r="J973" s="11"/>
      <c r="K973" s="11"/>
      <c r="L973" s="11"/>
      <c r="M973" s="17"/>
    </row>
    <row r="974">
      <c r="H974" s="11"/>
      <c r="J974" s="11"/>
      <c r="K974" s="11"/>
      <c r="L974" s="11"/>
      <c r="M974" s="17"/>
    </row>
    <row r="975">
      <c r="H975" s="11"/>
      <c r="J975" s="11"/>
      <c r="K975" s="11"/>
      <c r="L975" s="11"/>
      <c r="M975" s="17"/>
    </row>
    <row r="976">
      <c r="H976" s="11"/>
      <c r="J976" s="11"/>
      <c r="K976" s="11"/>
      <c r="L976" s="11"/>
      <c r="M976" s="17"/>
    </row>
    <row r="977">
      <c r="H977" s="11"/>
      <c r="J977" s="11"/>
      <c r="K977" s="11"/>
      <c r="L977" s="11"/>
      <c r="M977" s="17"/>
    </row>
    <row r="978">
      <c r="H978" s="11"/>
      <c r="J978" s="11"/>
      <c r="K978" s="11"/>
      <c r="L978" s="11"/>
      <c r="M978" s="17"/>
    </row>
    <row r="979">
      <c r="H979" s="11"/>
      <c r="J979" s="11"/>
      <c r="K979" s="11"/>
      <c r="L979" s="11"/>
      <c r="M979" s="17"/>
    </row>
    <row r="980">
      <c r="H980" s="11"/>
      <c r="J980" s="11"/>
      <c r="K980" s="11"/>
      <c r="L980" s="11"/>
      <c r="M980" s="17"/>
    </row>
    <row r="981">
      <c r="H981" s="11"/>
      <c r="J981" s="11"/>
      <c r="K981" s="11"/>
      <c r="L981" s="11"/>
      <c r="M981" s="17"/>
    </row>
    <row r="982">
      <c r="H982" s="11"/>
      <c r="J982" s="11"/>
      <c r="K982" s="11"/>
      <c r="L982" s="11"/>
      <c r="M982" s="17"/>
    </row>
    <row r="983">
      <c r="H983" s="11"/>
      <c r="J983" s="11"/>
      <c r="K983" s="11"/>
      <c r="L983" s="11"/>
      <c r="M983" s="17"/>
    </row>
    <row r="984">
      <c r="H984" s="11"/>
      <c r="J984" s="11"/>
      <c r="K984" s="11"/>
      <c r="L984" s="11"/>
      <c r="M984" s="17"/>
    </row>
    <row r="985">
      <c r="H985" s="11"/>
      <c r="J985" s="11"/>
      <c r="K985" s="11"/>
      <c r="L985" s="11"/>
      <c r="M985" s="17"/>
    </row>
    <row r="986">
      <c r="H986" s="11"/>
      <c r="J986" s="11"/>
      <c r="K986" s="11"/>
      <c r="L986" s="11"/>
      <c r="M986" s="17"/>
    </row>
    <row r="987">
      <c r="H987" s="11"/>
      <c r="J987" s="11"/>
      <c r="K987" s="11"/>
      <c r="L987" s="11"/>
      <c r="M987" s="17"/>
    </row>
    <row r="988">
      <c r="H988" s="11"/>
      <c r="J988" s="11"/>
      <c r="K988" s="11"/>
      <c r="L988" s="11"/>
      <c r="M988" s="17"/>
    </row>
    <row r="989">
      <c r="H989" s="11"/>
      <c r="J989" s="11"/>
      <c r="K989" s="11"/>
      <c r="L989" s="11"/>
      <c r="M989" s="17"/>
    </row>
    <row r="990">
      <c r="H990" s="11"/>
      <c r="J990" s="11"/>
      <c r="K990" s="11"/>
      <c r="L990" s="11"/>
      <c r="M990" s="17"/>
    </row>
    <row r="991">
      <c r="H991" s="11"/>
      <c r="J991" s="11"/>
      <c r="K991" s="11"/>
      <c r="L991" s="11"/>
      <c r="M991" s="17"/>
    </row>
    <row r="992">
      <c r="H992" s="11"/>
      <c r="J992" s="11"/>
      <c r="K992" s="11"/>
      <c r="L992" s="11"/>
      <c r="M992" s="17"/>
    </row>
    <row r="993">
      <c r="H993" s="11"/>
      <c r="J993" s="11"/>
      <c r="K993" s="11"/>
      <c r="L993" s="11"/>
      <c r="M993" s="17"/>
    </row>
    <row r="994">
      <c r="H994" s="11"/>
      <c r="J994" s="11"/>
      <c r="K994" s="11"/>
      <c r="L994" s="11"/>
      <c r="M994" s="17"/>
    </row>
    <row r="995">
      <c r="H995" s="11"/>
      <c r="J995" s="11"/>
      <c r="K995" s="11"/>
      <c r="L995" s="11"/>
      <c r="M995" s="17"/>
    </row>
    <row r="996">
      <c r="H996" s="11"/>
      <c r="J996" s="11"/>
      <c r="K996" s="11"/>
      <c r="L996" s="11"/>
      <c r="M996" s="17"/>
    </row>
    <row r="997">
      <c r="H997" s="11"/>
      <c r="J997" s="11"/>
      <c r="K997" s="11"/>
      <c r="L997" s="11"/>
      <c r="M997" s="17"/>
    </row>
    <row r="998">
      <c r="H998" s="11"/>
      <c r="J998" s="11"/>
      <c r="K998" s="11"/>
      <c r="L998" s="11"/>
      <c r="M998" s="17"/>
    </row>
    <row r="999">
      <c r="H999" s="11"/>
      <c r="J999" s="11"/>
      <c r="K999" s="11"/>
      <c r="L999" s="11"/>
      <c r="M999" s="17"/>
    </row>
    <row r="1000">
      <c r="H1000" s="11"/>
      <c r="J1000" s="11"/>
      <c r="K1000" s="11"/>
      <c r="L1000" s="11"/>
      <c r="M1000" s="17"/>
    </row>
    <row r="1001">
      <c r="H1001" s="11"/>
      <c r="J1001" s="11"/>
      <c r="K1001" s="11"/>
      <c r="L1001" s="11"/>
      <c r="M1001" s="17"/>
    </row>
    <row r="1002">
      <c r="H1002" s="11"/>
      <c r="J1002" s="11"/>
      <c r="K1002" s="11"/>
      <c r="L1002" s="11"/>
      <c r="M1002" s="17"/>
    </row>
    <row r="1003">
      <c r="H1003" s="11"/>
      <c r="J1003" s="11"/>
      <c r="K1003" s="11"/>
      <c r="L1003" s="11"/>
      <c r="M1003" s="17"/>
    </row>
    <row r="1004">
      <c r="H1004" s="11"/>
      <c r="J1004" s="11"/>
      <c r="K1004" s="11"/>
      <c r="L1004" s="11"/>
      <c r="M1004" s="17"/>
    </row>
    <row r="1005">
      <c r="H1005" s="11"/>
      <c r="J1005" s="11"/>
      <c r="K1005" s="11"/>
      <c r="L1005" s="11"/>
      <c r="M1005" s="17"/>
    </row>
    <row r="1006">
      <c r="H1006" s="11"/>
      <c r="J1006" s="11"/>
      <c r="K1006" s="11"/>
      <c r="L1006" s="11"/>
      <c r="M1006" s="17"/>
    </row>
    <row r="1007">
      <c r="H1007" s="11"/>
      <c r="J1007" s="11"/>
      <c r="K1007" s="11"/>
      <c r="L1007" s="11"/>
      <c r="M1007" s="17"/>
    </row>
    <row r="1008">
      <c r="H1008" s="11"/>
      <c r="J1008" s="11"/>
      <c r="K1008" s="11"/>
      <c r="L1008" s="11"/>
      <c r="M1008" s="17"/>
    </row>
    <row r="1009">
      <c r="H1009" s="11"/>
      <c r="J1009" s="11"/>
      <c r="K1009" s="11"/>
      <c r="L1009" s="11"/>
      <c r="M1009" s="17"/>
    </row>
    <row r="1010">
      <c r="H1010" s="11"/>
      <c r="J1010" s="11"/>
      <c r="K1010" s="11"/>
      <c r="L1010" s="11"/>
      <c r="M1010" s="17"/>
    </row>
    <row r="1011">
      <c r="H1011" s="11"/>
      <c r="J1011" s="11"/>
      <c r="K1011" s="11"/>
      <c r="L1011" s="11"/>
      <c r="M1011" s="17"/>
    </row>
    <row r="1012">
      <c r="H1012" s="11"/>
      <c r="J1012" s="11"/>
      <c r="K1012" s="11"/>
      <c r="L1012" s="11"/>
      <c r="M1012" s="17"/>
    </row>
    <row r="1013">
      <c r="H1013" s="11"/>
      <c r="J1013" s="11"/>
      <c r="K1013" s="11"/>
      <c r="L1013" s="11"/>
      <c r="M1013" s="17"/>
    </row>
    <row r="1014">
      <c r="H1014" s="11"/>
      <c r="J1014" s="11"/>
      <c r="K1014" s="11"/>
      <c r="L1014" s="11"/>
      <c r="M1014" s="17"/>
    </row>
    <row r="1015">
      <c r="H1015" s="11"/>
      <c r="J1015" s="11"/>
      <c r="K1015" s="11"/>
      <c r="L1015" s="11"/>
      <c r="M1015" s="17"/>
    </row>
    <row r="1016">
      <c r="H1016" s="11"/>
      <c r="J1016" s="11"/>
      <c r="K1016" s="11"/>
      <c r="L1016" s="11"/>
      <c r="M1016" s="17"/>
    </row>
    <row r="1017">
      <c r="H1017" s="11"/>
      <c r="J1017" s="11"/>
      <c r="K1017" s="11"/>
      <c r="L1017" s="11"/>
      <c r="M1017" s="17"/>
    </row>
    <row r="1018">
      <c r="H1018" s="11"/>
      <c r="J1018" s="11"/>
      <c r="K1018" s="11"/>
      <c r="L1018" s="11"/>
      <c r="M1018" s="17"/>
    </row>
    <row r="1019">
      <c r="H1019" s="11"/>
      <c r="J1019" s="11"/>
      <c r="K1019" s="11"/>
      <c r="L1019" s="11"/>
      <c r="M1019" s="17"/>
    </row>
    <row r="1020">
      <c r="H1020" s="11"/>
      <c r="J1020" s="11"/>
      <c r="K1020" s="11"/>
      <c r="L1020" s="11"/>
      <c r="M1020" s="17"/>
    </row>
    <row r="1021">
      <c r="H1021" s="11"/>
      <c r="J1021" s="11"/>
      <c r="K1021" s="11"/>
      <c r="L1021" s="11"/>
      <c r="M1021" s="17"/>
    </row>
    <row r="1022">
      <c r="H1022" s="11"/>
      <c r="J1022" s="11"/>
      <c r="K1022" s="11"/>
      <c r="L1022" s="11"/>
      <c r="M1022" s="17"/>
    </row>
    <row r="1023">
      <c r="H1023" s="11"/>
      <c r="J1023" s="11"/>
      <c r="K1023" s="11"/>
      <c r="L1023" s="11"/>
      <c r="M1023" s="17"/>
    </row>
    <row r="1024">
      <c r="H1024" s="11"/>
      <c r="J1024" s="11"/>
      <c r="K1024" s="11"/>
      <c r="L1024" s="11"/>
      <c r="M1024" s="17"/>
    </row>
    <row r="1025">
      <c r="H1025" s="11"/>
      <c r="J1025" s="11"/>
      <c r="K1025" s="11"/>
      <c r="L1025" s="11"/>
      <c r="M1025" s="17"/>
    </row>
    <row r="1026">
      <c r="H1026" s="11"/>
      <c r="J1026" s="11"/>
      <c r="K1026" s="11"/>
      <c r="L1026" s="11"/>
      <c r="M1026" s="17"/>
    </row>
    <row r="1027">
      <c r="H1027" s="11"/>
      <c r="J1027" s="11"/>
      <c r="K1027" s="11"/>
      <c r="L1027" s="11"/>
      <c r="M1027" s="17"/>
    </row>
    <row r="1028">
      <c r="H1028" s="11"/>
      <c r="J1028" s="11"/>
      <c r="K1028" s="11"/>
      <c r="L1028" s="11"/>
      <c r="M1028" s="17"/>
    </row>
    <row r="1029">
      <c r="H1029" s="11"/>
      <c r="J1029" s="11"/>
      <c r="K1029" s="11"/>
      <c r="L1029" s="11"/>
      <c r="M1029" s="17"/>
    </row>
    <row r="1030">
      <c r="H1030" s="11"/>
      <c r="J1030" s="11"/>
      <c r="K1030" s="11"/>
      <c r="L1030" s="11"/>
      <c r="M1030" s="17"/>
    </row>
    <row r="1031">
      <c r="H1031" s="11"/>
      <c r="J1031" s="11"/>
      <c r="K1031" s="11"/>
      <c r="L1031" s="11"/>
      <c r="M1031" s="17"/>
    </row>
    <row r="1032">
      <c r="H1032" s="11"/>
      <c r="J1032" s="11"/>
      <c r="K1032" s="11"/>
      <c r="L1032" s="11"/>
      <c r="M1032" s="17"/>
    </row>
    <row r="1033">
      <c r="H1033" s="11"/>
      <c r="J1033" s="11"/>
      <c r="K1033" s="11"/>
      <c r="L1033" s="11"/>
      <c r="M1033" s="17"/>
    </row>
    <row r="1034">
      <c r="H1034" s="11"/>
      <c r="J1034" s="11"/>
      <c r="K1034" s="11"/>
      <c r="L1034" s="11"/>
      <c r="M1034" s="17"/>
    </row>
    <row r="1035">
      <c r="H1035" s="11"/>
      <c r="J1035" s="11"/>
      <c r="K1035" s="11"/>
      <c r="L1035" s="11"/>
      <c r="M1035" s="17"/>
    </row>
    <row r="1036">
      <c r="H1036" s="11"/>
      <c r="J1036" s="11"/>
      <c r="K1036" s="11"/>
      <c r="L1036" s="11"/>
      <c r="M1036" s="17"/>
    </row>
    <row r="1037">
      <c r="H1037" s="11"/>
      <c r="J1037" s="11"/>
      <c r="K1037" s="11"/>
      <c r="L1037" s="11"/>
      <c r="M1037" s="17"/>
    </row>
    <row r="1038">
      <c r="H1038" s="11"/>
      <c r="J1038" s="11"/>
      <c r="K1038" s="11"/>
      <c r="L1038" s="11"/>
      <c r="M1038" s="17"/>
    </row>
    <row r="1039">
      <c r="H1039" s="11"/>
      <c r="J1039" s="11"/>
      <c r="K1039" s="11"/>
      <c r="L1039" s="11"/>
      <c r="M1039" s="17"/>
    </row>
    <row r="1040">
      <c r="H1040" s="11"/>
      <c r="J1040" s="11"/>
      <c r="K1040" s="11"/>
      <c r="L1040" s="11"/>
      <c r="M1040" s="17"/>
    </row>
    <row r="1041">
      <c r="H1041" s="11"/>
      <c r="J1041" s="11"/>
      <c r="K1041" s="11"/>
      <c r="L1041" s="11"/>
      <c r="M1041" s="17"/>
    </row>
    <row r="1042">
      <c r="H1042" s="11"/>
      <c r="J1042" s="11"/>
      <c r="K1042" s="11"/>
      <c r="L1042" s="11"/>
      <c r="M1042" s="17"/>
    </row>
    <row r="1043">
      <c r="H1043" s="11"/>
      <c r="J1043" s="11"/>
      <c r="K1043" s="11"/>
      <c r="L1043" s="11"/>
      <c r="M1043" s="17"/>
    </row>
    <row r="1044">
      <c r="H1044" s="11"/>
      <c r="J1044" s="11"/>
      <c r="K1044" s="11"/>
      <c r="L1044" s="11"/>
      <c r="M1044" s="17"/>
    </row>
    <row r="1045">
      <c r="H1045" s="11"/>
      <c r="J1045" s="11"/>
      <c r="K1045" s="11"/>
      <c r="L1045" s="11"/>
      <c r="M1045" s="17"/>
    </row>
    <row r="1046">
      <c r="H1046" s="11"/>
      <c r="J1046" s="11"/>
      <c r="K1046" s="11"/>
      <c r="L1046" s="11"/>
      <c r="M1046" s="17"/>
    </row>
    <row r="1047">
      <c r="H1047" s="11"/>
      <c r="J1047" s="11"/>
      <c r="K1047" s="11"/>
      <c r="L1047" s="11"/>
      <c r="M1047" s="17"/>
    </row>
    <row r="1048">
      <c r="H1048" s="11"/>
      <c r="J1048" s="11"/>
      <c r="K1048" s="11"/>
      <c r="L1048" s="11"/>
      <c r="M1048" s="17"/>
    </row>
    <row r="1049">
      <c r="H1049" s="11"/>
      <c r="J1049" s="11"/>
      <c r="K1049" s="11"/>
      <c r="L1049" s="11"/>
      <c r="M1049" s="17"/>
    </row>
    <row r="1050">
      <c r="H1050" s="11"/>
      <c r="J1050" s="11"/>
      <c r="K1050" s="11"/>
      <c r="L1050" s="11"/>
      <c r="M1050" s="17"/>
    </row>
    <row r="1051">
      <c r="H1051" s="11"/>
      <c r="J1051" s="11"/>
      <c r="K1051" s="11"/>
      <c r="L1051" s="11"/>
      <c r="M1051" s="17"/>
    </row>
    <row r="1052">
      <c r="H1052" s="11"/>
      <c r="J1052" s="11"/>
      <c r="K1052" s="11"/>
      <c r="L1052" s="11"/>
      <c r="M1052" s="17"/>
    </row>
    <row r="1053">
      <c r="H1053" s="11"/>
      <c r="J1053" s="11"/>
      <c r="K1053" s="11"/>
      <c r="L1053" s="11"/>
      <c r="M1053" s="17"/>
    </row>
    <row r="1054">
      <c r="H1054" s="11"/>
      <c r="J1054" s="11"/>
      <c r="K1054" s="11"/>
      <c r="L1054" s="11"/>
      <c r="M1054" s="17"/>
    </row>
    <row r="1055">
      <c r="H1055" s="11"/>
      <c r="J1055" s="11"/>
      <c r="K1055" s="11"/>
      <c r="L1055" s="11"/>
      <c r="M1055" s="17"/>
    </row>
    <row r="1056">
      <c r="H1056" s="11"/>
      <c r="J1056" s="11"/>
      <c r="K1056" s="11"/>
      <c r="L1056" s="11"/>
      <c r="M1056" s="17"/>
    </row>
    <row r="1057">
      <c r="H1057" s="11"/>
      <c r="J1057" s="11"/>
      <c r="K1057" s="11"/>
      <c r="L1057" s="11"/>
      <c r="M1057" s="17"/>
    </row>
    <row r="1058">
      <c r="H1058" s="11"/>
      <c r="J1058" s="11"/>
      <c r="K1058" s="11"/>
      <c r="L1058" s="11"/>
      <c r="M1058" s="17"/>
    </row>
    <row r="1059">
      <c r="H1059" s="11"/>
      <c r="J1059" s="11"/>
      <c r="K1059" s="11"/>
      <c r="L1059" s="11"/>
      <c r="M1059" s="17"/>
    </row>
    <row r="1060">
      <c r="H1060" s="11"/>
      <c r="J1060" s="11"/>
      <c r="K1060" s="11"/>
      <c r="L1060" s="11"/>
      <c r="M1060" s="17"/>
    </row>
    <row r="1061">
      <c r="H1061" s="11"/>
      <c r="J1061" s="11"/>
      <c r="K1061" s="11"/>
      <c r="L1061" s="11"/>
      <c r="M1061" s="17"/>
    </row>
    <row r="1062">
      <c r="H1062" s="11"/>
      <c r="J1062" s="11"/>
      <c r="K1062" s="11"/>
      <c r="L1062" s="11"/>
      <c r="M1062" s="17"/>
    </row>
    <row r="1063">
      <c r="H1063" s="11"/>
      <c r="J1063" s="11"/>
      <c r="K1063" s="11"/>
      <c r="L1063" s="11"/>
      <c r="M1063" s="17"/>
    </row>
    <row r="1064">
      <c r="H1064" s="11"/>
      <c r="J1064" s="11"/>
      <c r="K1064" s="11"/>
      <c r="L1064" s="11"/>
      <c r="M1064" s="17"/>
    </row>
    <row r="1065">
      <c r="H1065" s="11"/>
      <c r="J1065" s="11"/>
      <c r="K1065" s="11"/>
      <c r="L1065" s="11"/>
      <c r="M1065" s="17"/>
    </row>
    <row r="1066">
      <c r="H1066" s="11"/>
      <c r="J1066" s="11"/>
      <c r="K1066" s="11"/>
      <c r="L1066" s="11"/>
      <c r="M1066" s="17"/>
    </row>
    <row r="1067">
      <c r="H1067" s="11"/>
      <c r="J1067" s="11"/>
      <c r="K1067" s="11"/>
      <c r="L1067" s="11"/>
      <c r="M1067" s="17"/>
    </row>
    <row r="1068">
      <c r="H1068" s="11"/>
      <c r="J1068" s="11"/>
      <c r="K1068" s="11"/>
      <c r="L1068" s="11"/>
      <c r="M1068" s="17"/>
    </row>
    <row r="1069">
      <c r="H1069" s="11"/>
      <c r="J1069" s="11"/>
      <c r="K1069" s="11"/>
      <c r="L1069" s="11"/>
      <c r="M1069" s="17"/>
    </row>
    <row r="1070">
      <c r="H1070" s="11"/>
      <c r="J1070" s="11"/>
      <c r="K1070" s="11"/>
      <c r="L1070" s="11"/>
      <c r="M1070" s="17"/>
    </row>
    <row r="1071">
      <c r="H1071" s="11"/>
      <c r="J1071" s="11"/>
      <c r="K1071" s="11"/>
      <c r="L1071" s="11"/>
      <c r="M1071" s="17"/>
    </row>
    <row r="1072">
      <c r="H1072" s="11"/>
      <c r="J1072" s="11"/>
      <c r="K1072" s="11"/>
      <c r="L1072" s="11"/>
      <c r="M1072" s="17"/>
    </row>
    <row r="1073">
      <c r="H1073" s="11"/>
      <c r="J1073" s="11"/>
      <c r="K1073" s="11"/>
      <c r="L1073" s="11"/>
      <c r="M1073" s="17"/>
    </row>
    <row r="1074">
      <c r="H1074" s="11"/>
      <c r="J1074" s="11"/>
      <c r="K1074" s="11"/>
      <c r="L1074" s="11"/>
      <c r="M1074" s="17"/>
    </row>
    <row r="1075">
      <c r="H1075" s="11"/>
      <c r="J1075" s="11"/>
      <c r="K1075" s="11"/>
      <c r="L1075" s="11"/>
      <c r="M1075" s="17"/>
    </row>
    <row r="1076">
      <c r="H1076" s="11"/>
      <c r="J1076" s="11"/>
      <c r="K1076" s="11"/>
      <c r="L1076" s="11"/>
      <c r="M1076" s="17"/>
    </row>
    <row r="1077">
      <c r="H1077" s="11"/>
      <c r="J1077" s="11"/>
      <c r="K1077" s="11"/>
      <c r="L1077" s="11"/>
      <c r="M1077" s="17"/>
    </row>
    <row r="1078">
      <c r="H1078" s="11"/>
      <c r="J1078" s="11"/>
      <c r="K1078" s="11"/>
      <c r="L1078" s="11"/>
      <c r="M1078" s="17"/>
    </row>
    <row r="1079">
      <c r="H1079" s="11"/>
      <c r="J1079" s="11"/>
      <c r="K1079" s="11"/>
      <c r="L1079" s="11"/>
      <c r="M1079" s="17"/>
    </row>
    <row r="1080">
      <c r="H1080" s="11"/>
      <c r="J1080" s="11"/>
      <c r="K1080" s="11"/>
      <c r="L1080" s="11"/>
      <c r="M1080" s="17"/>
    </row>
    <row r="1081">
      <c r="H1081" s="11"/>
      <c r="J1081" s="11"/>
      <c r="K1081" s="11"/>
      <c r="L1081" s="11"/>
      <c r="M1081" s="17"/>
    </row>
    <row r="1082">
      <c r="H1082" s="11"/>
      <c r="J1082" s="11"/>
      <c r="K1082" s="11"/>
      <c r="L1082" s="11"/>
      <c r="M1082" s="17"/>
    </row>
    <row r="1083">
      <c r="H1083" s="11"/>
      <c r="J1083" s="11"/>
      <c r="K1083" s="11"/>
      <c r="L1083" s="11"/>
      <c r="M1083" s="17"/>
    </row>
    <row r="1084">
      <c r="H1084" s="11"/>
      <c r="J1084" s="11"/>
      <c r="K1084" s="11"/>
      <c r="L1084" s="11"/>
      <c r="M1084" s="17"/>
    </row>
    <row r="1085">
      <c r="H1085" s="11"/>
      <c r="J1085" s="11"/>
      <c r="K1085" s="11"/>
      <c r="L1085" s="11"/>
      <c r="M1085" s="17"/>
    </row>
    <row r="1086">
      <c r="H1086" s="11"/>
      <c r="J1086" s="11"/>
      <c r="K1086" s="11"/>
      <c r="L1086" s="11"/>
      <c r="M1086" s="17"/>
    </row>
    <row r="1087">
      <c r="H1087" s="11"/>
      <c r="J1087" s="11"/>
      <c r="K1087" s="11"/>
      <c r="L1087" s="11"/>
      <c r="M1087" s="17"/>
    </row>
    <row r="1088">
      <c r="H1088" s="11"/>
      <c r="J1088" s="11"/>
      <c r="K1088" s="11"/>
      <c r="L1088" s="11"/>
      <c r="M1088" s="17"/>
    </row>
    <row r="1089">
      <c r="H1089" s="11"/>
      <c r="J1089" s="11"/>
      <c r="K1089" s="11"/>
      <c r="L1089" s="11"/>
      <c r="M1089" s="17"/>
    </row>
    <row r="1090">
      <c r="H1090" s="11"/>
      <c r="J1090" s="11"/>
      <c r="K1090" s="11"/>
      <c r="L1090" s="11"/>
      <c r="M1090" s="17"/>
    </row>
    <row r="1091">
      <c r="H1091" s="11"/>
      <c r="J1091" s="11"/>
      <c r="K1091" s="11"/>
      <c r="L1091" s="11"/>
      <c r="M1091" s="17"/>
    </row>
    <row r="1092">
      <c r="H1092" s="11"/>
      <c r="J1092" s="11"/>
      <c r="K1092" s="11"/>
      <c r="L1092" s="11"/>
      <c r="M1092" s="17"/>
    </row>
    <row r="1093">
      <c r="H1093" s="11"/>
      <c r="J1093" s="11"/>
      <c r="K1093" s="11"/>
      <c r="L1093" s="11"/>
      <c r="M1093" s="17"/>
    </row>
    <row r="1094">
      <c r="H1094" s="11"/>
      <c r="J1094" s="11"/>
      <c r="K1094" s="11"/>
      <c r="L1094" s="11"/>
      <c r="M1094" s="17"/>
    </row>
    <row r="1095">
      <c r="H1095" s="11"/>
      <c r="J1095" s="11"/>
      <c r="K1095" s="11"/>
      <c r="L1095" s="11"/>
      <c r="M1095" s="17"/>
    </row>
    <row r="1096">
      <c r="H1096" s="11"/>
      <c r="J1096" s="11"/>
      <c r="K1096" s="11"/>
      <c r="L1096" s="11"/>
      <c r="M1096" s="17"/>
    </row>
    <row r="1097">
      <c r="H1097" s="11"/>
      <c r="J1097" s="11"/>
      <c r="K1097" s="11"/>
      <c r="L1097" s="11"/>
      <c r="M1097" s="17"/>
    </row>
    <row r="1098">
      <c r="H1098" s="11"/>
      <c r="J1098" s="11"/>
      <c r="K1098" s="11"/>
      <c r="L1098" s="11"/>
      <c r="M1098" s="17"/>
    </row>
    <row r="1099">
      <c r="H1099" s="11"/>
      <c r="J1099" s="11"/>
      <c r="K1099" s="11"/>
      <c r="L1099" s="11"/>
      <c r="M1099" s="17"/>
    </row>
    <row r="1100">
      <c r="H1100" s="11"/>
      <c r="J1100" s="11"/>
      <c r="K1100" s="11"/>
      <c r="L1100" s="11"/>
      <c r="M1100" s="17"/>
    </row>
    <row r="1101">
      <c r="H1101" s="11"/>
      <c r="J1101" s="11"/>
      <c r="K1101" s="11"/>
      <c r="L1101" s="11"/>
      <c r="M1101" s="17"/>
    </row>
    <row r="1102">
      <c r="H1102" s="11"/>
      <c r="J1102" s="11"/>
      <c r="K1102" s="11"/>
      <c r="L1102" s="11"/>
      <c r="M1102" s="17"/>
    </row>
    <row r="1103">
      <c r="H1103" s="11"/>
      <c r="J1103" s="11"/>
      <c r="K1103" s="11"/>
      <c r="L1103" s="11"/>
      <c r="M1103" s="17"/>
    </row>
    <row r="1104">
      <c r="H1104" s="11"/>
      <c r="J1104" s="11"/>
      <c r="K1104" s="11"/>
      <c r="L1104" s="11"/>
      <c r="M1104" s="17"/>
    </row>
    <row r="1105">
      <c r="H1105" s="11"/>
      <c r="J1105" s="11"/>
      <c r="K1105" s="11"/>
      <c r="L1105" s="11"/>
      <c r="M1105" s="17"/>
    </row>
    <row r="1106">
      <c r="H1106" s="11"/>
      <c r="J1106" s="11"/>
      <c r="K1106" s="11"/>
      <c r="L1106" s="11"/>
      <c r="M1106" s="17"/>
    </row>
    <row r="1107">
      <c r="H1107" s="11"/>
      <c r="J1107" s="11"/>
      <c r="K1107" s="11"/>
      <c r="L1107" s="11"/>
      <c r="M1107" s="17"/>
    </row>
    <row r="1108">
      <c r="H1108" s="11"/>
      <c r="J1108" s="11"/>
      <c r="K1108" s="11"/>
      <c r="L1108" s="11"/>
      <c r="M1108" s="17"/>
    </row>
    <row r="1109">
      <c r="H1109" s="11"/>
      <c r="J1109" s="11"/>
      <c r="K1109" s="11"/>
      <c r="L1109" s="11"/>
      <c r="M1109" s="17"/>
    </row>
    <row r="1110">
      <c r="H1110" s="11"/>
      <c r="J1110" s="11"/>
      <c r="K1110" s="11"/>
      <c r="L1110" s="11"/>
      <c r="M1110" s="17"/>
    </row>
    <row r="1111">
      <c r="H1111" s="11"/>
      <c r="J1111" s="11"/>
      <c r="K1111" s="11"/>
      <c r="L1111" s="11"/>
      <c r="M1111" s="17"/>
    </row>
    <row r="1112">
      <c r="H1112" s="11"/>
      <c r="J1112" s="11"/>
      <c r="K1112" s="11"/>
      <c r="L1112" s="11"/>
      <c r="M1112" s="17"/>
    </row>
    <row r="1113">
      <c r="H1113" s="11"/>
      <c r="J1113" s="11"/>
      <c r="K1113" s="11"/>
      <c r="L1113" s="11"/>
      <c r="M1113" s="17"/>
    </row>
    <row r="1114">
      <c r="H1114" s="11"/>
      <c r="J1114" s="11"/>
      <c r="K1114" s="11"/>
      <c r="L1114" s="11"/>
      <c r="M1114" s="17"/>
    </row>
    <row r="1115">
      <c r="H1115" s="11"/>
      <c r="J1115" s="11"/>
      <c r="K1115" s="11"/>
      <c r="L1115" s="11"/>
      <c r="M1115" s="17"/>
    </row>
    <row r="1116">
      <c r="H1116" s="11"/>
      <c r="J1116" s="11"/>
      <c r="K1116" s="11"/>
      <c r="L1116" s="11"/>
      <c r="M1116" s="17"/>
    </row>
    <row r="1117">
      <c r="H1117" s="11"/>
      <c r="J1117" s="11"/>
      <c r="K1117" s="11"/>
      <c r="L1117" s="11"/>
      <c r="M1117" s="17"/>
    </row>
    <row r="1118">
      <c r="H1118" s="11"/>
      <c r="J1118" s="11"/>
      <c r="K1118" s="11"/>
      <c r="L1118" s="11"/>
      <c r="M1118" s="17"/>
    </row>
    <row r="1119">
      <c r="H1119" s="11"/>
      <c r="J1119" s="11"/>
      <c r="K1119" s="11"/>
      <c r="L1119" s="11"/>
      <c r="M1119" s="17"/>
    </row>
    <row r="1120">
      <c r="H1120" s="11"/>
      <c r="J1120" s="11"/>
      <c r="K1120" s="11"/>
      <c r="L1120" s="11"/>
      <c r="M1120" s="17"/>
    </row>
    <row r="1121">
      <c r="H1121" s="11"/>
      <c r="J1121" s="11"/>
      <c r="K1121" s="11"/>
      <c r="L1121" s="11"/>
      <c r="M1121" s="17"/>
    </row>
    <row r="1122">
      <c r="H1122" s="11"/>
      <c r="J1122" s="11"/>
      <c r="K1122" s="11"/>
      <c r="L1122" s="11"/>
      <c r="M1122" s="17"/>
    </row>
    <row r="1123">
      <c r="H1123" s="11"/>
      <c r="J1123" s="11"/>
      <c r="K1123" s="11"/>
      <c r="L1123" s="11"/>
      <c r="M1123" s="17"/>
    </row>
    <row r="1124">
      <c r="H1124" s="11"/>
      <c r="J1124" s="11"/>
      <c r="K1124" s="11"/>
      <c r="L1124" s="11"/>
      <c r="M1124" s="17"/>
    </row>
    <row r="1125">
      <c r="H1125" s="11"/>
      <c r="J1125" s="11"/>
      <c r="K1125" s="11"/>
      <c r="L1125" s="11"/>
      <c r="M1125" s="17"/>
    </row>
    <row r="1126">
      <c r="H1126" s="11"/>
      <c r="J1126" s="11"/>
      <c r="K1126" s="11"/>
      <c r="L1126" s="11"/>
      <c r="M1126" s="17"/>
    </row>
    <row r="1127">
      <c r="H1127" s="11"/>
      <c r="J1127" s="11"/>
      <c r="K1127" s="11"/>
      <c r="L1127" s="11"/>
      <c r="M1127" s="17"/>
    </row>
    <row r="1128">
      <c r="H1128" s="11"/>
      <c r="J1128" s="11"/>
      <c r="K1128" s="11"/>
      <c r="L1128" s="11"/>
      <c r="M1128" s="17"/>
    </row>
    <row r="1129">
      <c r="H1129" s="11"/>
      <c r="J1129" s="11"/>
      <c r="K1129" s="11"/>
      <c r="L1129" s="11"/>
      <c r="M1129" s="17"/>
    </row>
    <row r="1130">
      <c r="H1130" s="11"/>
      <c r="J1130" s="11"/>
      <c r="K1130" s="11"/>
      <c r="L1130" s="11"/>
      <c r="M1130" s="17"/>
    </row>
    <row r="1131">
      <c r="H1131" s="11"/>
      <c r="J1131" s="11"/>
      <c r="K1131" s="11"/>
      <c r="L1131" s="11"/>
      <c r="M1131" s="17"/>
    </row>
    <row r="1132">
      <c r="H1132" s="11"/>
      <c r="J1132" s="11"/>
      <c r="K1132" s="11"/>
      <c r="L1132" s="11"/>
      <c r="M1132" s="17"/>
    </row>
    <row r="1133">
      <c r="H1133" s="11"/>
      <c r="J1133" s="11"/>
      <c r="K1133" s="11"/>
      <c r="L1133" s="11"/>
      <c r="M1133" s="17"/>
    </row>
    <row r="1134">
      <c r="H1134" s="11"/>
      <c r="J1134" s="11"/>
      <c r="K1134" s="11"/>
      <c r="L1134" s="11"/>
      <c r="M1134" s="17"/>
    </row>
    <row r="1135">
      <c r="H1135" s="11"/>
      <c r="J1135" s="11"/>
      <c r="K1135" s="11"/>
      <c r="L1135" s="11"/>
      <c r="M1135" s="17"/>
    </row>
    <row r="1136">
      <c r="H1136" s="11"/>
      <c r="J1136" s="11"/>
      <c r="K1136" s="11"/>
      <c r="L1136" s="11"/>
      <c r="M1136" s="17"/>
    </row>
    <row r="1137">
      <c r="H1137" s="11"/>
      <c r="J1137" s="11"/>
      <c r="K1137" s="11"/>
      <c r="L1137" s="11"/>
      <c r="M1137" s="17"/>
    </row>
    <row r="1138">
      <c r="H1138" s="11"/>
      <c r="J1138" s="11"/>
      <c r="K1138" s="11"/>
      <c r="L1138" s="11"/>
      <c r="M1138" s="17"/>
    </row>
    <row r="1139">
      <c r="H1139" s="11"/>
      <c r="J1139" s="11"/>
      <c r="K1139" s="11"/>
      <c r="L1139" s="11"/>
      <c r="M1139" s="17"/>
    </row>
    <row r="1140">
      <c r="H1140" s="11"/>
      <c r="J1140" s="11"/>
      <c r="K1140" s="11"/>
      <c r="L1140" s="11"/>
      <c r="M1140" s="17"/>
    </row>
    <row r="1141">
      <c r="H1141" s="11"/>
      <c r="J1141" s="11"/>
      <c r="K1141" s="11"/>
      <c r="L1141" s="11"/>
      <c r="M1141" s="17"/>
    </row>
    <row r="1142">
      <c r="H1142" s="11"/>
      <c r="J1142" s="11"/>
      <c r="K1142" s="11"/>
      <c r="L1142" s="11"/>
      <c r="M1142" s="17"/>
    </row>
    <row r="1143">
      <c r="H1143" s="11"/>
      <c r="J1143" s="11"/>
      <c r="K1143" s="11"/>
      <c r="L1143" s="11"/>
      <c r="M1143" s="17"/>
    </row>
    <row r="1144">
      <c r="H1144" s="11"/>
      <c r="J1144" s="11"/>
      <c r="K1144" s="11"/>
      <c r="L1144" s="11"/>
      <c r="M1144" s="17"/>
    </row>
    <row r="1145">
      <c r="H1145" s="11"/>
      <c r="J1145" s="11"/>
      <c r="K1145" s="11"/>
      <c r="L1145" s="11"/>
      <c r="M1145" s="17"/>
    </row>
    <row r="1146">
      <c r="H1146" s="11"/>
      <c r="J1146" s="11"/>
      <c r="K1146" s="11"/>
      <c r="L1146" s="11"/>
      <c r="M1146" s="17"/>
    </row>
    <row r="1147">
      <c r="H1147" s="11"/>
      <c r="J1147" s="11"/>
      <c r="K1147" s="11"/>
      <c r="L1147" s="11"/>
      <c r="M1147" s="17"/>
    </row>
    <row r="1148">
      <c r="H1148" s="11"/>
      <c r="J1148" s="11"/>
      <c r="K1148" s="11"/>
      <c r="L1148" s="11"/>
      <c r="M1148" s="17"/>
    </row>
    <row r="1149">
      <c r="H1149" s="11"/>
      <c r="J1149" s="11"/>
      <c r="K1149" s="11"/>
      <c r="L1149" s="11"/>
      <c r="M1149" s="17"/>
    </row>
    <row r="1150">
      <c r="H1150" s="11"/>
      <c r="J1150" s="11"/>
      <c r="K1150" s="11"/>
      <c r="L1150" s="11"/>
      <c r="M1150" s="17"/>
    </row>
    <row r="1151">
      <c r="H1151" s="11"/>
      <c r="J1151" s="11"/>
      <c r="K1151" s="11"/>
      <c r="L1151" s="11"/>
      <c r="M1151" s="17"/>
    </row>
    <row r="1152">
      <c r="H1152" s="11"/>
      <c r="J1152" s="11"/>
      <c r="K1152" s="11"/>
      <c r="L1152" s="11"/>
      <c r="M1152" s="17"/>
    </row>
    <row r="1153">
      <c r="H1153" s="11"/>
      <c r="J1153" s="11"/>
      <c r="K1153" s="11"/>
      <c r="L1153" s="11"/>
      <c r="M1153" s="17"/>
    </row>
    <row r="1154">
      <c r="H1154" s="11"/>
      <c r="J1154" s="11"/>
      <c r="K1154" s="11"/>
      <c r="L1154" s="11"/>
      <c r="M1154" s="17"/>
    </row>
    <row r="1155">
      <c r="H1155" s="11"/>
      <c r="J1155" s="11"/>
      <c r="K1155" s="11"/>
      <c r="L1155" s="11"/>
      <c r="M1155" s="17"/>
    </row>
    <row r="1156">
      <c r="H1156" s="11"/>
      <c r="J1156" s="11"/>
      <c r="K1156" s="11"/>
      <c r="L1156" s="11"/>
      <c r="M1156" s="17"/>
    </row>
    <row r="1157">
      <c r="H1157" s="11"/>
      <c r="J1157" s="11"/>
      <c r="K1157" s="11"/>
      <c r="L1157" s="11"/>
      <c r="M1157" s="17"/>
    </row>
    <row r="1158">
      <c r="H1158" s="11"/>
      <c r="J1158" s="11"/>
      <c r="K1158" s="11"/>
      <c r="L1158" s="11"/>
      <c r="M1158" s="17"/>
    </row>
    <row r="1159">
      <c r="H1159" s="11"/>
      <c r="J1159" s="11"/>
      <c r="K1159" s="11"/>
      <c r="L1159" s="11"/>
      <c r="M1159" s="17"/>
    </row>
    <row r="1160">
      <c r="H1160" s="11"/>
      <c r="J1160" s="11"/>
      <c r="K1160" s="11"/>
      <c r="L1160" s="11"/>
      <c r="M1160" s="17"/>
    </row>
    <row r="1161">
      <c r="H1161" s="11"/>
      <c r="J1161" s="11"/>
      <c r="K1161" s="11"/>
      <c r="L1161" s="11"/>
      <c r="M1161" s="17"/>
    </row>
    <row r="1162">
      <c r="H1162" s="11"/>
      <c r="J1162" s="11"/>
      <c r="K1162" s="11"/>
      <c r="L1162" s="11"/>
      <c r="M1162" s="17"/>
    </row>
    <row r="1163">
      <c r="H1163" s="11"/>
      <c r="J1163" s="11"/>
      <c r="K1163" s="11"/>
      <c r="L1163" s="11"/>
      <c r="M1163" s="17"/>
    </row>
    <row r="1164">
      <c r="H1164" s="11"/>
      <c r="J1164" s="11"/>
      <c r="K1164" s="11"/>
      <c r="L1164" s="11"/>
      <c r="M1164" s="17"/>
    </row>
    <row r="1165">
      <c r="H1165" s="11"/>
      <c r="J1165" s="11"/>
      <c r="K1165" s="11"/>
      <c r="L1165" s="11"/>
      <c r="M1165" s="17"/>
    </row>
    <row r="1166">
      <c r="H1166" s="11"/>
      <c r="J1166" s="11"/>
      <c r="K1166" s="11"/>
      <c r="L1166" s="11"/>
      <c r="M1166" s="17"/>
    </row>
    <row r="1167">
      <c r="H1167" s="11"/>
      <c r="J1167" s="11"/>
      <c r="K1167" s="11"/>
      <c r="L1167" s="11"/>
      <c r="M1167" s="17"/>
    </row>
    <row r="1168">
      <c r="H1168" s="11"/>
      <c r="J1168" s="11"/>
      <c r="K1168" s="11"/>
      <c r="L1168" s="11"/>
      <c r="M1168" s="17"/>
    </row>
    <row r="1169">
      <c r="H1169" s="11"/>
      <c r="J1169" s="11"/>
      <c r="K1169" s="11"/>
      <c r="L1169" s="11"/>
      <c r="M1169" s="17"/>
    </row>
    <row r="1170">
      <c r="H1170" s="11"/>
      <c r="J1170" s="11"/>
      <c r="K1170" s="11"/>
      <c r="L1170" s="11"/>
      <c r="M1170" s="17"/>
    </row>
    <row r="1171">
      <c r="H1171" s="11"/>
      <c r="J1171" s="11"/>
      <c r="K1171" s="11"/>
      <c r="L1171" s="11"/>
      <c r="M1171" s="17"/>
    </row>
    <row r="1172">
      <c r="H1172" s="11"/>
      <c r="J1172" s="11"/>
      <c r="K1172" s="11"/>
      <c r="L1172" s="11"/>
      <c r="M1172" s="17"/>
    </row>
    <row r="1173">
      <c r="H1173" s="11"/>
      <c r="J1173" s="11"/>
      <c r="K1173" s="11"/>
      <c r="L1173" s="11"/>
      <c r="M1173" s="17"/>
    </row>
    <row r="1174">
      <c r="H1174" s="11"/>
      <c r="J1174" s="11"/>
      <c r="K1174" s="11"/>
      <c r="L1174" s="11"/>
      <c r="M1174" s="17"/>
    </row>
    <row r="1175">
      <c r="H1175" s="11"/>
      <c r="J1175" s="11"/>
      <c r="K1175" s="11"/>
      <c r="L1175" s="11"/>
      <c r="M1175" s="17"/>
    </row>
    <row r="1176">
      <c r="H1176" s="11"/>
      <c r="J1176" s="11"/>
      <c r="K1176" s="11"/>
      <c r="L1176" s="11"/>
      <c r="M1176" s="17"/>
    </row>
    <row r="1177">
      <c r="H1177" s="11"/>
      <c r="J1177" s="11"/>
      <c r="K1177" s="11"/>
      <c r="L1177" s="11"/>
      <c r="M1177" s="17"/>
    </row>
    <row r="1178">
      <c r="H1178" s="11"/>
      <c r="J1178" s="11"/>
      <c r="K1178" s="11"/>
      <c r="L1178" s="11"/>
      <c r="M1178" s="17"/>
    </row>
    <row r="1179">
      <c r="H1179" s="11"/>
      <c r="J1179" s="11"/>
      <c r="K1179" s="11"/>
      <c r="L1179" s="11"/>
      <c r="M1179" s="17"/>
    </row>
    <row r="1180">
      <c r="H1180" s="11"/>
      <c r="J1180" s="11"/>
      <c r="K1180" s="11"/>
      <c r="L1180" s="11"/>
      <c r="M1180" s="17"/>
    </row>
    <row r="1181">
      <c r="H1181" s="11"/>
      <c r="J1181" s="11"/>
      <c r="K1181" s="11"/>
      <c r="L1181" s="11"/>
      <c r="M1181" s="17"/>
    </row>
    <row r="1182">
      <c r="H1182" s="11"/>
      <c r="J1182" s="11"/>
      <c r="K1182" s="11"/>
      <c r="L1182" s="11"/>
      <c r="M1182" s="17"/>
    </row>
    <row r="1183">
      <c r="H1183" s="11"/>
      <c r="J1183" s="11"/>
      <c r="K1183" s="11"/>
      <c r="L1183" s="11"/>
      <c r="M1183" s="17"/>
    </row>
    <row r="1184">
      <c r="H1184" s="11"/>
      <c r="J1184" s="11"/>
      <c r="K1184" s="11"/>
      <c r="L1184" s="11"/>
      <c r="M1184" s="17"/>
    </row>
    <row r="1185">
      <c r="H1185" s="11"/>
      <c r="J1185" s="11"/>
      <c r="K1185" s="11"/>
      <c r="L1185" s="11"/>
      <c r="M1185" s="17"/>
    </row>
    <row r="1186">
      <c r="H1186" s="11"/>
      <c r="J1186" s="11"/>
      <c r="K1186" s="11"/>
      <c r="L1186" s="11"/>
      <c r="M1186" s="17"/>
    </row>
    <row r="1187">
      <c r="H1187" s="11"/>
      <c r="J1187" s="11"/>
      <c r="K1187" s="11"/>
      <c r="L1187" s="11"/>
      <c r="M1187" s="17"/>
    </row>
    <row r="1188">
      <c r="H1188" s="11"/>
      <c r="J1188" s="11"/>
      <c r="K1188" s="11"/>
      <c r="L1188" s="11"/>
      <c r="M1188" s="17"/>
    </row>
    <row r="1189">
      <c r="H1189" s="11"/>
      <c r="J1189" s="11"/>
      <c r="K1189" s="11"/>
      <c r="L1189" s="11"/>
      <c r="M1189" s="17"/>
    </row>
    <row r="1190">
      <c r="H1190" s="11"/>
      <c r="J1190" s="11"/>
      <c r="K1190" s="11"/>
      <c r="L1190" s="11"/>
      <c r="M1190" s="17"/>
    </row>
    <row r="1191">
      <c r="H1191" s="11"/>
      <c r="J1191" s="11"/>
      <c r="K1191" s="11"/>
      <c r="L1191" s="11"/>
      <c r="M1191" s="17"/>
    </row>
    <row r="1192">
      <c r="H1192" s="11"/>
      <c r="J1192" s="11"/>
      <c r="K1192" s="11"/>
      <c r="L1192" s="11"/>
      <c r="M1192" s="17"/>
    </row>
    <row r="1193">
      <c r="H1193" s="11"/>
      <c r="J1193" s="11"/>
      <c r="K1193" s="11"/>
      <c r="L1193" s="11"/>
      <c r="M1193" s="17"/>
    </row>
    <row r="1194">
      <c r="H1194" s="11"/>
      <c r="J1194" s="11"/>
      <c r="K1194" s="11"/>
      <c r="L1194" s="11"/>
      <c r="M1194" s="17"/>
    </row>
    <row r="1195">
      <c r="H1195" s="11"/>
      <c r="J1195" s="11"/>
      <c r="K1195" s="11"/>
      <c r="L1195" s="11"/>
      <c r="M1195" s="17"/>
    </row>
    <row r="1196">
      <c r="H1196" s="11"/>
      <c r="J1196" s="11"/>
      <c r="K1196" s="11"/>
      <c r="L1196" s="11"/>
      <c r="M1196" s="17"/>
    </row>
    <row r="1197">
      <c r="H1197" s="11"/>
      <c r="J1197" s="11"/>
      <c r="K1197" s="11"/>
      <c r="L1197" s="11"/>
      <c r="M1197" s="17"/>
    </row>
    <row r="1198">
      <c r="H1198" s="11"/>
      <c r="J1198" s="11"/>
      <c r="K1198" s="11"/>
      <c r="L1198" s="11"/>
      <c r="M1198" s="17"/>
    </row>
    <row r="1199">
      <c r="H1199" s="11"/>
      <c r="J1199" s="11"/>
      <c r="K1199" s="11"/>
      <c r="L1199" s="11"/>
      <c r="M1199" s="17"/>
    </row>
    <row r="1200">
      <c r="H1200" s="11"/>
      <c r="J1200" s="11"/>
      <c r="K1200" s="11"/>
      <c r="L1200" s="11"/>
      <c r="M1200" s="17"/>
    </row>
    <row r="1201">
      <c r="H1201" s="11"/>
      <c r="J1201" s="11"/>
      <c r="K1201" s="11"/>
      <c r="L1201" s="11"/>
      <c r="M1201" s="17"/>
    </row>
    <row r="1202">
      <c r="H1202" s="11"/>
      <c r="J1202" s="11"/>
      <c r="K1202" s="11"/>
      <c r="L1202" s="11"/>
      <c r="M1202" s="17"/>
    </row>
    <row r="1203">
      <c r="H1203" s="11"/>
      <c r="J1203" s="11"/>
      <c r="K1203" s="11"/>
      <c r="L1203" s="11"/>
      <c r="M1203" s="17"/>
    </row>
    <row r="1204">
      <c r="H1204" s="11"/>
      <c r="J1204" s="11"/>
      <c r="K1204" s="11"/>
      <c r="L1204" s="11"/>
      <c r="M1204" s="17"/>
    </row>
    <row r="1205">
      <c r="H1205" s="11"/>
      <c r="J1205" s="11"/>
      <c r="K1205" s="11"/>
      <c r="L1205" s="11"/>
      <c r="M1205" s="17"/>
    </row>
    <row r="1206">
      <c r="H1206" s="11"/>
      <c r="J1206" s="11"/>
      <c r="K1206" s="11"/>
      <c r="L1206" s="11"/>
      <c r="M1206" s="17"/>
    </row>
    <row r="1207">
      <c r="H1207" s="11"/>
      <c r="J1207" s="11"/>
      <c r="K1207" s="11"/>
      <c r="L1207" s="11"/>
      <c r="M1207" s="17"/>
    </row>
    <row r="1208">
      <c r="H1208" s="11"/>
      <c r="J1208" s="11"/>
      <c r="K1208" s="11"/>
      <c r="L1208" s="11"/>
      <c r="M1208" s="17"/>
    </row>
    <row r="1209">
      <c r="H1209" s="11"/>
      <c r="J1209" s="11"/>
      <c r="K1209" s="11"/>
      <c r="L1209" s="11"/>
      <c r="M1209" s="17"/>
    </row>
    <row r="1210">
      <c r="H1210" s="11"/>
      <c r="J1210" s="11"/>
      <c r="K1210" s="11"/>
      <c r="L1210" s="11"/>
      <c r="M1210" s="17"/>
    </row>
    <row r="1211">
      <c r="H1211" s="11"/>
      <c r="J1211" s="11"/>
      <c r="K1211" s="11"/>
      <c r="L1211" s="11"/>
      <c r="M1211" s="17"/>
    </row>
    <row r="1212">
      <c r="H1212" s="11"/>
      <c r="J1212" s="11"/>
      <c r="K1212" s="11"/>
      <c r="L1212" s="11"/>
      <c r="M1212" s="17"/>
    </row>
    <row r="1213">
      <c r="H1213" s="11"/>
      <c r="J1213" s="11"/>
      <c r="K1213" s="11"/>
      <c r="L1213" s="11"/>
      <c r="M1213" s="17"/>
    </row>
    <row r="1214">
      <c r="H1214" s="11"/>
      <c r="J1214" s="11"/>
      <c r="K1214" s="11"/>
      <c r="L1214" s="11"/>
      <c r="M1214" s="17"/>
    </row>
    <row r="1215">
      <c r="H1215" s="11"/>
      <c r="J1215" s="11"/>
      <c r="K1215" s="11"/>
      <c r="L1215" s="11"/>
      <c r="M1215" s="17"/>
    </row>
    <row r="1216">
      <c r="H1216" s="11"/>
      <c r="J1216" s="11"/>
      <c r="K1216" s="11"/>
      <c r="L1216" s="11"/>
      <c r="M1216" s="17"/>
    </row>
    <row r="1217">
      <c r="H1217" s="11"/>
      <c r="J1217" s="11"/>
      <c r="K1217" s="11"/>
      <c r="L1217" s="11"/>
      <c r="M1217" s="17"/>
    </row>
    <row r="1218">
      <c r="H1218" s="11"/>
      <c r="J1218" s="11"/>
      <c r="K1218" s="11"/>
      <c r="L1218" s="11"/>
      <c r="M1218" s="17"/>
    </row>
    <row r="1219">
      <c r="H1219" s="11"/>
      <c r="J1219" s="11"/>
      <c r="K1219" s="11"/>
      <c r="L1219" s="11"/>
      <c r="M1219" s="17"/>
    </row>
    <row r="1220">
      <c r="H1220" s="11"/>
      <c r="J1220" s="11"/>
      <c r="K1220" s="11"/>
      <c r="L1220" s="11"/>
      <c r="M1220" s="17"/>
    </row>
    <row r="1221">
      <c r="H1221" s="11"/>
      <c r="J1221" s="11"/>
      <c r="K1221" s="11"/>
      <c r="L1221" s="11"/>
      <c r="M1221" s="17"/>
    </row>
    <row r="1222">
      <c r="H1222" s="11"/>
      <c r="J1222" s="11"/>
      <c r="K1222" s="11"/>
      <c r="L1222" s="11"/>
      <c r="M1222" s="17"/>
    </row>
    <row r="1223">
      <c r="H1223" s="11"/>
      <c r="J1223" s="11"/>
      <c r="K1223" s="11"/>
      <c r="L1223" s="11"/>
      <c r="M1223" s="17"/>
    </row>
    <row r="1224">
      <c r="H1224" s="11"/>
      <c r="J1224" s="11"/>
      <c r="K1224" s="11"/>
      <c r="L1224" s="11"/>
      <c r="M1224" s="17"/>
    </row>
    <row r="1225">
      <c r="H1225" s="11"/>
      <c r="J1225" s="11"/>
      <c r="K1225" s="11"/>
      <c r="L1225" s="11"/>
      <c r="M1225" s="17"/>
    </row>
    <row r="1226">
      <c r="H1226" s="11"/>
      <c r="J1226" s="11"/>
      <c r="K1226" s="11"/>
      <c r="L1226" s="11"/>
      <c r="M1226" s="17"/>
    </row>
    <row r="1227">
      <c r="H1227" s="11"/>
      <c r="J1227" s="11"/>
      <c r="K1227" s="11"/>
      <c r="L1227" s="11"/>
      <c r="M1227" s="17"/>
    </row>
    <row r="1228">
      <c r="H1228" s="11"/>
      <c r="J1228" s="11"/>
      <c r="K1228" s="11"/>
      <c r="L1228" s="11"/>
      <c r="M1228" s="17"/>
    </row>
    <row r="1229">
      <c r="H1229" s="11"/>
      <c r="J1229" s="11"/>
      <c r="K1229" s="11"/>
      <c r="L1229" s="11"/>
      <c r="M1229" s="17"/>
    </row>
    <row r="1230">
      <c r="H1230" s="11"/>
      <c r="J1230" s="11"/>
      <c r="K1230" s="11"/>
      <c r="L1230" s="11"/>
      <c r="M1230" s="17"/>
    </row>
    <row r="1231">
      <c r="H1231" s="11"/>
      <c r="J1231" s="11"/>
      <c r="K1231" s="11"/>
      <c r="L1231" s="11"/>
      <c r="M1231" s="17"/>
    </row>
    <row r="1232">
      <c r="H1232" s="11"/>
      <c r="J1232" s="11"/>
      <c r="K1232" s="11"/>
      <c r="L1232" s="11"/>
      <c r="M1232" s="17"/>
    </row>
    <row r="1233">
      <c r="H1233" s="11"/>
      <c r="J1233" s="11"/>
      <c r="K1233" s="11"/>
      <c r="L1233" s="11"/>
      <c r="M1233" s="17"/>
    </row>
    <row r="1234">
      <c r="H1234" s="11"/>
      <c r="J1234" s="11"/>
      <c r="K1234" s="11"/>
      <c r="L1234" s="11"/>
      <c r="M1234" s="17"/>
    </row>
    <row r="1235">
      <c r="H1235" s="11"/>
      <c r="J1235" s="11"/>
      <c r="K1235" s="11"/>
      <c r="L1235" s="11"/>
      <c r="M1235" s="17"/>
    </row>
    <row r="1236">
      <c r="H1236" s="11"/>
      <c r="J1236" s="11"/>
      <c r="K1236" s="11"/>
      <c r="L1236" s="11"/>
      <c r="M1236" s="17"/>
    </row>
    <row r="1237">
      <c r="H1237" s="11"/>
      <c r="J1237" s="11"/>
      <c r="K1237" s="11"/>
      <c r="L1237" s="11"/>
      <c r="M1237" s="17"/>
    </row>
    <row r="1238">
      <c r="H1238" s="11"/>
      <c r="J1238" s="11"/>
      <c r="K1238" s="11"/>
      <c r="L1238" s="11"/>
      <c r="M1238" s="17"/>
    </row>
    <row r="1239">
      <c r="H1239" s="11"/>
      <c r="J1239" s="11"/>
      <c r="K1239" s="11"/>
      <c r="L1239" s="11"/>
      <c r="M1239" s="17"/>
    </row>
    <row r="1240">
      <c r="H1240" s="11"/>
      <c r="J1240" s="11"/>
      <c r="K1240" s="11"/>
      <c r="L1240" s="11"/>
      <c r="M1240" s="17"/>
    </row>
    <row r="1241">
      <c r="H1241" s="11"/>
      <c r="J1241" s="11"/>
      <c r="K1241" s="11"/>
      <c r="L1241" s="11"/>
      <c r="M1241" s="17"/>
    </row>
    <row r="1242">
      <c r="H1242" s="11"/>
      <c r="J1242" s="11"/>
      <c r="K1242" s="11"/>
      <c r="L1242" s="11"/>
      <c r="M1242" s="17"/>
    </row>
    <row r="1243">
      <c r="H1243" s="11"/>
      <c r="J1243" s="11"/>
      <c r="K1243" s="11"/>
      <c r="L1243" s="11"/>
      <c r="M1243" s="17"/>
    </row>
    <row r="1244">
      <c r="H1244" s="11"/>
      <c r="J1244" s="11"/>
      <c r="K1244" s="11"/>
      <c r="L1244" s="11"/>
      <c r="M1244" s="17"/>
    </row>
    <row r="1245">
      <c r="H1245" s="11"/>
      <c r="J1245" s="11"/>
      <c r="K1245" s="11"/>
      <c r="L1245" s="11"/>
      <c r="M1245" s="17"/>
    </row>
    <row r="1246">
      <c r="H1246" s="11"/>
      <c r="J1246" s="11"/>
      <c r="K1246" s="11"/>
      <c r="L1246" s="11"/>
      <c r="M1246" s="17"/>
    </row>
    <row r="1247">
      <c r="H1247" s="11"/>
      <c r="J1247" s="11"/>
      <c r="K1247" s="11"/>
      <c r="L1247" s="11"/>
      <c r="M1247" s="17"/>
    </row>
    <row r="1248">
      <c r="H1248" s="11"/>
      <c r="J1248" s="11"/>
      <c r="K1248" s="11"/>
      <c r="L1248" s="11"/>
      <c r="M1248" s="17"/>
    </row>
    <row r="1249">
      <c r="H1249" s="11"/>
      <c r="J1249" s="11"/>
      <c r="K1249" s="11"/>
      <c r="L1249" s="11"/>
      <c r="M1249" s="17"/>
    </row>
    <row r="1250">
      <c r="H1250" s="11"/>
      <c r="J1250" s="11"/>
      <c r="K1250" s="11"/>
      <c r="L1250" s="11"/>
      <c r="M1250" s="17"/>
    </row>
    <row r="1251">
      <c r="H1251" s="11"/>
      <c r="J1251" s="11"/>
      <c r="K1251" s="11"/>
      <c r="L1251" s="11"/>
      <c r="M1251" s="17"/>
    </row>
    <row r="1252">
      <c r="H1252" s="11"/>
      <c r="J1252" s="11"/>
      <c r="K1252" s="11"/>
      <c r="L1252" s="11"/>
      <c r="M1252" s="17"/>
    </row>
    <row r="1253">
      <c r="H1253" s="11"/>
      <c r="J1253" s="11"/>
      <c r="K1253" s="11"/>
      <c r="L1253" s="11"/>
      <c r="M1253" s="17"/>
    </row>
    <row r="1254">
      <c r="H1254" s="11"/>
      <c r="J1254" s="11"/>
      <c r="K1254" s="11"/>
      <c r="L1254" s="11"/>
      <c r="M1254" s="17"/>
    </row>
    <row r="1255">
      <c r="H1255" s="11"/>
      <c r="J1255" s="11"/>
      <c r="K1255" s="11"/>
      <c r="L1255" s="11"/>
      <c r="M1255" s="17"/>
    </row>
    <row r="1256">
      <c r="H1256" s="11"/>
      <c r="J1256" s="11"/>
      <c r="K1256" s="11"/>
      <c r="L1256" s="11"/>
      <c r="M1256" s="17"/>
    </row>
    <row r="1257">
      <c r="H1257" s="11"/>
      <c r="J1257" s="11"/>
      <c r="K1257" s="11"/>
      <c r="L1257" s="11"/>
      <c r="M1257" s="17"/>
    </row>
    <row r="1258">
      <c r="H1258" s="11"/>
      <c r="J1258" s="11"/>
      <c r="K1258" s="11"/>
      <c r="L1258" s="11"/>
      <c r="M1258" s="17"/>
    </row>
    <row r="1259">
      <c r="H1259" s="11"/>
      <c r="J1259" s="11"/>
      <c r="K1259" s="11"/>
      <c r="L1259" s="11"/>
      <c r="M1259" s="17"/>
    </row>
    <row r="1260">
      <c r="H1260" s="11"/>
      <c r="J1260" s="11"/>
      <c r="K1260" s="11"/>
      <c r="L1260" s="11"/>
      <c r="M1260" s="17"/>
    </row>
    <row r="1261">
      <c r="H1261" s="11"/>
      <c r="J1261" s="11"/>
      <c r="K1261" s="11"/>
      <c r="L1261" s="11"/>
      <c r="M1261" s="17"/>
    </row>
    <row r="1262">
      <c r="H1262" s="11"/>
      <c r="J1262" s="11"/>
      <c r="K1262" s="11"/>
      <c r="L1262" s="11"/>
      <c r="M1262" s="17"/>
    </row>
    <row r="1263">
      <c r="H1263" s="11"/>
      <c r="J1263" s="11"/>
      <c r="K1263" s="11"/>
      <c r="L1263" s="11"/>
      <c r="M1263" s="17"/>
    </row>
    <row r="1264">
      <c r="H1264" s="11"/>
      <c r="J1264" s="11"/>
      <c r="K1264" s="11"/>
      <c r="L1264" s="11"/>
      <c r="M1264" s="17"/>
    </row>
    <row r="1265">
      <c r="H1265" s="11"/>
      <c r="J1265" s="11"/>
      <c r="K1265" s="11"/>
      <c r="L1265" s="11"/>
      <c r="M1265" s="17"/>
    </row>
    <row r="1266">
      <c r="H1266" s="11"/>
      <c r="J1266" s="11"/>
      <c r="K1266" s="11"/>
      <c r="L1266" s="11"/>
      <c r="M1266" s="17"/>
    </row>
    <row r="1267">
      <c r="H1267" s="11"/>
      <c r="J1267" s="11"/>
      <c r="K1267" s="11"/>
      <c r="L1267" s="11"/>
      <c r="M1267" s="17"/>
    </row>
    <row r="1268">
      <c r="H1268" s="11"/>
      <c r="J1268" s="11"/>
      <c r="K1268" s="11"/>
      <c r="L1268" s="11"/>
      <c r="M1268" s="17"/>
    </row>
    <row r="1269">
      <c r="H1269" s="11"/>
      <c r="J1269" s="11"/>
      <c r="K1269" s="11"/>
      <c r="L1269" s="11"/>
      <c r="M1269" s="17"/>
    </row>
    <row r="1270">
      <c r="H1270" s="11"/>
      <c r="J1270" s="11"/>
      <c r="K1270" s="11"/>
      <c r="L1270" s="11"/>
      <c r="M1270" s="17"/>
    </row>
    <row r="1271">
      <c r="H1271" s="11"/>
      <c r="J1271" s="11"/>
      <c r="K1271" s="11"/>
      <c r="L1271" s="11"/>
      <c r="M1271" s="17"/>
    </row>
    <row r="1272">
      <c r="H1272" s="11"/>
      <c r="J1272" s="11"/>
      <c r="K1272" s="11"/>
      <c r="L1272" s="11"/>
      <c r="M1272" s="17"/>
    </row>
    <row r="1273">
      <c r="H1273" s="11"/>
      <c r="J1273" s="11"/>
      <c r="K1273" s="11"/>
      <c r="L1273" s="11"/>
      <c r="M1273" s="17"/>
    </row>
    <row r="1274">
      <c r="H1274" s="11"/>
      <c r="J1274" s="11"/>
      <c r="K1274" s="11"/>
      <c r="L1274" s="11"/>
      <c r="M1274" s="17"/>
    </row>
    <row r="1275">
      <c r="H1275" s="11"/>
      <c r="J1275" s="11"/>
      <c r="K1275" s="11"/>
      <c r="L1275" s="11"/>
      <c r="M1275" s="17"/>
    </row>
    <row r="1276">
      <c r="H1276" s="11"/>
      <c r="J1276" s="11"/>
      <c r="K1276" s="11"/>
      <c r="L1276" s="11"/>
      <c r="M1276" s="17"/>
    </row>
    <row r="1277">
      <c r="H1277" s="11"/>
      <c r="J1277" s="11"/>
      <c r="K1277" s="11"/>
      <c r="L1277" s="11"/>
      <c r="M1277" s="17"/>
    </row>
    <row r="1278">
      <c r="H1278" s="11"/>
      <c r="J1278" s="11"/>
      <c r="K1278" s="11"/>
      <c r="L1278" s="11"/>
      <c r="M1278" s="17"/>
    </row>
    <row r="1279">
      <c r="H1279" s="11"/>
      <c r="J1279" s="11"/>
      <c r="K1279" s="11"/>
      <c r="L1279" s="11"/>
      <c r="M1279" s="17"/>
    </row>
    <row r="1280">
      <c r="H1280" s="11"/>
      <c r="J1280" s="11"/>
      <c r="K1280" s="11"/>
      <c r="L1280" s="11"/>
      <c r="M1280" s="17"/>
    </row>
    <row r="1281">
      <c r="H1281" s="11"/>
      <c r="J1281" s="11"/>
      <c r="K1281" s="11"/>
      <c r="L1281" s="11"/>
      <c r="M1281" s="17"/>
    </row>
    <row r="1282">
      <c r="H1282" s="11"/>
      <c r="J1282" s="11"/>
      <c r="K1282" s="11"/>
      <c r="L1282" s="11"/>
      <c r="M1282" s="17"/>
    </row>
    <row r="1283">
      <c r="H1283" s="11"/>
      <c r="J1283" s="11"/>
      <c r="K1283" s="11"/>
      <c r="L1283" s="11"/>
      <c r="M1283" s="17"/>
    </row>
    <row r="1284">
      <c r="H1284" s="11"/>
      <c r="J1284" s="11"/>
      <c r="K1284" s="11"/>
      <c r="L1284" s="11"/>
      <c r="M1284" s="17"/>
    </row>
    <row r="1285">
      <c r="H1285" s="11"/>
      <c r="J1285" s="11"/>
      <c r="K1285" s="11"/>
      <c r="L1285" s="11"/>
      <c r="M1285" s="17"/>
    </row>
    <row r="1286">
      <c r="H1286" s="11"/>
      <c r="J1286" s="11"/>
      <c r="K1286" s="11"/>
      <c r="L1286" s="11"/>
      <c r="M1286" s="17"/>
    </row>
    <row r="1287">
      <c r="H1287" s="11"/>
      <c r="J1287" s="11"/>
      <c r="K1287" s="11"/>
      <c r="L1287" s="11"/>
      <c r="M1287" s="17"/>
    </row>
    <row r="1288">
      <c r="H1288" s="11"/>
      <c r="J1288" s="11"/>
      <c r="K1288" s="11"/>
      <c r="L1288" s="11"/>
      <c r="M1288" s="17"/>
    </row>
    <row r="1289">
      <c r="H1289" s="11"/>
      <c r="J1289" s="11"/>
      <c r="K1289" s="11"/>
      <c r="L1289" s="11"/>
      <c r="M1289" s="17"/>
    </row>
    <row r="1290">
      <c r="H1290" s="11"/>
      <c r="J1290" s="11"/>
      <c r="K1290" s="11"/>
      <c r="L1290" s="11"/>
      <c r="M1290" s="17"/>
    </row>
    <row r="1291">
      <c r="H1291" s="11"/>
      <c r="J1291" s="11"/>
      <c r="K1291" s="11"/>
      <c r="L1291" s="11"/>
      <c r="M1291" s="17"/>
    </row>
    <row r="1292">
      <c r="H1292" s="11"/>
      <c r="J1292" s="11"/>
      <c r="K1292" s="11"/>
      <c r="L1292" s="11"/>
      <c r="M1292" s="17"/>
    </row>
    <row r="1293">
      <c r="H1293" s="11"/>
      <c r="J1293" s="11"/>
      <c r="K1293" s="11"/>
      <c r="L1293" s="11"/>
      <c r="M1293" s="17"/>
    </row>
    <row r="1294">
      <c r="H1294" s="11"/>
      <c r="J1294" s="11"/>
      <c r="K1294" s="11"/>
      <c r="L1294" s="11"/>
      <c r="M1294" s="17"/>
    </row>
    <row r="1295">
      <c r="H1295" s="11"/>
      <c r="J1295" s="11"/>
      <c r="K1295" s="11"/>
      <c r="L1295" s="11"/>
      <c r="M1295" s="17"/>
    </row>
    <row r="1296">
      <c r="H1296" s="11"/>
      <c r="J1296" s="11"/>
      <c r="K1296" s="11"/>
      <c r="L1296" s="11"/>
      <c r="M1296" s="17"/>
    </row>
    <row r="1297">
      <c r="H1297" s="11"/>
      <c r="J1297" s="11"/>
      <c r="K1297" s="11"/>
      <c r="L1297" s="11"/>
      <c r="M1297" s="17"/>
    </row>
    <row r="1298">
      <c r="H1298" s="11"/>
      <c r="J1298" s="11"/>
      <c r="K1298" s="11"/>
      <c r="L1298" s="11"/>
      <c r="M1298" s="17"/>
    </row>
    <row r="1299">
      <c r="H1299" s="11"/>
      <c r="J1299" s="11"/>
      <c r="K1299" s="11"/>
      <c r="L1299" s="11"/>
      <c r="M1299" s="17"/>
    </row>
    <row r="1300">
      <c r="H1300" s="11"/>
      <c r="J1300" s="11"/>
      <c r="K1300" s="11"/>
      <c r="L1300" s="11"/>
      <c r="M1300" s="17"/>
    </row>
    <row r="1301">
      <c r="H1301" s="11"/>
      <c r="J1301" s="11"/>
      <c r="K1301" s="11"/>
      <c r="L1301" s="11"/>
      <c r="M1301" s="17"/>
    </row>
    <row r="1302">
      <c r="H1302" s="11"/>
      <c r="J1302" s="11"/>
      <c r="K1302" s="11"/>
      <c r="L1302" s="11"/>
      <c r="M1302" s="17"/>
    </row>
    <row r="1303">
      <c r="H1303" s="11"/>
      <c r="J1303" s="11"/>
      <c r="K1303" s="11"/>
      <c r="L1303" s="11"/>
      <c r="M1303" s="17"/>
    </row>
    <row r="1304">
      <c r="H1304" s="11"/>
      <c r="J1304" s="11"/>
      <c r="K1304" s="11"/>
      <c r="L1304" s="11"/>
      <c r="M1304" s="17"/>
    </row>
    <row r="1305">
      <c r="H1305" s="11"/>
      <c r="J1305" s="11"/>
      <c r="K1305" s="11"/>
      <c r="L1305" s="11"/>
      <c r="M1305" s="17"/>
    </row>
    <row r="1306">
      <c r="H1306" s="11"/>
      <c r="J1306" s="11"/>
      <c r="K1306" s="11"/>
      <c r="L1306" s="11"/>
      <c r="M1306" s="17"/>
    </row>
    <row r="1307">
      <c r="H1307" s="11"/>
      <c r="J1307" s="11"/>
      <c r="K1307" s="11"/>
      <c r="L1307" s="11"/>
      <c r="M1307" s="17"/>
    </row>
    <row r="1308">
      <c r="H1308" s="11"/>
      <c r="J1308" s="11"/>
      <c r="K1308" s="11"/>
      <c r="L1308" s="11"/>
      <c r="M1308" s="17"/>
    </row>
    <row r="1309">
      <c r="H1309" s="11"/>
      <c r="J1309" s="11"/>
      <c r="K1309" s="11"/>
      <c r="L1309" s="11"/>
      <c r="M1309" s="17"/>
    </row>
    <row r="1310">
      <c r="H1310" s="11"/>
      <c r="J1310" s="11"/>
      <c r="K1310" s="11"/>
      <c r="L1310" s="11"/>
      <c r="M1310" s="17"/>
    </row>
    <row r="1311">
      <c r="H1311" s="11"/>
      <c r="J1311" s="11"/>
      <c r="K1311" s="11"/>
      <c r="L1311" s="11"/>
      <c r="M1311" s="17"/>
    </row>
    <row r="1312">
      <c r="H1312" s="11"/>
      <c r="J1312" s="11"/>
      <c r="K1312" s="11"/>
      <c r="L1312" s="11"/>
      <c r="M1312" s="17"/>
    </row>
    <row r="1313">
      <c r="H1313" s="11"/>
      <c r="J1313" s="11"/>
      <c r="K1313" s="11"/>
      <c r="L1313" s="11"/>
      <c r="M1313" s="17"/>
    </row>
    <row r="1314">
      <c r="H1314" s="11"/>
      <c r="J1314" s="11"/>
      <c r="K1314" s="11"/>
      <c r="L1314" s="11"/>
      <c r="M1314" s="17"/>
    </row>
    <row r="1315">
      <c r="H1315" s="11"/>
      <c r="J1315" s="11"/>
      <c r="K1315" s="11"/>
      <c r="L1315" s="11"/>
      <c r="M1315" s="17"/>
    </row>
    <row r="1316">
      <c r="H1316" s="11"/>
      <c r="J1316" s="11"/>
      <c r="K1316" s="11"/>
      <c r="L1316" s="11"/>
      <c r="M1316" s="17"/>
    </row>
    <row r="1317">
      <c r="H1317" s="11"/>
      <c r="J1317" s="11"/>
      <c r="K1317" s="11"/>
      <c r="L1317" s="11"/>
      <c r="M1317" s="17"/>
    </row>
    <row r="1318">
      <c r="H1318" s="11"/>
      <c r="J1318" s="11"/>
      <c r="K1318" s="11"/>
      <c r="L1318" s="11"/>
      <c r="M1318" s="17"/>
    </row>
    <row r="1319">
      <c r="H1319" s="11"/>
      <c r="J1319" s="11"/>
      <c r="K1319" s="11"/>
      <c r="L1319" s="11"/>
      <c r="M1319" s="17"/>
    </row>
    <row r="1320">
      <c r="H1320" s="11"/>
      <c r="J1320" s="11"/>
      <c r="K1320" s="11"/>
      <c r="L1320" s="11"/>
      <c r="M1320" s="17"/>
    </row>
    <row r="1321">
      <c r="H1321" s="11"/>
      <c r="J1321" s="11"/>
      <c r="K1321" s="11"/>
      <c r="L1321" s="11"/>
      <c r="M1321" s="17"/>
    </row>
    <row r="1322">
      <c r="H1322" s="11"/>
      <c r="J1322" s="11"/>
      <c r="K1322" s="11"/>
      <c r="L1322" s="11"/>
      <c r="M1322" s="17"/>
    </row>
    <row r="1323">
      <c r="H1323" s="11"/>
      <c r="J1323" s="11"/>
      <c r="K1323" s="11"/>
      <c r="L1323" s="11"/>
      <c r="M1323" s="17"/>
    </row>
    <row r="1324">
      <c r="H1324" s="11"/>
      <c r="J1324" s="11"/>
      <c r="K1324" s="11"/>
      <c r="L1324" s="11"/>
      <c r="M1324" s="17"/>
    </row>
    <row r="1325">
      <c r="H1325" s="11"/>
      <c r="J1325" s="11"/>
      <c r="K1325" s="11"/>
      <c r="L1325" s="11"/>
      <c r="M1325" s="17"/>
    </row>
    <row r="1326">
      <c r="H1326" s="11"/>
      <c r="J1326" s="11"/>
      <c r="K1326" s="11"/>
      <c r="L1326" s="11"/>
      <c r="M1326" s="17"/>
    </row>
    <row r="1327">
      <c r="H1327" s="11"/>
      <c r="J1327" s="11"/>
      <c r="K1327" s="11"/>
      <c r="L1327" s="11"/>
      <c r="M1327" s="17"/>
    </row>
    <row r="1328">
      <c r="H1328" s="11"/>
      <c r="J1328" s="11"/>
      <c r="K1328" s="11"/>
      <c r="L1328" s="11"/>
      <c r="M1328" s="17"/>
    </row>
    <row r="1329">
      <c r="H1329" s="11"/>
      <c r="J1329" s="11"/>
      <c r="K1329" s="11"/>
      <c r="L1329" s="11"/>
      <c r="M1329" s="17"/>
    </row>
    <row r="1330">
      <c r="H1330" s="11"/>
      <c r="J1330" s="11"/>
      <c r="K1330" s="11"/>
      <c r="L1330" s="11"/>
      <c r="M1330" s="17"/>
    </row>
    <row r="1331">
      <c r="H1331" s="11"/>
      <c r="J1331" s="11"/>
      <c r="K1331" s="11"/>
      <c r="L1331" s="11"/>
      <c r="M1331" s="17"/>
    </row>
    <row r="1332">
      <c r="H1332" s="11"/>
      <c r="J1332" s="11"/>
      <c r="K1332" s="11"/>
      <c r="L1332" s="11"/>
      <c r="M1332" s="17"/>
    </row>
    <row r="1333">
      <c r="H1333" s="11"/>
      <c r="J1333" s="11"/>
      <c r="K1333" s="11"/>
      <c r="L1333" s="11"/>
      <c r="M1333" s="17"/>
    </row>
    <row r="1334">
      <c r="H1334" s="11"/>
      <c r="J1334" s="11"/>
      <c r="K1334" s="11"/>
      <c r="L1334" s="11"/>
      <c r="M1334" s="17"/>
    </row>
    <row r="1335">
      <c r="H1335" s="11"/>
      <c r="J1335" s="11"/>
      <c r="K1335" s="11"/>
      <c r="L1335" s="11"/>
      <c r="M1335" s="17"/>
    </row>
    <row r="1336">
      <c r="H1336" s="11"/>
      <c r="J1336" s="11"/>
      <c r="K1336" s="11"/>
      <c r="L1336" s="11"/>
      <c r="M1336" s="17"/>
    </row>
    <row r="1337">
      <c r="H1337" s="11"/>
      <c r="J1337" s="11"/>
      <c r="K1337" s="11"/>
      <c r="L1337" s="11"/>
      <c r="M1337" s="17"/>
    </row>
    <row r="1338">
      <c r="H1338" s="11"/>
      <c r="J1338" s="11"/>
      <c r="K1338" s="11"/>
      <c r="L1338" s="11"/>
      <c r="M1338" s="17"/>
    </row>
    <row r="1339">
      <c r="H1339" s="11"/>
      <c r="J1339" s="11"/>
      <c r="K1339" s="11"/>
      <c r="L1339" s="11"/>
      <c r="M1339" s="17"/>
    </row>
    <row r="1340">
      <c r="H1340" s="11"/>
      <c r="J1340" s="11"/>
      <c r="K1340" s="11"/>
      <c r="L1340" s="11"/>
      <c r="M1340" s="17"/>
    </row>
    <row r="1341">
      <c r="H1341" s="11"/>
      <c r="J1341" s="11"/>
      <c r="K1341" s="11"/>
      <c r="L1341" s="11"/>
      <c r="M1341" s="17"/>
    </row>
    <row r="1342">
      <c r="H1342" s="11"/>
      <c r="J1342" s="11"/>
      <c r="K1342" s="11"/>
      <c r="L1342" s="11"/>
      <c r="M1342" s="17"/>
    </row>
    <row r="1343">
      <c r="H1343" s="11"/>
      <c r="J1343" s="11"/>
      <c r="K1343" s="11"/>
      <c r="L1343" s="11"/>
      <c r="M1343" s="17"/>
    </row>
    <row r="1344">
      <c r="H1344" s="11"/>
      <c r="J1344" s="11"/>
      <c r="K1344" s="11"/>
      <c r="L1344" s="11"/>
      <c r="M1344" s="17"/>
    </row>
    <row r="1345">
      <c r="H1345" s="11"/>
      <c r="J1345" s="11"/>
      <c r="K1345" s="11"/>
      <c r="L1345" s="11"/>
      <c r="M1345" s="17"/>
    </row>
    <row r="1346">
      <c r="H1346" s="11"/>
      <c r="J1346" s="11"/>
      <c r="K1346" s="11"/>
      <c r="L1346" s="11"/>
      <c r="M1346" s="17"/>
    </row>
    <row r="1347">
      <c r="H1347" s="11"/>
      <c r="J1347" s="11"/>
      <c r="K1347" s="11"/>
      <c r="L1347" s="11"/>
      <c r="M1347" s="17"/>
    </row>
    <row r="1348">
      <c r="H1348" s="11"/>
      <c r="J1348" s="11"/>
      <c r="K1348" s="11"/>
      <c r="L1348" s="11"/>
      <c r="M1348" s="17"/>
    </row>
    <row r="1349">
      <c r="H1349" s="11"/>
      <c r="J1349" s="11"/>
      <c r="K1349" s="11"/>
      <c r="L1349" s="11"/>
      <c r="M1349" s="17"/>
    </row>
    <row r="1350">
      <c r="H1350" s="11"/>
      <c r="J1350" s="11"/>
      <c r="K1350" s="11"/>
      <c r="L1350" s="11"/>
      <c r="M1350" s="17"/>
    </row>
    <row r="1351">
      <c r="H1351" s="11"/>
      <c r="J1351" s="11"/>
      <c r="K1351" s="11"/>
      <c r="L1351" s="11"/>
      <c r="M1351" s="17"/>
    </row>
    <row r="1352">
      <c r="H1352" s="11"/>
      <c r="J1352" s="11"/>
      <c r="K1352" s="11"/>
      <c r="L1352" s="11"/>
      <c r="M1352" s="17"/>
    </row>
    <row r="1353">
      <c r="H1353" s="11"/>
      <c r="J1353" s="11"/>
      <c r="K1353" s="11"/>
      <c r="L1353" s="11"/>
      <c r="M1353" s="17"/>
    </row>
    <row r="1354">
      <c r="H1354" s="11"/>
      <c r="J1354" s="11"/>
      <c r="K1354" s="11"/>
      <c r="L1354" s="11"/>
      <c r="M1354" s="17"/>
    </row>
    <row r="1355">
      <c r="H1355" s="11"/>
      <c r="J1355" s="11"/>
      <c r="K1355" s="11"/>
      <c r="L1355" s="11"/>
      <c r="M1355" s="17"/>
    </row>
    <row r="1356">
      <c r="H1356" s="11"/>
      <c r="J1356" s="11"/>
      <c r="K1356" s="11"/>
      <c r="L1356" s="11"/>
      <c r="M1356" s="17"/>
    </row>
    <row r="1357">
      <c r="H1357" s="11"/>
      <c r="J1357" s="11"/>
      <c r="K1357" s="11"/>
      <c r="L1357" s="11"/>
      <c r="M1357" s="17"/>
    </row>
    <row r="1358">
      <c r="H1358" s="11"/>
      <c r="J1358" s="11"/>
      <c r="K1358" s="11"/>
      <c r="L1358" s="11"/>
      <c r="M1358" s="17"/>
    </row>
    <row r="1359">
      <c r="H1359" s="11"/>
      <c r="J1359" s="11"/>
      <c r="K1359" s="11"/>
      <c r="L1359" s="11"/>
      <c r="M1359" s="17"/>
    </row>
    <row r="1360">
      <c r="H1360" s="11"/>
      <c r="J1360" s="11"/>
      <c r="K1360" s="11"/>
      <c r="L1360" s="11"/>
      <c r="M1360" s="17"/>
    </row>
    <row r="1361">
      <c r="H1361" s="11"/>
      <c r="J1361" s="11"/>
      <c r="K1361" s="11"/>
      <c r="L1361" s="11"/>
      <c r="M1361" s="17"/>
    </row>
    <row r="1362">
      <c r="H1362" s="11"/>
      <c r="J1362" s="11"/>
      <c r="K1362" s="11"/>
      <c r="L1362" s="11"/>
      <c r="M1362" s="17"/>
    </row>
    <row r="1363">
      <c r="H1363" s="11"/>
      <c r="J1363" s="11"/>
      <c r="K1363" s="11"/>
      <c r="L1363" s="11"/>
      <c r="M1363" s="17"/>
    </row>
    <row r="1364">
      <c r="H1364" s="11"/>
      <c r="J1364" s="11"/>
      <c r="K1364" s="11"/>
      <c r="L1364" s="11"/>
      <c r="M1364" s="17"/>
    </row>
    <row r="1365">
      <c r="H1365" s="11"/>
      <c r="J1365" s="11"/>
      <c r="K1365" s="11"/>
      <c r="L1365" s="11"/>
      <c r="M1365" s="17"/>
    </row>
    <row r="1366">
      <c r="H1366" s="11"/>
      <c r="J1366" s="11"/>
      <c r="K1366" s="11"/>
      <c r="L1366" s="11"/>
      <c r="M1366" s="17"/>
    </row>
    <row r="1367">
      <c r="H1367" s="11"/>
      <c r="J1367" s="11"/>
      <c r="K1367" s="11"/>
      <c r="L1367" s="11"/>
      <c r="M1367" s="17"/>
    </row>
    <row r="1368">
      <c r="H1368" s="11"/>
      <c r="J1368" s="11"/>
      <c r="K1368" s="11"/>
      <c r="L1368" s="11"/>
      <c r="M1368" s="17"/>
    </row>
    <row r="1369">
      <c r="H1369" s="11"/>
      <c r="J1369" s="11"/>
      <c r="K1369" s="11"/>
      <c r="L1369" s="11"/>
      <c r="M1369" s="17"/>
    </row>
    <row r="1370">
      <c r="H1370" s="11"/>
      <c r="J1370" s="11"/>
      <c r="K1370" s="11"/>
      <c r="L1370" s="11"/>
      <c r="M1370" s="17"/>
    </row>
    <row r="1371">
      <c r="H1371" s="11"/>
      <c r="J1371" s="11"/>
      <c r="K1371" s="11"/>
      <c r="L1371" s="11"/>
      <c r="M1371" s="17"/>
    </row>
    <row r="1372">
      <c r="H1372" s="11"/>
      <c r="J1372" s="11"/>
      <c r="K1372" s="11"/>
      <c r="L1372" s="11"/>
      <c r="M1372" s="17"/>
    </row>
    <row r="1373">
      <c r="H1373" s="11"/>
      <c r="J1373" s="11"/>
      <c r="K1373" s="11"/>
      <c r="L1373" s="11"/>
      <c r="M1373" s="17"/>
    </row>
    <row r="1374">
      <c r="H1374" s="11"/>
      <c r="J1374" s="11"/>
      <c r="K1374" s="11"/>
      <c r="L1374" s="11"/>
      <c r="M1374" s="17"/>
    </row>
    <row r="1375">
      <c r="H1375" s="11"/>
      <c r="J1375" s="11"/>
      <c r="K1375" s="11"/>
      <c r="L1375" s="11"/>
      <c r="M1375" s="17"/>
    </row>
    <row r="1376">
      <c r="H1376" s="11"/>
      <c r="J1376" s="11"/>
      <c r="K1376" s="11"/>
      <c r="L1376" s="11"/>
      <c r="M1376" s="17"/>
    </row>
    <row r="1377">
      <c r="H1377" s="11"/>
      <c r="J1377" s="11"/>
      <c r="K1377" s="11"/>
      <c r="L1377" s="11"/>
      <c r="M1377" s="17"/>
    </row>
    <row r="1378">
      <c r="H1378" s="11"/>
      <c r="J1378" s="11"/>
      <c r="K1378" s="11"/>
      <c r="L1378" s="11"/>
      <c r="M1378" s="17"/>
    </row>
    <row r="1379">
      <c r="H1379" s="11"/>
      <c r="J1379" s="11"/>
      <c r="K1379" s="11"/>
      <c r="L1379" s="11"/>
      <c r="M1379" s="17"/>
    </row>
    <row r="1380">
      <c r="H1380" s="11"/>
      <c r="J1380" s="11"/>
      <c r="K1380" s="11"/>
      <c r="L1380" s="11"/>
      <c r="M1380" s="17"/>
    </row>
    <row r="1381">
      <c r="H1381" s="11"/>
      <c r="J1381" s="11"/>
      <c r="K1381" s="11"/>
      <c r="L1381" s="11"/>
      <c r="M1381" s="17"/>
    </row>
    <row r="1382">
      <c r="H1382" s="11"/>
      <c r="J1382" s="11"/>
      <c r="K1382" s="11"/>
      <c r="L1382" s="11"/>
      <c r="M1382" s="17"/>
    </row>
    <row r="1383">
      <c r="H1383" s="11"/>
      <c r="J1383" s="11"/>
      <c r="K1383" s="11"/>
      <c r="L1383" s="11"/>
      <c r="M1383" s="17"/>
    </row>
    <row r="1384">
      <c r="H1384" s="11"/>
      <c r="J1384" s="11"/>
      <c r="K1384" s="11"/>
      <c r="L1384" s="11"/>
      <c r="M1384" s="17"/>
    </row>
    <row r="1385">
      <c r="H1385" s="11"/>
      <c r="J1385" s="11"/>
      <c r="K1385" s="11"/>
      <c r="L1385" s="11"/>
      <c r="M1385" s="17"/>
    </row>
    <row r="1386">
      <c r="H1386" s="11"/>
      <c r="J1386" s="11"/>
      <c r="K1386" s="11"/>
      <c r="L1386" s="11"/>
      <c r="M1386" s="17"/>
    </row>
    <row r="1387">
      <c r="H1387" s="11"/>
      <c r="J1387" s="11"/>
      <c r="K1387" s="11"/>
      <c r="L1387" s="11"/>
      <c r="M1387" s="17"/>
    </row>
    <row r="1388">
      <c r="H1388" s="11"/>
      <c r="J1388" s="11"/>
      <c r="K1388" s="11"/>
      <c r="L1388" s="11"/>
      <c r="M1388" s="17"/>
    </row>
    <row r="1389">
      <c r="H1389" s="11"/>
      <c r="J1389" s="11"/>
      <c r="K1389" s="11"/>
      <c r="L1389" s="11"/>
      <c r="M1389" s="17"/>
    </row>
    <row r="1390">
      <c r="H1390" s="11"/>
      <c r="J1390" s="11"/>
      <c r="K1390" s="11"/>
      <c r="L1390" s="11"/>
      <c r="M1390" s="17"/>
    </row>
    <row r="1391">
      <c r="H1391" s="11"/>
      <c r="J1391" s="11"/>
      <c r="K1391" s="11"/>
      <c r="L1391" s="11"/>
      <c r="M1391" s="17"/>
    </row>
    <row r="1392">
      <c r="H1392" s="11"/>
      <c r="J1392" s="11"/>
      <c r="K1392" s="11"/>
      <c r="L1392" s="11"/>
      <c r="M1392" s="17"/>
    </row>
    <row r="1393">
      <c r="H1393" s="11"/>
      <c r="J1393" s="11"/>
      <c r="K1393" s="11"/>
      <c r="L1393" s="11"/>
      <c r="M1393" s="17"/>
    </row>
    <row r="1394">
      <c r="H1394" s="11"/>
      <c r="J1394" s="11"/>
      <c r="K1394" s="11"/>
      <c r="L1394" s="11"/>
      <c r="M1394" s="17"/>
    </row>
    <row r="1395">
      <c r="H1395" s="11"/>
      <c r="J1395" s="11"/>
      <c r="K1395" s="11"/>
      <c r="L1395" s="11"/>
      <c r="M1395" s="17"/>
    </row>
    <row r="1396">
      <c r="H1396" s="11"/>
      <c r="J1396" s="11"/>
      <c r="K1396" s="11"/>
      <c r="L1396" s="11"/>
      <c r="M1396" s="17"/>
    </row>
    <row r="1397">
      <c r="H1397" s="11"/>
      <c r="J1397" s="11"/>
      <c r="K1397" s="11"/>
      <c r="L1397" s="11"/>
      <c r="M1397" s="17"/>
    </row>
    <row r="1398">
      <c r="H1398" s="11"/>
      <c r="J1398" s="11"/>
      <c r="K1398" s="11"/>
      <c r="L1398" s="11"/>
      <c r="M1398" s="17"/>
    </row>
    <row r="1399">
      <c r="H1399" s="11"/>
      <c r="J1399" s="11"/>
      <c r="K1399" s="11"/>
      <c r="L1399" s="11"/>
      <c r="M1399" s="17"/>
    </row>
    <row r="1400">
      <c r="H1400" s="11"/>
      <c r="J1400" s="11"/>
      <c r="K1400" s="11"/>
      <c r="L1400" s="11"/>
      <c r="M1400" s="17"/>
    </row>
    <row r="1401">
      <c r="H1401" s="11"/>
      <c r="J1401" s="11"/>
      <c r="K1401" s="11"/>
      <c r="L1401" s="11"/>
      <c r="M1401" s="17"/>
    </row>
    <row r="1402">
      <c r="H1402" s="11"/>
      <c r="J1402" s="11"/>
      <c r="K1402" s="11"/>
      <c r="L1402" s="11"/>
      <c r="M1402" s="17"/>
    </row>
    <row r="1403">
      <c r="H1403" s="11"/>
      <c r="J1403" s="11"/>
      <c r="K1403" s="11"/>
      <c r="L1403" s="11"/>
      <c r="M1403" s="17"/>
    </row>
    <row r="1404">
      <c r="H1404" s="11"/>
      <c r="J1404" s="11"/>
      <c r="K1404" s="11"/>
      <c r="L1404" s="11"/>
      <c r="M1404" s="17"/>
    </row>
    <row r="1405">
      <c r="H1405" s="11"/>
      <c r="J1405" s="11"/>
      <c r="K1405" s="11"/>
      <c r="L1405" s="11"/>
      <c r="M1405" s="17"/>
    </row>
    <row r="1406">
      <c r="H1406" s="11"/>
      <c r="J1406" s="11"/>
      <c r="K1406" s="11"/>
      <c r="L1406" s="11"/>
      <c r="M1406" s="17"/>
    </row>
    <row r="1407">
      <c r="H1407" s="11"/>
      <c r="J1407" s="11"/>
      <c r="K1407" s="11"/>
      <c r="L1407" s="11"/>
      <c r="M1407" s="17"/>
    </row>
    <row r="1408">
      <c r="H1408" s="11"/>
      <c r="J1408" s="11"/>
      <c r="K1408" s="11"/>
      <c r="L1408" s="11"/>
      <c r="M1408" s="17"/>
    </row>
    <row r="1409">
      <c r="H1409" s="11"/>
      <c r="J1409" s="11"/>
      <c r="K1409" s="11"/>
      <c r="L1409" s="11"/>
      <c r="M1409" s="17"/>
    </row>
    <row r="1410">
      <c r="H1410" s="11"/>
      <c r="J1410" s="11"/>
      <c r="K1410" s="11"/>
      <c r="L1410" s="11"/>
      <c r="M1410" s="17"/>
    </row>
    <row r="1411">
      <c r="H1411" s="11"/>
      <c r="J1411" s="11"/>
      <c r="K1411" s="11"/>
      <c r="L1411" s="11"/>
      <c r="M1411" s="17"/>
    </row>
    <row r="1412">
      <c r="H1412" s="11"/>
      <c r="J1412" s="11"/>
      <c r="K1412" s="11"/>
      <c r="L1412" s="11"/>
      <c r="M1412" s="17"/>
    </row>
    <row r="1413">
      <c r="H1413" s="11"/>
      <c r="J1413" s="11"/>
      <c r="K1413" s="11"/>
      <c r="L1413" s="11"/>
      <c r="M1413" s="17"/>
    </row>
    <row r="1414">
      <c r="H1414" s="11"/>
      <c r="J1414" s="11"/>
      <c r="K1414" s="11"/>
      <c r="L1414" s="11"/>
      <c r="M1414" s="17"/>
    </row>
    <row r="1415">
      <c r="H1415" s="11"/>
      <c r="J1415" s="11"/>
      <c r="K1415" s="11"/>
      <c r="L1415" s="11"/>
      <c r="M1415" s="17"/>
    </row>
    <row r="1416">
      <c r="H1416" s="11"/>
      <c r="J1416" s="11"/>
      <c r="K1416" s="11"/>
      <c r="L1416" s="11"/>
      <c r="M1416" s="17"/>
    </row>
    <row r="1417">
      <c r="H1417" s="11"/>
      <c r="J1417" s="11"/>
      <c r="K1417" s="11"/>
      <c r="L1417" s="11"/>
      <c r="M1417" s="17"/>
    </row>
    <row r="1418">
      <c r="H1418" s="11"/>
      <c r="J1418" s="11"/>
      <c r="K1418" s="11"/>
      <c r="L1418" s="11"/>
      <c r="M1418" s="17"/>
    </row>
    <row r="1419">
      <c r="H1419" s="11"/>
      <c r="J1419" s="11"/>
      <c r="K1419" s="11"/>
      <c r="L1419" s="11"/>
      <c r="M1419" s="17"/>
    </row>
    <row r="1420">
      <c r="H1420" s="11"/>
      <c r="J1420" s="11"/>
      <c r="K1420" s="11"/>
      <c r="L1420" s="11"/>
      <c r="M1420" s="17"/>
    </row>
    <row r="1421">
      <c r="H1421" s="11"/>
      <c r="J1421" s="11"/>
      <c r="K1421" s="11"/>
      <c r="L1421" s="11"/>
      <c r="M1421" s="17"/>
    </row>
    <row r="1422">
      <c r="H1422" s="11"/>
      <c r="J1422" s="11"/>
      <c r="K1422" s="11"/>
      <c r="L1422" s="11"/>
      <c r="M1422" s="17"/>
    </row>
    <row r="1423">
      <c r="H1423" s="11"/>
      <c r="J1423" s="11"/>
      <c r="K1423" s="11"/>
      <c r="L1423" s="11"/>
      <c r="M1423" s="17"/>
    </row>
    <row r="1424">
      <c r="H1424" s="11"/>
      <c r="J1424" s="11"/>
      <c r="K1424" s="11"/>
      <c r="L1424" s="11"/>
      <c r="M1424" s="17"/>
    </row>
    <row r="1425">
      <c r="H1425" s="11"/>
      <c r="J1425" s="11"/>
      <c r="K1425" s="11"/>
      <c r="L1425" s="11"/>
      <c r="M1425" s="17"/>
    </row>
    <row r="1426">
      <c r="H1426" s="11"/>
      <c r="J1426" s="11"/>
      <c r="K1426" s="11"/>
      <c r="L1426" s="11"/>
      <c r="M1426" s="17"/>
    </row>
    <row r="1427">
      <c r="H1427" s="11"/>
      <c r="J1427" s="11"/>
      <c r="K1427" s="11"/>
      <c r="L1427" s="11"/>
      <c r="M1427" s="17"/>
    </row>
    <row r="1428">
      <c r="H1428" s="11"/>
      <c r="J1428" s="11"/>
      <c r="K1428" s="11"/>
      <c r="L1428" s="11"/>
      <c r="M1428" s="17"/>
    </row>
    <row r="1429">
      <c r="H1429" s="11"/>
      <c r="J1429" s="11"/>
      <c r="K1429" s="11"/>
      <c r="L1429" s="11"/>
      <c r="M1429" s="17"/>
    </row>
    <row r="1430">
      <c r="H1430" s="11"/>
      <c r="J1430" s="11"/>
      <c r="K1430" s="11"/>
      <c r="L1430" s="11"/>
      <c r="M1430" s="17"/>
    </row>
    <row r="1431">
      <c r="H1431" s="11"/>
      <c r="J1431" s="11"/>
      <c r="K1431" s="11"/>
      <c r="L1431" s="11"/>
      <c r="M1431" s="17"/>
    </row>
    <row r="1432">
      <c r="H1432" s="11"/>
      <c r="J1432" s="11"/>
      <c r="K1432" s="11"/>
      <c r="L1432" s="11"/>
      <c r="M1432" s="17"/>
    </row>
    <row r="1433">
      <c r="H1433" s="11"/>
      <c r="J1433" s="11"/>
      <c r="K1433" s="11"/>
      <c r="L1433" s="11"/>
      <c r="M1433" s="17"/>
    </row>
    <row r="1434">
      <c r="H1434" s="11"/>
      <c r="J1434" s="11"/>
      <c r="K1434" s="11"/>
      <c r="L1434" s="11"/>
      <c r="M1434" s="17"/>
    </row>
    <row r="1435">
      <c r="H1435" s="11"/>
      <c r="J1435" s="11"/>
      <c r="K1435" s="11"/>
      <c r="L1435" s="11"/>
      <c r="M1435" s="17"/>
    </row>
    <row r="1436">
      <c r="H1436" s="11"/>
      <c r="J1436" s="11"/>
      <c r="K1436" s="11"/>
      <c r="L1436" s="11"/>
      <c r="M1436" s="17"/>
    </row>
    <row r="1437">
      <c r="H1437" s="11"/>
      <c r="J1437" s="11"/>
      <c r="K1437" s="11"/>
      <c r="L1437" s="11"/>
      <c r="M1437" s="17"/>
    </row>
    <row r="1438">
      <c r="H1438" s="11"/>
      <c r="J1438" s="11"/>
      <c r="K1438" s="11"/>
      <c r="L1438" s="11"/>
      <c r="M1438" s="17"/>
    </row>
    <row r="1439">
      <c r="H1439" s="11"/>
      <c r="J1439" s="11"/>
      <c r="K1439" s="11"/>
      <c r="L1439" s="11"/>
      <c r="M1439" s="17"/>
    </row>
    <row r="1440">
      <c r="H1440" s="11"/>
      <c r="J1440" s="11"/>
      <c r="K1440" s="11"/>
      <c r="L1440" s="11"/>
      <c r="M1440" s="17"/>
    </row>
    <row r="1441">
      <c r="H1441" s="11"/>
      <c r="J1441" s="11"/>
      <c r="K1441" s="11"/>
      <c r="L1441" s="11"/>
      <c r="M1441" s="17"/>
    </row>
    <row r="1442">
      <c r="H1442" s="11"/>
      <c r="J1442" s="11"/>
      <c r="K1442" s="11"/>
      <c r="L1442" s="11"/>
      <c r="M1442" s="17"/>
    </row>
    <row r="1443">
      <c r="H1443" s="11"/>
      <c r="J1443" s="11"/>
      <c r="K1443" s="11"/>
      <c r="L1443" s="11"/>
      <c r="M1443" s="17"/>
    </row>
    <row r="1444">
      <c r="H1444" s="11"/>
      <c r="J1444" s="11"/>
      <c r="K1444" s="11"/>
      <c r="L1444" s="11"/>
      <c r="M1444" s="17"/>
    </row>
    <row r="1445">
      <c r="H1445" s="11"/>
      <c r="J1445" s="11"/>
      <c r="K1445" s="11"/>
      <c r="L1445" s="11"/>
      <c r="M1445" s="17"/>
    </row>
    <row r="1446">
      <c r="H1446" s="11"/>
      <c r="J1446" s="11"/>
      <c r="K1446" s="11"/>
      <c r="L1446" s="11"/>
      <c r="M1446" s="17"/>
    </row>
    <row r="1447">
      <c r="H1447" s="11"/>
      <c r="J1447" s="11"/>
      <c r="K1447" s="11"/>
      <c r="L1447" s="11"/>
      <c r="M1447" s="17"/>
    </row>
    <row r="1448">
      <c r="H1448" s="11"/>
      <c r="J1448" s="11"/>
      <c r="K1448" s="11"/>
      <c r="L1448" s="11"/>
      <c r="M1448" s="17"/>
    </row>
    <row r="1449">
      <c r="H1449" s="11"/>
      <c r="J1449" s="11"/>
      <c r="K1449" s="11"/>
      <c r="L1449" s="11"/>
      <c r="M1449" s="17"/>
    </row>
    <row r="1450">
      <c r="H1450" s="11"/>
      <c r="J1450" s="11"/>
      <c r="K1450" s="11"/>
      <c r="L1450" s="11"/>
      <c r="M1450" s="17"/>
    </row>
    <row r="1451">
      <c r="H1451" s="11"/>
      <c r="J1451" s="11"/>
      <c r="K1451" s="11"/>
      <c r="L1451" s="11"/>
      <c r="M1451" s="17"/>
    </row>
    <row r="1452">
      <c r="H1452" s="11"/>
      <c r="J1452" s="11"/>
      <c r="K1452" s="11"/>
      <c r="L1452" s="11"/>
      <c r="M1452" s="17"/>
    </row>
    <row r="1453">
      <c r="H1453" s="11"/>
      <c r="J1453" s="11"/>
      <c r="K1453" s="11"/>
      <c r="L1453" s="11"/>
      <c r="M1453" s="17"/>
    </row>
    <row r="1454">
      <c r="H1454" s="11"/>
      <c r="J1454" s="11"/>
      <c r="K1454" s="11"/>
      <c r="L1454" s="11"/>
      <c r="M1454" s="17"/>
    </row>
    <row r="1455">
      <c r="H1455" s="11"/>
      <c r="J1455" s="11"/>
      <c r="K1455" s="11"/>
      <c r="L1455" s="11"/>
      <c r="M1455" s="17"/>
    </row>
    <row r="1456">
      <c r="H1456" s="11"/>
      <c r="J1456" s="11"/>
      <c r="K1456" s="11"/>
      <c r="L1456" s="11"/>
      <c r="M1456" s="17"/>
    </row>
    <row r="1457">
      <c r="H1457" s="11"/>
      <c r="J1457" s="11"/>
      <c r="K1457" s="11"/>
      <c r="L1457" s="11"/>
      <c r="M1457" s="17"/>
    </row>
    <row r="1458">
      <c r="H1458" s="11"/>
      <c r="J1458" s="11"/>
      <c r="K1458" s="11"/>
      <c r="L1458" s="11"/>
      <c r="M1458" s="17"/>
    </row>
    <row r="1459">
      <c r="H1459" s="11"/>
      <c r="J1459" s="11"/>
      <c r="K1459" s="11"/>
      <c r="L1459" s="11"/>
      <c r="M1459" s="17"/>
    </row>
    <row r="1460">
      <c r="H1460" s="11"/>
      <c r="J1460" s="11"/>
      <c r="K1460" s="11"/>
      <c r="L1460" s="11"/>
      <c r="M1460" s="17"/>
    </row>
    <row r="1461">
      <c r="H1461" s="11"/>
      <c r="J1461" s="11"/>
      <c r="K1461" s="11"/>
      <c r="L1461" s="11"/>
      <c r="M1461" s="17"/>
    </row>
    <row r="1462">
      <c r="H1462" s="11"/>
      <c r="J1462" s="11"/>
      <c r="K1462" s="11"/>
      <c r="L1462" s="11"/>
      <c r="M1462" s="17"/>
    </row>
    <row r="1463">
      <c r="H1463" s="11"/>
      <c r="J1463" s="11"/>
      <c r="K1463" s="11"/>
      <c r="L1463" s="11"/>
      <c r="M1463" s="17"/>
    </row>
    <row r="1464">
      <c r="H1464" s="11"/>
      <c r="J1464" s="11"/>
      <c r="K1464" s="11"/>
      <c r="L1464" s="11"/>
      <c r="M1464" s="17"/>
    </row>
    <row r="1465">
      <c r="H1465" s="11"/>
      <c r="J1465" s="11"/>
      <c r="K1465" s="11"/>
      <c r="L1465" s="11"/>
      <c r="M1465" s="17"/>
    </row>
    <row r="1466">
      <c r="H1466" s="11"/>
      <c r="J1466" s="11"/>
      <c r="K1466" s="11"/>
      <c r="L1466" s="11"/>
      <c r="M1466" s="17"/>
    </row>
    <row r="1467">
      <c r="H1467" s="11"/>
      <c r="J1467" s="11"/>
      <c r="K1467" s="11"/>
      <c r="L1467" s="11"/>
      <c r="M1467" s="17"/>
    </row>
    <row r="1468">
      <c r="H1468" s="11"/>
      <c r="J1468" s="11"/>
      <c r="K1468" s="11"/>
      <c r="L1468" s="11"/>
      <c r="M1468" s="17"/>
    </row>
    <row r="1469">
      <c r="H1469" s="11"/>
      <c r="J1469" s="11"/>
      <c r="K1469" s="11"/>
      <c r="L1469" s="11"/>
      <c r="M1469" s="17"/>
    </row>
    <row r="1470">
      <c r="H1470" s="11"/>
      <c r="J1470" s="11"/>
      <c r="K1470" s="11"/>
      <c r="L1470" s="11"/>
      <c r="M1470" s="17"/>
    </row>
    <row r="1471">
      <c r="H1471" s="11"/>
      <c r="J1471" s="11"/>
      <c r="K1471" s="11"/>
      <c r="L1471" s="11"/>
      <c r="M1471" s="17"/>
    </row>
    <row r="1472">
      <c r="H1472" s="11"/>
      <c r="J1472" s="11"/>
      <c r="K1472" s="11"/>
      <c r="L1472" s="11"/>
      <c r="M1472" s="17"/>
    </row>
    <row r="1473">
      <c r="H1473" s="11"/>
      <c r="J1473" s="11"/>
      <c r="K1473" s="11"/>
      <c r="L1473" s="11"/>
      <c r="M1473" s="17"/>
    </row>
    <row r="1474">
      <c r="H1474" s="11"/>
      <c r="J1474" s="11"/>
      <c r="K1474" s="11"/>
      <c r="L1474" s="11"/>
      <c r="M1474" s="17"/>
    </row>
    <row r="1475">
      <c r="H1475" s="11"/>
      <c r="J1475" s="11"/>
      <c r="K1475" s="11"/>
      <c r="L1475" s="11"/>
      <c r="M1475" s="17"/>
    </row>
    <row r="1476">
      <c r="H1476" s="11"/>
      <c r="J1476" s="11"/>
      <c r="K1476" s="11"/>
      <c r="L1476" s="11"/>
      <c r="M1476" s="17"/>
    </row>
    <row r="1477">
      <c r="H1477" s="11"/>
      <c r="J1477" s="11"/>
      <c r="K1477" s="11"/>
      <c r="L1477" s="11"/>
      <c r="M1477" s="17"/>
    </row>
    <row r="1478">
      <c r="H1478" s="11"/>
      <c r="J1478" s="11"/>
      <c r="K1478" s="11"/>
      <c r="L1478" s="11"/>
      <c r="M1478" s="17"/>
    </row>
    <row r="1479">
      <c r="H1479" s="11"/>
      <c r="J1479" s="11"/>
      <c r="K1479" s="11"/>
      <c r="L1479" s="11"/>
      <c r="M1479" s="17"/>
    </row>
    <row r="1480">
      <c r="H1480" s="11"/>
      <c r="J1480" s="11"/>
      <c r="K1480" s="11"/>
      <c r="L1480" s="11"/>
      <c r="M1480" s="17"/>
    </row>
    <row r="1481">
      <c r="H1481" s="11"/>
      <c r="J1481" s="11"/>
      <c r="K1481" s="11"/>
      <c r="L1481" s="11"/>
      <c r="M1481" s="17"/>
    </row>
    <row r="1482">
      <c r="H1482" s="11"/>
      <c r="J1482" s="11"/>
      <c r="K1482" s="11"/>
      <c r="L1482" s="11"/>
      <c r="M1482" s="17"/>
    </row>
    <row r="1483">
      <c r="H1483" s="11"/>
      <c r="J1483" s="11"/>
      <c r="K1483" s="11"/>
      <c r="L1483" s="11"/>
      <c r="M1483" s="17"/>
    </row>
    <row r="1484">
      <c r="H1484" s="11"/>
      <c r="J1484" s="11"/>
      <c r="K1484" s="11"/>
      <c r="L1484" s="11"/>
      <c r="M1484" s="17"/>
    </row>
    <row r="1485">
      <c r="H1485" s="11"/>
      <c r="J1485" s="11"/>
      <c r="K1485" s="11"/>
      <c r="L1485" s="11"/>
      <c r="M1485" s="17"/>
    </row>
    <row r="1486">
      <c r="H1486" s="11"/>
      <c r="J1486" s="11"/>
      <c r="K1486" s="11"/>
      <c r="L1486" s="11"/>
      <c r="M1486" s="17"/>
    </row>
    <row r="1487">
      <c r="H1487" s="11"/>
      <c r="J1487" s="11"/>
      <c r="K1487" s="11"/>
      <c r="L1487" s="11"/>
      <c r="M1487" s="17"/>
    </row>
    <row r="1488">
      <c r="H1488" s="11"/>
      <c r="J1488" s="11"/>
      <c r="K1488" s="11"/>
      <c r="L1488" s="11"/>
      <c r="M1488" s="17"/>
    </row>
    <row r="1489">
      <c r="H1489" s="11"/>
      <c r="J1489" s="11"/>
      <c r="K1489" s="11"/>
      <c r="L1489" s="11"/>
      <c r="M1489" s="17"/>
    </row>
    <row r="1490">
      <c r="H1490" s="11"/>
      <c r="J1490" s="11"/>
      <c r="K1490" s="11"/>
      <c r="L1490" s="11"/>
      <c r="M1490" s="17"/>
    </row>
    <row r="1491">
      <c r="H1491" s="11"/>
      <c r="J1491" s="11"/>
      <c r="K1491" s="11"/>
      <c r="L1491" s="11"/>
      <c r="M1491" s="17"/>
    </row>
    <row r="1492">
      <c r="H1492" s="11"/>
      <c r="J1492" s="11"/>
      <c r="K1492" s="11"/>
      <c r="L1492" s="11"/>
      <c r="M1492" s="17"/>
    </row>
    <row r="1493">
      <c r="H1493" s="11"/>
      <c r="J1493" s="11"/>
      <c r="K1493" s="11"/>
      <c r="L1493" s="11"/>
      <c r="M1493" s="17"/>
    </row>
    <row r="1494">
      <c r="H1494" s="11"/>
      <c r="J1494" s="11"/>
      <c r="K1494" s="11"/>
      <c r="L1494" s="11"/>
      <c r="M1494" s="17"/>
    </row>
    <row r="1495">
      <c r="H1495" s="11"/>
      <c r="J1495" s="11"/>
      <c r="K1495" s="11"/>
      <c r="L1495" s="11"/>
      <c r="M1495" s="17"/>
    </row>
    <row r="1496">
      <c r="H1496" s="11"/>
      <c r="J1496" s="11"/>
      <c r="K1496" s="11"/>
      <c r="L1496" s="11"/>
      <c r="M1496" s="17"/>
    </row>
    <row r="1497">
      <c r="H1497" s="11"/>
      <c r="J1497" s="11"/>
      <c r="K1497" s="11"/>
      <c r="L1497" s="11"/>
      <c r="M1497" s="17"/>
    </row>
    <row r="1498">
      <c r="H1498" s="11"/>
      <c r="J1498" s="11"/>
      <c r="K1498" s="11"/>
      <c r="L1498" s="11"/>
      <c r="M1498" s="17"/>
    </row>
    <row r="1499">
      <c r="H1499" s="11"/>
      <c r="J1499" s="11"/>
      <c r="K1499" s="11"/>
      <c r="L1499" s="11"/>
      <c r="M1499" s="17"/>
    </row>
    <row r="1500">
      <c r="H1500" s="11"/>
      <c r="J1500" s="11"/>
      <c r="K1500" s="11"/>
      <c r="L1500" s="11"/>
      <c r="M1500" s="17"/>
    </row>
    <row r="1501">
      <c r="H1501" s="11"/>
      <c r="J1501" s="11"/>
      <c r="K1501" s="11"/>
      <c r="L1501" s="11"/>
      <c r="M1501" s="17"/>
    </row>
    <row r="1502">
      <c r="H1502" s="11"/>
      <c r="J1502" s="11"/>
      <c r="K1502" s="11"/>
      <c r="L1502" s="11"/>
      <c r="M1502" s="17"/>
    </row>
    <row r="1503">
      <c r="H1503" s="11"/>
      <c r="J1503" s="11"/>
      <c r="K1503" s="11"/>
      <c r="L1503" s="11"/>
      <c r="M1503" s="17"/>
    </row>
    <row r="1504">
      <c r="H1504" s="11"/>
      <c r="J1504" s="11"/>
      <c r="K1504" s="11"/>
      <c r="L1504" s="11"/>
      <c r="M1504" s="17"/>
    </row>
    <row r="1505">
      <c r="H1505" s="11"/>
      <c r="J1505" s="11"/>
      <c r="K1505" s="11"/>
      <c r="L1505" s="11"/>
      <c r="M1505" s="17"/>
    </row>
    <row r="1506">
      <c r="H1506" s="11"/>
      <c r="J1506" s="11"/>
      <c r="K1506" s="11"/>
      <c r="L1506" s="11"/>
      <c r="M1506" s="17"/>
    </row>
    <row r="1507">
      <c r="H1507" s="11"/>
      <c r="J1507" s="11"/>
      <c r="K1507" s="11"/>
      <c r="L1507" s="11"/>
      <c r="M1507" s="17"/>
    </row>
    <row r="1508">
      <c r="H1508" s="11"/>
      <c r="J1508" s="11"/>
      <c r="K1508" s="11"/>
      <c r="L1508" s="11"/>
      <c r="M1508" s="17"/>
    </row>
    <row r="1509">
      <c r="H1509" s="11"/>
      <c r="J1509" s="11"/>
      <c r="K1509" s="11"/>
      <c r="L1509" s="11"/>
      <c r="M1509" s="17"/>
    </row>
    <row r="1510">
      <c r="H1510" s="11"/>
      <c r="J1510" s="11"/>
      <c r="K1510" s="11"/>
      <c r="L1510" s="11"/>
      <c r="M1510" s="17"/>
    </row>
    <row r="1511">
      <c r="H1511" s="11"/>
      <c r="J1511" s="11"/>
      <c r="K1511" s="11"/>
      <c r="L1511" s="11"/>
      <c r="M1511" s="17"/>
    </row>
    <row r="1512">
      <c r="H1512" s="11"/>
      <c r="J1512" s="11"/>
      <c r="K1512" s="11"/>
      <c r="L1512" s="11"/>
      <c r="M1512" s="17"/>
    </row>
    <row r="1513">
      <c r="H1513" s="11"/>
      <c r="J1513" s="11"/>
      <c r="K1513" s="11"/>
      <c r="L1513" s="11"/>
      <c r="M1513" s="17"/>
    </row>
    <row r="1514">
      <c r="H1514" s="11"/>
      <c r="J1514" s="11"/>
      <c r="K1514" s="11"/>
      <c r="L1514" s="11"/>
      <c r="M1514" s="17"/>
    </row>
    <row r="1515">
      <c r="H1515" s="11"/>
      <c r="J1515" s="11"/>
      <c r="K1515" s="11"/>
      <c r="L1515" s="11"/>
      <c r="M1515" s="17"/>
    </row>
    <row r="1516">
      <c r="H1516" s="11"/>
      <c r="J1516" s="11"/>
      <c r="K1516" s="11"/>
      <c r="L1516" s="11"/>
      <c r="M1516" s="17"/>
    </row>
    <row r="1517">
      <c r="H1517" s="11"/>
      <c r="J1517" s="11"/>
      <c r="K1517" s="11"/>
      <c r="L1517" s="11"/>
      <c r="M1517" s="17"/>
    </row>
    <row r="1518">
      <c r="H1518" s="11"/>
      <c r="J1518" s="11"/>
      <c r="K1518" s="11"/>
      <c r="L1518" s="11"/>
      <c r="M1518" s="17"/>
    </row>
    <row r="1519">
      <c r="H1519" s="11"/>
      <c r="J1519" s="11"/>
      <c r="K1519" s="11"/>
      <c r="L1519" s="11"/>
      <c r="M1519" s="17"/>
    </row>
    <row r="1520">
      <c r="H1520" s="11"/>
      <c r="J1520" s="11"/>
      <c r="K1520" s="11"/>
      <c r="L1520" s="11"/>
      <c r="M1520" s="17"/>
    </row>
    <row r="1521">
      <c r="H1521" s="11"/>
      <c r="J1521" s="11"/>
      <c r="K1521" s="11"/>
      <c r="L1521" s="11"/>
      <c r="M1521" s="17"/>
    </row>
    <row r="1522">
      <c r="H1522" s="11"/>
      <c r="J1522" s="11"/>
      <c r="K1522" s="11"/>
      <c r="L1522" s="11"/>
      <c r="M1522" s="17"/>
    </row>
    <row r="1523">
      <c r="H1523" s="11"/>
      <c r="J1523" s="11"/>
      <c r="K1523" s="11"/>
      <c r="L1523" s="11"/>
      <c r="M1523" s="17"/>
    </row>
    <row r="1524">
      <c r="H1524" s="11"/>
      <c r="J1524" s="11"/>
      <c r="K1524" s="11"/>
      <c r="L1524" s="11"/>
      <c r="M1524" s="17"/>
    </row>
    <row r="1525">
      <c r="H1525" s="11"/>
      <c r="J1525" s="11"/>
      <c r="K1525" s="11"/>
      <c r="L1525" s="11"/>
      <c r="M1525" s="17"/>
    </row>
    <row r="1526">
      <c r="H1526" s="11"/>
      <c r="J1526" s="11"/>
      <c r="K1526" s="11"/>
      <c r="L1526" s="11"/>
      <c r="M1526" s="17"/>
    </row>
    <row r="1527">
      <c r="H1527" s="11"/>
      <c r="J1527" s="11"/>
      <c r="K1527" s="11"/>
      <c r="L1527" s="11"/>
      <c r="M1527" s="17"/>
    </row>
    <row r="1528">
      <c r="H1528" s="11"/>
      <c r="J1528" s="11"/>
      <c r="K1528" s="11"/>
      <c r="L1528" s="11"/>
      <c r="M1528" s="17"/>
    </row>
    <row r="1529">
      <c r="H1529" s="11"/>
      <c r="J1529" s="11"/>
      <c r="K1529" s="11"/>
      <c r="L1529" s="11"/>
      <c r="M1529" s="17"/>
    </row>
    <row r="1530">
      <c r="H1530" s="11"/>
      <c r="J1530" s="11"/>
      <c r="K1530" s="11"/>
      <c r="L1530" s="11"/>
      <c r="M1530" s="17"/>
    </row>
    <row r="1531">
      <c r="H1531" s="11"/>
      <c r="J1531" s="11"/>
      <c r="K1531" s="11"/>
      <c r="L1531" s="11"/>
      <c r="M1531" s="17"/>
    </row>
    <row r="1532">
      <c r="H1532" s="11"/>
      <c r="J1532" s="11"/>
      <c r="K1532" s="11"/>
      <c r="L1532" s="11"/>
      <c r="M1532" s="17"/>
    </row>
    <row r="1533">
      <c r="H1533" s="11"/>
      <c r="J1533" s="11"/>
      <c r="K1533" s="11"/>
      <c r="L1533" s="11"/>
      <c r="M1533" s="17"/>
    </row>
    <row r="1534">
      <c r="H1534" s="11"/>
      <c r="J1534" s="11"/>
      <c r="K1534" s="11"/>
      <c r="L1534" s="11"/>
      <c r="M1534" s="17"/>
    </row>
    <row r="1535">
      <c r="H1535" s="11"/>
      <c r="J1535" s="11"/>
      <c r="K1535" s="11"/>
      <c r="L1535" s="11"/>
      <c r="M1535" s="17"/>
    </row>
    <row r="1536">
      <c r="H1536" s="11"/>
      <c r="J1536" s="11"/>
      <c r="K1536" s="11"/>
      <c r="L1536" s="11"/>
      <c r="M1536" s="17"/>
    </row>
    <row r="1537">
      <c r="H1537" s="11"/>
      <c r="J1537" s="11"/>
      <c r="K1537" s="11"/>
      <c r="L1537" s="11"/>
      <c r="M1537" s="17"/>
    </row>
    <row r="1538">
      <c r="H1538" s="11"/>
      <c r="J1538" s="11"/>
      <c r="K1538" s="11"/>
      <c r="L1538" s="11"/>
      <c r="M1538" s="17"/>
    </row>
    <row r="1539">
      <c r="H1539" s="11"/>
      <c r="J1539" s="11"/>
      <c r="K1539" s="11"/>
      <c r="L1539" s="11"/>
      <c r="M1539" s="17"/>
    </row>
    <row r="1540">
      <c r="H1540" s="11"/>
      <c r="J1540" s="11"/>
      <c r="K1540" s="11"/>
      <c r="L1540" s="11"/>
      <c r="M1540" s="17"/>
    </row>
    <row r="1541">
      <c r="H1541" s="11"/>
      <c r="J1541" s="11"/>
      <c r="K1541" s="11"/>
      <c r="L1541" s="11"/>
      <c r="M1541" s="17"/>
    </row>
    <row r="1542">
      <c r="H1542" s="11"/>
      <c r="J1542" s="11"/>
      <c r="K1542" s="11"/>
      <c r="L1542" s="11"/>
      <c r="M1542" s="17"/>
    </row>
    <row r="1543">
      <c r="H1543" s="11"/>
      <c r="J1543" s="11"/>
      <c r="K1543" s="11"/>
      <c r="L1543" s="11"/>
      <c r="M1543" s="17"/>
    </row>
    <row r="1544">
      <c r="H1544" s="11"/>
      <c r="J1544" s="11"/>
      <c r="K1544" s="11"/>
      <c r="L1544" s="11"/>
      <c r="M1544" s="17"/>
    </row>
    <row r="1545">
      <c r="H1545" s="11"/>
      <c r="J1545" s="11"/>
      <c r="K1545" s="11"/>
      <c r="L1545" s="11"/>
      <c r="M1545" s="17"/>
    </row>
    <row r="1546">
      <c r="H1546" s="11"/>
      <c r="J1546" s="11"/>
      <c r="K1546" s="11"/>
      <c r="L1546" s="11"/>
      <c r="M1546" s="17"/>
    </row>
    <row r="1547">
      <c r="H1547" s="11"/>
      <c r="J1547" s="11"/>
      <c r="K1547" s="11"/>
      <c r="L1547" s="11"/>
      <c r="M1547" s="17"/>
    </row>
  </sheetData>
  <customSheetViews>
    <customSheetView guid="{76A77D05-E7F5-4A7B-BC56-261B749EFD9C}" filter="1" showAutoFilter="1">
      <autoFilter ref="$B$112:$B$126"/>
    </customSheetView>
    <customSheetView guid="{F97A8D42-EE34-4014-8065-CC0079575586}" filter="1" showAutoFilter="1">
      <autoFilter ref="$B$112:$B$126"/>
    </customSheetView>
    <customSheetView guid="{7E24BCAA-6EC9-4CDF-BEA9-AE02CA0BBAAC}" filter="1" showAutoFilter="1">
      <autoFilter ref="$B$111:$B$116">
        <filterColumn colId="2">
          <filters/>
        </filterColumn>
        <filterColumn colId="0">
          <filters/>
        </filterColumn>
      </autoFilter>
    </customSheetView>
  </customSheetViews>
  <mergeCells count="1">
    <mergeCell ref="B5:E5"/>
  </mergeCells>
  <dataValidations>
    <dataValidation type="list" allowBlank="1" showErrorMessage="1" sqref="D2">
      <formula1>Reference!$B$2:$B$5</formula1>
    </dataValidation>
    <dataValidation type="list" allowBlank="1" showErrorMessage="1" sqref="D3">
      <formula1>Reference!$D$2:$D$1000</formula1>
    </dataValidation>
  </dataValidation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.43"/>
    <col customWidth="1" min="2" max="2" width="16.57"/>
    <col customWidth="1" min="3" max="3" width="29.86"/>
    <col customWidth="1" min="4" max="4" width="11.43"/>
    <col customWidth="1" min="5" max="5" width="3.71"/>
    <col customWidth="1" min="8" max="8" width="3.71"/>
    <col customWidth="1" min="10" max="10" width="24.0"/>
    <col customWidth="1" min="11" max="11" width="3.71"/>
  </cols>
  <sheetData>
    <row r="1">
      <c r="B1" s="1" t="s">
        <v>0</v>
      </c>
      <c r="C1" s="1" t="s">
        <v>1</v>
      </c>
      <c r="D1" s="1" t="s">
        <v>2</v>
      </c>
      <c r="F1" s="1" t="s">
        <v>3</v>
      </c>
      <c r="G1" s="1" t="s">
        <v>4</v>
      </c>
      <c r="I1" s="1" t="s">
        <v>5</v>
      </c>
      <c r="J1" s="1" t="s">
        <v>6</v>
      </c>
      <c r="L1" s="1" t="s">
        <v>7</v>
      </c>
      <c r="M1" s="1" t="s">
        <v>8</v>
      </c>
    </row>
    <row r="2">
      <c r="B2" s="2" t="str">
        <f>IFERROR(__xludf.DUMMYFUNCTION("UNIQUE(Data!K2:K100000)"),"Norman")</f>
        <v>Norman</v>
      </c>
      <c r="C2" s="3" t="str">
        <f>IFERROR(__xludf.DUMMYFUNCTION("UNIQUE(Data!B2:B10000)"),"Columbia San Jose - Decaf (Onyx)")</f>
        <v>Columbia San Jose - Decaf (Onyx)</v>
      </c>
      <c r="D2" s="2" t="str">
        <f>IFERROR(__xludf.DUMMYFUNCTION("UNIQUE(Data!L2:L1000)"),"Hario V60")</f>
        <v>Hario V60</v>
      </c>
      <c r="F2" s="4">
        <v>0.0</v>
      </c>
      <c r="G2" s="4" t="s">
        <v>9</v>
      </c>
      <c r="I2" s="4" t="s">
        <v>10</v>
      </c>
      <c r="J2" s="5" t="s">
        <v>11</v>
      </c>
      <c r="L2" s="4" t="s">
        <v>12</v>
      </c>
      <c r="M2" s="5" t="s">
        <v>13</v>
      </c>
      <c r="O2" s="3">
        <f t="shared" ref="O2:O131" si="1">rows($P$2:P2)</f>
        <v>1</v>
      </c>
      <c r="P2" s="3" t="s">
        <v>14</v>
      </c>
      <c r="Q2" s="6" t="s">
        <v>15</v>
      </c>
      <c r="R2" s="5">
        <v>0.5</v>
      </c>
    </row>
    <row r="3">
      <c r="B3" s="2" t="str">
        <f>IFERROR(__xludf.DUMMYFUNCTION("""COMPUTED_VALUE"""),"")</f>
        <v/>
      </c>
      <c r="C3" s="3" t="str">
        <f>IFERROR(__xludf.DUMMYFUNCTION("""COMPUTED_VALUE"""),"Southern Weather (Onyx)")</f>
        <v>Southern Weather (Onyx)</v>
      </c>
      <c r="D3" s="2" t="str">
        <f>IFERROR(__xludf.DUMMYFUNCTION("""COMPUTED_VALUE"""),"Kalita Wave")</f>
        <v>Kalita Wave</v>
      </c>
      <c r="F3" s="4">
        <v>0.25</v>
      </c>
      <c r="G3" s="4" t="s">
        <v>16</v>
      </c>
      <c r="I3" s="4" t="s">
        <v>17</v>
      </c>
      <c r="J3" s="4" t="s">
        <v>18</v>
      </c>
      <c r="O3" s="3">
        <f t="shared" si="1"/>
        <v>2</v>
      </c>
      <c r="P3" s="3" t="s">
        <v>19</v>
      </c>
    </row>
    <row r="4">
      <c r="B4" s="2" t="str">
        <f>IFERROR(__xludf.DUMMYFUNCTION("""COMPUTED_VALUE"""),"Mistake in Brewing Process")</f>
        <v>Mistake in Brewing Process</v>
      </c>
      <c r="C4" s="3" t="str">
        <f>IFERROR(__xludf.DUMMYFUNCTION("""COMPUTED_VALUE"""),"Columbia Aponte Village (Onyx)")</f>
        <v>Columbia Aponte Village (Onyx)</v>
      </c>
      <c r="D4" s="2" t="str">
        <f>IFERROR(__xludf.DUMMYFUNCTION("""COMPUTED_VALUE"""),"")</f>
        <v/>
      </c>
      <c r="F4" s="4">
        <v>0.5</v>
      </c>
      <c r="G4" s="4" t="s">
        <v>20</v>
      </c>
      <c r="I4" s="4" t="s">
        <v>21</v>
      </c>
      <c r="J4" s="4" t="s">
        <v>21</v>
      </c>
      <c r="O4" s="3">
        <f t="shared" si="1"/>
        <v>3</v>
      </c>
      <c r="P4" s="3" t="s">
        <v>22</v>
      </c>
    </row>
    <row r="5">
      <c r="B5" s="2" t="str">
        <f>IFERROR(__xludf.DUMMYFUNCTION("""COMPUTED_VALUE"""),"Ada")</f>
        <v>Ada</v>
      </c>
      <c r="C5" s="3" t="str">
        <f>IFERROR(__xludf.DUMMYFUNCTION("""COMPUTED_VALUE"""),"Tropical Weather (Onyx)")</f>
        <v>Tropical Weather (Onyx)</v>
      </c>
      <c r="F5" s="4">
        <v>1.0</v>
      </c>
      <c r="G5" s="4" t="s">
        <v>23</v>
      </c>
      <c r="O5" s="3">
        <f t="shared" si="1"/>
        <v>4</v>
      </c>
      <c r="P5" s="3" t="s">
        <v>24</v>
      </c>
    </row>
    <row r="6">
      <c r="C6" s="3" t="str">
        <f>IFERROR(__xludf.DUMMYFUNCTION("""COMPUTED_VALUE"""),"Columbia Cauca - Decaf (Onyx)")</f>
        <v>Columbia Cauca - Decaf (Onyx)</v>
      </c>
      <c r="O6" s="3">
        <f t="shared" si="1"/>
        <v>5</v>
      </c>
      <c r="P6" s="3" t="s">
        <v>25</v>
      </c>
    </row>
    <row r="7">
      <c r="C7" s="3" t="str">
        <f>IFERROR(__xludf.DUMMYFUNCTION("""COMPUTED_VALUE"""),"Monarch (Onyx)")</f>
        <v>Monarch (Onyx)</v>
      </c>
      <c r="O7" s="3">
        <f t="shared" si="1"/>
        <v>6</v>
      </c>
      <c r="P7" s="3" t="s">
        <v>26</v>
      </c>
    </row>
    <row r="8">
      <c r="C8" s="3" t="str">
        <f>IFERROR(__xludf.DUMMYFUNCTION("""COMPUTED_VALUE"""),"Puru Vilcanzia (Onyx)")</f>
        <v>Puru Vilcanzia (Onyx)</v>
      </c>
      <c r="O8" s="3">
        <f t="shared" si="1"/>
        <v>7</v>
      </c>
      <c r="P8" s="3" t="s">
        <v>27</v>
      </c>
    </row>
    <row r="9">
      <c r="C9" s="3" t="str">
        <f>IFERROR(__xludf.DUMMYFUNCTION("""COMPUTED_VALUE"""),"Columbia Tablón de Gomez Los Rosales")</f>
        <v>Columbia Tablón de Gomez Los Rosales</v>
      </c>
      <c r="O9" s="3">
        <f t="shared" si="1"/>
        <v>8</v>
      </c>
      <c r="P9" s="3" t="s">
        <v>28</v>
      </c>
    </row>
    <row r="10">
      <c r="C10" s="3" t="str">
        <f>IFERROR(__xludf.DUMMYFUNCTION("""COMPUTED_VALUE"""),"")</f>
        <v/>
      </c>
      <c r="O10" s="3">
        <f t="shared" si="1"/>
        <v>9</v>
      </c>
      <c r="P10" s="3" t="s">
        <v>29</v>
      </c>
    </row>
    <row r="11">
      <c r="O11" s="3">
        <f t="shared" si="1"/>
        <v>10</v>
      </c>
      <c r="P11" s="3" t="s">
        <v>30</v>
      </c>
    </row>
    <row r="12">
      <c r="O12" s="3">
        <f t="shared" si="1"/>
        <v>11</v>
      </c>
      <c r="P12" s="3" t="s">
        <v>31</v>
      </c>
    </row>
    <row r="13">
      <c r="O13" s="3">
        <f t="shared" si="1"/>
        <v>12</v>
      </c>
      <c r="P13" s="3" t="s">
        <v>32</v>
      </c>
    </row>
    <row r="14">
      <c r="O14" s="3">
        <f t="shared" si="1"/>
        <v>13</v>
      </c>
      <c r="P14" s="3" t="s">
        <v>33</v>
      </c>
    </row>
    <row r="15">
      <c r="O15" s="3">
        <f t="shared" si="1"/>
        <v>14</v>
      </c>
      <c r="P15" s="3" t="s">
        <v>34</v>
      </c>
    </row>
    <row r="16">
      <c r="O16" s="3">
        <f t="shared" si="1"/>
        <v>15</v>
      </c>
      <c r="P16" s="3" t="s">
        <v>35</v>
      </c>
    </row>
    <row r="17">
      <c r="O17" s="3">
        <f t="shared" si="1"/>
        <v>16</v>
      </c>
      <c r="P17" s="3" t="s">
        <v>36</v>
      </c>
    </row>
    <row r="18">
      <c r="O18" s="3">
        <f t="shared" si="1"/>
        <v>17</v>
      </c>
      <c r="P18" s="3" t="s">
        <v>37</v>
      </c>
    </row>
    <row r="19">
      <c r="O19" s="3">
        <f t="shared" si="1"/>
        <v>18</v>
      </c>
      <c r="P19" s="3" t="s">
        <v>38</v>
      </c>
    </row>
    <row r="20">
      <c r="O20" s="3">
        <f t="shared" si="1"/>
        <v>19</v>
      </c>
      <c r="P20" s="3" t="s">
        <v>39</v>
      </c>
    </row>
    <row r="21">
      <c r="O21" s="3">
        <f t="shared" si="1"/>
        <v>20</v>
      </c>
      <c r="P21" s="3" t="s">
        <v>40</v>
      </c>
    </row>
    <row r="22">
      <c r="O22" s="3">
        <f t="shared" si="1"/>
        <v>21</v>
      </c>
      <c r="P22" s="3" t="s">
        <v>41</v>
      </c>
    </row>
    <row r="23">
      <c r="O23" s="3">
        <f t="shared" si="1"/>
        <v>22</v>
      </c>
      <c r="P23" s="3" t="s">
        <v>42</v>
      </c>
    </row>
    <row r="24">
      <c r="O24" s="3">
        <f t="shared" si="1"/>
        <v>23</v>
      </c>
      <c r="P24" s="3" t="s">
        <v>43</v>
      </c>
    </row>
    <row r="25">
      <c r="O25" s="3">
        <f t="shared" si="1"/>
        <v>24</v>
      </c>
      <c r="P25" s="3" t="s">
        <v>44</v>
      </c>
    </row>
    <row r="26">
      <c r="O26" s="3">
        <f t="shared" si="1"/>
        <v>25</v>
      </c>
      <c r="P26" s="3" t="s">
        <v>45</v>
      </c>
    </row>
    <row r="27">
      <c r="O27" s="3">
        <f t="shared" si="1"/>
        <v>26</v>
      </c>
      <c r="P27" s="3" t="s">
        <v>46</v>
      </c>
    </row>
    <row r="28">
      <c r="O28" s="3">
        <f t="shared" si="1"/>
        <v>27</v>
      </c>
      <c r="P28" s="3" t="str">
        <f t="shared" ref="P28:P53" si="2">P2&amp;P2</f>
        <v>AA</v>
      </c>
    </row>
    <row r="29">
      <c r="O29" s="3">
        <f t="shared" si="1"/>
        <v>28</v>
      </c>
      <c r="P29" s="3" t="str">
        <f t="shared" si="2"/>
        <v>BB</v>
      </c>
    </row>
    <row r="30">
      <c r="O30" s="3">
        <f t="shared" si="1"/>
        <v>29</v>
      </c>
      <c r="P30" s="3" t="str">
        <f t="shared" si="2"/>
        <v>CC</v>
      </c>
    </row>
    <row r="31">
      <c r="O31" s="3">
        <f t="shared" si="1"/>
        <v>30</v>
      </c>
      <c r="P31" s="3" t="str">
        <f t="shared" si="2"/>
        <v>DD</v>
      </c>
    </row>
    <row r="32">
      <c r="O32" s="3">
        <f t="shared" si="1"/>
        <v>31</v>
      </c>
      <c r="P32" s="3" t="str">
        <f t="shared" si="2"/>
        <v>EE</v>
      </c>
    </row>
    <row r="33">
      <c r="O33" s="3">
        <f t="shared" si="1"/>
        <v>32</v>
      </c>
      <c r="P33" s="3" t="str">
        <f t="shared" si="2"/>
        <v>FF</v>
      </c>
    </row>
    <row r="34">
      <c r="O34" s="3">
        <f t="shared" si="1"/>
        <v>33</v>
      </c>
      <c r="P34" s="3" t="str">
        <f t="shared" si="2"/>
        <v>GG</v>
      </c>
    </row>
    <row r="35">
      <c r="O35" s="3">
        <f t="shared" si="1"/>
        <v>34</v>
      </c>
      <c r="P35" s="3" t="str">
        <f t="shared" si="2"/>
        <v>HH</v>
      </c>
    </row>
    <row r="36">
      <c r="O36" s="3">
        <f t="shared" si="1"/>
        <v>35</v>
      </c>
      <c r="P36" s="3" t="str">
        <f t="shared" si="2"/>
        <v>II</v>
      </c>
    </row>
    <row r="37">
      <c r="O37" s="3">
        <f t="shared" si="1"/>
        <v>36</v>
      </c>
      <c r="P37" s="3" t="str">
        <f t="shared" si="2"/>
        <v>JJ</v>
      </c>
    </row>
    <row r="38">
      <c r="O38" s="3">
        <f t="shared" si="1"/>
        <v>37</v>
      </c>
      <c r="P38" s="3" t="str">
        <f t="shared" si="2"/>
        <v>KK</v>
      </c>
    </row>
    <row r="39">
      <c r="O39" s="3">
        <f t="shared" si="1"/>
        <v>38</v>
      </c>
      <c r="P39" s="3" t="str">
        <f t="shared" si="2"/>
        <v>LL</v>
      </c>
    </row>
    <row r="40">
      <c r="O40" s="3">
        <f t="shared" si="1"/>
        <v>39</v>
      </c>
      <c r="P40" s="3" t="str">
        <f t="shared" si="2"/>
        <v>MM</v>
      </c>
    </row>
    <row r="41">
      <c r="O41" s="3">
        <f t="shared" si="1"/>
        <v>40</v>
      </c>
      <c r="P41" s="3" t="str">
        <f t="shared" si="2"/>
        <v>NN</v>
      </c>
    </row>
    <row r="42">
      <c r="O42" s="3">
        <f t="shared" si="1"/>
        <v>41</v>
      </c>
      <c r="P42" s="3" t="str">
        <f t="shared" si="2"/>
        <v>OO</v>
      </c>
    </row>
    <row r="43">
      <c r="O43" s="3">
        <f t="shared" si="1"/>
        <v>42</v>
      </c>
      <c r="P43" s="3" t="str">
        <f t="shared" si="2"/>
        <v>PP</v>
      </c>
    </row>
    <row r="44">
      <c r="O44" s="3">
        <f t="shared" si="1"/>
        <v>43</v>
      </c>
      <c r="P44" s="3" t="str">
        <f t="shared" si="2"/>
        <v>QQ</v>
      </c>
    </row>
    <row r="45">
      <c r="O45" s="3">
        <f t="shared" si="1"/>
        <v>44</v>
      </c>
      <c r="P45" s="3" t="str">
        <f t="shared" si="2"/>
        <v>RR</v>
      </c>
    </row>
    <row r="46">
      <c r="O46" s="3">
        <f t="shared" si="1"/>
        <v>45</v>
      </c>
      <c r="P46" s="3" t="str">
        <f t="shared" si="2"/>
        <v>SS</v>
      </c>
    </row>
    <row r="47">
      <c r="O47" s="3">
        <f t="shared" si="1"/>
        <v>46</v>
      </c>
      <c r="P47" s="3" t="str">
        <f t="shared" si="2"/>
        <v>TT</v>
      </c>
    </row>
    <row r="48">
      <c r="O48" s="3">
        <f t="shared" si="1"/>
        <v>47</v>
      </c>
      <c r="P48" s="3" t="str">
        <f t="shared" si="2"/>
        <v>UU</v>
      </c>
    </row>
    <row r="49">
      <c r="O49" s="3">
        <f t="shared" si="1"/>
        <v>48</v>
      </c>
      <c r="P49" s="3" t="str">
        <f t="shared" si="2"/>
        <v>VV</v>
      </c>
    </row>
    <row r="50">
      <c r="O50" s="3">
        <f t="shared" si="1"/>
        <v>49</v>
      </c>
      <c r="P50" s="3" t="str">
        <f t="shared" si="2"/>
        <v>WW</v>
      </c>
    </row>
    <row r="51">
      <c r="O51" s="3">
        <f t="shared" si="1"/>
        <v>50</v>
      </c>
      <c r="P51" s="3" t="str">
        <f t="shared" si="2"/>
        <v>XX</v>
      </c>
    </row>
    <row r="52">
      <c r="O52" s="3">
        <f t="shared" si="1"/>
        <v>51</v>
      </c>
      <c r="P52" s="3" t="str">
        <f t="shared" si="2"/>
        <v>YY</v>
      </c>
    </row>
    <row r="53">
      <c r="O53" s="3">
        <f t="shared" si="1"/>
        <v>52</v>
      </c>
      <c r="P53" s="3" t="str">
        <f t="shared" si="2"/>
        <v>ZZ</v>
      </c>
    </row>
    <row r="54">
      <c r="O54" s="3">
        <f t="shared" si="1"/>
        <v>53</v>
      </c>
      <c r="P54" s="3" t="str">
        <f t="shared" ref="P54:P79" si="3">P2&amp;P28</f>
        <v>AAA</v>
      </c>
    </row>
    <row r="55">
      <c r="O55" s="3">
        <f t="shared" si="1"/>
        <v>54</v>
      </c>
      <c r="P55" s="3" t="str">
        <f t="shared" si="3"/>
        <v>BBB</v>
      </c>
    </row>
    <row r="56">
      <c r="O56" s="3">
        <f t="shared" si="1"/>
        <v>55</v>
      </c>
      <c r="P56" s="3" t="str">
        <f t="shared" si="3"/>
        <v>CCC</v>
      </c>
    </row>
    <row r="57">
      <c r="O57" s="3">
        <f t="shared" si="1"/>
        <v>56</v>
      </c>
      <c r="P57" s="3" t="str">
        <f t="shared" si="3"/>
        <v>DDD</v>
      </c>
    </row>
    <row r="58">
      <c r="O58" s="3">
        <f t="shared" si="1"/>
        <v>57</v>
      </c>
      <c r="P58" s="3" t="str">
        <f t="shared" si="3"/>
        <v>EEE</v>
      </c>
    </row>
    <row r="59">
      <c r="O59" s="3">
        <f t="shared" si="1"/>
        <v>58</v>
      </c>
      <c r="P59" s="3" t="str">
        <f t="shared" si="3"/>
        <v>FFF</v>
      </c>
    </row>
    <row r="60">
      <c r="O60" s="3">
        <f t="shared" si="1"/>
        <v>59</v>
      </c>
      <c r="P60" s="3" t="str">
        <f t="shared" si="3"/>
        <v>GGG</v>
      </c>
    </row>
    <row r="61">
      <c r="O61" s="3">
        <f t="shared" si="1"/>
        <v>60</v>
      </c>
      <c r="P61" s="3" t="str">
        <f t="shared" si="3"/>
        <v>HHH</v>
      </c>
    </row>
    <row r="62">
      <c r="O62" s="3">
        <f t="shared" si="1"/>
        <v>61</v>
      </c>
      <c r="P62" s="3" t="str">
        <f t="shared" si="3"/>
        <v>III</v>
      </c>
    </row>
    <row r="63">
      <c r="O63" s="3">
        <f t="shared" si="1"/>
        <v>62</v>
      </c>
      <c r="P63" s="3" t="str">
        <f t="shared" si="3"/>
        <v>JJJ</v>
      </c>
    </row>
    <row r="64">
      <c r="O64" s="3">
        <f t="shared" si="1"/>
        <v>63</v>
      </c>
      <c r="P64" s="3" t="str">
        <f t="shared" si="3"/>
        <v>KKK</v>
      </c>
    </row>
    <row r="65">
      <c r="O65" s="3">
        <f t="shared" si="1"/>
        <v>64</v>
      </c>
      <c r="P65" s="3" t="str">
        <f t="shared" si="3"/>
        <v>LLL</v>
      </c>
    </row>
    <row r="66">
      <c r="O66" s="3">
        <f t="shared" si="1"/>
        <v>65</v>
      </c>
      <c r="P66" s="3" t="str">
        <f t="shared" si="3"/>
        <v>MMM</v>
      </c>
    </row>
    <row r="67">
      <c r="O67" s="3">
        <f t="shared" si="1"/>
        <v>66</v>
      </c>
      <c r="P67" s="3" t="str">
        <f t="shared" si="3"/>
        <v>NNN</v>
      </c>
    </row>
    <row r="68">
      <c r="O68" s="3">
        <f t="shared" si="1"/>
        <v>67</v>
      </c>
      <c r="P68" s="3" t="str">
        <f t="shared" si="3"/>
        <v>OOO</v>
      </c>
    </row>
    <row r="69">
      <c r="O69" s="3">
        <f t="shared" si="1"/>
        <v>68</v>
      </c>
      <c r="P69" s="3" t="str">
        <f t="shared" si="3"/>
        <v>PPP</v>
      </c>
    </row>
    <row r="70">
      <c r="O70" s="3">
        <f t="shared" si="1"/>
        <v>69</v>
      </c>
      <c r="P70" s="3" t="str">
        <f t="shared" si="3"/>
        <v>QQQ</v>
      </c>
    </row>
    <row r="71">
      <c r="O71" s="3">
        <f t="shared" si="1"/>
        <v>70</v>
      </c>
      <c r="P71" s="3" t="str">
        <f t="shared" si="3"/>
        <v>RRR</v>
      </c>
    </row>
    <row r="72">
      <c r="O72" s="3">
        <f t="shared" si="1"/>
        <v>71</v>
      </c>
      <c r="P72" s="3" t="str">
        <f t="shared" si="3"/>
        <v>SSS</v>
      </c>
    </row>
    <row r="73">
      <c r="O73" s="3">
        <f t="shared" si="1"/>
        <v>72</v>
      </c>
      <c r="P73" s="3" t="str">
        <f t="shared" si="3"/>
        <v>TTT</v>
      </c>
    </row>
    <row r="74">
      <c r="O74" s="3">
        <f t="shared" si="1"/>
        <v>73</v>
      </c>
      <c r="P74" s="3" t="str">
        <f t="shared" si="3"/>
        <v>UUU</v>
      </c>
    </row>
    <row r="75">
      <c r="O75" s="3">
        <f t="shared" si="1"/>
        <v>74</v>
      </c>
      <c r="P75" s="3" t="str">
        <f t="shared" si="3"/>
        <v>VVV</v>
      </c>
    </row>
    <row r="76">
      <c r="O76" s="3">
        <f t="shared" si="1"/>
        <v>75</v>
      </c>
      <c r="P76" s="3" t="str">
        <f t="shared" si="3"/>
        <v>WWW</v>
      </c>
    </row>
    <row r="77">
      <c r="O77" s="3">
        <f t="shared" si="1"/>
        <v>76</v>
      </c>
      <c r="P77" s="3" t="str">
        <f t="shared" si="3"/>
        <v>XXX</v>
      </c>
    </row>
    <row r="78">
      <c r="O78" s="3">
        <f t="shared" si="1"/>
        <v>77</v>
      </c>
      <c r="P78" s="3" t="str">
        <f t="shared" si="3"/>
        <v>YYY</v>
      </c>
    </row>
    <row r="79">
      <c r="O79" s="3">
        <f t="shared" si="1"/>
        <v>78</v>
      </c>
      <c r="P79" s="3" t="str">
        <f t="shared" si="3"/>
        <v>ZZZ</v>
      </c>
    </row>
    <row r="80">
      <c r="O80" s="3">
        <f t="shared" si="1"/>
        <v>79</v>
      </c>
      <c r="P80" s="3" t="str">
        <f t="shared" ref="P80:P105" si="4">P54&amp;P2</f>
        <v>AAAA</v>
      </c>
    </row>
    <row r="81">
      <c r="O81" s="3">
        <f t="shared" si="1"/>
        <v>80</v>
      </c>
      <c r="P81" s="3" t="str">
        <f t="shared" si="4"/>
        <v>BBBB</v>
      </c>
    </row>
    <row r="82">
      <c r="O82" s="3">
        <f t="shared" si="1"/>
        <v>81</v>
      </c>
      <c r="P82" s="3" t="str">
        <f t="shared" si="4"/>
        <v>CCCC</v>
      </c>
    </row>
    <row r="83">
      <c r="O83" s="3">
        <f t="shared" si="1"/>
        <v>82</v>
      </c>
      <c r="P83" s="3" t="str">
        <f t="shared" si="4"/>
        <v>DDDD</v>
      </c>
    </row>
    <row r="84">
      <c r="O84" s="3">
        <f t="shared" si="1"/>
        <v>83</v>
      </c>
      <c r="P84" s="3" t="str">
        <f t="shared" si="4"/>
        <v>EEEE</v>
      </c>
    </row>
    <row r="85">
      <c r="O85" s="3">
        <f t="shared" si="1"/>
        <v>84</v>
      </c>
      <c r="P85" s="3" t="str">
        <f t="shared" si="4"/>
        <v>FFFF</v>
      </c>
    </row>
    <row r="86">
      <c r="O86" s="3">
        <f t="shared" si="1"/>
        <v>85</v>
      </c>
      <c r="P86" s="3" t="str">
        <f t="shared" si="4"/>
        <v>GGGG</v>
      </c>
    </row>
    <row r="87">
      <c r="O87" s="3">
        <f t="shared" si="1"/>
        <v>86</v>
      </c>
      <c r="P87" s="3" t="str">
        <f t="shared" si="4"/>
        <v>HHHH</v>
      </c>
    </row>
    <row r="88">
      <c r="O88" s="3">
        <f t="shared" si="1"/>
        <v>87</v>
      </c>
      <c r="P88" s="3" t="str">
        <f t="shared" si="4"/>
        <v>IIII</v>
      </c>
    </row>
    <row r="89">
      <c r="O89" s="3">
        <f t="shared" si="1"/>
        <v>88</v>
      </c>
      <c r="P89" s="3" t="str">
        <f t="shared" si="4"/>
        <v>JJJJ</v>
      </c>
    </row>
    <row r="90">
      <c r="O90" s="3">
        <f t="shared" si="1"/>
        <v>89</v>
      </c>
      <c r="P90" s="3" t="str">
        <f t="shared" si="4"/>
        <v>KKKK</v>
      </c>
    </row>
    <row r="91">
      <c r="O91" s="3">
        <f t="shared" si="1"/>
        <v>90</v>
      </c>
      <c r="P91" s="3" t="str">
        <f t="shared" si="4"/>
        <v>LLLL</v>
      </c>
    </row>
    <row r="92">
      <c r="O92" s="3">
        <f t="shared" si="1"/>
        <v>91</v>
      </c>
      <c r="P92" s="3" t="str">
        <f t="shared" si="4"/>
        <v>MMMM</v>
      </c>
    </row>
    <row r="93">
      <c r="O93" s="3">
        <f t="shared" si="1"/>
        <v>92</v>
      </c>
      <c r="P93" s="3" t="str">
        <f t="shared" si="4"/>
        <v>NNNN</v>
      </c>
    </row>
    <row r="94">
      <c r="O94" s="3">
        <f t="shared" si="1"/>
        <v>93</v>
      </c>
      <c r="P94" s="3" t="str">
        <f t="shared" si="4"/>
        <v>OOOO</v>
      </c>
    </row>
    <row r="95">
      <c r="O95" s="3">
        <f t="shared" si="1"/>
        <v>94</v>
      </c>
      <c r="P95" s="3" t="str">
        <f t="shared" si="4"/>
        <v>PPPP</v>
      </c>
    </row>
    <row r="96">
      <c r="O96" s="3">
        <f t="shared" si="1"/>
        <v>95</v>
      </c>
      <c r="P96" s="3" t="str">
        <f t="shared" si="4"/>
        <v>QQQQ</v>
      </c>
    </row>
    <row r="97">
      <c r="O97" s="3">
        <f t="shared" si="1"/>
        <v>96</v>
      </c>
      <c r="P97" s="3" t="str">
        <f t="shared" si="4"/>
        <v>RRRR</v>
      </c>
    </row>
    <row r="98">
      <c r="O98" s="3">
        <f t="shared" si="1"/>
        <v>97</v>
      </c>
      <c r="P98" s="3" t="str">
        <f t="shared" si="4"/>
        <v>SSSS</v>
      </c>
    </row>
    <row r="99">
      <c r="O99" s="3">
        <f t="shared" si="1"/>
        <v>98</v>
      </c>
      <c r="P99" s="3" t="str">
        <f t="shared" si="4"/>
        <v>TTTT</v>
      </c>
    </row>
    <row r="100">
      <c r="O100" s="3">
        <f t="shared" si="1"/>
        <v>99</v>
      </c>
      <c r="P100" s="3" t="str">
        <f t="shared" si="4"/>
        <v>UUUU</v>
      </c>
    </row>
    <row r="101">
      <c r="O101" s="3">
        <f t="shared" si="1"/>
        <v>100</v>
      </c>
      <c r="P101" s="3" t="str">
        <f t="shared" si="4"/>
        <v>VVVV</v>
      </c>
    </row>
    <row r="102">
      <c r="O102" s="3">
        <f t="shared" si="1"/>
        <v>101</v>
      </c>
      <c r="P102" s="3" t="str">
        <f t="shared" si="4"/>
        <v>WWWW</v>
      </c>
    </row>
    <row r="103">
      <c r="O103" s="3">
        <f t="shared" si="1"/>
        <v>102</v>
      </c>
      <c r="P103" s="3" t="str">
        <f t="shared" si="4"/>
        <v>XXXX</v>
      </c>
    </row>
    <row r="104">
      <c r="O104" s="3">
        <f t="shared" si="1"/>
        <v>103</v>
      </c>
      <c r="P104" s="3" t="str">
        <f t="shared" si="4"/>
        <v>YYYY</v>
      </c>
    </row>
    <row r="105">
      <c r="O105" s="3">
        <f t="shared" si="1"/>
        <v>104</v>
      </c>
      <c r="P105" s="3" t="str">
        <f t="shared" si="4"/>
        <v>ZZZZ</v>
      </c>
    </row>
    <row r="106">
      <c r="O106" s="3">
        <f t="shared" si="1"/>
        <v>105</v>
      </c>
      <c r="P106" s="3" t="str">
        <f t="shared" ref="P106:P131" si="5">P80&amp;P2</f>
        <v>AAAAA</v>
      </c>
    </row>
    <row r="107">
      <c r="O107" s="3">
        <f t="shared" si="1"/>
        <v>106</v>
      </c>
      <c r="P107" s="3" t="str">
        <f t="shared" si="5"/>
        <v>BBBBB</v>
      </c>
    </row>
    <row r="108">
      <c r="O108" s="3">
        <f t="shared" si="1"/>
        <v>107</v>
      </c>
      <c r="P108" s="3" t="str">
        <f t="shared" si="5"/>
        <v>CCCCC</v>
      </c>
    </row>
    <row r="109">
      <c r="O109" s="3">
        <f t="shared" si="1"/>
        <v>108</v>
      </c>
      <c r="P109" s="3" t="str">
        <f t="shared" si="5"/>
        <v>DDDDD</v>
      </c>
    </row>
    <row r="110">
      <c r="O110" s="3">
        <f t="shared" si="1"/>
        <v>109</v>
      </c>
      <c r="P110" s="3" t="str">
        <f t="shared" si="5"/>
        <v>EEEEE</v>
      </c>
    </row>
    <row r="111">
      <c r="O111" s="3">
        <f t="shared" si="1"/>
        <v>110</v>
      </c>
      <c r="P111" s="3" t="str">
        <f t="shared" si="5"/>
        <v>FFFFF</v>
      </c>
    </row>
    <row r="112">
      <c r="O112" s="3">
        <f t="shared" si="1"/>
        <v>111</v>
      </c>
      <c r="P112" s="3" t="str">
        <f t="shared" si="5"/>
        <v>GGGGG</v>
      </c>
    </row>
    <row r="113">
      <c r="O113" s="3">
        <f t="shared" si="1"/>
        <v>112</v>
      </c>
      <c r="P113" s="3" t="str">
        <f t="shared" si="5"/>
        <v>HHHHH</v>
      </c>
    </row>
    <row r="114">
      <c r="O114" s="3">
        <f t="shared" si="1"/>
        <v>113</v>
      </c>
      <c r="P114" s="3" t="str">
        <f t="shared" si="5"/>
        <v>IIIII</v>
      </c>
    </row>
    <row r="115">
      <c r="O115" s="3">
        <f t="shared" si="1"/>
        <v>114</v>
      </c>
      <c r="P115" s="3" t="str">
        <f t="shared" si="5"/>
        <v>JJJJJ</v>
      </c>
    </row>
    <row r="116">
      <c r="O116" s="3">
        <f t="shared" si="1"/>
        <v>115</v>
      </c>
      <c r="P116" s="3" t="str">
        <f t="shared" si="5"/>
        <v>KKKKK</v>
      </c>
    </row>
    <row r="117">
      <c r="O117" s="3">
        <f t="shared" si="1"/>
        <v>116</v>
      </c>
      <c r="P117" s="3" t="str">
        <f t="shared" si="5"/>
        <v>LLLLL</v>
      </c>
    </row>
    <row r="118">
      <c r="O118" s="3">
        <f t="shared" si="1"/>
        <v>117</v>
      </c>
      <c r="P118" s="3" t="str">
        <f t="shared" si="5"/>
        <v>MMMMM</v>
      </c>
    </row>
    <row r="119">
      <c r="O119" s="3">
        <f t="shared" si="1"/>
        <v>118</v>
      </c>
      <c r="P119" s="3" t="str">
        <f t="shared" si="5"/>
        <v>NNNNN</v>
      </c>
    </row>
    <row r="120">
      <c r="O120" s="3">
        <f t="shared" si="1"/>
        <v>119</v>
      </c>
      <c r="P120" s="3" t="str">
        <f t="shared" si="5"/>
        <v>OOOOO</v>
      </c>
    </row>
    <row r="121">
      <c r="O121" s="3">
        <f t="shared" si="1"/>
        <v>120</v>
      </c>
      <c r="P121" s="3" t="str">
        <f t="shared" si="5"/>
        <v>PPPPP</v>
      </c>
    </row>
    <row r="122">
      <c r="O122" s="3">
        <f t="shared" si="1"/>
        <v>121</v>
      </c>
      <c r="P122" s="3" t="str">
        <f t="shared" si="5"/>
        <v>QQQQQ</v>
      </c>
    </row>
    <row r="123">
      <c r="O123" s="3">
        <f t="shared" si="1"/>
        <v>122</v>
      </c>
      <c r="P123" s="3" t="str">
        <f t="shared" si="5"/>
        <v>RRRRR</v>
      </c>
    </row>
    <row r="124">
      <c r="O124" s="3">
        <f t="shared" si="1"/>
        <v>123</v>
      </c>
      <c r="P124" s="3" t="str">
        <f t="shared" si="5"/>
        <v>SSSSS</v>
      </c>
    </row>
    <row r="125">
      <c r="O125" s="3">
        <f t="shared" si="1"/>
        <v>124</v>
      </c>
      <c r="P125" s="3" t="str">
        <f t="shared" si="5"/>
        <v>TTTTT</v>
      </c>
    </row>
    <row r="126">
      <c r="O126" s="3">
        <f t="shared" si="1"/>
        <v>125</v>
      </c>
      <c r="P126" s="3" t="str">
        <f t="shared" si="5"/>
        <v>UUUUU</v>
      </c>
    </row>
    <row r="127">
      <c r="O127" s="3">
        <f t="shared" si="1"/>
        <v>126</v>
      </c>
      <c r="P127" s="3" t="str">
        <f t="shared" si="5"/>
        <v>VVVVV</v>
      </c>
    </row>
    <row r="128">
      <c r="O128" s="3">
        <f t="shared" si="1"/>
        <v>127</v>
      </c>
      <c r="P128" s="3" t="str">
        <f t="shared" si="5"/>
        <v>WWWWW</v>
      </c>
    </row>
    <row r="129">
      <c r="O129" s="3">
        <f t="shared" si="1"/>
        <v>128</v>
      </c>
      <c r="P129" s="3" t="str">
        <f t="shared" si="5"/>
        <v>XXXXX</v>
      </c>
    </row>
    <row r="130">
      <c r="O130" s="3">
        <f t="shared" si="1"/>
        <v>129</v>
      </c>
      <c r="P130" s="3" t="str">
        <f t="shared" si="5"/>
        <v>YYYYY</v>
      </c>
    </row>
    <row r="131">
      <c r="O131" s="3">
        <f t="shared" si="1"/>
        <v>130</v>
      </c>
      <c r="P131" s="3" t="str">
        <f t="shared" si="5"/>
        <v>ZZZZZ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23.71"/>
    <col customWidth="1" min="2" max="2" width="29.86"/>
    <col customWidth="1" min="3" max="3" width="24.29"/>
    <col customWidth="1" hidden="1" min="4" max="4" width="24.29"/>
    <col customWidth="1" min="5" max="17" width="24.29"/>
  </cols>
  <sheetData>
    <row r="1">
      <c r="A1" s="7" t="str">
        <f>IFERROR(__xludf.DUMMYFUNCTION("QUERY('Form Responses'!A:I)"),"Timestamp")</f>
        <v>Timestamp</v>
      </c>
      <c r="B1" s="7" t="str">
        <f>IFERROR(__xludf.DUMMYFUNCTION("""COMPUTED_VALUE"""),"Type of Coffee")</f>
        <v>Type of Coffee</v>
      </c>
      <c r="C1" s="7" t="str">
        <f>IFERROR(__xludf.DUMMYFUNCTION("""COMPUTED_VALUE"""),"Grind Size")</f>
        <v>Grind Size</v>
      </c>
      <c r="D1" s="7" t="str">
        <f>IFERROR(__xludf.DUMMYFUNCTION("""COMPUTED_VALUE"""),"Time to Completion")</f>
        <v>Time to Completion</v>
      </c>
      <c r="E1" s="7" t="str">
        <f>IFERROR(__xludf.DUMMYFUNCTION("""COMPUTED_VALUE"""),"Comments on Brew Outcome")</f>
        <v>Comments on Brew Outcome</v>
      </c>
      <c r="F1" s="7" t="str">
        <f>IFERROR(__xludf.DUMMYFUNCTION("""COMPUTED_VALUE"""),"Did you use a different Brewing Method? (Default: V60)")</f>
        <v>Did you use a different Brewing Method? (Default: V60)</v>
      </c>
      <c r="G1" s="7" t="str">
        <f>IFERROR(__xludf.DUMMYFUNCTION("""COMPUTED_VALUE"""),"Did you change anything else?")</f>
        <v>Did you change anything else?</v>
      </c>
      <c r="H1" s="7" t="str">
        <f>IFERROR(__xludf.DUMMYFUNCTION("""COMPUTED_VALUE"""),"Any Recommendations?")</f>
        <v>Any Recommendations?</v>
      </c>
      <c r="I1" s="7" t="str">
        <f>IFERROR(__xludf.DUMMYFUNCTION("""COMPUTED_VALUE"""),"Did you use a different Coffee Amount? (Default: 23.0 grams)")</f>
        <v>Did you use a different Coffee Amount? (Default: 23.0 grams)</v>
      </c>
      <c r="J1" s="8" t="s">
        <v>47</v>
      </c>
      <c r="K1" s="8" t="s">
        <v>48</v>
      </c>
      <c r="L1" s="8" t="s">
        <v>49</v>
      </c>
      <c r="M1" s="8" t="s">
        <v>50</v>
      </c>
      <c r="N1" s="8" t="s">
        <v>51</v>
      </c>
      <c r="O1" s="8" t="s">
        <v>52</v>
      </c>
      <c r="P1" s="9" t="s">
        <v>53</v>
      </c>
      <c r="Q1" s="9" t="s">
        <v>54</v>
      </c>
    </row>
    <row r="2">
      <c r="A2" s="10">
        <f>IFERROR(__xludf.DUMMYFUNCTION("""COMPUTED_VALUE"""),43912.532028483794)</f>
        <v>43912.53203</v>
      </c>
      <c r="B2" s="3" t="str">
        <f>IFERROR(__xludf.DUMMYFUNCTION("""COMPUTED_VALUE"""),"Columbia San Jose - Decaf (Onyx)")</f>
        <v>Columbia San Jose - Decaf (Onyx)</v>
      </c>
      <c r="C2" s="11">
        <f>IFERROR(__xludf.DUMMYFUNCTION("""COMPUTED_VALUE"""),12.0)</f>
        <v>12</v>
      </c>
      <c r="D2" s="11" t="str">
        <f>IFERROR(__xludf.DUMMYFUNCTION("""COMPUTED_VALUE"""),"3:40")</f>
        <v>3:40</v>
      </c>
      <c r="E2" s="11" t="str">
        <f>IFERROR(__xludf.DUMMYFUNCTION("""COMPUTED_VALUE"""),"Dark")</f>
        <v>Dark</v>
      </c>
      <c r="F2" s="11" t="str">
        <f>IFERROR(__xludf.DUMMYFUNCTION("""COMPUTED_VALUE"""),"")</f>
        <v/>
      </c>
      <c r="G2" s="11" t="str">
        <f>IFERROR(__xludf.DUMMYFUNCTION("""COMPUTED_VALUE"""),"")</f>
        <v/>
      </c>
      <c r="H2" s="12" t="str">
        <f>IFERROR(__xludf.DUMMYFUNCTION("""COMPUTED_VALUE"""),"")</f>
        <v/>
      </c>
      <c r="I2" s="12" t="str">
        <f>IFERROR(__xludf.DUMMYFUNCTION("""COMPUTED_VALUE"""),"")</f>
        <v/>
      </c>
      <c r="J2" s="13">
        <f t="shared" ref="J2:J1000" si="1">IF(A2="","", DATE(YEAR(A2),MONTH(A2),DAY(A2)))</f>
        <v>43912</v>
      </c>
      <c r="K2" s="12" t="str">
        <f>IFERROR(IF(A2="","",if($G2="",Reference!$J$2, VLOOKUP($G2,Reference!$I$2:$J$1000,2,false))),"")</f>
        <v>Norman</v>
      </c>
      <c r="L2" s="12" t="str">
        <f>IF(A2="","", IF(F2="",Reference!$M$2,F2))</f>
        <v>Hario V60</v>
      </c>
      <c r="M2" s="14">
        <f t="shared" ref="M2:M1000" si="2">if(D2="","",time(0,hour(D2),MINUTE(D2)))</f>
        <v>0.002546296296</v>
      </c>
      <c r="N2" s="15">
        <f t="shared" ref="N2:N1000" si="3">if($A2="","",minute(M2)*60 + second(M2))</f>
        <v>220</v>
      </c>
      <c r="O2" s="14">
        <f t="shared" ref="O2:O1000" si="4">IF(M2="","",ABS($M$4-M2))</f>
        <v>0.0001157407407</v>
      </c>
      <c r="P2" s="16" t="str">
        <f t="array" ref="P2">IF($A2="","", IFERROR(INDEX('BM Data'!$N:$N,MATCH($J2&amp; "-" &amp; $N2,'BM Data'!$O:$O,0),1),""))</f>
        <v/>
      </c>
      <c r="Q2" s="16" t="str">
        <f t="array" ref="Q2">IF($A2="","", IFERROR(INDEX('BM Data'!$J:$J,MATCH($J2&amp; "-" &amp; $N2,'BM Data'!$O:$O,0),1),""))</f>
        <v/>
      </c>
    </row>
    <row r="3">
      <c r="A3" s="10">
        <f>IFERROR(__xludf.DUMMYFUNCTION("""COMPUTED_VALUE"""),43912.54251673611)</f>
        <v>43912.54252</v>
      </c>
      <c r="B3" s="3" t="str">
        <f>IFERROR(__xludf.DUMMYFUNCTION("""COMPUTED_VALUE"""),"Columbia San Jose - Decaf (Onyx)")</f>
        <v>Columbia San Jose - Decaf (Onyx)</v>
      </c>
      <c r="C3" s="11">
        <f>IFERROR(__xludf.DUMMYFUNCTION("""COMPUTED_VALUE"""),19.0)</f>
        <v>19</v>
      </c>
      <c r="D3" s="11" t="str">
        <f>IFERROR(__xludf.DUMMYFUNCTION("""COMPUTED_VALUE"""),"4:30")</f>
        <v>4:30</v>
      </c>
      <c r="E3" s="11" t="str">
        <f>IFERROR(__xludf.DUMMYFUNCTION("""COMPUTED_VALUE"""),"Dark")</f>
        <v>Dark</v>
      </c>
      <c r="F3" s="11" t="str">
        <f>IFERROR(__xludf.DUMMYFUNCTION("""COMPUTED_VALUE"""),"")</f>
        <v/>
      </c>
      <c r="G3" s="11" t="str">
        <f>IFERROR(__xludf.DUMMYFUNCTION("""COMPUTED_VALUE"""),"2 brews at once")</f>
        <v>2 brews at once</v>
      </c>
      <c r="H3" s="12" t="str">
        <f>IFERROR(__xludf.DUMMYFUNCTION("""COMPUTED_VALUE"""),"")</f>
        <v/>
      </c>
      <c r="I3" s="12" t="str">
        <f>IFERROR(__xludf.DUMMYFUNCTION("""COMPUTED_VALUE"""),"")</f>
        <v/>
      </c>
      <c r="J3" s="13">
        <f t="shared" si="1"/>
        <v>43912</v>
      </c>
      <c r="K3" s="12" t="str">
        <f>IFERROR(IF(A3="","",if($G3="",Reference!$J$2, VLOOKUP($G3,Reference!$I$2:$J$1000,2,false))),"")</f>
        <v/>
      </c>
      <c r="L3" s="12" t="str">
        <f>IF(A3="","", IF(F3="",Reference!$M$2,F3))</f>
        <v>Hario V60</v>
      </c>
      <c r="M3" s="14">
        <f t="shared" si="2"/>
        <v>0.003125</v>
      </c>
      <c r="N3" s="15">
        <f t="shared" si="3"/>
        <v>270</v>
      </c>
      <c r="O3" s="14">
        <f t="shared" si="4"/>
        <v>0.0006944444444</v>
      </c>
      <c r="P3" s="16" t="str">
        <f t="array" ref="P3">IF($A3="","", IFERROR(INDEX('BM Data'!$N:$N,MATCH($J3&amp; "-" &amp; $N3,'BM Data'!$O:$O,0),1),""))</f>
        <v/>
      </c>
      <c r="Q3" s="16" t="str">
        <f t="array" ref="Q3">IF($A3="","", IFERROR(INDEX('BM Data'!$J:$J,MATCH($J3&amp; "-" &amp; $N3,'BM Data'!$O:$O,0),1),""))</f>
        <v/>
      </c>
    </row>
    <row r="4">
      <c r="A4" s="10">
        <f>IFERROR(__xludf.DUMMYFUNCTION("""COMPUTED_VALUE"""),43912.54597108796)</f>
        <v>43912.54597</v>
      </c>
      <c r="B4" s="3" t="str">
        <f>IFERROR(__xludf.DUMMYFUNCTION("""COMPUTED_VALUE"""),"Southern Weather (Onyx)")</f>
        <v>Southern Weather (Onyx)</v>
      </c>
      <c r="C4" s="11">
        <f>IFERROR(__xludf.DUMMYFUNCTION("""COMPUTED_VALUE"""),17.0)</f>
        <v>17</v>
      </c>
      <c r="D4" s="11" t="str">
        <f>IFERROR(__xludf.DUMMYFUNCTION("""COMPUTED_VALUE"""),"3:30")</f>
        <v>3:30</v>
      </c>
      <c r="E4" s="11" t="str">
        <f>IFERROR(__xludf.DUMMYFUNCTION("""COMPUTED_VALUE"""),"Pefect!")</f>
        <v>Pefect!</v>
      </c>
      <c r="F4" s="11" t="str">
        <f>IFERROR(__xludf.DUMMYFUNCTION("""COMPUTED_VALUE"""),"")</f>
        <v/>
      </c>
      <c r="G4" s="11" t="str">
        <f>IFERROR(__xludf.DUMMYFUNCTION("""COMPUTED_VALUE"""),"")</f>
        <v/>
      </c>
      <c r="H4" s="12" t="str">
        <f>IFERROR(__xludf.DUMMYFUNCTION("""COMPUTED_VALUE"""),"")</f>
        <v/>
      </c>
      <c r="I4" s="12" t="str">
        <f>IFERROR(__xludf.DUMMYFUNCTION("""COMPUTED_VALUE"""),"")</f>
        <v/>
      </c>
      <c r="J4" s="13">
        <f t="shared" si="1"/>
        <v>43912</v>
      </c>
      <c r="K4" s="12" t="str">
        <f>IFERROR(IF(A4="","",if($G4="",Reference!$J$2, VLOOKUP($G4,Reference!$I$2:$J$1000,2,false))),"")</f>
        <v>Norman</v>
      </c>
      <c r="L4" s="12" t="str">
        <f>IF(A4="","", IF(F4="",Reference!$M$2,F4))</f>
        <v>Hario V60</v>
      </c>
      <c r="M4" s="14">
        <f t="shared" si="2"/>
        <v>0.002430555556</v>
      </c>
      <c r="N4" s="15">
        <f t="shared" si="3"/>
        <v>210</v>
      </c>
      <c r="O4" s="14">
        <f t="shared" si="4"/>
        <v>0</v>
      </c>
      <c r="P4" s="16" t="str">
        <f t="array" ref="P4">IF($A4="","", IFERROR(INDEX('BM Data'!$N:$N,MATCH($J4&amp; "-" &amp; $N4,'BM Data'!$O:$O,0),1),""))</f>
        <v/>
      </c>
      <c r="Q4" s="16" t="str">
        <f t="array" ref="Q4">IF($A4="","", IFERROR(INDEX('BM Data'!$J:$J,MATCH($J4&amp; "-" &amp; $N4,'BM Data'!$O:$O,0),1),""))</f>
        <v/>
      </c>
    </row>
    <row r="5">
      <c r="A5" s="10">
        <f>IFERROR(__xludf.DUMMYFUNCTION("""COMPUTED_VALUE"""),43912.5461940625)</f>
        <v>43912.54619</v>
      </c>
      <c r="B5" s="3" t="str">
        <f>IFERROR(__xludf.DUMMYFUNCTION("""COMPUTED_VALUE"""),"Southern Weather (Onyx)")</f>
        <v>Southern Weather (Onyx)</v>
      </c>
      <c r="C5" s="11">
        <f>IFERROR(__xludf.DUMMYFUNCTION("""COMPUTED_VALUE"""),16.0)</f>
        <v>16</v>
      </c>
      <c r="D5" s="11" t="str">
        <f>IFERROR(__xludf.DUMMYFUNCTION("""COMPUTED_VALUE"""),"3:30")</f>
        <v>3:30</v>
      </c>
      <c r="E5" s="11" t="str">
        <f>IFERROR(__xludf.DUMMYFUNCTION("""COMPUTED_VALUE"""),"Bitter")</f>
        <v>Bitter</v>
      </c>
      <c r="F5" s="11" t="str">
        <f>IFERROR(__xludf.DUMMYFUNCTION("""COMPUTED_VALUE"""),"")</f>
        <v/>
      </c>
      <c r="G5" s="11" t="str">
        <f>IFERROR(__xludf.DUMMYFUNCTION("""COMPUTED_VALUE"""),"")</f>
        <v/>
      </c>
      <c r="H5" s="12" t="str">
        <f>IFERROR(__xludf.DUMMYFUNCTION("""COMPUTED_VALUE"""),"")</f>
        <v/>
      </c>
      <c r="I5" s="12" t="str">
        <f>IFERROR(__xludf.DUMMYFUNCTION("""COMPUTED_VALUE"""),"")</f>
        <v/>
      </c>
      <c r="J5" s="13">
        <f t="shared" si="1"/>
        <v>43912</v>
      </c>
      <c r="K5" s="12" t="str">
        <f>IFERROR(IF(A5="","",if($G5="",Reference!$J$2, VLOOKUP($G5,Reference!$I$2:$J$1000,2,false))),"")</f>
        <v>Norman</v>
      </c>
      <c r="L5" s="12" t="str">
        <f>IF(A5="","", IF(F5="",Reference!$M$2,F5))</f>
        <v>Hario V60</v>
      </c>
      <c r="M5" s="14">
        <f t="shared" si="2"/>
        <v>0.002430555556</v>
      </c>
      <c r="N5" s="15">
        <f t="shared" si="3"/>
        <v>210</v>
      </c>
      <c r="O5" s="14">
        <f t="shared" si="4"/>
        <v>0</v>
      </c>
      <c r="P5" s="16" t="str">
        <f t="array" ref="P5">IF($A5="","", IFERROR(INDEX('BM Data'!$N:$N,MATCH($J5&amp; "-" &amp; $N5,'BM Data'!$O:$O,0),1),""))</f>
        <v/>
      </c>
      <c r="Q5" s="16" t="str">
        <f t="array" ref="Q5">IF($A5="","", IFERROR(INDEX('BM Data'!$J:$J,MATCH($J5&amp; "-" &amp; $N5,'BM Data'!$O:$O,0),1),""))</f>
        <v/>
      </c>
    </row>
    <row r="6">
      <c r="A6" s="10">
        <f>IFERROR(__xludf.DUMMYFUNCTION("""COMPUTED_VALUE"""),43912.5466175926)</f>
        <v>43912.54662</v>
      </c>
      <c r="B6" s="3" t="str">
        <f>IFERROR(__xludf.DUMMYFUNCTION("""COMPUTED_VALUE"""),"Southern Weather (Onyx)")</f>
        <v>Southern Weather (Onyx)</v>
      </c>
      <c r="C6" s="11">
        <f>IFERROR(__xludf.DUMMYFUNCTION("""COMPUTED_VALUE"""),17.0)</f>
        <v>17</v>
      </c>
      <c r="D6" s="11" t="str">
        <f>IFERROR(__xludf.DUMMYFUNCTION("""COMPUTED_VALUE"""),"3:38")</f>
        <v>3:38</v>
      </c>
      <c r="E6" s="11" t="str">
        <f>IFERROR(__xludf.DUMMYFUNCTION("""COMPUTED_VALUE"""),"Bitter")</f>
        <v>Bitter</v>
      </c>
      <c r="F6" s="11" t="str">
        <f>IFERROR(__xludf.DUMMYFUNCTION("""COMPUTED_VALUE"""),"")</f>
        <v/>
      </c>
      <c r="G6" s="11" t="str">
        <f>IFERROR(__xludf.DUMMYFUNCTION("""COMPUTED_VALUE"""),"")</f>
        <v/>
      </c>
      <c r="H6" s="12" t="str">
        <f>IFERROR(__xludf.DUMMYFUNCTION("""COMPUTED_VALUE"""),"")</f>
        <v/>
      </c>
      <c r="I6" s="12" t="str">
        <f>IFERROR(__xludf.DUMMYFUNCTION("""COMPUTED_VALUE"""),"")</f>
        <v/>
      </c>
      <c r="J6" s="13">
        <f t="shared" si="1"/>
        <v>43912</v>
      </c>
      <c r="K6" s="12" t="str">
        <f>IFERROR(IF(A6="","",if($G6="",Reference!$J$2, VLOOKUP($G6,Reference!$I$2:$J$1000,2,false))),"")</f>
        <v>Norman</v>
      </c>
      <c r="L6" s="12" t="str">
        <f>IF(A6="","", IF(F6="",Reference!$M$2,F6))</f>
        <v>Hario V60</v>
      </c>
      <c r="M6" s="14">
        <f t="shared" si="2"/>
        <v>0.002523148148</v>
      </c>
      <c r="N6" s="15">
        <f t="shared" si="3"/>
        <v>218</v>
      </c>
      <c r="O6" s="14">
        <f t="shared" si="4"/>
        <v>0.00009259259259</v>
      </c>
      <c r="P6" s="16" t="str">
        <f t="array" ref="P6">IF($A6="","", IFERROR(INDEX('BM Data'!$N:$N,MATCH($J6&amp; "-" &amp; $N6,'BM Data'!$O:$O,0),1),""))</f>
        <v/>
      </c>
      <c r="Q6" s="16" t="str">
        <f t="array" ref="Q6">IF($A6="","", IFERROR(INDEX('BM Data'!$J:$J,MATCH($J6&amp; "-" &amp; $N6,'BM Data'!$O:$O,0),1),""))</f>
        <v/>
      </c>
    </row>
    <row r="7">
      <c r="A7" s="10">
        <f>IFERROR(__xludf.DUMMYFUNCTION("""COMPUTED_VALUE"""),43912.54698521991)</f>
        <v>43912.54699</v>
      </c>
      <c r="B7" s="3" t="str">
        <f>IFERROR(__xludf.DUMMYFUNCTION("""COMPUTED_VALUE"""),"Southern Weather (Onyx)")</f>
        <v>Southern Weather (Onyx)</v>
      </c>
      <c r="C7" s="11">
        <f>IFERROR(__xludf.DUMMYFUNCTION("""COMPUTED_VALUE"""),17.0)</f>
        <v>17</v>
      </c>
      <c r="D7" s="11" t="str">
        <f>IFERROR(__xludf.DUMMYFUNCTION("""COMPUTED_VALUE"""),"3:25")</f>
        <v>3:25</v>
      </c>
      <c r="E7" s="11" t="str">
        <f>IFERROR(__xludf.DUMMYFUNCTION("""COMPUTED_VALUE"""),"Bitter")</f>
        <v>Bitter</v>
      </c>
      <c r="F7" s="11" t="str">
        <f>IFERROR(__xludf.DUMMYFUNCTION("""COMPUTED_VALUE"""),"")</f>
        <v/>
      </c>
      <c r="G7" s="11" t="str">
        <f>IFERROR(__xludf.DUMMYFUNCTION("""COMPUTED_VALUE"""),"")</f>
        <v/>
      </c>
      <c r="H7" s="12" t="str">
        <f>IFERROR(__xludf.DUMMYFUNCTION("""COMPUTED_VALUE"""),"Slower on earlier pours / Faster on later pours")</f>
        <v>Slower on earlier pours / Faster on later pours</v>
      </c>
      <c r="I7" s="12" t="str">
        <f>IFERROR(__xludf.DUMMYFUNCTION("""COMPUTED_VALUE"""),"")</f>
        <v/>
      </c>
      <c r="J7" s="13">
        <f t="shared" si="1"/>
        <v>43912</v>
      </c>
      <c r="K7" s="12" t="str">
        <f>IFERROR(IF(A7="","",if($G7="",Reference!$J$2, VLOOKUP($G7,Reference!$I$2:$J$1000,2,false))),"")</f>
        <v>Norman</v>
      </c>
      <c r="L7" s="12" t="str">
        <f>IF(A7="","", IF(F7="",Reference!$M$2,F7))</f>
        <v>Hario V60</v>
      </c>
      <c r="M7" s="14">
        <f t="shared" si="2"/>
        <v>0.002372685185</v>
      </c>
      <c r="N7" s="15">
        <f t="shared" si="3"/>
        <v>205</v>
      </c>
      <c r="O7" s="14">
        <f t="shared" si="4"/>
        <v>0.00005787037037</v>
      </c>
      <c r="P7" s="16" t="str">
        <f t="array" ref="P7">IF($A7="","", IFERROR(INDEX('BM Data'!$N:$N,MATCH($J7&amp; "-" &amp; $N7,'BM Data'!$O:$O,0),1),""))</f>
        <v/>
      </c>
      <c r="Q7" s="16" t="str">
        <f t="array" ref="Q7">IF($A7="","", IFERROR(INDEX('BM Data'!$J:$J,MATCH($J7&amp; "-" &amp; $N7,'BM Data'!$O:$O,0),1),""))</f>
        <v/>
      </c>
    </row>
    <row r="8">
      <c r="A8" s="10">
        <f>IFERROR(__xludf.DUMMYFUNCTION("""COMPUTED_VALUE"""),43912.54737162037)</f>
        <v>43912.54737</v>
      </c>
      <c r="B8" s="3" t="str">
        <f>IFERROR(__xludf.DUMMYFUNCTION("""COMPUTED_VALUE"""),"Southern Weather (Onyx)")</f>
        <v>Southern Weather (Onyx)</v>
      </c>
      <c r="C8" s="11">
        <f>IFERROR(__xludf.DUMMYFUNCTION("""COMPUTED_VALUE"""),17.0)</f>
        <v>17</v>
      </c>
      <c r="D8" s="11" t="str">
        <f>IFERROR(__xludf.DUMMYFUNCTION("""COMPUTED_VALUE"""),"3:30")</f>
        <v>3:30</v>
      </c>
      <c r="E8" s="11" t="str">
        <f>IFERROR(__xludf.DUMMYFUNCTION("""COMPUTED_VALUE"""),"Bitter")</f>
        <v>Bitter</v>
      </c>
      <c r="F8" s="11" t="str">
        <f>IFERROR(__xludf.DUMMYFUNCTION("""COMPUTED_VALUE"""),"")</f>
        <v/>
      </c>
      <c r="G8" s="11" t="str">
        <f>IFERROR(__xludf.DUMMYFUNCTION("""COMPUTED_VALUE"""),"")</f>
        <v/>
      </c>
      <c r="H8" s="12" t="str">
        <f>IFERROR(__xludf.DUMMYFUNCTION("""COMPUTED_VALUE"""),"Slower on earlier pours / Faster on later pours")</f>
        <v>Slower on earlier pours / Faster on later pours</v>
      </c>
      <c r="I8" s="12" t="str">
        <f>IFERROR(__xludf.DUMMYFUNCTION("""COMPUTED_VALUE"""),"")</f>
        <v/>
      </c>
      <c r="J8" s="13">
        <f t="shared" si="1"/>
        <v>43912</v>
      </c>
      <c r="K8" s="12" t="str">
        <f>IFERROR(IF(A8="","",if($G8="",Reference!$J$2, VLOOKUP($G8,Reference!$I$2:$J$1000,2,false))),"")</f>
        <v>Norman</v>
      </c>
      <c r="L8" s="12" t="str">
        <f>IF(A8="","", IF(F8="",Reference!$M$2,F8))</f>
        <v>Hario V60</v>
      </c>
      <c r="M8" s="14">
        <f t="shared" si="2"/>
        <v>0.002430555556</v>
      </c>
      <c r="N8" s="15">
        <f t="shared" si="3"/>
        <v>210</v>
      </c>
      <c r="O8" s="14">
        <f t="shared" si="4"/>
        <v>0</v>
      </c>
      <c r="P8" s="16" t="str">
        <f t="array" ref="P8">IF($A8="","", IFERROR(INDEX('BM Data'!$N:$N,MATCH($J8&amp; "-" &amp; $N8,'BM Data'!$O:$O,0),1),""))</f>
        <v/>
      </c>
      <c r="Q8" s="16" t="str">
        <f t="array" ref="Q8">IF($A8="","", IFERROR(INDEX('BM Data'!$J:$J,MATCH($J8&amp; "-" &amp; $N8,'BM Data'!$O:$O,0),1),""))</f>
        <v/>
      </c>
    </row>
    <row r="9">
      <c r="A9" s="10">
        <f>IFERROR(__xludf.DUMMYFUNCTION("""COMPUTED_VALUE"""),43912.54765295139)</f>
        <v>43912.54765</v>
      </c>
      <c r="B9" s="3" t="str">
        <f>IFERROR(__xludf.DUMMYFUNCTION("""COMPUTED_VALUE"""),"Southern Weather (Onyx)")</f>
        <v>Southern Weather (Onyx)</v>
      </c>
      <c r="C9" s="11">
        <f>IFERROR(__xludf.DUMMYFUNCTION("""COMPUTED_VALUE"""),17.0)</f>
        <v>17</v>
      </c>
      <c r="D9" s="11" t="str">
        <f>IFERROR(__xludf.DUMMYFUNCTION("""COMPUTED_VALUE"""),"3:25")</f>
        <v>3:25</v>
      </c>
      <c r="E9" s="11" t="str">
        <f>IFERROR(__xludf.DUMMYFUNCTION("""COMPUTED_VALUE"""),"Weak")</f>
        <v>Weak</v>
      </c>
      <c r="F9" s="11" t="str">
        <f>IFERROR(__xludf.DUMMYFUNCTION("""COMPUTED_VALUE"""),"")</f>
        <v/>
      </c>
      <c r="G9" s="11" t="str">
        <f>IFERROR(__xludf.DUMMYFUNCTION("""COMPUTED_VALUE"""),"Mistake in Brewing Process")</f>
        <v>Mistake in Brewing Process</v>
      </c>
      <c r="H9" s="12" t="str">
        <f>IFERROR(__xludf.DUMMYFUNCTION("""COMPUTED_VALUE"""),"")</f>
        <v/>
      </c>
      <c r="I9" s="12" t="str">
        <f>IFERROR(__xludf.DUMMYFUNCTION("""COMPUTED_VALUE"""),"")</f>
        <v/>
      </c>
      <c r="J9" s="13">
        <f t="shared" si="1"/>
        <v>43912</v>
      </c>
      <c r="K9" s="12" t="str">
        <f>IFERROR(IF(A9="","",if($G9="",Reference!$J$2, VLOOKUP($G9,Reference!$I$2:$J$1000,2,false))),"")</f>
        <v>Mistake in Brewing Process</v>
      </c>
      <c r="L9" s="12" t="str">
        <f>IF(A9="","", IF(F9="",Reference!$M$2,F9))</f>
        <v>Hario V60</v>
      </c>
      <c r="M9" s="14">
        <f t="shared" si="2"/>
        <v>0.002372685185</v>
      </c>
      <c r="N9" s="15">
        <f t="shared" si="3"/>
        <v>205</v>
      </c>
      <c r="O9" s="14">
        <f t="shared" si="4"/>
        <v>0.00005787037037</v>
      </c>
      <c r="P9" s="16" t="str">
        <f t="array" ref="P9">IF($A9="","", IFERROR(INDEX('BM Data'!$N:$N,MATCH($J9&amp; "-" &amp; $N9,'BM Data'!$O:$O,0),1),""))</f>
        <v/>
      </c>
      <c r="Q9" s="16" t="str">
        <f t="array" ref="Q9">IF($A9="","", IFERROR(INDEX('BM Data'!$J:$J,MATCH($J9&amp; "-" &amp; $N9,'BM Data'!$O:$O,0),1),""))</f>
        <v/>
      </c>
    </row>
    <row r="10">
      <c r="A10" s="10">
        <f>IFERROR(__xludf.DUMMYFUNCTION("""COMPUTED_VALUE"""),43912.54882296297)</f>
        <v>43912.54882</v>
      </c>
      <c r="B10" s="3" t="str">
        <f>IFERROR(__xludf.DUMMYFUNCTION("""COMPUTED_VALUE"""),"Southern Weather (Onyx)")</f>
        <v>Southern Weather (Onyx)</v>
      </c>
      <c r="C10" s="11">
        <f>IFERROR(__xludf.DUMMYFUNCTION("""COMPUTED_VALUE"""),17.0)</f>
        <v>17</v>
      </c>
      <c r="D10" s="11" t="str">
        <f>IFERROR(__xludf.DUMMYFUNCTION("""COMPUTED_VALUE"""),"3:27")</f>
        <v>3:27</v>
      </c>
      <c r="E10" s="11" t="str">
        <f>IFERROR(__xludf.DUMMYFUNCTION("""COMPUTED_VALUE"""),"Weak")</f>
        <v>Weak</v>
      </c>
      <c r="F10" s="11" t="str">
        <f>IFERROR(__xludf.DUMMYFUNCTION("""COMPUTED_VALUE"""),"")</f>
        <v/>
      </c>
      <c r="G10" s="11" t="str">
        <f>IFERROR(__xludf.DUMMYFUNCTION("""COMPUTED_VALUE"""),"")</f>
        <v/>
      </c>
      <c r="H10" s="12" t="str">
        <f>IFERROR(__xludf.DUMMYFUNCTION("""COMPUTED_VALUE"""),"")</f>
        <v/>
      </c>
      <c r="I10" s="12" t="str">
        <f>IFERROR(__xludf.DUMMYFUNCTION("""COMPUTED_VALUE"""),"")</f>
        <v/>
      </c>
      <c r="J10" s="13">
        <f t="shared" si="1"/>
        <v>43912</v>
      </c>
      <c r="K10" s="12" t="str">
        <f>IFERROR(IF(A10="","",if($G10="",Reference!$J$2, VLOOKUP($G10,Reference!$I$2:$J$1000,2,false))),"")</f>
        <v>Norman</v>
      </c>
      <c r="L10" s="12" t="str">
        <f>IF(A10="","", IF(F10="",Reference!$M$2,F10))</f>
        <v>Hario V60</v>
      </c>
      <c r="M10" s="14">
        <f t="shared" si="2"/>
        <v>0.002395833333</v>
      </c>
      <c r="N10" s="15">
        <f t="shared" si="3"/>
        <v>207</v>
      </c>
      <c r="O10" s="14">
        <f t="shared" si="4"/>
        <v>0.00003472222222</v>
      </c>
      <c r="P10" s="16" t="str">
        <f t="array" ref="P10">IF($A10="","", IFERROR(INDEX('BM Data'!$N:$N,MATCH($J10&amp; "-" &amp; $N10,'BM Data'!$O:$O,0),1),""))</f>
        <v/>
      </c>
      <c r="Q10" s="16" t="str">
        <f t="array" ref="Q10">IF($A10="","", IFERROR(INDEX('BM Data'!$J:$J,MATCH($J10&amp; "-" &amp; $N10,'BM Data'!$O:$O,0),1),""))</f>
        <v/>
      </c>
    </row>
    <row r="11">
      <c r="A11" s="10">
        <f>IFERROR(__xludf.DUMMYFUNCTION("""COMPUTED_VALUE"""),43912.54926464121)</f>
        <v>43912.54926</v>
      </c>
      <c r="B11" s="3" t="str">
        <f>IFERROR(__xludf.DUMMYFUNCTION("""COMPUTED_VALUE"""),"Southern Weather (Onyx)")</f>
        <v>Southern Weather (Onyx)</v>
      </c>
      <c r="C11" s="11">
        <f>IFERROR(__xludf.DUMMYFUNCTION("""COMPUTED_VALUE"""),17.0)</f>
        <v>17</v>
      </c>
      <c r="D11" s="11" t="str">
        <f>IFERROR(__xludf.DUMMYFUNCTION("""COMPUTED_VALUE"""),"3:28")</f>
        <v>3:28</v>
      </c>
      <c r="E11" s="11" t="str">
        <f>IFERROR(__xludf.DUMMYFUNCTION("""COMPUTED_VALUE"""),"Bitter")</f>
        <v>Bitter</v>
      </c>
      <c r="F11" s="11" t="str">
        <f>IFERROR(__xludf.DUMMYFUNCTION("""COMPUTED_VALUE"""),"")</f>
        <v/>
      </c>
      <c r="G11" s="11" t="str">
        <f>IFERROR(__xludf.DUMMYFUNCTION("""COMPUTED_VALUE"""),"")</f>
        <v/>
      </c>
      <c r="H11" s="12" t="str">
        <f>IFERROR(__xludf.DUMMYFUNCTION("""COMPUTED_VALUE"""),"Slower on earlier pours / Faster on later pours")</f>
        <v>Slower on earlier pours / Faster on later pours</v>
      </c>
      <c r="I11" s="12" t="str">
        <f>IFERROR(__xludf.DUMMYFUNCTION("""COMPUTED_VALUE"""),"")</f>
        <v/>
      </c>
      <c r="J11" s="13">
        <f t="shared" si="1"/>
        <v>43912</v>
      </c>
      <c r="K11" s="12" t="str">
        <f>IFERROR(IF(A11="","",if($G11="",Reference!$J$2, VLOOKUP($G11,Reference!$I$2:$J$1000,2,false))),"")</f>
        <v>Norman</v>
      </c>
      <c r="L11" s="12" t="str">
        <f>IF(A11="","", IF(F11="",Reference!$M$2,F11))</f>
        <v>Hario V60</v>
      </c>
      <c r="M11" s="14">
        <f t="shared" si="2"/>
        <v>0.002407407407</v>
      </c>
      <c r="N11" s="15">
        <f t="shared" si="3"/>
        <v>208</v>
      </c>
      <c r="O11" s="14">
        <f t="shared" si="4"/>
        <v>0.00002314814815</v>
      </c>
      <c r="P11" s="16" t="str">
        <f t="array" ref="P11">IF($A11="","", IFERROR(INDEX('BM Data'!$N:$N,MATCH($J11&amp; "-" &amp; $N11,'BM Data'!$O:$O,0),1),""))</f>
        <v/>
      </c>
      <c r="Q11" s="16" t="str">
        <f t="array" ref="Q11">IF($A11="","", IFERROR(INDEX('BM Data'!$J:$J,MATCH($J11&amp; "-" &amp; $N11,'BM Data'!$O:$O,0),1),""))</f>
        <v/>
      </c>
    </row>
    <row r="12">
      <c r="A12" s="10">
        <f>IFERROR(__xludf.DUMMYFUNCTION("""COMPUTED_VALUE"""),43912.549906168984)</f>
        <v>43912.54991</v>
      </c>
      <c r="B12" s="3" t="str">
        <f>IFERROR(__xludf.DUMMYFUNCTION("""COMPUTED_VALUE"""),"Southern Weather (Onyx)")</f>
        <v>Southern Weather (Onyx)</v>
      </c>
      <c r="C12" s="11">
        <f>IFERROR(__xludf.DUMMYFUNCTION("""COMPUTED_VALUE"""),17.0)</f>
        <v>17</v>
      </c>
      <c r="D12" s="11" t="str">
        <f>IFERROR(__xludf.DUMMYFUNCTION("""COMPUTED_VALUE"""),"3:29")</f>
        <v>3:29</v>
      </c>
      <c r="E12" s="11" t="str">
        <f>IFERROR(__xludf.DUMMYFUNCTION("""COMPUTED_VALUE"""),"")</f>
        <v/>
      </c>
      <c r="F12" s="11" t="str">
        <f>IFERROR(__xludf.DUMMYFUNCTION("""COMPUTED_VALUE"""),"")</f>
        <v/>
      </c>
      <c r="G12" s="11" t="str">
        <f>IFERROR(__xludf.DUMMYFUNCTION("""COMPUTED_VALUE"""),"")</f>
        <v/>
      </c>
      <c r="H12" s="12" t="str">
        <f>IFERROR(__xludf.DUMMYFUNCTION("""COMPUTED_VALUE"""),"")</f>
        <v/>
      </c>
      <c r="I12" s="12" t="str">
        <f>IFERROR(__xludf.DUMMYFUNCTION("""COMPUTED_VALUE"""),"")</f>
        <v/>
      </c>
      <c r="J12" s="13">
        <f t="shared" si="1"/>
        <v>43912</v>
      </c>
      <c r="K12" s="12" t="str">
        <f>IFERROR(IF(A12="","",if($G12="",Reference!$J$2, VLOOKUP($G12,Reference!$I$2:$J$1000,2,false))),"")</f>
        <v>Norman</v>
      </c>
      <c r="L12" s="12" t="str">
        <f>IF(A12="","", IF(F12="",Reference!$M$2,F12))</f>
        <v>Hario V60</v>
      </c>
      <c r="M12" s="14">
        <f t="shared" si="2"/>
        <v>0.002418981481</v>
      </c>
      <c r="N12" s="15">
        <f t="shared" si="3"/>
        <v>209</v>
      </c>
      <c r="O12" s="14">
        <f t="shared" si="4"/>
        <v>0.00001157407407</v>
      </c>
      <c r="P12" s="16" t="str">
        <f t="array" ref="P12">IF($A12="","", IFERROR(INDEX('BM Data'!$N:$N,MATCH($J12&amp; "-" &amp; $N12,'BM Data'!$O:$O,0),1),""))</f>
        <v/>
      </c>
      <c r="Q12" s="16" t="str">
        <f t="array" ref="Q12">IF($A12="","", IFERROR(INDEX('BM Data'!$J:$J,MATCH($J12&amp; "-" &amp; $N12,'BM Data'!$O:$O,0),1),""))</f>
        <v/>
      </c>
    </row>
    <row r="13">
      <c r="A13" s="10">
        <f>IFERROR(__xludf.DUMMYFUNCTION("""COMPUTED_VALUE"""),43912.55099048611)</f>
        <v>43912.55099</v>
      </c>
      <c r="B13" s="3" t="str">
        <f>IFERROR(__xludf.DUMMYFUNCTION("""COMPUTED_VALUE"""),"Southern Weather (Onyx)")</f>
        <v>Southern Weather (Onyx)</v>
      </c>
      <c r="C13" s="11">
        <f>IFERROR(__xludf.DUMMYFUNCTION("""COMPUTED_VALUE"""),17.0)</f>
        <v>17</v>
      </c>
      <c r="D13" s="11" t="str">
        <f>IFERROR(__xludf.DUMMYFUNCTION("""COMPUTED_VALUE"""),"3:37")</f>
        <v>3:37</v>
      </c>
      <c r="E13" s="11" t="str">
        <f>IFERROR(__xludf.DUMMYFUNCTION("""COMPUTED_VALUE"""),"Bitter")</f>
        <v>Bitter</v>
      </c>
      <c r="F13" s="11" t="str">
        <f>IFERROR(__xludf.DUMMYFUNCTION("""COMPUTED_VALUE"""),"")</f>
        <v/>
      </c>
      <c r="G13" s="11" t="str">
        <f>IFERROR(__xludf.DUMMYFUNCTION("""COMPUTED_VALUE"""),"Brewed in Ada")</f>
        <v>Brewed in Ada</v>
      </c>
      <c r="H13" s="12" t="str">
        <f>IFERROR(__xludf.DUMMYFUNCTION("""COMPUTED_VALUE"""),"")</f>
        <v/>
      </c>
      <c r="I13" s="12" t="str">
        <f>IFERROR(__xludf.DUMMYFUNCTION("""COMPUTED_VALUE"""),"")</f>
        <v/>
      </c>
      <c r="J13" s="13">
        <f t="shared" si="1"/>
        <v>43912</v>
      </c>
      <c r="K13" s="12" t="str">
        <f>IFERROR(IF(A13="","",if($G13="",Reference!$J$2, VLOOKUP($G13,Reference!$I$2:$J$1000,2,false))),"")</f>
        <v>Ada</v>
      </c>
      <c r="L13" s="12" t="str">
        <f>IF(A13="","", IF(F13="",Reference!$M$2,F13))</f>
        <v>Hario V60</v>
      </c>
      <c r="M13" s="14">
        <f t="shared" si="2"/>
        <v>0.002511574074</v>
      </c>
      <c r="N13" s="15">
        <f t="shared" si="3"/>
        <v>217</v>
      </c>
      <c r="O13" s="14">
        <f t="shared" si="4"/>
        <v>0.00008101851852</v>
      </c>
      <c r="P13" s="16" t="str">
        <f t="array" ref="P13">IF($A13="","", IFERROR(INDEX('BM Data'!$N:$N,MATCH($J13&amp; "-" &amp; $N13,'BM Data'!$O:$O,0),1),""))</f>
        <v/>
      </c>
      <c r="Q13" s="16" t="str">
        <f t="array" ref="Q13">IF($A13="","", IFERROR(INDEX('BM Data'!$J:$J,MATCH($J13&amp; "-" &amp; $N13,'BM Data'!$O:$O,0),1),""))</f>
        <v/>
      </c>
    </row>
    <row r="14">
      <c r="A14" s="10">
        <f>IFERROR(__xludf.DUMMYFUNCTION("""COMPUTED_VALUE"""),43912.55145460648)</f>
        <v>43912.55145</v>
      </c>
      <c r="B14" s="3" t="str">
        <f>IFERROR(__xludf.DUMMYFUNCTION("""COMPUTED_VALUE"""),"Southern Weather (Onyx)")</f>
        <v>Southern Weather (Onyx)</v>
      </c>
      <c r="C14" s="11">
        <f>IFERROR(__xludf.DUMMYFUNCTION("""COMPUTED_VALUE"""),18.0)</f>
        <v>18</v>
      </c>
      <c r="D14" s="11" t="str">
        <f>IFERROR(__xludf.DUMMYFUNCTION("""COMPUTED_VALUE"""),"3:27")</f>
        <v>3:27</v>
      </c>
      <c r="E14" s="11" t="str">
        <f>IFERROR(__xludf.DUMMYFUNCTION("""COMPUTED_VALUE"""),"Bitter")</f>
        <v>Bitter</v>
      </c>
      <c r="F14" s="11" t="str">
        <f>IFERROR(__xludf.DUMMYFUNCTION("""COMPUTED_VALUE"""),"")</f>
        <v/>
      </c>
      <c r="G14" s="11" t="str">
        <f>IFERROR(__xludf.DUMMYFUNCTION("""COMPUTED_VALUE"""),"Brewed in Ada")</f>
        <v>Brewed in Ada</v>
      </c>
      <c r="H14" s="12" t="str">
        <f>IFERROR(__xludf.DUMMYFUNCTION("""COMPUTED_VALUE"""),"Slower on earlier pours / Faster on later pours")</f>
        <v>Slower on earlier pours / Faster on later pours</v>
      </c>
      <c r="I14" s="12" t="str">
        <f>IFERROR(__xludf.DUMMYFUNCTION("""COMPUTED_VALUE"""),"")</f>
        <v/>
      </c>
      <c r="J14" s="13">
        <f t="shared" si="1"/>
        <v>43912</v>
      </c>
      <c r="K14" s="12" t="str">
        <f>IFERROR(IF(A14="","",if($G14="",Reference!$J$2, VLOOKUP($G14,Reference!$I$2:$J$1000,2,false))),"")</f>
        <v>Ada</v>
      </c>
      <c r="L14" s="12" t="str">
        <f>IF(A14="","", IF(F14="",Reference!$M$2,F14))</f>
        <v>Hario V60</v>
      </c>
      <c r="M14" s="14">
        <f t="shared" si="2"/>
        <v>0.002395833333</v>
      </c>
      <c r="N14" s="15">
        <f t="shared" si="3"/>
        <v>207</v>
      </c>
      <c r="O14" s="14">
        <f t="shared" si="4"/>
        <v>0.00003472222222</v>
      </c>
      <c r="P14" s="16" t="str">
        <f t="array" ref="P14">IF($A14="","", IFERROR(INDEX('BM Data'!$N:$N,MATCH($J14&amp; "-" &amp; $N14,'BM Data'!$O:$O,0),1),""))</f>
        <v/>
      </c>
      <c r="Q14" s="16" t="str">
        <f t="array" ref="Q14">IF($A14="","", IFERROR(INDEX('BM Data'!$J:$J,MATCH($J14&amp; "-" &amp; $N14,'BM Data'!$O:$O,0),1),""))</f>
        <v/>
      </c>
    </row>
    <row r="15">
      <c r="A15" s="10">
        <f>IFERROR(__xludf.DUMMYFUNCTION("""COMPUTED_VALUE"""),43912.5522333912)</f>
        <v>43912.55223</v>
      </c>
      <c r="B15" s="3" t="str">
        <f>IFERROR(__xludf.DUMMYFUNCTION("""COMPUTED_VALUE"""),"Southern Weather (Onyx)")</f>
        <v>Southern Weather (Onyx)</v>
      </c>
      <c r="C15" s="11">
        <f>IFERROR(__xludf.DUMMYFUNCTION("""COMPUTED_VALUE"""),18.0)</f>
        <v>18</v>
      </c>
      <c r="D15" s="11" t="str">
        <f>IFERROR(__xludf.DUMMYFUNCTION("""COMPUTED_VALUE"""),"3:40")</f>
        <v>3:40</v>
      </c>
      <c r="E15" s="11" t="str">
        <f>IFERROR(__xludf.DUMMYFUNCTION("""COMPUTED_VALUE"""),"Bitter")</f>
        <v>Bitter</v>
      </c>
      <c r="F15" s="11" t="str">
        <f>IFERROR(__xludf.DUMMYFUNCTION("""COMPUTED_VALUE"""),"")</f>
        <v/>
      </c>
      <c r="G15" s="11" t="str">
        <f>IFERROR(__xludf.DUMMYFUNCTION("""COMPUTED_VALUE"""),"Brewed in Ada")</f>
        <v>Brewed in Ada</v>
      </c>
      <c r="H15" s="12" t="str">
        <f>IFERROR(__xludf.DUMMYFUNCTION("""COMPUTED_VALUE"""),"Slower on earlier pours / Faster on later pours")</f>
        <v>Slower on earlier pours / Faster on later pours</v>
      </c>
      <c r="I15" s="12" t="str">
        <f>IFERROR(__xludf.DUMMYFUNCTION("""COMPUTED_VALUE"""),"")</f>
        <v/>
      </c>
      <c r="J15" s="13">
        <f t="shared" si="1"/>
        <v>43912</v>
      </c>
      <c r="K15" s="12" t="str">
        <f>IFERROR(IF(A15="","",if($G15="",Reference!$J$2, VLOOKUP($G15,Reference!$I$2:$J$1000,2,false))),"")</f>
        <v>Ada</v>
      </c>
      <c r="L15" s="12" t="str">
        <f>IF(A15="","", IF(F15="",Reference!$M$2,F15))</f>
        <v>Hario V60</v>
      </c>
      <c r="M15" s="14">
        <f t="shared" si="2"/>
        <v>0.002546296296</v>
      </c>
      <c r="N15" s="15">
        <f t="shared" si="3"/>
        <v>220</v>
      </c>
      <c r="O15" s="14">
        <f t="shared" si="4"/>
        <v>0.0001157407407</v>
      </c>
      <c r="P15" s="16" t="str">
        <f t="array" ref="P15">IF($A15="","", IFERROR(INDEX('BM Data'!$N:$N,MATCH($J15&amp; "-" &amp; $N15,'BM Data'!$O:$O,0),1),""))</f>
        <v/>
      </c>
      <c r="Q15" s="16" t="str">
        <f t="array" ref="Q15">IF($A15="","", IFERROR(INDEX('BM Data'!$J:$J,MATCH($J15&amp; "-" &amp; $N15,'BM Data'!$O:$O,0),1),""))</f>
        <v/>
      </c>
    </row>
    <row r="16">
      <c r="A16" s="10">
        <f>IFERROR(__xludf.DUMMYFUNCTION("""COMPUTED_VALUE"""),43912.55257616898)</f>
        <v>43912.55258</v>
      </c>
      <c r="B16" s="3" t="str">
        <f>IFERROR(__xludf.DUMMYFUNCTION("""COMPUTED_VALUE"""),"Columbia Aponte Village (Onyx)")</f>
        <v>Columbia Aponte Village (Onyx)</v>
      </c>
      <c r="C16" s="11">
        <f>IFERROR(__xludf.DUMMYFUNCTION("""COMPUTED_VALUE"""),20.0)</f>
        <v>20</v>
      </c>
      <c r="D16" s="11" t="str">
        <f>IFERROR(__xludf.DUMMYFUNCTION("""COMPUTED_VALUE"""),"3:35")</f>
        <v>3:35</v>
      </c>
      <c r="E16" s="11" t="str">
        <f>IFERROR(__xludf.DUMMYFUNCTION("""COMPUTED_VALUE"""),"Pefect!")</f>
        <v>Pefect!</v>
      </c>
      <c r="F16" s="11" t="str">
        <f>IFERROR(__xludf.DUMMYFUNCTION("""COMPUTED_VALUE"""),"")</f>
        <v/>
      </c>
      <c r="G16" s="11" t="str">
        <f>IFERROR(__xludf.DUMMYFUNCTION("""COMPUTED_VALUE"""),"")</f>
        <v/>
      </c>
      <c r="H16" s="12" t="str">
        <f>IFERROR(__xludf.DUMMYFUNCTION("""COMPUTED_VALUE"""),"")</f>
        <v/>
      </c>
      <c r="I16" s="12" t="str">
        <f>IFERROR(__xludf.DUMMYFUNCTION("""COMPUTED_VALUE"""),"")</f>
        <v/>
      </c>
      <c r="J16" s="13">
        <f t="shared" si="1"/>
        <v>43912</v>
      </c>
      <c r="K16" s="12" t="str">
        <f>IFERROR(IF(A16="","",if($G16="",Reference!$J$2, VLOOKUP($G16,Reference!$I$2:$J$1000,2,false))),"")</f>
        <v>Norman</v>
      </c>
      <c r="L16" s="12" t="str">
        <f>IF(A16="","", IF(F16="",Reference!$M$2,F16))</f>
        <v>Hario V60</v>
      </c>
      <c r="M16" s="14">
        <f t="shared" si="2"/>
        <v>0.002488425926</v>
      </c>
      <c r="N16" s="15">
        <f t="shared" si="3"/>
        <v>215</v>
      </c>
      <c r="O16" s="14">
        <f t="shared" si="4"/>
        <v>0.00005787037037</v>
      </c>
      <c r="P16" s="16" t="str">
        <f t="array" ref="P16">IF($A16="","", IFERROR(INDEX('BM Data'!$N:$N,MATCH($J16&amp; "-" &amp; $N16,'BM Data'!$O:$O,0),1),""))</f>
        <v/>
      </c>
      <c r="Q16" s="16" t="str">
        <f t="array" ref="Q16">IF($A16="","", IFERROR(INDEX('BM Data'!$J:$J,MATCH($J16&amp; "-" &amp; $N16,'BM Data'!$O:$O,0),1),""))</f>
        <v/>
      </c>
    </row>
    <row r="17">
      <c r="A17" s="10">
        <f>IFERROR(__xludf.DUMMYFUNCTION("""COMPUTED_VALUE"""),43912.55299280093)</f>
        <v>43912.55299</v>
      </c>
      <c r="B17" s="3" t="str">
        <f>IFERROR(__xludf.DUMMYFUNCTION("""COMPUTED_VALUE"""),"Columbia Aponte Village (Onyx)")</f>
        <v>Columbia Aponte Village (Onyx)</v>
      </c>
      <c r="C17" s="11">
        <f>IFERROR(__xludf.DUMMYFUNCTION("""COMPUTED_VALUE"""),19.0)</f>
        <v>19</v>
      </c>
      <c r="D17" s="11" t="str">
        <f>IFERROR(__xludf.DUMMYFUNCTION("""COMPUTED_VALUE"""),"3:15")</f>
        <v>3:15</v>
      </c>
      <c r="E17" s="11" t="str">
        <f>IFERROR(__xludf.DUMMYFUNCTION("""COMPUTED_VALUE"""),"Weak")</f>
        <v>Weak</v>
      </c>
      <c r="F17" s="11" t="str">
        <f>IFERROR(__xludf.DUMMYFUNCTION("""COMPUTED_VALUE"""),"")</f>
        <v/>
      </c>
      <c r="G17" s="11" t="str">
        <f>IFERROR(__xludf.DUMMYFUNCTION("""COMPUTED_VALUE"""),"")</f>
        <v/>
      </c>
      <c r="H17" s="12" t="str">
        <f>IFERROR(__xludf.DUMMYFUNCTION("""COMPUTED_VALUE"""),"")</f>
        <v/>
      </c>
      <c r="I17" s="12" t="str">
        <f>IFERROR(__xludf.DUMMYFUNCTION("""COMPUTED_VALUE"""),"")</f>
        <v/>
      </c>
      <c r="J17" s="13">
        <f t="shared" si="1"/>
        <v>43912</v>
      </c>
      <c r="K17" s="12" t="str">
        <f>IFERROR(IF(A17="","",if($G17="",Reference!$J$2, VLOOKUP($G17,Reference!$I$2:$J$1000,2,false))),"")</f>
        <v>Norman</v>
      </c>
      <c r="L17" s="12" t="str">
        <f>IF(A17="","", IF(F17="",Reference!$M$2,F17))</f>
        <v>Hario V60</v>
      </c>
      <c r="M17" s="14">
        <f t="shared" si="2"/>
        <v>0.002256944444</v>
      </c>
      <c r="N17" s="15">
        <f t="shared" si="3"/>
        <v>195</v>
      </c>
      <c r="O17" s="14">
        <f t="shared" si="4"/>
        <v>0.0001736111111</v>
      </c>
      <c r="P17" s="16" t="str">
        <f t="array" ref="P17">IF($A17="","", IFERROR(INDEX('BM Data'!$N:$N,MATCH($J17&amp; "-" &amp; $N17,'BM Data'!$O:$O,0),1),""))</f>
        <v/>
      </c>
      <c r="Q17" s="16" t="str">
        <f t="array" ref="Q17">IF($A17="","", IFERROR(INDEX('BM Data'!$J:$J,MATCH($J17&amp; "-" &amp; $N17,'BM Data'!$O:$O,0),1),""))</f>
        <v/>
      </c>
    </row>
    <row r="18">
      <c r="A18" s="10">
        <f>IFERROR(__xludf.DUMMYFUNCTION("""COMPUTED_VALUE"""),43912.55503023148)</f>
        <v>43912.55503</v>
      </c>
      <c r="B18" s="3" t="str">
        <f>IFERROR(__xludf.DUMMYFUNCTION("""COMPUTED_VALUE"""),"Southern Weather (Onyx)")</f>
        <v>Southern Weather (Onyx)</v>
      </c>
      <c r="C18" s="11">
        <f>IFERROR(__xludf.DUMMYFUNCTION("""COMPUTED_VALUE"""),15.0)</f>
        <v>15</v>
      </c>
      <c r="D18" s="11" t="str">
        <f>IFERROR(__xludf.DUMMYFUNCTION("""COMPUTED_VALUE"""),"3:05")</f>
        <v>3:05</v>
      </c>
      <c r="E18" s="11" t="str">
        <f>IFERROR(__xludf.DUMMYFUNCTION("""COMPUTED_VALUE"""),"Weak")</f>
        <v>Weak</v>
      </c>
      <c r="F18" s="11" t="str">
        <f>IFERROR(__xludf.DUMMYFUNCTION("""COMPUTED_VALUE"""),"Kalita Wave")</f>
        <v>Kalita Wave</v>
      </c>
      <c r="G18" s="11" t="str">
        <f>IFERROR(__xludf.DUMMYFUNCTION("""COMPUTED_VALUE"""),"")</f>
        <v/>
      </c>
      <c r="H18" s="12" t="str">
        <f>IFERROR(__xludf.DUMMYFUNCTION("""COMPUTED_VALUE"""),"")</f>
        <v/>
      </c>
      <c r="I18" s="12" t="str">
        <f>IFERROR(__xludf.DUMMYFUNCTION("""COMPUTED_VALUE"""),"")</f>
        <v/>
      </c>
      <c r="J18" s="13">
        <f t="shared" si="1"/>
        <v>43912</v>
      </c>
      <c r="K18" s="12" t="str">
        <f>IFERROR(IF(A18="","",if($G18="",Reference!$J$2, VLOOKUP($G18,Reference!$I$2:$J$1000,2,false))),"")</f>
        <v>Norman</v>
      </c>
      <c r="L18" s="12" t="str">
        <f>IF(A18="","", IF(F18="",Reference!$M$2,F18))</f>
        <v>Kalita Wave</v>
      </c>
      <c r="M18" s="14">
        <f t="shared" si="2"/>
        <v>0.002141203704</v>
      </c>
      <c r="N18" s="15">
        <f t="shared" si="3"/>
        <v>185</v>
      </c>
      <c r="O18" s="14">
        <f t="shared" si="4"/>
        <v>0.0002893518519</v>
      </c>
      <c r="P18" s="16" t="str">
        <f t="array" ref="P18">IF($A18="","", IFERROR(INDEX('BM Data'!$N:$N,MATCH($J18&amp; "-" &amp; $N18,'BM Data'!$O:$O,0),1),""))</f>
        <v/>
      </c>
      <c r="Q18" s="16" t="str">
        <f t="array" ref="Q18">IF($A18="","", IFERROR(INDEX('BM Data'!$J:$J,MATCH($J18&amp; "-" &amp; $N18,'BM Data'!$O:$O,0),1),""))</f>
        <v/>
      </c>
    </row>
    <row r="19">
      <c r="A19" s="10">
        <f>IFERROR(__xludf.DUMMYFUNCTION("""COMPUTED_VALUE"""),43912.55587517361)</f>
        <v>43912.55588</v>
      </c>
      <c r="B19" s="3" t="str">
        <f>IFERROR(__xludf.DUMMYFUNCTION("""COMPUTED_VALUE"""),"Columbia Aponte Village (Onyx)")</f>
        <v>Columbia Aponte Village (Onyx)</v>
      </c>
      <c r="C19" s="11">
        <f>IFERROR(__xludf.DUMMYFUNCTION("""COMPUTED_VALUE"""),18.0)</f>
        <v>18</v>
      </c>
      <c r="D19" s="11" t="str">
        <f>IFERROR(__xludf.DUMMYFUNCTION("""COMPUTED_VALUE"""),"3:05")</f>
        <v>3:05</v>
      </c>
      <c r="E19" s="11" t="str">
        <f>IFERROR(__xludf.DUMMYFUNCTION("""COMPUTED_VALUE"""),"Bitter")</f>
        <v>Bitter</v>
      </c>
      <c r="F19" s="11" t="str">
        <f>IFERROR(__xludf.DUMMYFUNCTION("""COMPUTED_VALUE"""),"")</f>
        <v/>
      </c>
      <c r="G19" s="11" t="str">
        <f>IFERROR(__xludf.DUMMYFUNCTION("""COMPUTED_VALUE"""),"")</f>
        <v/>
      </c>
      <c r="H19" s="12" t="str">
        <f>IFERROR(__xludf.DUMMYFUNCTION("""COMPUTED_VALUE"""),"Slower on earlier pours / Faster on later pours")</f>
        <v>Slower on earlier pours / Faster on later pours</v>
      </c>
      <c r="I19" s="12" t="str">
        <f>IFERROR(__xludf.DUMMYFUNCTION("""COMPUTED_VALUE"""),"")</f>
        <v/>
      </c>
      <c r="J19" s="13">
        <f t="shared" si="1"/>
        <v>43912</v>
      </c>
      <c r="K19" s="12" t="str">
        <f>IFERROR(IF(A19="","",if($G19="",Reference!$J$2, VLOOKUP($G19,Reference!$I$2:$J$1000,2,false))),"")</f>
        <v>Norman</v>
      </c>
      <c r="L19" s="12" t="str">
        <f>IF(A19="","", IF(F19="",Reference!$M$2,F19))</f>
        <v>Hario V60</v>
      </c>
      <c r="M19" s="14">
        <f t="shared" si="2"/>
        <v>0.002141203704</v>
      </c>
      <c r="N19" s="15">
        <f t="shared" si="3"/>
        <v>185</v>
      </c>
      <c r="O19" s="14">
        <f t="shared" si="4"/>
        <v>0.0002893518519</v>
      </c>
      <c r="P19" s="16" t="str">
        <f t="array" ref="P19">IF($A19="","", IFERROR(INDEX('BM Data'!$N:$N,MATCH($J19&amp; "-" &amp; $N19,'BM Data'!$O:$O,0),1),""))</f>
        <v/>
      </c>
      <c r="Q19" s="16" t="str">
        <f t="array" ref="Q19">IF($A19="","", IFERROR(INDEX('BM Data'!$J:$J,MATCH($J19&amp; "-" &amp; $N19,'BM Data'!$O:$O,0),1),""))</f>
        <v/>
      </c>
    </row>
    <row r="20">
      <c r="A20" s="10">
        <f>IFERROR(__xludf.DUMMYFUNCTION("""COMPUTED_VALUE"""),43912.55690148148)</f>
        <v>43912.5569</v>
      </c>
      <c r="B20" s="3" t="str">
        <f>IFERROR(__xludf.DUMMYFUNCTION("""COMPUTED_VALUE"""),"Southern Weather (Onyx)")</f>
        <v>Southern Weather (Onyx)</v>
      </c>
      <c r="C20" s="11">
        <f>IFERROR(__xludf.DUMMYFUNCTION("""COMPUTED_VALUE"""),12.0)</f>
        <v>12</v>
      </c>
      <c r="D20" s="11" t="str">
        <f>IFERROR(__xludf.DUMMYFUNCTION("""COMPUTED_VALUE"""),"3:40")</f>
        <v>3:40</v>
      </c>
      <c r="E20" s="11" t="str">
        <f>IFERROR(__xludf.DUMMYFUNCTION("""COMPUTED_VALUE"""),"")</f>
        <v/>
      </c>
      <c r="F20" s="11" t="str">
        <f>IFERROR(__xludf.DUMMYFUNCTION("""COMPUTED_VALUE"""),"Kalita Wave")</f>
        <v>Kalita Wave</v>
      </c>
      <c r="G20" s="11" t="str">
        <f>IFERROR(__xludf.DUMMYFUNCTION("""COMPUTED_VALUE"""),"")</f>
        <v/>
      </c>
      <c r="H20" s="12" t="str">
        <f>IFERROR(__xludf.DUMMYFUNCTION("""COMPUTED_VALUE"""),"")</f>
        <v/>
      </c>
      <c r="I20" s="12" t="str">
        <f>IFERROR(__xludf.DUMMYFUNCTION("""COMPUTED_VALUE"""),"")</f>
        <v/>
      </c>
      <c r="J20" s="13">
        <f t="shared" si="1"/>
        <v>43912</v>
      </c>
      <c r="K20" s="12" t="str">
        <f>IFERROR(IF(A20="","",if($G20="",Reference!$J$2, VLOOKUP($G20,Reference!$I$2:$J$1000,2,false))),"")</f>
        <v>Norman</v>
      </c>
      <c r="L20" s="12" t="str">
        <f>IF(A20="","", IF(F20="",Reference!$M$2,F20))</f>
        <v>Kalita Wave</v>
      </c>
      <c r="M20" s="14">
        <f t="shared" si="2"/>
        <v>0.002546296296</v>
      </c>
      <c r="N20" s="15">
        <f t="shared" si="3"/>
        <v>220</v>
      </c>
      <c r="O20" s="14">
        <f t="shared" si="4"/>
        <v>0.0001157407407</v>
      </c>
      <c r="P20" s="16" t="str">
        <f t="array" ref="P20">IF($A20="","", IFERROR(INDEX('BM Data'!$N:$N,MATCH($J20&amp; "-" &amp; $N20,'BM Data'!$O:$O,0),1),""))</f>
        <v/>
      </c>
      <c r="Q20" s="16" t="str">
        <f t="array" ref="Q20">IF($A20="","", IFERROR(INDEX('BM Data'!$J:$J,MATCH($J20&amp; "-" &amp; $N20,'BM Data'!$O:$O,0),1),""))</f>
        <v/>
      </c>
    </row>
    <row r="21">
      <c r="A21" s="10">
        <f>IFERROR(__xludf.DUMMYFUNCTION("""COMPUTED_VALUE"""),43912.55792498843)</f>
        <v>43912.55792</v>
      </c>
      <c r="B21" s="3" t="str">
        <f>IFERROR(__xludf.DUMMYFUNCTION("""COMPUTED_VALUE"""),"Tropical Weather (Onyx)")</f>
        <v>Tropical Weather (Onyx)</v>
      </c>
      <c r="C21" s="11">
        <f>IFERROR(__xludf.DUMMYFUNCTION("""COMPUTED_VALUE"""),17.0)</f>
        <v>17</v>
      </c>
      <c r="D21" s="11" t="str">
        <f>IFERROR(__xludf.DUMMYFUNCTION("""COMPUTED_VALUE"""),"3:45")</f>
        <v>3:45</v>
      </c>
      <c r="E21" s="11" t="str">
        <f>IFERROR(__xludf.DUMMYFUNCTION("""COMPUTED_VALUE"""),"Bitter")</f>
        <v>Bitter</v>
      </c>
      <c r="F21" s="11" t="str">
        <f>IFERROR(__xludf.DUMMYFUNCTION("""COMPUTED_VALUE"""),"")</f>
        <v/>
      </c>
      <c r="G21" s="11" t="str">
        <f>IFERROR(__xludf.DUMMYFUNCTION("""COMPUTED_VALUE"""),"")</f>
        <v/>
      </c>
      <c r="H21" s="12" t="str">
        <f>IFERROR(__xludf.DUMMYFUNCTION("""COMPUTED_VALUE"""),"")</f>
        <v/>
      </c>
      <c r="I21" s="12" t="str">
        <f>IFERROR(__xludf.DUMMYFUNCTION("""COMPUTED_VALUE"""),"")</f>
        <v/>
      </c>
      <c r="J21" s="13">
        <f t="shared" si="1"/>
        <v>43912</v>
      </c>
      <c r="K21" s="12" t="str">
        <f>IFERROR(IF(A21="","",if($G21="",Reference!$J$2, VLOOKUP($G21,Reference!$I$2:$J$1000,2,false))),"")</f>
        <v>Norman</v>
      </c>
      <c r="L21" s="12" t="str">
        <f>IF(A21="","", IF(F21="",Reference!$M$2,F21))</f>
        <v>Hario V60</v>
      </c>
      <c r="M21" s="14">
        <f t="shared" si="2"/>
        <v>0.002604166667</v>
      </c>
      <c r="N21" s="15">
        <f t="shared" si="3"/>
        <v>225</v>
      </c>
      <c r="O21" s="14">
        <f t="shared" si="4"/>
        <v>0.0001736111111</v>
      </c>
      <c r="P21" s="16" t="str">
        <f t="array" ref="P21">IF($A21="","", IFERROR(INDEX('BM Data'!$N:$N,MATCH($J21&amp; "-" &amp; $N21,'BM Data'!$O:$O,0),1),""))</f>
        <v/>
      </c>
      <c r="Q21" s="16" t="str">
        <f t="array" ref="Q21">IF($A21="","", IFERROR(INDEX('BM Data'!$J:$J,MATCH($J21&amp; "-" &amp; $N21,'BM Data'!$O:$O,0),1),""))</f>
        <v/>
      </c>
    </row>
    <row r="22">
      <c r="A22" s="10">
        <f>IFERROR(__xludf.DUMMYFUNCTION("""COMPUTED_VALUE"""),43912.55824835648)</f>
        <v>43912.55825</v>
      </c>
      <c r="B22" s="3" t="str">
        <f>IFERROR(__xludf.DUMMYFUNCTION("""COMPUTED_VALUE"""),"Tropical Weather (Onyx)")</f>
        <v>Tropical Weather (Onyx)</v>
      </c>
      <c r="C22" s="11">
        <f>IFERROR(__xludf.DUMMYFUNCTION("""COMPUTED_VALUE"""),18.0)</f>
        <v>18</v>
      </c>
      <c r="D22" s="11" t="str">
        <f>IFERROR(__xludf.DUMMYFUNCTION("""COMPUTED_VALUE"""),"3:40")</f>
        <v>3:40</v>
      </c>
      <c r="E22" s="11" t="str">
        <f>IFERROR(__xludf.DUMMYFUNCTION("""COMPUTED_VALUE"""),"Bitter")</f>
        <v>Bitter</v>
      </c>
      <c r="F22" s="11" t="str">
        <f>IFERROR(__xludf.DUMMYFUNCTION("""COMPUTED_VALUE"""),"")</f>
        <v/>
      </c>
      <c r="G22" s="11" t="str">
        <f>IFERROR(__xludf.DUMMYFUNCTION("""COMPUTED_VALUE"""),"")</f>
        <v/>
      </c>
      <c r="H22" s="12" t="str">
        <f>IFERROR(__xludf.DUMMYFUNCTION("""COMPUTED_VALUE"""),"")</f>
        <v/>
      </c>
      <c r="I22" s="12" t="str">
        <f>IFERROR(__xludf.DUMMYFUNCTION("""COMPUTED_VALUE"""),"")</f>
        <v/>
      </c>
      <c r="J22" s="13">
        <f t="shared" si="1"/>
        <v>43912</v>
      </c>
      <c r="K22" s="12" t="str">
        <f>IFERROR(IF(A22="","",if($G22="",Reference!$J$2, VLOOKUP($G22,Reference!$I$2:$J$1000,2,false))),"")</f>
        <v>Norman</v>
      </c>
      <c r="L22" s="12" t="str">
        <f>IF(A22="","", IF(F22="",Reference!$M$2,F22))</f>
        <v>Hario V60</v>
      </c>
      <c r="M22" s="14">
        <f t="shared" si="2"/>
        <v>0.002546296296</v>
      </c>
      <c r="N22" s="15">
        <f t="shared" si="3"/>
        <v>220</v>
      </c>
      <c r="O22" s="14">
        <f t="shared" si="4"/>
        <v>0.0001157407407</v>
      </c>
      <c r="P22" s="16" t="str">
        <f t="array" ref="P22">IF($A22="","", IFERROR(INDEX('BM Data'!$N:$N,MATCH($J22&amp; "-" &amp; $N22,'BM Data'!$O:$O,0),1),""))</f>
        <v/>
      </c>
      <c r="Q22" s="16" t="str">
        <f t="array" ref="Q22">IF($A22="","", IFERROR(INDEX('BM Data'!$J:$J,MATCH($J22&amp; "-" &amp; $N22,'BM Data'!$O:$O,0),1),""))</f>
        <v/>
      </c>
    </row>
    <row r="23">
      <c r="A23" s="10">
        <f>IFERROR(__xludf.DUMMYFUNCTION("""COMPUTED_VALUE"""),43912.55909491898)</f>
        <v>43912.55909</v>
      </c>
      <c r="B23" s="3" t="str">
        <f>IFERROR(__xludf.DUMMYFUNCTION("""COMPUTED_VALUE"""),"Tropical Weather (Onyx)")</f>
        <v>Tropical Weather (Onyx)</v>
      </c>
      <c r="C23" s="11">
        <f>IFERROR(__xludf.DUMMYFUNCTION("""COMPUTED_VALUE"""),19.0)</f>
        <v>19</v>
      </c>
      <c r="D23" s="11" t="str">
        <f>IFERROR(__xludf.DUMMYFUNCTION("""COMPUTED_VALUE"""),"3:40")</f>
        <v>3:40</v>
      </c>
      <c r="E23" s="11" t="str">
        <f>IFERROR(__xludf.DUMMYFUNCTION("""COMPUTED_VALUE"""),"Bitter")</f>
        <v>Bitter</v>
      </c>
      <c r="F23" s="11" t="str">
        <f>IFERROR(__xludf.DUMMYFUNCTION("""COMPUTED_VALUE"""),"")</f>
        <v/>
      </c>
      <c r="G23" s="11" t="str">
        <f>IFERROR(__xludf.DUMMYFUNCTION("""COMPUTED_VALUE"""),"Mistake in Brewing Process")</f>
        <v>Mistake in Brewing Process</v>
      </c>
      <c r="H23" s="12" t="str">
        <f>IFERROR(__xludf.DUMMYFUNCTION("""COMPUTED_VALUE"""),"")</f>
        <v/>
      </c>
      <c r="I23" s="12" t="str">
        <f>IFERROR(__xludf.DUMMYFUNCTION("""COMPUTED_VALUE"""),"")</f>
        <v/>
      </c>
      <c r="J23" s="13">
        <f t="shared" si="1"/>
        <v>43912</v>
      </c>
      <c r="K23" s="12" t="str">
        <f>IFERROR(IF(A23="","",if($G23="",Reference!$J$2, VLOOKUP($G23,Reference!$I$2:$J$1000,2,false))),"")</f>
        <v>Mistake in Brewing Process</v>
      </c>
      <c r="L23" s="12" t="str">
        <f>IF(A23="","", IF(F23="",Reference!$M$2,F23))</f>
        <v>Hario V60</v>
      </c>
      <c r="M23" s="14">
        <f t="shared" si="2"/>
        <v>0.002546296296</v>
      </c>
      <c r="N23" s="15">
        <f t="shared" si="3"/>
        <v>220</v>
      </c>
      <c r="O23" s="14">
        <f t="shared" si="4"/>
        <v>0.0001157407407</v>
      </c>
      <c r="P23" s="16" t="str">
        <f t="array" ref="P23">IF($A23="","", IFERROR(INDEX('BM Data'!$N:$N,MATCH($J23&amp; "-" &amp; $N23,'BM Data'!$O:$O,0),1),""))</f>
        <v/>
      </c>
      <c r="Q23" s="16" t="str">
        <f t="array" ref="Q23">IF($A23="","", IFERROR(INDEX('BM Data'!$J:$J,MATCH($J23&amp; "-" &amp; $N23,'BM Data'!$O:$O,0),1),""))</f>
        <v/>
      </c>
    </row>
    <row r="24">
      <c r="A24" s="10">
        <f>IFERROR(__xludf.DUMMYFUNCTION("""COMPUTED_VALUE"""),43912.55962140047)</f>
        <v>43912.55962</v>
      </c>
      <c r="B24" s="3" t="str">
        <f>IFERROR(__xludf.DUMMYFUNCTION("""COMPUTED_VALUE"""),"Tropical Weather (Onyx)")</f>
        <v>Tropical Weather (Onyx)</v>
      </c>
      <c r="C24" s="11">
        <f>IFERROR(__xludf.DUMMYFUNCTION("""COMPUTED_VALUE"""),20.0)</f>
        <v>20</v>
      </c>
      <c r="D24" s="11" t="str">
        <f>IFERROR(__xludf.DUMMYFUNCTION("""COMPUTED_VALUE"""),"3:30")</f>
        <v>3:30</v>
      </c>
      <c r="E24" s="11" t="str">
        <f>IFERROR(__xludf.DUMMYFUNCTION("""COMPUTED_VALUE"""),"Pefect!")</f>
        <v>Pefect!</v>
      </c>
      <c r="F24" s="11" t="str">
        <f>IFERROR(__xludf.DUMMYFUNCTION("""COMPUTED_VALUE"""),"")</f>
        <v/>
      </c>
      <c r="G24" s="11" t="str">
        <f>IFERROR(__xludf.DUMMYFUNCTION("""COMPUTED_VALUE"""),"")</f>
        <v/>
      </c>
      <c r="H24" s="12" t="str">
        <f>IFERROR(__xludf.DUMMYFUNCTION("""COMPUTED_VALUE"""),"")</f>
        <v/>
      </c>
      <c r="I24" s="12" t="str">
        <f>IFERROR(__xludf.DUMMYFUNCTION("""COMPUTED_VALUE"""),"")</f>
        <v/>
      </c>
      <c r="J24" s="13">
        <f t="shared" si="1"/>
        <v>43912</v>
      </c>
      <c r="K24" s="12" t="str">
        <f>IFERROR(IF(A24="","",if($G24="",Reference!$J$2, VLOOKUP($G24,Reference!$I$2:$J$1000,2,false))),"")</f>
        <v>Norman</v>
      </c>
      <c r="L24" s="12" t="str">
        <f>IF(A24="","", IF(F24="",Reference!$M$2,F24))</f>
        <v>Hario V60</v>
      </c>
      <c r="M24" s="14">
        <f t="shared" si="2"/>
        <v>0.002430555556</v>
      </c>
      <c r="N24" s="15">
        <f t="shared" si="3"/>
        <v>210</v>
      </c>
      <c r="O24" s="14">
        <f t="shared" si="4"/>
        <v>0</v>
      </c>
      <c r="P24" s="16" t="str">
        <f t="array" ref="P24">IF($A24="","", IFERROR(INDEX('BM Data'!$N:$N,MATCH($J24&amp; "-" &amp; $N24,'BM Data'!$O:$O,0),1),""))</f>
        <v/>
      </c>
      <c r="Q24" s="16" t="str">
        <f t="array" ref="Q24">IF($A24="","", IFERROR(INDEX('BM Data'!$J:$J,MATCH($J24&amp; "-" &amp; $N24,'BM Data'!$O:$O,0),1),""))</f>
        <v/>
      </c>
    </row>
    <row r="25">
      <c r="A25" s="10">
        <f>IFERROR(__xludf.DUMMYFUNCTION("""COMPUTED_VALUE"""),43912.56010368056)</f>
        <v>43912.5601</v>
      </c>
      <c r="B25" s="3" t="str">
        <f>IFERROR(__xludf.DUMMYFUNCTION("""COMPUTED_VALUE"""),"Tropical Weather (Onyx)")</f>
        <v>Tropical Weather (Onyx)</v>
      </c>
      <c r="C25" s="11">
        <f>IFERROR(__xludf.DUMMYFUNCTION("""COMPUTED_VALUE"""),20.0)</f>
        <v>20</v>
      </c>
      <c r="D25" s="11" t="str">
        <f>IFERROR(__xludf.DUMMYFUNCTION("""COMPUTED_VALUE"""),"3:37")</f>
        <v>3:37</v>
      </c>
      <c r="E25" s="11" t="str">
        <f>IFERROR(__xludf.DUMMYFUNCTION("""COMPUTED_VALUE"""),"Bitter")</f>
        <v>Bitter</v>
      </c>
      <c r="F25" s="11" t="str">
        <f>IFERROR(__xludf.DUMMYFUNCTION("""COMPUTED_VALUE"""),"")</f>
        <v/>
      </c>
      <c r="G25" s="11" t="str">
        <f>IFERROR(__xludf.DUMMYFUNCTION("""COMPUTED_VALUE"""),"")</f>
        <v/>
      </c>
      <c r="H25" s="12" t="str">
        <f>IFERROR(__xludf.DUMMYFUNCTION("""COMPUTED_VALUE"""),"Slower on earlier pours / Faster on later pours")</f>
        <v>Slower on earlier pours / Faster on later pours</v>
      </c>
      <c r="I25" s="12" t="str">
        <f>IFERROR(__xludf.DUMMYFUNCTION("""COMPUTED_VALUE"""),"")</f>
        <v/>
      </c>
      <c r="J25" s="13">
        <f t="shared" si="1"/>
        <v>43912</v>
      </c>
      <c r="K25" s="12" t="str">
        <f>IFERROR(IF(A25="","",if($G25="",Reference!$J$2, VLOOKUP($G25,Reference!$I$2:$J$1000,2,false))),"")</f>
        <v>Norman</v>
      </c>
      <c r="L25" s="12" t="str">
        <f>IF(A25="","", IF(F25="",Reference!$M$2,F25))</f>
        <v>Hario V60</v>
      </c>
      <c r="M25" s="14">
        <f t="shared" si="2"/>
        <v>0.002511574074</v>
      </c>
      <c r="N25" s="15">
        <f t="shared" si="3"/>
        <v>217</v>
      </c>
      <c r="O25" s="14">
        <f t="shared" si="4"/>
        <v>0.00008101851852</v>
      </c>
      <c r="P25" s="16" t="str">
        <f t="array" ref="P25">IF($A25="","", IFERROR(INDEX('BM Data'!$N:$N,MATCH($J25&amp; "-" &amp; $N25,'BM Data'!$O:$O,0),1),""))</f>
        <v/>
      </c>
      <c r="Q25" s="16" t="str">
        <f t="array" ref="Q25">IF($A25="","", IFERROR(INDEX('BM Data'!$J:$J,MATCH($J25&amp; "-" &amp; $N25,'BM Data'!$O:$O,0),1),""))</f>
        <v/>
      </c>
    </row>
    <row r="26">
      <c r="A26" s="10">
        <f>IFERROR(__xludf.DUMMYFUNCTION("""COMPUTED_VALUE"""),43912.56075665509)</f>
        <v>43912.56076</v>
      </c>
      <c r="B26" s="3" t="str">
        <f>IFERROR(__xludf.DUMMYFUNCTION("""COMPUTED_VALUE"""),"Tropical Weather (Onyx)")</f>
        <v>Tropical Weather (Onyx)</v>
      </c>
      <c r="C26" s="11">
        <f>IFERROR(__xludf.DUMMYFUNCTION("""COMPUTED_VALUE"""),20.0)</f>
        <v>20</v>
      </c>
      <c r="D26" s="11" t="str">
        <f>IFERROR(__xludf.DUMMYFUNCTION("""COMPUTED_VALUE"""),"3:32")</f>
        <v>3:32</v>
      </c>
      <c r="E26" s="11" t="str">
        <f>IFERROR(__xludf.DUMMYFUNCTION("""COMPUTED_VALUE"""),"Bitter")</f>
        <v>Bitter</v>
      </c>
      <c r="F26" s="11" t="str">
        <f>IFERROR(__xludf.DUMMYFUNCTION("""COMPUTED_VALUE"""),"")</f>
        <v/>
      </c>
      <c r="G26" s="11" t="str">
        <f>IFERROR(__xludf.DUMMYFUNCTION("""COMPUTED_VALUE"""),"")</f>
        <v/>
      </c>
      <c r="H26" s="12" t="str">
        <f>IFERROR(__xludf.DUMMYFUNCTION("""COMPUTED_VALUE"""),"Slower on earlier pours / Faster on later pours")</f>
        <v>Slower on earlier pours / Faster on later pours</v>
      </c>
      <c r="I26" s="12" t="str">
        <f>IFERROR(__xludf.DUMMYFUNCTION("""COMPUTED_VALUE"""),"")</f>
        <v/>
      </c>
      <c r="J26" s="13">
        <f t="shared" si="1"/>
        <v>43912</v>
      </c>
      <c r="K26" s="12" t="str">
        <f>IFERROR(IF(A26="","",if($G26="",Reference!$J$2, VLOOKUP($G26,Reference!$I$2:$J$1000,2,false))),"")</f>
        <v>Norman</v>
      </c>
      <c r="L26" s="12" t="str">
        <f>IF(A26="","", IF(F26="",Reference!$M$2,F26))</f>
        <v>Hario V60</v>
      </c>
      <c r="M26" s="14">
        <f t="shared" si="2"/>
        <v>0.002453703704</v>
      </c>
      <c r="N26" s="15">
        <f t="shared" si="3"/>
        <v>212</v>
      </c>
      <c r="O26" s="14">
        <f t="shared" si="4"/>
        <v>0.00002314814815</v>
      </c>
      <c r="P26" s="16" t="str">
        <f t="array" ref="P26">IF($A26="","", IFERROR(INDEX('BM Data'!$N:$N,MATCH($J26&amp; "-" &amp; $N26,'BM Data'!$O:$O,0),1),""))</f>
        <v/>
      </c>
      <c r="Q26" s="16" t="str">
        <f t="array" ref="Q26">IF($A26="","", IFERROR(INDEX('BM Data'!$J:$J,MATCH($J26&amp; "-" &amp; $N26,'BM Data'!$O:$O,0),1),""))</f>
        <v/>
      </c>
    </row>
    <row r="27">
      <c r="A27" s="10">
        <f>IFERROR(__xludf.DUMMYFUNCTION("""COMPUTED_VALUE"""),43912.56111819444)</f>
        <v>43912.56112</v>
      </c>
      <c r="B27" s="3" t="str">
        <f>IFERROR(__xludf.DUMMYFUNCTION("""COMPUTED_VALUE"""),"Tropical Weather (Onyx)")</f>
        <v>Tropical Weather (Onyx)</v>
      </c>
      <c r="C27" s="11">
        <f>IFERROR(__xludf.DUMMYFUNCTION("""COMPUTED_VALUE"""),20.0)</f>
        <v>20</v>
      </c>
      <c r="D27" s="11" t="str">
        <f>IFERROR(__xludf.DUMMYFUNCTION("""COMPUTED_VALUE"""),"3:37")</f>
        <v>3:37</v>
      </c>
      <c r="E27" s="11" t="str">
        <f>IFERROR(__xludf.DUMMYFUNCTION("""COMPUTED_VALUE"""),"Bitter")</f>
        <v>Bitter</v>
      </c>
      <c r="F27" s="11" t="str">
        <f>IFERROR(__xludf.DUMMYFUNCTION("""COMPUTED_VALUE"""),"")</f>
        <v/>
      </c>
      <c r="G27" s="11" t="str">
        <f>IFERROR(__xludf.DUMMYFUNCTION("""COMPUTED_VALUE"""),"")</f>
        <v/>
      </c>
      <c r="H27" s="12" t="str">
        <f>IFERROR(__xludf.DUMMYFUNCTION("""COMPUTED_VALUE"""),"Slower on earlier pours / Faster on later pours")</f>
        <v>Slower on earlier pours / Faster on later pours</v>
      </c>
      <c r="I27" s="12" t="str">
        <f>IFERROR(__xludf.DUMMYFUNCTION("""COMPUTED_VALUE"""),"")</f>
        <v/>
      </c>
      <c r="J27" s="13">
        <f t="shared" si="1"/>
        <v>43912</v>
      </c>
      <c r="K27" s="12" t="str">
        <f>IFERROR(IF(A27="","",if($G27="",Reference!$J$2, VLOOKUP($G27,Reference!$I$2:$J$1000,2,false))),"")</f>
        <v>Norman</v>
      </c>
      <c r="L27" s="12" t="str">
        <f>IF(A27="","", IF(F27="",Reference!$M$2,F27))</f>
        <v>Hario V60</v>
      </c>
      <c r="M27" s="14">
        <f t="shared" si="2"/>
        <v>0.002511574074</v>
      </c>
      <c r="N27" s="15">
        <f t="shared" si="3"/>
        <v>217</v>
      </c>
      <c r="O27" s="14">
        <f t="shared" si="4"/>
        <v>0.00008101851852</v>
      </c>
      <c r="P27" s="16" t="str">
        <f t="array" ref="P27">IF($A27="","", IFERROR(INDEX('BM Data'!$N:$N,MATCH($J27&amp; "-" &amp; $N27,'BM Data'!$O:$O,0),1),""))</f>
        <v/>
      </c>
      <c r="Q27" s="16" t="str">
        <f t="array" ref="Q27">IF($A27="","", IFERROR(INDEX('BM Data'!$J:$J,MATCH($J27&amp; "-" &amp; $N27,'BM Data'!$O:$O,0),1),""))</f>
        <v/>
      </c>
    </row>
    <row r="28">
      <c r="A28" s="10">
        <f>IFERROR(__xludf.DUMMYFUNCTION("""COMPUTED_VALUE"""),43912.56169579861)</f>
        <v>43912.5617</v>
      </c>
      <c r="B28" s="3" t="str">
        <f>IFERROR(__xludf.DUMMYFUNCTION("""COMPUTED_VALUE"""),"Columbia Cauca - Decaf (Onyx)")</f>
        <v>Columbia Cauca - Decaf (Onyx)</v>
      </c>
      <c r="C28" s="11">
        <f>IFERROR(__xludf.DUMMYFUNCTION("""COMPUTED_VALUE"""),17.0)</f>
        <v>17</v>
      </c>
      <c r="D28" s="11" t="str">
        <f>IFERROR(__xludf.DUMMYFUNCTION("""COMPUTED_VALUE"""),"4:10")</f>
        <v>4:10</v>
      </c>
      <c r="E28" s="11" t="str">
        <f>IFERROR(__xludf.DUMMYFUNCTION("""COMPUTED_VALUE"""),"Dark")</f>
        <v>Dark</v>
      </c>
      <c r="F28" s="11" t="str">
        <f>IFERROR(__xludf.DUMMYFUNCTION("""COMPUTED_VALUE"""),"")</f>
        <v/>
      </c>
      <c r="G28" s="11" t="str">
        <f>IFERROR(__xludf.DUMMYFUNCTION("""COMPUTED_VALUE"""),"")</f>
        <v/>
      </c>
      <c r="H28" s="12" t="str">
        <f>IFERROR(__xludf.DUMMYFUNCTION("""COMPUTED_VALUE"""),"")</f>
        <v/>
      </c>
      <c r="I28" s="12" t="str">
        <f>IFERROR(__xludf.DUMMYFUNCTION("""COMPUTED_VALUE"""),"")</f>
        <v/>
      </c>
      <c r="J28" s="13">
        <f t="shared" si="1"/>
        <v>43912</v>
      </c>
      <c r="K28" s="12" t="str">
        <f>IFERROR(IF(A28="","",if($G28="",Reference!$J$2, VLOOKUP($G28,Reference!$I$2:$J$1000,2,false))),"")</f>
        <v>Norman</v>
      </c>
      <c r="L28" s="12" t="str">
        <f>IF(A28="","", IF(F28="",Reference!$M$2,F28))</f>
        <v>Hario V60</v>
      </c>
      <c r="M28" s="14">
        <f t="shared" si="2"/>
        <v>0.002893518519</v>
      </c>
      <c r="N28" s="15">
        <f t="shared" si="3"/>
        <v>250</v>
      </c>
      <c r="O28" s="14">
        <f t="shared" si="4"/>
        <v>0.000462962963</v>
      </c>
      <c r="P28" s="16" t="str">
        <f t="array" ref="P28">IF($A28="","", IFERROR(INDEX('BM Data'!$N:$N,MATCH($J28&amp; "-" &amp; $N28,'BM Data'!$O:$O,0),1),""))</f>
        <v/>
      </c>
      <c r="Q28" s="16" t="str">
        <f t="array" ref="Q28">IF($A28="","", IFERROR(INDEX('BM Data'!$J:$J,MATCH($J28&amp; "-" &amp; $N28,'BM Data'!$O:$O,0),1),""))</f>
        <v/>
      </c>
    </row>
    <row r="29">
      <c r="A29" s="10">
        <f>IFERROR(__xludf.DUMMYFUNCTION("""COMPUTED_VALUE"""),43912.56266232639)</f>
        <v>43912.56266</v>
      </c>
      <c r="B29" s="3" t="str">
        <f>IFERROR(__xludf.DUMMYFUNCTION("""COMPUTED_VALUE"""),"Columbia Cauca - Decaf (Onyx)")</f>
        <v>Columbia Cauca - Decaf (Onyx)</v>
      </c>
      <c r="C29" s="11">
        <f>IFERROR(__xludf.DUMMYFUNCTION("""COMPUTED_VALUE"""),21.0)</f>
        <v>21</v>
      </c>
      <c r="D29" s="11" t="str">
        <f>IFERROR(__xludf.DUMMYFUNCTION("""COMPUTED_VALUE"""),"3:40")</f>
        <v>3:40</v>
      </c>
      <c r="E29" s="11" t="str">
        <f>IFERROR(__xludf.DUMMYFUNCTION("""COMPUTED_VALUE"""),"Bitter")</f>
        <v>Bitter</v>
      </c>
      <c r="F29" s="11" t="str">
        <f>IFERROR(__xludf.DUMMYFUNCTION("""COMPUTED_VALUE"""),"")</f>
        <v/>
      </c>
      <c r="G29" s="11" t="str">
        <f>IFERROR(__xludf.DUMMYFUNCTION("""COMPUTED_VALUE"""),"")</f>
        <v/>
      </c>
      <c r="H29" s="12" t="str">
        <f>IFERROR(__xludf.DUMMYFUNCTION("""COMPUTED_VALUE"""),"")</f>
        <v/>
      </c>
      <c r="I29" s="12" t="str">
        <f>IFERROR(__xludf.DUMMYFUNCTION("""COMPUTED_VALUE"""),"")</f>
        <v/>
      </c>
      <c r="J29" s="13">
        <f t="shared" si="1"/>
        <v>43912</v>
      </c>
      <c r="K29" s="12" t="str">
        <f>IFERROR(IF(A29="","",if($G29="",Reference!$J$2, VLOOKUP($G29,Reference!$I$2:$J$1000,2,false))),"")</f>
        <v>Norman</v>
      </c>
      <c r="L29" s="12" t="str">
        <f>IF(A29="","", IF(F29="",Reference!$M$2,F29))</f>
        <v>Hario V60</v>
      </c>
      <c r="M29" s="14">
        <f t="shared" si="2"/>
        <v>0.002546296296</v>
      </c>
      <c r="N29" s="15">
        <f t="shared" si="3"/>
        <v>220</v>
      </c>
      <c r="O29" s="14">
        <f t="shared" si="4"/>
        <v>0.0001157407407</v>
      </c>
      <c r="P29" s="16" t="str">
        <f t="array" ref="P29">IF($A29="","", IFERROR(INDEX('BM Data'!$N:$N,MATCH($J29&amp; "-" &amp; $N29,'BM Data'!$O:$O,0),1),""))</f>
        <v/>
      </c>
      <c r="Q29" s="16" t="str">
        <f t="array" ref="Q29">IF($A29="","", IFERROR(INDEX('BM Data'!$J:$J,MATCH($J29&amp; "-" &amp; $N29,'BM Data'!$O:$O,0),1),""))</f>
        <v/>
      </c>
    </row>
    <row r="30">
      <c r="A30" s="10">
        <f>IFERROR(__xludf.DUMMYFUNCTION("""COMPUTED_VALUE"""),43912.56313701389)</f>
        <v>43912.56314</v>
      </c>
      <c r="B30" s="3" t="str">
        <f>IFERROR(__xludf.DUMMYFUNCTION("""COMPUTED_VALUE"""),"Columbia Cauca - Decaf (Onyx)")</f>
        <v>Columbia Cauca - Decaf (Onyx)</v>
      </c>
      <c r="C30" s="11">
        <f>IFERROR(__xludf.DUMMYFUNCTION("""COMPUTED_VALUE"""),22.0)</f>
        <v>22</v>
      </c>
      <c r="D30" s="11" t="str">
        <f>IFERROR(__xludf.DUMMYFUNCTION("""COMPUTED_VALUE"""),"3:30")</f>
        <v>3:30</v>
      </c>
      <c r="E30" s="11" t="str">
        <f>IFERROR(__xludf.DUMMYFUNCTION("""COMPUTED_VALUE"""),"Bitter")</f>
        <v>Bitter</v>
      </c>
      <c r="F30" s="11" t="str">
        <f>IFERROR(__xludf.DUMMYFUNCTION("""COMPUTED_VALUE"""),"")</f>
        <v/>
      </c>
      <c r="G30" s="11" t="str">
        <f>IFERROR(__xludf.DUMMYFUNCTION("""COMPUTED_VALUE"""),"")</f>
        <v/>
      </c>
      <c r="H30" s="12" t="str">
        <f>IFERROR(__xludf.DUMMYFUNCTION("""COMPUTED_VALUE"""),"Slower on earlier pours / Faster on later pours")</f>
        <v>Slower on earlier pours / Faster on later pours</v>
      </c>
      <c r="I30" s="12" t="str">
        <f>IFERROR(__xludf.DUMMYFUNCTION("""COMPUTED_VALUE"""),"")</f>
        <v/>
      </c>
      <c r="J30" s="13">
        <f t="shared" si="1"/>
        <v>43912</v>
      </c>
      <c r="K30" s="12" t="str">
        <f>IFERROR(IF(A30="","",if($G30="",Reference!$J$2, VLOOKUP($G30,Reference!$I$2:$J$1000,2,false))),"")</f>
        <v>Norman</v>
      </c>
      <c r="L30" s="12" t="str">
        <f>IF(A30="","", IF(F30="",Reference!$M$2,F30))</f>
        <v>Hario V60</v>
      </c>
      <c r="M30" s="14">
        <f t="shared" si="2"/>
        <v>0.002430555556</v>
      </c>
      <c r="N30" s="15">
        <f t="shared" si="3"/>
        <v>210</v>
      </c>
      <c r="O30" s="14">
        <f t="shared" si="4"/>
        <v>0</v>
      </c>
      <c r="P30" s="16" t="str">
        <f t="array" ref="P30">IF($A30="","", IFERROR(INDEX('BM Data'!$N:$N,MATCH($J30&amp; "-" &amp; $N30,'BM Data'!$O:$O,0),1),""))</f>
        <v/>
      </c>
      <c r="Q30" s="16" t="str">
        <f t="array" ref="Q30">IF($A30="","", IFERROR(INDEX('BM Data'!$J:$J,MATCH($J30&amp; "-" &amp; $N30,'BM Data'!$O:$O,0),1),""))</f>
        <v/>
      </c>
    </row>
    <row r="31">
      <c r="A31" s="10">
        <f>IFERROR(__xludf.DUMMYFUNCTION("""COMPUTED_VALUE"""),43912.56347792824)</f>
        <v>43912.56348</v>
      </c>
      <c r="B31" s="3" t="str">
        <f>IFERROR(__xludf.DUMMYFUNCTION("""COMPUTED_VALUE"""),"Columbia Cauca - Decaf (Onyx)")</f>
        <v>Columbia Cauca - Decaf (Onyx)</v>
      </c>
      <c r="C31" s="11">
        <f>IFERROR(__xludf.DUMMYFUNCTION("""COMPUTED_VALUE"""),22.0)</f>
        <v>22</v>
      </c>
      <c r="D31" s="11" t="str">
        <f>IFERROR(__xludf.DUMMYFUNCTION("""COMPUTED_VALUE"""),"3:40")</f>
        <v>3:40</v>
      </c>
      <c r="E31" s="11" t="str">
        <f>IFERROR(__xludf.DUMMYFUNCTION("""COMPUTED_VALUE"""),"Bitter")</f>
        <v>Bitter</v>
      </c>
      <c r="F31" s="11" t="str">
        <f>IFERROR(__xludf.DUMMYFUNCTION("""COMPUTED_VALUE"""),"")</f>
        <v/>
      </c>
      <c r="G31" s="11" t="str">
        <f>IFERROR(__xludf.DUMMYFUNCTION("""COMPUTED_VALUE"""),"Brewed in Ada")</f>
        <v>Brewed in Ada</v>
      </c>
      <c r="H31" s="12" t="str">
        <f>IFERROR(__xludf.DUMMYFUNCTION("""COMPUTED_VALUE"""),"Slower on earlier pours / Faster on later pours")</f>
        <v>Slower on earlier pours / Faster on later pours</v>
      </c>
      <c r="I31" s="12" t="str">
        <f>IFERROR(__xludf.DUMMYFUNCTION("""COMPUTED_VALUE"""),"")</f>
        <v/>
      </c>
      <c r="J31" s="13">
        <f t="shared" si="1"/>
        <v>43912</v>
      </c>
      <c r="K31" s="12" t="str">
        <f>IFERROR(IF(A31="","",if($G31="",Reference!$J$2, VLOOKUP($G31,Reference!$I$2:$J$1000,2,false))),"")</f>
        <v>Ada</v>
      </c>
      <c r="L31" s="12" t="str">
        <f>IF(A31="","", IF(F31="",Reference!$M$2,F31))</f>
        <v>Hario V60</v>
      </c>
      <c r="M31" s="14">
        <f t="shared" si="2"/>
        <v>0.002546296296</v>
      </c>
      <c r="N31" s="15">
        <f t="shared" si="3"/>
        <v>220</v>
      </c>
      <c r="O31" s="14">
        <f t="shared" si="4"/>
        <v>0.0001157407407</v>
      </c>
      <c r="P31" s="16" t="str">
        <f t="array" ref="P31">IF($A31="","", IFERROR(INDEX('BM Data'!$N:$N,MATCH($J31&amp; "-" &amp; $N31,'BM Data'!$O:$O,0),1),""))</f>
        <v/>
      </c>
      <c r="Q31" s="16" t="str">
        <f t="array" ref="Q31">IF($A31="","", IFERROR(INDEX('BM Data'!$J:$J,MATCH($J31&amp; "-" &amp; $N31,'BM Data'!$O:$O,0),1),""))</f>
        <v/>
      </c>
    </row>
    <row r="32">
      <c r="A32" s="10">
        <f>IFERROR(__xludf.DUMMYFUNCTION("""COMPUTED_VALUE"""),43912.564117893526)</f>
        <v>43912.56412</v>
      </c>
      <c r="B32" s="3" t="str">
        <f>IFERROR(__xludf.DUMMYFUNCTION("""COMPUTED_VALUE"""),"Monarch (Onyx)")</f>
        <v>Monarch (Onyx)</v>
      </c>
      <c r="C32" s="11">
        <f>IFERROR(__xludf.DUMMYFUNCTION("""COMPUTED_VALUE"""),18.0)</f>
        <v>18</v>
      </c>
      <c r="D32" s="11" t="str">
        <f>IFERROR(__xludf.DUMMYFUNCTION("""COMPUTED_VALUE"""),"3:50")</f>
        <v>3:50</v>
      </c>
      <c r="E32" s="11" t="str">
        <f>IFERROR(__xludf.DUMMYFUNCTION("""COMPUTED_VALUE"""),"No Taste")</f>
        <v>No Taste</v>
      </c>
      <c r="F32" s="11" t="str">
        <f>IFERROR(__xludf.DUMMYFUNCTION("""COMPUTED_VALUE"""),"")</f>
        <v/>
      </c>
      <c r="G32" s="11" t="str">
        <f>IFERROR(__xludf.DUMMYFUNCTION("""COMPUTED_VALUE"""),"")</f>
        <v/>
      </c>
      <c r="H32" s="12" t="str">
        <f>IFERROR(__xludf.DUMMYFUNCTION("""COMPUTED_VALUE"""),"")</f>
        <v/>
      </c>
      <c r="I32" s="12" t="str">
        <f>IFERROR(__xludf.DUMMYFUNCTION("""COMPUTED_VALUE"""),"")</f>
        <v/>
      </c>
      <c r="J32" s="13">
        <f t="shared" si="1"/>
        <v>43912</v>
      </c>
      <c r="K32" s="12" t="str">
        <f>IFERROR(IF(A32="","",if($G32="",Reference!$J$2, VLOOKUP($G32,Reference!$I$2:$J$1000,2,false))),"")</f>
        <v>Norman</v>
      </c>
      <c r="L32" s="12" t="str">
        <f>IF(A32="","", IF(F32="",Reference!$M$2,F32))</f>
        <v>Hario V60</v>
      </c>
      <c r="M32" s="14">
        <f t="shared" si="2"/>
        <v>0.002662037037</v>
      </c>
      <c r="N32" s="15">
        <f t="shared" si="3"/>
        <v>230</v>
      </c>
      <c r="O32" s="14">
        <f t="shared" si="4"/>
        <v>0.0002314814815</v>
      </c>
      <c r="P32" s="16" t="str">
        <f t="array" ref="P32">IF($A32="","", IFERROR(INDEX('BM Data'!$N:$N,MATCH($J32&amp; "-" &amp; $N32,'BM Data'!$O:$O,0),1),""))</f>
        <v/>
      </c>
      <c r="Q32" s="16" t="str">
        <f t="array" ref="Q32">IF($A32="","", IFERROR(INDEX('BM Data'!$J:$J,MATCH($J32&amp; "-" &amp; $N32,'BM Data'!$O:$O,0),1),""))</f>
        <v/>
      </c>
    </row>
    <row r="33">
      <c r="A33" s="10">
        <f>IFERROR(__xludf.DUMMYFUNCTION("""COMPUTED_VALUE"""),43912.566841990745)</f>
        <v>43912.56684</v>
      </c>
      <c r="B33" s="3" t="str">
        <f>IFERROR(__xludf.DUMMYFUNCTION("""COMPUTED_VALUE"""),"Puru Vilcanzia (Onyx)")</f>
        <v>Puru Vilcanzia (Onyx)</v>
      </c>
      <c r="C33" s="11">
        <f>IFERROR(__xludf.DUMMYFUNCTION("""COMPUTED_VALUE"""),19.0)</f>
        <v>19</v>
      </c>
      <c r="D33" s="11" t="str">
        <f>IFERROR(__xludf.DUMMYFUNCTION("""COMPUTED_VALUE"""),"3:45")</f>
        <v>3:45</v>
      </c>
      <c r="E33" s="11" t="str">
        <f>IFERROR(__xludf.DUMMYFUNCTION("""COMPUTED_VALUE"""),"Dark")</f>
        <v>Dark</v>
      </c>
      <c r="F33" s="11" t="str">
        <f>IFERROR(__xludf.DUMMYFUNCTION("""COMPUTED_VALUE"""),"")</f>
        <v/>
      </c>
      <c r="G33" s="11" t="str">
        <f>IFERROR(__xludf.DUMMYFUNCTION("""COMPUTED_VALUE"""),"Mistake in Brewing Process")</f>
        <v>Mistake in Brewing Process</v>
      </c>
      <c r="H33" s="12" t="str">
        <f>IFERROR(__xludf.DUMMYFUNCTION("""COMPUTED_VALUE"""),"")</f>
        <v/>
      </c>
      <c r="I33" s="12" t="str">
        <f>IFERROR(__xludf.DUMMYFUNCTION("""COMPUTED_VALUE"""),"")</f>
        <v/>
      </c>
      <c r="J33" s="13">
        <f t="shared" si="1"/>
        <v>43912</v>
      </c>
      <c r="K33" s="12" t="str">
        <f>IFERROR(IF(A33="","",if($G33="",Reference!$J$2, VLOOKUP($G33,Reference!$I$2:$J$1000,2,false))),"")</f>
        <v>Mistake in Brewing Process</v>
      </c>
      <c r="L33" s="12" t="str">
        <f>IF(A33="","", IF(F33="",Reference!$M$2,F33))</f>
        <v>Hario V60</v>
      </c>
      <c r="M33" s="14">
        <f t="shared" si="2"/>
        <v>0.002604166667</v>
      </c>
      <c r="N33" s="15">
        <f t="shared" si="3"/>
        <v>225</v>
      </c>
      <c r="O33" s="14">
        <f t="shared" si="4"/>
        <v>0.0001736111111</v>
      </c>
      <c r="P33" s="16" t="str">
        <f t="array" ref="P33">IF($A33="","", IFERROR(INDEX('BM Data'!$N:$N,MATCH($J33&amp; "-" &amp; $N33,'BM Data'!$O:$O,0),1),""))</f>
        <v/>
      </c>
      <c r="Q33" s="16" t="str">
        <f t="array" ref="Q33">IF($A33="","", IFERROR(INDEX('BM Data'!$J:$J,MATCH($J33&amp; "-" &amp; $N33,'BM Data'!$O:$O,0),1),""))</f>
        <v/>
      </c>
    </row>
    <row r="34">
      <c r="A34" s="10">
        <f>IFERROR(__xludf.DUMMYFUNCTION("""COMPUTED_VALUE"""),43913.42453063658)</f>
        <v>43913.42453</v>
      </c>
      <c r="B34" s="3" t="str">
        <f>IFERROR(__xludf.DUMMYFUNCTION("""COMPUTED_VALUE"""),"Monarch (Onyx)")</f>
        <v>Monarch (Onyx)</v>
      </c>
      <c r="C34" s="11">
        <f>IFERROR(__xludf.DUMMYFUNCTION("""COMPUTED_VALUE"""),20.0)</f>
        <v>20</v>
      </c>
      <c r="D34" s="11" t="str">
        <f>IFERROR(__xludf.DUMMYFUNCTION("""COMPUTED_VALUE"""),"3:55")</f>
        <v>3:55</v>
      </c>
      <c r="E34" s="11" t="str">
        <f>IFERROR(__xludf.DUMMYFUNCTION("""COMPUTED_VALUE"""),"Bitter")</f>
        <v>Bitter</v>
      </c>
      <c r="F34" s="11" t="str">
        <f>IFERROR(__xludf.DUMMYFUNCTION("""COMPUTED_VALUE"""),"")</f>
        <v/>
      </c>
      <c r="G34" s="11" t="str">
        <f>IFERROR(__xludf.DUMMYFUNCTION("""COMPUTED_VALUE"""),"Brewed in Ada")</f>
        <v>Brewed in Ada</v>
      </c>
      <c r="H34" s="12" t="str">
        <f>IFERROR(__xludf.DUMMYFUNCTION("""COMPUTED_VALUE"""),"Slower on earlier pours / Faster on later pours")</f>
        <v>Slower on earlier pours / Faster on later pours</v>
      </c>
      <c r="I34" s="12" t="str">
        <f>IFERROR(__xludf.DUMMYFUNCTION("""COMPUTED_VALUE"""),"")</f>
        <v/>
      </c>
      <c r="J34" s="13">
        <f t="shared" si="1"/>
        <v>43913</v>
      </c>
      <c r="K34" s="12" t="str">
        <f>IFERROR(IF(A34="","",if($G34="",Reference!$J$2, VLOOKUP($G34,Reference!$I$2:$J$1000,2,false))),"")</f>
        <v>Ada</v>
      </c>
      <c r="L34" s="12" t="str">
        <f>IF(A34="","", IF(F34="",Reference!$M$2,F34))</f>
        <v>Hario V60</v>
      </c>
      <c r="M34" s="14">
        <f t="shared" si="2"/>
        <v>0.002719907407</v>
      </c>
      <c r="N34" s="15">
        <f t="shared" si="3"/>
        <v>235</v>
      </c>
      <c r="O34" s="14">
        <f t="shared" si="4"/>
        <v>0.0002893518519</v>
      </c>
      <c r="P34" s="16" t="str">
        <f t="array" ref="P34">IF($A34="","", IFERROR(INDEX('BM Data'!$N:$N,MATCH($J34&amp; "-" &amp; $N34,'BM Data'!$O:$O,0),1),""))</f>
        <v/>
      </c>
      <c r="Q34" s="16" t="str">
        <f t="array" ref="Q34">IF($A34="","", IFERROR(INDEX('BM Data'!$J:$J,MATCH($J34&amp; "-" &amp; $N34,'BM Data'!$O:$O,0),1),""))</f>
        <v/>
      </c>
    </row>
    <row r="35">
      <c r="A35" s="10">
        <f>IFERROR(__xludf.DUMMYFUNCTION("""COMPUTED_VALUE"""),43914.37918497685)</f>
        <v>43914.37918</v>
      </c>
      <c r="B35" s="3" t="str">
        <f>IFERROR(__xludf.DUMMYFUNCTION("""COMPUTED_VALUE"""),"Puru Vilcanzia (Onyx)")</f>
        <v>Puru Vilcanzia (Onyx)</v>
      </c>
      <c r="C35" s="11">
        <f>IFERROR(__xludf.DUMMYFUNCTION("""COMPUTED_VALUE"""),22.0)</f>
        <v>22</v>
      </c>
      <c r="D35" s="11" t="str">
        <f>IFERROR(__xludf.DUMMYFUNCTION("""COMPUTED_VALUE"""),"3:40")</f>
        <v>3:40</v>
      </c>
      <c r="E35" s="11" t="str">
        <f>IFERROR(__xludf.DUMMYFUNCTION("""COMPUTED_VALUE"""),"Bitter")</f>
        <v>Bitter</v>
      </c>
      <c r="F35" s="11" t="str">
        <f>IFERROR(__xludf.DUMMYFUNCTION("""COMPUTED_VALUE"""),"")</f>
        <v/>
      </c>
      <c r="G35" s="11" t="str">
        <f>IFERROR(__xludf.DUMMYFUNCTION("""COMPUTED_VALUE"""),"Brewed in Ada")</f>
        <v>Brewed in Ada</v>
      </c>
      <c r="H35" s="12" t="str">
        <f>IFERROR(__xludf.DUMMYFUNCTION("""COMPUTED_VALUE"""),"")</f>
        <v/>
      </c>
      <c r="I35" s="12" t="str">
        <f>IFERROR(__xludf.DUMMYFUNCTION("""COMPUTED_VALUE"""),"")</f>
        <v/>
      </c>
      <c r="J35" s="13">
        <f t="shared" si="1"/>
        <v>43914</v>
      </c>
      <c r="K35" s="12" t="str">
        <f>IFERROR(IF(A35="","",if($G35="",Reference!$J$2, VLOOKUP($G35,Reference!$I$2:$J$1000,2,false))),"")</f>
        <v>Ada</v>
      </c>
      <c r="L35" s="12" t="str">
        <f>IF(A35="","", IF(F35="",Reference!$M$2,F35))</f>
        <v>Hario V60</v>
      </c>
      <c r="M35" s="14">
        <f t="shared" si="2"/>
        <v>0.002546296296</v>
      </c>
      <c r="N35" s="15">
        <f t="shared" si="3"/>
        <v>220</v>
      </c>
      <c r="O35" s="14">
        <f t="shared" si="4"/>
        <v>0.0001157407407</v>
      </c>
      <c r="P35" s="16" t="str">
        <f t="array" ref="P35">IF($A35="","", IFERROR(INDEX('BM Data'!$N:$N,MATCH($J35&amp; "-" &amp; $N35,'BM Data'!$O:$O,0),1),""))</f>
        <v/>
      </c>
      <c r="Q35" s="16" t="str">
        <f t="array" ref="Q35">IF($A35="","", IFERROR(INDEX('BM Data'!$J:$J,MATCH($J35&amp; "-" &amp; $N35,'BM Data'!$O:$O,0),1),""))</f>
        <v/>
      </c>
    </row>
    <row r="36">
      <c r="A36" s="10">
        <f>IFERROR(__xludf.DUMMYFUNCTION("""COMPUTED_VALUE"""),43915.88899431713)</f>
        <v>43915.88899</v>
      </c>
      <c r="B36" s="3" t="str">
        <f>IFERROR(__xludf.DUMMYFUNCTION("""COMPUTED_VALUE"""),"Southern Weather (Onyx)")</f>
        <v>Southern Weather (Onyx)</v>
      </c>
      <c r="C36" s="11">
        <f>IFERROR(__xludf.DUMMYFUNCTION("""COMPUTED_VALUE"""),18.0)</f>
        <v>18</v>
      </c>
      <c r="D36" s="11" t="str">
        <f>IFERROR(__xludf.DUMMYFUNCTION("""COMPUTED_VALUE"""),"3:45")</f>
        <v>3:45</v>
      </c>
      <c r="E36" s="11" t="str">
        <f>IFERROR(__xludf.DUMMYFUNCTION("""COMPUTED_VALUE"""),"Bitter")</f>
        <v>Bitter</v>
      </c>
      <c r="F36" s="11" t="str">
        <f>IFERROR(__xludf.DUMMYFUNCTION("""COMPUTED_VALUE"""),"")</f>
        <v/>
      </c>
      <c r="G36" s="11" t="str">
        <f>IFERROR(__xludf.DUMMYFUNCTION("""COMPUTED_VALUE"""),"Brewed in Ada")</f>
        <v>Brewed in Ada</v>
      </c>
      <c r="H36" s="12" t="str">
        <f>IFERROR(__xludf.DUMMYFUNCTION("""COMPUTED_VALUE"""),"Slower on earlier pours / Faster on later pours")</f>
        <v>Slower on earlier pours / Faster on later pours</v>
      </c>
      <c r="I36" s="12" t="str">
        <f>IFERROR(__xludf.DUMMYFUNCTION("""COMPUTED_VALUE"""),"")</f>
        <v/>
      </c>
      <c r="J36" s="13">
        <f t="shared" si="1"/>
        <v>43915</v>
      </c>
      <c r="K36" s="12" t="str">
        <f>IFERROR(IF(A36="","",if($G36="",Reference!$J$2, VLOOKUP($G36,Reference!$I$2:$J$1000,2,false))),"")</f>
        <v>Ada</v>
      </c>
      <c r="L36" s="12" t="str">
        <f>IF(A36="","", IF(F36="",Reference!$M$2,F36))</f>
        <v>Hario V60</v>
      </c>
      <c r="M36" s="14">
        <f t="shared" si="2"/>
        <v>0.002604166667</v>
      </c>
      <c r="N36" s="15">
        <f t="shared" si="3"/>
        <v>225</v>
      </c>
      <c r="O36" s="14">
        <f t="shared" si="4"/>
        <v>0.0001736111111</v>
      </c>
      <c r="P36" s="16" t="str">
        <f t="array" ref="P36">IF($A36="","", IFERROR(INDEX('BM Data'!$N:$N,MATCH($J36&amp; "-" &amp; $N36,'BM Data'!$O:$O,0),1),""))</f>
        <v/>
      </c>
      <c r="Q36" s="16" t="str">
        <f t="array" ref="Q36">IF($A36="","", IFERROR(INDEX('BM Data'!$J:$J,MATCH($J36&amp; "-" &amp; $N36,'BM Data'!$O:$O,0),1),""))</f>
        <v/>
      </c>
    </row>
    <row r="37">
      <c r="A37" s="10">
        <f>IFERROR(__xludf.DUMMYFUNCTION("""COMPUTED_VALUE"""),43916.42693097222)</f>
        <v>43916.42693</v>
      </c>
      <c r="B37" s="3" t="str">
        <f>IFERROR(__xludf.DUMMYFUNCTION("""COMPUTED_VALUE"""),"Monarch (Onyx)")</f>
        <v>Monarch (Onyx)</v>
      </c>
      <c r="C37" s="11">
        <f>IFERROR(__xludf.DUMMYFUNCTION("""COMPUTED_VALUE"""),22.0)</f>
        <v>22</v>
      </c>
      <c r="D37" s="11" t="str">
        <f>IFERROR(__xludf.DUMMYFUNCTION("""COMPUTED_VALUE"""),"3:35")</f>
        <v>3:35</v>
      </c>
      <c r="E37" s="11" t="str">
        <f>IFERROR(__xludf.DUMMYFUNCTION("""COMPUTED_VALUE"""),"Weak")</f>
        <v>Weak</v>
      </c>
      <c r="F37" s="11" t="str">
        <f>IFERROR(__xludf.DUMMYFUNCTION("""COMPUTED_VALUE"""),"")</f>
        <v/>
      </c>
      <c r="G37" s="11" t="str">
        <f>IFERROR(__xludf.DUMMYFUNCTION("""COMPUTED_VALUE"""),"Brewed in Ada")</f>
        <v>Brewed in Ada</v>
      </c>
      <c r="H37" s="12" t="str">
        <f>IFERROR(__xludf.DUMMYFUNCTION("""COMPUTED_VALUE"""),"Go down in Grind Size / Increase flow rate")</f>
        <v>Go down in Grind Size / Increase flow rate</v>
      </c>
      <c r="I37" s="12" t="str">
        <f>IFERROR(__xludf.DUMMYFUNCTION("""COMPUTED_VALUE"""),"")</f>
        <v/>
      </c>
      <c r="J37" s="13">
        <f t="shared" si="1"/>
        <v>43916</v>
      </c>
      <c r="K37" s="12" t="str">
        <f>IFERROR(IF(A37="","",if($G37="",Reference!$J$2, VLOOKUP($G37,Reference!$I$2:$J$1000,2,false))),"")</f>
        <v>Ada</v>
      </c>
      <c r="L37" s="12" t="str">
        <f>IF(A37="","", IF(F37="",Reference!$M$2,F37))</f>
        <v>Hario V60</v>
      </c>
      <c r="M37" s="14">
        <f t="shared" si="2"/>
        <v>0.002488425926</v>
      </c>
      <c r="N37" s="15">
        <f t="shared" si="3"/>
        <v>215</v>
      </c>
      <c r="O37" s="14">
        <f t="shared" si="4"/>
        <v>0.00005787037037</v>
      </c>
      <c r="P37" s="16" t="str">
        <f t="array" ref="P37">IF($A37="","", IFERROR(INDEX('BM Data'!$N:$N,MATCH($J37&amp; "-" &amp; $N37,'BM Data'!$O:$O,0),1),""))</f>
        <v/>
      </c>
      <c r="Q37" s="16" t="str">
        <f t="array" ref="Q37">IF($A37="","", IFERROR(INDEX('BM Data'!$J:$J,MATCH($J37&amp; "-" &amp; $N37,'BM Data'!$O:$O,0),1),""))</f>
        <v/>
      </c>
    </row>
    <row r="38">
      <c r="A38" s="10">
        <f>IFERROR(__xludf.DUMMYFUNCTION("""COMPUTED_VALUE"""),43917.3827087037)</f>
        <v>43917.38271</v>
      </c>
      <c r="B38" s="3" t="str">
        <f>IFERROR(__xludf.DUMMYFUNCTION("""COMPUTED_VALUE"""),"Puru Vilcanzia (Onyx)")</f>
        <v>Puru Vilcanzia (Onyx)</v>
      </c>
      <c r="C38" s="11">
        <f>IFERROR(__xludf.DUMMYFUNCTION("""COMPUTED_VALUE"""),23.0)</f>
        <v>23</v>
      </c>
      <c r="D38" s="11" t="str">
        <f>IFERROR(__xludf.DUMMYFUNCTION("""COMPUTED_VALUE"""),"3:35")</f>
        <v>3:35</v>
      </c>
      <c r="E38" s="11" t="str">
        <f>IFERROR(__xludf.DUMMYFUNCTION("""COMPUTED_VALUE"""),"Sweet")</f>
        <v>Sweet</v>
      </c>
      <c r="F38" s="11" t="str">
        <f>IFERROR(__xludf.DUMMYFUNCTION("""COMPUTED_VALUE"""),"")</f>
        <v/>
      </c>
      <c r="G38" s="11" t="str">
        <f>IFERROR(__xludf.DUMMYFUNCTION("""COMPUTED_VALUE"""),"Brewed in Ada")</f>
        <v>Brewed in Ada</v>
      </c>
      <c r="H38" s="12" t="str">
        <f>IFERROR(__xludf.DUMMYFUNCTION("""COMPUTED_VALUE"""),"Slower on earlier pours / Faster on later pours")</f>
        <v>Slower on earlier pours / Faster on later pours</v>
      </c>
      <c r="I38" s="12" t="str">
        <f>IFERROR(__xludf.DUMMYFUNCTION("""COMPUTED_VALUE"""),"")</f>
        <v/>
      </c>
      <c r="J38" s="13">
        <f t="shared" si="1"/>
        <v>43917</v>
      </c>
      <c r="K38" s="12" t="str">
        <f>IFERROR(IF(A38="","",if($G38="",Reference!$J$2, VLOOKUP($G38,Reference!$I$2:$J$1000,2,false))),"")</f>
        <v>Ada</v>
      </c>
      <c r="L38" s="12" t="str">
        <f>IF(A38="","", IF(F38="",Reference!$M$2,F38))</f>
        <v>Hario V60</v>
      </c>
      <c r="M38" s="14">
        <f t="shared" si="2"/>
        <v>0.002488425926</v>
      </c>
      <c r="N38" s="15">
        <f t="shared" si="3"/>
        <v>215</v>
      </c>
      <c r="O38" s="14">
        <f t="shared" si="4"/>
        <v>0.00005787037037</v>
      </c>
      <c r="P38" s="16" t="str">
        <f t="array" ref="P38">IF($A38="","", IFERROR(INDEX('BM Data'!$N:$N,MATCH($J38&amp; "-" &amp; $N38,'BM Data'!$O:$O,0),1),""))</f>
        <v/>
      </c>
      <c r="Q38" s="16" t="str">
        <f t="array" ref="Q38">IF($A38="","", IFERROR(INDEX('BM Data'!$J:$J,MATCH($J38&amp; "-" &amp; $N38,'BM Data'!$O:$O,0),1),""))</f>
        <v/>
      </c>
    </row>
    <row r="39">
      <c r="A39" s="10">
        <f>IFERROR(__xludf.DUMMYFUNCTION("""COMPUTED_VALUE"""),43918.44319134259)</f>
        <v>43918.44319</v>
      </c>
      <c r="B39" s="3" t="str">
        <f>IFERROR(__xludf.DUMMYFUNCTION("""COMPUTED_VALUE"""),"Southern Weather (Onyx)")</f>
        <v>Southern Weather (Onyx)</v>
      </c>
      <c r="C39" s="11">
        <f>IFERROR(__xludf.DUMMYFUNCTION("""COMPUTED_VALUE"""),19.0)</f>
        <v>19</v>
      </c>
      <c r="D39" s="11" t="str">
        <f>IFERROR(__xludf.DUMMYFUNCTION("""COMPUTED_VALUE"""),"3:35")</f>
        <v>3:35</v>
      </c>
      <c r="E39" s="11" t="str">
        <f>IFERROR(__xludf.DUMMYFUNCTION("""COMPUTED_VALUE"""),"Sweet")</f>
        <v>Sweet</v>
      </c>
      <c r="F39" s="11" t="str">
        <f>IFERROR(__xludf.DUMMYFUNCTION("""COMPUTED_VALUE"""),"")</f>
        <v/>
      </c>
      <c r="G39" s="11" t="str">
        <f>IFERROR(__xludf.DUMMYFUNCTION("""COMPUTED_VALUE"""),"Brewed in Ada")</f>
        <v>Brewed in Ada</v>
      </c>
      <c r="H39" s="12" t="str">
        <f>IFERROR(__xludf.DUMMYFUNCTION("""COMPUTED_VALUE"""),"Slower on earlier pours / Faster on later pours")</f>
        <v>Slower on earlier pours / Faster on later pours</v>
      </c>
      <c r="I39" s="12" t="str">
        <f>IFERROR(__xludf.DUMMYFUNCTION("""COMPUTED_VALUE"""),"")</f>
        <v/>
      </c>
      <c r="J39" s="13">
        <f t="shared" si="1"/>
        <v>43918</v>
      </c>
      <c r="K39" s="12" t="str">
        <f>IFERROR(IF(A39="","",if($G39="",Reference!$J$2, VLOOKUP($G39,Reference!$I$2:$J$1000,2,false))),"")</f>
        <v>Ada</v>
      </c>
      <c r="L39" s="12" t="str">
        <f>IF(A39="","", IF(F39="",Reference!$M$2,F39))</f>
        <v>Hario V60</v>
      </c>
      <c r="M39" s="14">
        <f t="shared" si="2"/>
        <v>0.002488425926</v>
      </c>
      <c r="N39" s="15">
        <f t="shared" si="3"/>
        <v>215</v>
      </c>
      <c r="O39" s="14">
        <f t="shared" si="4"/>
        <v>0.00005787037037</v>
      </c>
      <c r="P39" s="16" t="str">
        <f t="array" ref="P39">IF($A39="","", IFERROR(INDEX('BM Data'!$N:$N,MATCH($J39&amp; "-" &amp; $N39,'BM Data'!$O:$O,0),1),""))</f>
        <v/>
      </c>
      <c r="Q39" s="16" t="str">
        <f t="array" ref="Q39">IF($A39="","", IFERROR(INDEX('BM Data'!$J:$J,MATCH($J39&amp; "-" &amp; $N39,'BM Data'!$O:$O,0),1),""))</f>
        <v/>
      </c>
    </row>
    <row r="40">
      <c r="A40" s="10">
        <f>IFERROR(__xludf.DUMMYFUNCTION("""COMPUTED_VALUE"""),43918.46124672453)</f>
        <v>43918.46125</v>
      </c>
      <c r="B40" s="3" t="str">
        <f>IFERROR(__xludf.DUMMYFUNCTION("""COMPUTED_VALUE"""),"Monarch (Onyx)")</f>
        <v>Monarch (Onyx)</v>
      </c>
      <c r="C40" s="11">
        <f>IFERROR(__xludf.DUMMYFUNCTION("""COMPUTED_VALUE"""),21.0)</f>
        <v>21</v>
      </c>
      <c r="D40" s="11" t="str">
        <f>IFERROR(__xludf.DUMMYFUNCTION("""COMPUTED_VALUE"""),"3:35")</f>
        <v>3:35</v>
      </c>
      <c r="E40" s="11" t="str">
        <f>IFERROR(__xludf.DUMMYFUNCTION("""COMPUTED_VALUE"""),"Sweet")</f>
        <v>Sweet</v>
      </c>
      <c r="F40" s="11" t="str">
        <f>IFERROR(__xludf.DUMMYFUNCTION("""COMPUTED_VALUE"""),"")</f>
        <v/>
      </c>
      <c r="G40" s="11" t="str">
        <f>IFERROR(__xludf.DUMMYFUNCTION("""COMPUTED_VALUE"""),"Brewed in Ada")</f>
        <v>Brewed in Ada</v>
      </c>
      <c r="H40" s="12" t="str">
        <f>IFERROR(__xludf.DUMMYFUNCTION("""COMPUTED_VALUE"""),"Slower on earlier pours / Faster on later pours")</f>
        <v>Slower on earlier pours / Faster on later pours</v>
      </c>
      <c r="I40" s="12" t="str">
        <f>IFERROR(__xludf.DUMMYFUNCTION("""COMPUTED_VALUE"""),"")</f>
        <v/>
      </c>
      <c r="J40" s="13">
        <f t="shared" si="1"/>
        <v>43918</v>
      </c>
      <c r="K40" s="12" t="str">
        <f>IFERROR(IF(A40="","",if($G40="",Reference!$J$2, VLOOKUP($G40,Reference!$I$2:$J$1000,2,false))),"")</f>
        <v>Ada</v>
      </c>
      <c r="L40" s="12" t="str">
        <f>IF(A40="","", IF(F40="",Reference!$M$2,F40))</f>
        <v>Hario V60</v>
      </c>
      <c r="M40" s="14">
        <f t="shared" si="2"/>
        <v>0.002488425926</v>
      </c>
      <c r="N40" s="15">
        <f t="shared" si="3"/>
        <v>215</v>
      </c>
      <c r="O40" s="14">
        <f t="shared" si="4"/>
        <v>0.00005787037037</v>
      </c>
      <c r="P40" s="16" t="str">
        <f t="array" ref="P40">IF($A40="","", IFERROR(INDEX('BM Data'!$N:$N,MATCH($J40&amp; "-" &amp; $N40,'BM Data'!$O:$O,0),1),""))</f>
        <v/>
      </c>
      <c r="Q40" s="16" t="str">
        <f t="array" ref="Q40">IF($A40="","", IFERROR(INDEX('BM Data'!$J:$J,MATCH($J40&amp; "-" &amp; $N40,'BM Data'!$O:$O,0),1),""))</f>
        <v/>
      </c>
    </row>
    <row r="41">
      <c r="A41" s="10">
        <f>IFERROR(__xludf.DUMMYFUNCTION("""COMPUTED_VALUE"""),43919.46787050926)</f>
        <v>43919.46787</v>
      </c>
      <c r="B41" s="3" t="str">
        <f>IFERROR(__xludf.DUMMYFUNCTION("""COMPUTED_VALUE"""),"Southern Weather (Onyx)")</f>
        <v>Southern Weather (Onyx)</v>
      </c>
      <c r="C41" s="11">
        <f>IFERROR(__xludf.DUMMYFUNCTION("""COMPUTED_VALUE"""),19.0)</f>
        <v>19</v>
      </c>
      <c r="D41" s="11" t="str">
        <f>IFERROR(__xludf.DUMMYFUNCTION("""COMPUTED_VALUE"""),"3:38")</f>
        <v>3:38</v>
      </c>
      <c r="E41" s="11" t="str">
        <f>IFERROR(__xludf.DUMMYFUNCTION("""COMPUTED_VALUE"""),"Sweet")</f>
        <v>Sweet</v>
      </c>
      <c r="F41" s="11" t="str">
        <f>IFERROR(__xludf.DUMMYFUNCTION("""COMPUTED_VALUE"""),"")</f>
        <v/>
      </c>
      <c r="G41" s="11" t="str">
        <f>IFERROR(__xludf.DUMMYFUNCTION("""COMPUTED_VALUE"""),"Brewed in Ada")</f>
        <v>Brewed in Ada</v>
      </c>
      <c r="H41" s="12" t="str">
        <f>IFERROR(__xludf.DUMMYFUNCTION("""COMPUTED_VALUE"""),"Slower on earlier pours / Faster on later pours")</f>
        <v>Slower on earlier pours / Faster on later pours</v>
      </c>
      <c r="I41" s="12" t="str">
        <f>IFERROR(__xludf.DUMMYFUNCTION("""COMPUTED_VALUE"""),"")</f>
        <v/>
      </c>
      <c r="J41" s="13">
        <f t="shared" si="1"/>
        <v>43919</v>
      </c>
      <c r="K41" s="12" t="str">
        <f>IFERROR(IF(A41="","",if($G41="",Reference!$J$2, VLOOKUP($G41,Reference!$I$2:$J$1000,2,false))),"")</f>
        <v>Ada</v>
      </c>
      <c r="L41" s="12" t="str">
        <f>IF(A41="","", IF(F41="",Reference!$M$2,F41))</f>
        <v>Hario V60</v>
      </c>
      <c r="M41" s="14">
        <f t="shared" si="2"/>
        <v>0.002523148148</v>
      </c>
      <c r="N41" s="15">
        <f t="shared" si="3"/>
        <v>218</v>
      </c>
      <c r="O41" s="14">
        <f t="shared" si="4"/>
        <v>0.00009259259259</v>
      </c>
      <c r="P41" s="16" t="str">
        <f t="array" ref="P41">IF($A41="","", IFERROR(INDEX('BM Data'!$N:$N,MATCH($J41&amp; "-" &amp; $N41,'BM Data'!$O:$O,0),1),""))</f>
        <v/>
      </c>
      <c r="Q41" s="16" t="str">
        <f t="array" ref="Q41">IF($A41="","", IFERROR(INDEX('BM Data'!$J:$J,MATCH($J41&amp; "-" &amp; $N41,'BM Data'!$O:$O,0),1),""))</f>
        <v/>
      </c>
    </row>
    <row r="42">
      <c r="A42" s="10">
        <f>IFERROR(__xludf.DUMMYFUNCTION("""COMPUTED_VALUE"""),43919.83004451389)</f>
        <v>43919.83004</v>
      </c>
      <c r="B42" s="3" t="str">
        <f>IFERROR(__xludf.DUMMYFUNCTION("""COMPUTED_VALUE"""),"Monarch (Onyx)")</f>
        <v>Monarch (Onyx)</v>
      </c>
      <c r="C42" s="11">
        <f>IFERROR(__xludf.DUMMYFUNCTION("""COMPUTED_VALUE"""),21.0)</f>
        <v>21</v>
      </c>
      <c r="D42" s="11" t="str">
        <f>IFERROR(__xludf.DUMMYFUNCTION("""COMPUTED_VALUE"""),"3:32")</f>
        <v>3:32</v>
      </c>
      <c r="E42" s="11" t="str">
        <f>IFERROR(__xludf.DUMMYFUNCTION("""COMPUTED_VALUE"""),"Sweet")</f>
        <v>Sweet</v>
      </c>
      <c r="F42" s="11" t="str">
        <f>IFERROR(__xludf.DUMMYFUNCTION("""COMPUTED_VALUE"""),"")</f>
        <v/>
      </c>
      <c r="G42" s="11" t="str">
        <f>IFERROR(__xludf.DUMMYFUNCTION("""COMPUTED_VALUE"""),"Brewed in Ada")</f>
        <v>Brewed in Ada</v>
      </c>
      <c r="H42" s="12" t="str">
        <f>IFERROR(__xludf.DUMMYFUNCTION("""COMPUTED_VALUE"""),"Slower on earlier pours / Faster on later pours")</f>
        <v>Slower on earlier pours / Faster on later pours</v>
      </c>
      <c r="I42" s="12" t="str">
        <f>IFERROR(__xludf.DUMMYFUNCTION("""COMPUTED_VALUE"""),"")</f>
        <v/>
      </c>
      <c r="J42" s="13">
        <f t="shared" si="1"/>
        <v>43919</v>
      </c>
      <c r="K42" s="12" t="str">
        <f>IFERROR(IF(A42="","",if($G42="",Reference!$J$2, VLOOKUP($G42,Reference!$I$2:$J$1000,2,false))),"")</f>
        <v>Ada</v>
      </c>
      <c r="L42" s="12" t="str">
        <f>IF(A42="","", IF(F42="",Reference!$M$2,F42))</f>
        <v>Hario V60</v>
      </c>
      <c r="M42" s="14">
        <f t="shared" si="2"/>
        <v>0.002453703704</v>
      </c>
      <c r="N42" s="15">
        <f t="shared" si="3"/>
        <v>212</v>
      </c>
      <c r="O42" s="14">
        <f t="shared" si="4"/>
        <v>0.00002314814815</v>
      </c>
      <c r="P42" s="16" t="str">
        <f t="array" ref="P42">IF($A42="","", IFERROR(INDEX('BM Data'!$N:$N,MATCH($J42&amp; "-" &amp; $N42,'BM Data'!$O:$O,0),1),""))</f>
        <v/>
      </c>
      <c r="Q42" s="16" t="str">
        <f t="array" ref="Q42">IF($A42="","", IFERROR(INDEX('BM Data'!$J:$J,MATCH($J42&amp; "-" &amp; $N42,'BM Data'!$O:$O,0),1),""))</f>
        <v/>
      </c>
    </row>
    <row r="43">
      <c r="A43" s="10">
        <f>IFERROR(__xludf.DUMMYFUNCTION("""COMPUTED_VALUE"""),43920.431062592594)</f>
        <v>43920.43106</v>
      </c>
      <c r="B43" s="3" t="str">
        <f>IFERROR(__xludf.DUMMYFUNCTION("""COMPUTED_VALUE"""),"Puru Vilcanzia (Onyx)")</f>
        <v>Puru Vilcanzia (Onyx)</v>
      </c>
      <c r="C43" s="11">
        <f>IFERROR(__xludf.DUMMYFUNCTION("""COMPUTED_VALUE"""),23.0)</f>
        <v>23</v>
      </c>
      <c r="D43" s="11" t="str">
        <f>IFERROR(__xludf.DUMMYFUNCTION("""COMPUTED_VALUE"""),"3:45")</f>
        <v>3:45</v>
      </c>
      <c r="E43" s="11" t="str">
        <f>IFERROR(__xludf.DUMMYFUNCTION("""COMPUTED_VALUE"""),"Dark")</f>
        <v>Dark</v>
      </c>
      <c r="F43" s="11" t="str">
        <f>IFERROR(__xludf.DUMMYFUNCTION("""COMPUTED_VALUE"""),"")</f>
        <v/>
      </c>
      <c r="G43" s="11" t="str">
        <f>IFERROR(__xludf.DUMMYFUNCTION("""COMPUTED_VALUE"""),"Brewed in Ada")</f>
        <v>Brewed in Ada</v>
      </c>
      <c r="H43" s="12" t="str">
        <f>IFERROR(__xludf.DUMMYFUNCTION("""COMPUTED_VALUE"""),"Go down in Grind Size / Increase flow rate")</f>
        <v>Go down in Grind Size / Increase flow rate</v>
      </c>
      <c r="I43" s="12" t="str">
        <f>IFERROR(__xludf.DUMMYFUNCTION("""COMPUTED_VALUE"""),"")</f>
        <v/>
      </c>
      <c r="J43" s="13">
        <f t="shared" si="1"/>
        <v>43920</v>
      </c>
      <c r="K43" s="12" t="str">
        <f>IFERROR(IF(A43="","",if($G43="",Reference!$J$2, VLOOKUP($G43,Reference!$I$2:$J$1000,2,false))),"")</f>
        <v>Ada</v>
      </c>
      <c r="L43" s="12" t="str">
        <f>IF(A43="","", IF(F43="",Reference!$M$2,F43))</f>
        <v>Hario V60</v>
      </c>
      <c r="M43" s="14">
        <f t="shared" si="2"/>
        <v>0.002604166667</v>
      </c>
      <c r="N43" s="15">
        <f t="shared" si="3"/>
        <v>225</v>
      </c>
      <c r="O43" s="14">
        <f t="shared" si="4"/>
        <v>0.0001736111111</v>
      </c>
      <c r="P43" s="16" t="str">
        <f t="array" ref="P43">IF($A43="","", IFERROR(INDEX('BM Data'!$N:$N,MATCH($J43&amp; "-" &amp; $N43,'BM Data'!$O:$O,0),1),""))</f>
        <v/>
      </c>
      <c r="Q43" s="16" t="str">
        <f t="array" ref="Q43">IF($A43="","", IFERROR(INDEX('BM Data'!$J:$J,MATCH($J43&amp; "-" &amp; $N43,'BM Data'!$O:$O,0),1),""))</f>
        <v/>
      </c>
    </row>
    <row r="44">
      <c r="A44" s="10">
        <f>IFERROR(__xludf.DUMMYFUNCTION("""COMPUTED_VALUE"""),43921.39330295139)</f>
        <v>43921.3933</v>
      </c>
      <c r="B44" s="3" t="str">
        <f>IFERROR(__xludf.DUMMYFUNCTION("""COMPUTED_VALUE"""),"Puru Vilcanzia (Onyx)")</f>
        <v>Puru Vilcanzia (Onyx)</v>
      </c>
      <c r="C44" s="11">
        <f>IFERROR(__xludf.DUMMYFUNCTION("""COMPUTED_VALUE"""),23.0)</f>
        <v>23</v>
      </c>
      <c r="D44" s="11" t="str">
        <f>IFERROR(__xludf.DUMMYFUNCTION("""COMPUTED_VALUE"""),"3:34")</f>
        <v>3:34</v>
      </c>
      <c r="E44" s="11" t="str">
        <f>IFERROR(__xludf.DUMMYFUNCTION("""COMPUTED_VALUE"""),"Sweet")</f>
        <v>Sweet</v>
      </c>
      <c r="F44" s="11" t="str">
        <f>IFERROR(__xludf.DUMMYFUNCTION("""COMPUTED_VALUE"""),"")</f>
        <v/>
      </c>
      <c r="G44" s="11" t="str">
        <f>IFERROR(__xludf.DUMMYFUNCTION("""COMPUTED_VALUE"""),"Brewed in Ada")</f>
        <v>Brewed in Ada</v>
      </c>
      <c r="H44" s="12" t="str">
        <f>IFERROR(__xludf.DUMMYFUNCTION("""COMPUTED_VALUE"""),"Slower on earlier pours / Faster on later pours")</f>
        <v>Slower on earlier pours / Faster on later pours</v>
      </c>
      <c r="I44" s="12" t="str">
        <f>IFERROR(__xludf.DUMMYFUNCTION("""COMPUTED_VALUE"""),"")</f>
        <v/>
      </c>
      <c r="J44" s="13">
        <f t="shared" si="1"/>
        <v>43921</v>
      </c>
      <c r="K44" s="12" t="str">
        <f>IFERROR(IF(A44="","",if($G44="",Reference!$J$2, VLOOKUP($G44,Reference!$I$2:$J$1000,2,false))),"")</f>
        <v>Ada</v>
      </c>
      <c r="L44" s="12" t="str">
        <f>IF(A44="","", IF(F44="",Reference!$M$2,F44))</f>
        <v>Hario V60</v>
      </c>
      <c r="M44" s="14">
        <f t="shared" si="2"/>
        <v>0.002476851852</v>
      </c>
      <c r="N44" s="15">
        <f t="shared" si="3"/>
        <v>214</v>
      </c>
      <c r="O44" s="14">
        <f t="shared" si="4"/>
        <v>0.0000462962963</v>
      </c>
      <c r="P44" s="16" t="str">
        <f t="array" ref="P44">IF($A44="","", IFERROR(INDEX('BM Data'!$N:$N,MATCH($J44&amp; "-" &amp; $N44,'BM Data'!$O:$O,0),1),""))</f>
        <v/>
      </c>
      <c r="Q44" s="16" t="str">
        <f t="array" ref="Q44">IF($A44="","", IFERROR(INDEX('BM Data'!$J:$J,MATCH($J44&amp; "-" &amp; $N44,'BM Data'!$O:$O,0),1),""))</f>
        <v/>
      </c>
    </row>
    <row r="45">
      <c r="A45" s="10">
        <f>IFERROR(__xludf.DUMMYFUNCTION("""COMPUTED_VALUE"""),43922.3917481713)</f>
        <v>43922.39175</v>
      </c>
      <c r="B45" s="3" t="str">
        <f>IFERROR(__xludf.DUMMYFUNCTION("""COMPUTED_VALUE"""),"Southern Weather (Onyx)")</f>
        <v>Southern Weather (Onyx)</v>
      </c>
      <c r="C45" s="11">
        <f>IFERROR(__xludf.DUMMYFUNCTION("""COMPUTED_VALUE"""),20.0)</f>
        <v>20</v>
      </c>
      <c r="D45" s="11" t="str">
        <f>IFERROR(__xludf.DUMMYFUNCTION("""COMPUTED_VALUE"""),"3:35")</f>
        <v>3:35</v>
      </c>
      <c r="E45" s="11" t="str">
        <f>IFERROR(__xludf.DUMMYFUNCTION("""COMPUTED_VALUE"""),"Pefect!")</f>
        <v>Pefect!</v>
      </c>
      <c r="F45" s="11" t="str">
        <f>IFERROR(__xludf.DUMMYFUNCTION("""COMPUTED_VALUE"""),"")</f>
        <v/>
      </c>
      <c r="G45" s="11" t="str">
        <f>IFERROR(__xludf.DUMMYFUNCTION("""COMPUTED_VALUE"""),"Brewed in Ada")</f>
        <v>Brewed in Ada</v>
      </c>
      <c r="H45" s="12" t="str">
        <f>IFERROR(__xludf.DUMMYFUNCTION("""COMPUTED_VALUE"""),"Slower on earlier pours / Faster on later pours")</f>
        <v>Slower on earlier pours / Faster on later pours</v>
      </c>
      <c r="I45" s="12" t="str">
        <f>IFERROR(__xludf.DUMMYFUNCTION("""COMPUTED_VALUE"""),"")</f>
        <v/>
      </c>
      <c r="J45" s="13">
        <f t="shared" si="1"/>
        <v>43922</v>
      </c>
      <c r="K45" s="12" t="str">
        <f>IFERROR(IF(A45="","",if($G45="",Reference!$J$2, VLOOKUP($G45,Reference!$I$2:$J$1000,2,false))),"")</f>
        <v>Ada</v>
      </c>
      <c r="L45" s="12" t="str">
        <f>IF(A45="","", IF(F45="",Reference!$M$2,F45))</f>
        <v>Hario V60</v>
      </c>
      <c r="M45" s="14">
        <f t="shared" si="2"/>
        <v>0.002488425926</v>
      </c>
      <c r="N45" s="15">
        <f t="shared" si="3"/>
        <v>215</v>
      </c>
      <c r="O45" s="14">
        <f t="shared" si="4"/>
        <v>0.00005787037037</v>
      </c>
      <c r="P45" s="16" t="str">
        <f t="array" ref="P45">IF($A45="","", IFERROR(INDEX('BM Data'!$N:$N,MATCH($J45&amp; "-" &amp; $N45,'BM Data'!$O:$O,0),1),""))</f>
        <v/>
      </c>
      <c r="Q45" s="16" t="str">
        <f t="array" ref="Q45">IF($A45="","", IFERROR(INDEX('BM Data'!$J:$J,MATCH($J45&amp; "-" &amp; $N45,'BM Data'!$O:$O,0),1),""))</f>
        <v/>
      </c>
    </row>
    <row r="46">
      <c r="A46" s="10">
        <f>IFERROR(__xludf.DUMMYFUNCTION("""COMPUTED_VALUE"""),43923.385633287035)</f>
        <v>43923.38563</v>
      </c>
      <c r="B46" s="3" t="str">
        <f>IFERROR(__xludf.DUMMYFUNCTION("""COMPUTED_VALUE"""),"Southern Weather (Onyx)")</f>
        <v>Southern Weather (Onyx)</v>
      </c>
      <c r="C46" s="11">
        <f>IFERROR(__xludf.DUMMYFUNCTION("""COMPUTED_VALUE"""),20.0)</f>
        <v>20</v>
      </c>
      <c r="D46" s="11" t="str">
        <f>IFERROR(__xludf.DUMMYFUNCTION("""COMPUTED_VALUE"""),"3:30")</f>
        <v>3:30</v>
      </c>
      <c r="E46" s="11" t="str">
        <f>IFERROR(__xludf.DUMMYFUNCTION("""COMPUTED_VALUE"""),"Weak")</f>
        <v>Weak</v>
      </c>
      <c r="F46" s="11" t="str">
        <f>IFERROR(__xludf.DUMMYFUNCTION("""COMPUTED_VALUE"""),"")</f>
        <v/>
      </c>
      <c r="G46" s="11" t="str">
        <f>IFERROR(__xludf.DUMMYFUNCTION("""COMPUTED_VALUE"""),"Brewed in Ada")</f>
        <v>Brewed in Ada</v>
      </c>
      <c r="H46" s="12" t="str">
        <f>IFERROR(__xludf.DUMMYFUNCTION("""COMPUTED_VALUE"""),"Slower on earlier pours / Faster on later pours")</f>
        <v>Slower on earlier pours / Faster on later pours</v>
      </c>
      <c r="I46" s="12" t="str">
        <f>IFERROR(__xludf.DUMMYFUNCTION("""COMPUTED_VALUE"""),"")</f>
        <v/>
      </c>
      <c r="J46" s="13">
        <f t="shared" si="1"/>
        <v>43923</v>
      </c>
      <c r="K46" s="12" t="str">
        <f>IFERROR(IF(A46="","",if($G46="",Reference!$J$2, VLOOKUP($G46,Reference!$I$2:$J$1000,2,false))),"")</f>
        <v>Ada</v>
      </c>
      <c r="L46" s="12" t="str">
        <f>IF(A46="","", IF(F46="",Reference!$M$2,F46))</f>
        <v>Hario V60</v>
      </c>
      <c r="M46" s="14">
        <f t="shared" si="2"/>
        <v>0.002430555556</v>
      </c>
      <c r="N46" s="15">
        <f t="shared" si="3"/>
        <v>210</v>
      </c>
      <c r="O46" s="14">
        <f t="shared" si="4"/>
        <v>0</v>
      </c>
      <c r="P46" s="16" t="str">
        <f t="array" ref="P46">IF($A46="","", IFERROR(INDEX('BM Data'!$N:$N,MATCH($J46&amp; "-" &amp; $N46,'BM Data'!$O:$O,0),1),""))</f>
        <v/>
      </c>
      <c r="Q46" s="16" t="str">
        <f t="array" ref="Q46">IF($A46="","", IFERROR(INDEX('BM Data'!$J:$J,MATCH($J46&amp; "-" &amp; $N46,'BM Data'!$O:$O,0),1),""))</f>
        <v/>
      </c>
    </row>
    <row r="47">
      <c r="A47" s="10">
        <f>IFERROR(__xludf.DUMMYFUNCTION("""COMPUTED_VALUE"""),43924.393763622684)</f>
        <v>43924.39376</v>
      </c>
      <c r="B47" s="3" t="str">
        <f>IFERROR(__xludf.DUMMYFUNCTION("""COMPUTED_VALUE"""),"Puru Vilcanzia (Onyx)")</f>
        <v>Puru Vilcanzia (Onyx)</v>
      </c>
      <c r="C47" s="11">
        <f>IFERROR(__xludf.DUMMYFUNCTION("""COMPUTED_VALUE"""),20.0)</f>
        <v>20</v>
      </c>
      <c r="D47" s="11" t="str">
        <f>IFERROR(__xludf.DUMMYFUNCTION("""COMPUTED_VALUE"""),"3:50")</f>
        <v>3:50</v>
      </c>
      <c r="E47" s="11" t="str">
        <f>IFERROR(__xludf.DUMMYFUNCTION("""COMPUTED_VALUE"""),"Dark")</f>
        <v>Dark</v>
      </c>
      <c r="F47" s="11" t="str">
        <f>IFERROR(__xludf.DUMMYFUNCTION("""COMPUTED_VALUE"""),"")</f>
        <v/>
      </c>
      <c r="G47" s="11" t="str">
        <f>IFERROR(__xludf.DUMMYFUNCTION("""COMPUTED_VALUE"""),"Brewed in Ada")</f>
        <v>Brewed in Ada</v>
      </c>
      <c r="H47" s="12" t="str">
        <f>IFERROR(__xludf.DUMMYFUNCTION("""COMPUTED_VALUE"""),"")</f>
        <v/>
      </c>
      <c r="I47" s="12" t="str">
        <f>IFERROR(__xludf.DUMMYFUNCTION("""COMPUTED_VALUE"""),"")</f>
        <v/>
      </c>
      <c r="J47" s="13">
        <f t="shared" si="1"/>
        <v>43924</v>
      </c>
      <c r="K47" s="12" t="str">
        <f>IFERROR(IF(A47="","",if($G47="",Reference!$J$2, VLOOKUP($G47,Reference!$I$2:$J$1000,2,false))),"")</f>
        <v>Ada</v>
      </c>
      <c r="L47" s="12" t="str">
        <f>IF(A47="","", IF(F47="",Reference!$M$2,F47))</f>
        <v>Hario V60</v>
      </c>
      <c r="M47" s="14">
        <f t="shared" si="2"/>
        <v>0.002662037037</v>
      </c>
      <c r="N47" s="15">
        <f t="shared" si="3"/>
        <v>230</v>
      </c>
      <c r="O47" s="14">
        <f t="shared" si="4"/>
        <v>0.0002314814815</v>
      </c>
      <c r="P47" s="16" t="str">
        <f t="array" ref="P47">IF($A47="","", IFERROR(INDEX('BM Data'!$N:$N,MATCH($J47&amp; "-" &amp; $N47,'BM Data'!$O:$O,0),1),""))</f>
        <v/>
      </c>
      <c r="Q47" s="16" t="str">
        <f t="array" ref="Q47">IF($A47="","", IFERROR(INDEX('BM Data'!$J:$J,MATCH($J47&amp; "-" &amp; $N47,'BM Data'!$O:$O,0),1),""))</f>
        <v/>
      </c>
    </row>
    <row r="48">
      <c r="A48" s="10">
        <f>IFERROR(__xludf.DUMMYFUNCTION("""COMPUTED_VALUE"""),43925.447002569446)</f>
        <v>43925.447</v>
      </c>
      <c r="B48" s="3" t="str">
        <f>IFERROR(__xludf.DUMMYFUNCTION("""COMPUTED_VALUE"""),"Monarch (Onyx)")</f>
        <v>Monarch (Onyx)</v>
      </c>
      <c r="C48" s="11">
        <f>IFERROR(__xludf.DUMMYFUNCTION("""COMPUTED_VALUE"""),21.0)</f>
        <v>21</v>
      </c>
      <c r="D48" s="11" t="str">
        <f>IFERROR(__xludf.DUMMYFUNCTION("""COMPUTED_VALUE"""),"4:05")</f>
        <v>4:05</v>
      </c>
      <c r="E48" s="11" t="str">
        <f>IFERROR(__xludf.DUMMYFUNCTION("""COMPUTED_VALUE"""),"Dark")</f>
        <v>Dark</v>
      </c>
      <c r="F48" s="11" t="str">
        <f>IFERROR(__xludf.DUMMYFUNCTION("""COMPUTED_VALUE"""),"")</f>
        <v/>
      </c>
      <c r="G48" s="11" t="str">
        <f>IFERROR(__xludf.DUMMYFUNCTION("""COMPUTED_VALUE"""),"Mistake in Brewing Process")</f>
        <v>Mistake in Brewing Process</v>
      </c>
      <c r="H48" s="12" t="str">
        <f>IFERROR(__xludf.DUMMYFUNCTION("""COMPUTED_VALUE"""),"")</f>
        <v/>
      </c>
      <c r="I48" s="12" t="str">
        <f>IFERROR(__xludf.DUMMYFUNCTION("""COMPUTED_VALUE"""),"")</f>
        <v/>
      </c>
      <c r="J48" s="13">
        <f t="shared" si="1"/>
        <v>43925</v>
      </c>
      <c r="K48" s="12" t="str">
        <f>IFERROR(IF(A48="","",if($G48="",Reference!$J$2, VLOOKUP($G48,Reference!$I$2:$J$1000,2,false))),"")</f>
        <v>Mistake in Brewing Process</v>
      </c>
      <c r="L48" s="12" t="str">
        <f>IF(A48="","", IF(F48="",Reference!$M$2,F48))</f>
        <v>Hario V60</v>
      </c>
      <c r="M48" s="14">
        <f t="shared" si="2"/>
        <v>0.002835648148</v>
      </c>
      <c r="N48" s="15">
        <f t="shared" si="3"/>
        <v>245</v>
      </c>
      <c r="O48" s="14">
        <f t="shared" si="4"/>
        <v>0.0004050925926</v>
      </c>
      <c r="P48" s="16">
        <f t="array" ref="P48">IF($A48="","", IFERROR(INDEX('BM Data'!$N:$N,MATCH($J48&amp; "-" &amp; $N48,'BM Data'!$O:$O,0),1),""))</f>
        <v>4.357541353</v>
      </c>
      <c r="Q48" s="16">
        <f t="array" ref="Q48">IF($A48="","", IFERROR(INDEX('BM Data'!$J:$J,MATCH($J48&amp; "-" &amp; $N48,'BM Data'!$O:$O,0),1),""))</f>
        <v>342.2999878</v>
      </c>
    </row>
    <row r="49">
      <c r="A49" s="10">
        <f>IFERROR(__xludf.DUMMYFUNCTION("""COMPUTED_VALUE"""),43925.45617067129)</f>
        <v>43925.45617</v>
      </c>
      <c r="B49" s="3" t="str">
        <f>IFERROR(__xludf.DUMMYFUNCTION("""COMPUTED_VALUE"""),"Southern Weather (Onyx)")</f>
        <v>Southern Weather (Onyx)</v>
      </c>
      <c r="C49" s="11">
        <f>IFERROR(__xludf.DUMMYFUNCTION("""COMPUTED_VALUE"""),21.0)</f>
        <v>21</v>
      </c>
      <c r="D49" s="11" t="str">
        <f>IFERROR(__xludf.DUMMYFUNCTION("""COMPUTED_VALUE"""),"3:42")</f>
        <v>3:42</v>
      </c>
      <c r="E49" s="11" t="str">
        <f>IFERROR(__xludf.DUMMYFUNCTION("""COMPUTED_VALUE"""),"Pefect!")</f>
        <v>Pefect!</v>
      </c>
      <c r="F49" s="11" t="str">
        <f>IFERROR(__xludf.DUMMYFUNCTION("""COMPUTED_VALUE"""),"")</f>
        <v/>
      </c>
      <c r="G49" s="11" t="str">
        <f>IFERROR(__xludf.DUMMYFUNCTION("""COMPUTED_VALUE"""),"Brewed in Ada")</f>
        <v>Brewed in Ada</v>
      </c>
      <c r="H49" s="12" t="str">
        <f>IFERROR(__xludf.DUMMYFUNCTION("""COMPUTED_VALUE"""),"Slower on earlier pours / Faster on later pours")</f>
        <v>Slower on earlier pours / Faster on later pours</v>
      </c>
      <c r="I49" s="12" t="str">
        <f>IFERROR(__xludf.DUMMYFUNCTION("""COMPUTED_VALUE"""),"")</f>
        <v/>
      </c>
      <c r="J49" s="13">
        <f t="shared" si="1"/>
        <v>43925</v>
      </c>
      <c r="K49" s="12" t="str">
        <f>IFERROR(IF(A49="","",if($G49="",Reference!$J$2, VLOOKUP($G49,Reference!$I$2:$J$1000,2,false))),"")</f>
        <v>Ada</v>
      </c>
      <c r="L49" s="12" t="str">
        <f>IF(A49="","", IF(F49="",Reference!$M$2,F49))</f>
        <v>Hario V60</v>
      </c>
      <c r="M49" s="14">
        <f t="shared" si="2"/>
        <v>0.002569444444</v>
      </c>
      <c r="N49" s="15">
        <f t="shared" si="3"/>
        <v>222</v>
      </c>
      <c r="O49" s="14">
        <f t="shared" si="4"/>
        <v>0.0001388888889</v>
      </c>
      <c r="P49" s="16">
        <f t="array" ref="P49">IF($A49="","", IFERROR(INDEX('BM Data'!$N:$N,MATCH($J49&amp; "-" &amp; $N49,'BM Data'!$O:$O,0),1),""))</f>
        <v>5.142659083</v>
      </c>
      <c r="Q49" s="16">
        <f t="array" ref="Q49">IF($A49="","", IFERROR(INDEX('BM Data'!$J:$J,MATCH($J49&amp; "-" &amp; $N49,'BM Data'!$O:$O,0),1),""))</f>
        <v>343.7000122</v>
      </c>
    </row>
    <row r="50">
      <c r="A50" s="10">
        <f>IFERROR(__xludf.DUMMYFUNCTION("""COMPUTED_VALUE"""),43925.86890012731)</f>
        <v>43925.8689</v>
      </c>
      <c r="B50" s="3" t="str">
        <f>IFERROR(__xludf.DUMMYFUNCTION("""COMPUTED_VALUE"""),"Columbia Cauca - Decaf (Onyx)")</f>
        <v>Columbia Cauca - Decaf (Onyx)</v>
      </c>
      <c r="C50" s="11">
        <f>IFERROR(__xludf.DUMMYFUNCTION("""COMPUTED_VALUE"""),23.0)</f>
        <v>23</v>
      </c>
      <c r="D50" s="11" t="str">
        <f>IFERROR(__xludf.DUMMYFUNCTION("""COMPUTED_VALUE"""),"3:42")</f>
        <v>3:42</v>
      </c>
      <c r="E50" s="11" t="str">
        <f>IFERROR(__xludf.DUMMYFUNCTION("""COMPUTED_VALUE"""),"Weak")</f>
        <v>Weak</v>
      </c>
      <c r="F50" s="11" t="str">
        <f>IFERROR(__xludf.DUMMYFUNCTION("""COMPUTED_VALUE"""),"")</f>
        <v/>
      </c>
      <c r="G50" s="11" t="str">
        <f>IFERROR(__xludf.DUMMYFUNCTION("""COMPUTED_VALUE"""),"Brewed in Ada")</f>
        <v>Brewed in Ada</v>
      </c>
      <c r="H50" s="12" t="str">
        <f>IFERROR(__xludf.DUMMYFUNCTION("""COMPUTED_VALUE"""),"Slower on earlier pours / Faster on later pours")</f>
        <v>Slower on earlier pours / Faster on later pours</v>
      </c>
      <c r="I50" s="12" t="str">
        <f>IFERROR(__xludf.DUMMYFUNCTION("""COMPUTED_VALUE"""),"")</f>
        <v/>
      </c>
      <c r="J50" s="13">
        <f t="shared" si="1"/>
        <v>43925</v>
      </c>
      <c r="K50" s="12" t="str">
        <f>IFERROR(IF(A50="","",if($G50="",Reference!$J$2, VLOOKUP($G50,Reference!$I$2:$J$1000,2,false))),"")</f>
        <v>Ada</v>
      </c>
      <c r="L50" s="12" t="str">
        <f>IF(A50="","", IF(F50="",Reference!$M$2,F50))</f>
        <v>Hario V60</v>
      </c>
      <c r="M50" s="14">
        <f t="shared" si="2"/>
        <v>0.002569444444</v>
      </c>
      <c r="N50" s="15">
        <f t="shared" si="3"/>
        <v>222</v>
      </c>
      <c r="O50" s="14">
        <f t="shared" si="4"/>
        <v>0.0001388888889</v>
      </c>
      <c r="P50" s="16">
        <f t="array" ref="P50">IF($A50="","", IFERROR(INDEX('BM Data'!$N:$N,MATCH($J50&amp; "-" &amp; $N50,'BM Data'!$O:$O,0),1),""))</f>
        <v>5.142659083</v>
      </c>
      <c r="Q50" s="16">
        <f t="array" ref="Q50">IF($A50="","", IFERROR(INDEX('BM Data'!$J:$J,MATCH($J50&amp; "-" &amp; $N50,'BM Data'!$O:$O,0),1),""))</f>
        <v>343.7000122</v>
      </c>
    </row>
    <row r="51">
      <c r="A51" s="10">
        <f>IFERROR(__xludf.DUMMYFUNCTION("""COMPUTED_VALUE"""),43926.475761863425)</f>
        <v>43926.47576</v>
      </c>
      <c r="B51" s="3" t="str">
        <f>IFERROR(__xludf.DUMMYFUNCTION("""COMPUTED_VALUE"""),"Columbia Tablón de Gomez Los Rosales")</f>
        <v>Columbia Tablón de Gomez Los Rosales</v>
      </c>
      <c r="C51" s="11">
        <f>IFERROR(__xludf.DUMMYFUNCTION("""COMPUTED_VALUE"""),20.0)</f>
        <v>20</v>
      </c>
      <c r="D51" s="11" t="str">
        <f>IFERROR(__xludf.DUMMYFUNCTION("""COMPUTED_VALUE"""),"3:47")</f>
        <v>3:47</v>
      </c>
      <c r="E51" s="11" t="str">
        <f>IFERROR(__xludf.DUMMYFUNCTION("""COMPUTED_VALUE"""),"No Taste")</f>
        <v>No Taste</v>
      </c>
      <c r="F51" s="11" t="str">
        <f>IFERROR(__xludf.DUMMYFUNCTION("""COMPUTED_VALUE"""),"")</f>
        <v/>
      </c>
      <c r="G51" s="11" t="str">
        <f>IFERROR(__xludf.DUMMYFUNCTION("""COMPUTED_VALUE"""),"Brewed in Ada")</f>
        <v>Brewed in Ada</v>
      </c>
      <c r="H51" s="12" t="str">
        <f>IFERROR(__xludf.DUMMYFUNCTION("""COMPUTED_VALUE"""),"Slower on earlier pours / Faster on later pours")</f>
        <v>Slower on earlier pours / Faster on later pours</v>
      </c>
      <c r="I51" s="12" t="str">
        <f>IFERROR(__xludf.DUMMYFUNCTION("""COMPUTED_VALUE"""),"")</f>
        <v/>
      </c>
      <c r="J51" s="13">
        <f t="shared" si="1"/>
        <v>43926</v>
      </c>
      <c r="K51" s="12" t="str">
        <f>IFERROR(IF(A51="","",if($G51="",Reference!$J$2, VLOOKUP($G51,Reference!$I$2:$J$1000,2,false))),"")</f>
        <v>Ada</v>
      </c>
      <c r="L51" s="12" t="str">
        <f>IF(A51="","", IF(F51="",Reference!$M$2,F51))</f>
        <v>Hario V60</v>
      </c>
      <c r="M51" s="14">
        <f t="shared" si="2"/>
        <v>0.002627314815</v>
      </c>
      <c r="N51" s="15">
        <f t="shared" si="3"/>
        <v>227</v>
      </c>
      <c r="O51" s="14">
        <f t="shared" si="4"/>
        <v>0.0001967592593</v>
      </c>
      <c r="P51" s="16" t="str">
        <f t="array" ref="P51">IF($A51="","", IFERROR(INDEX('BM Data'!$N:$N,MATCH($J51&amp; "-" &amp; $N51,'BM Data'!$O:$O,0),1),""))</f>
        <v/>
      </c>
      <c r="Q51" s="16" t="str">
        <f t="array" ref="Q51">IF($A51="","", IFERROR(INDEX('BM Data'!$J:$J,MATCH($J51&amp; "-" &amp; $N51,'BM Data'!$O:$O,0),1),""))</f>
        <v/>
      </c>
    </row>
    <row r="52">
      <c r="A52" s="10">
        <f>IFERROR(__xludf.DUMMYFUNCTION("""COMPUTED_VALUE"""),43926.476302511575)</f>
        <v>43926.4763</v>
      </c>
      <c r="B52" s="3" t="str">
        <f>IFERROR(__xludf.DUMMYFUNCTION("""COMPUTED_VALUE"""),"Southern Weather (Onyx)")</f>
        <v>Southern Weather (Onyx)</v>
      </c>
      <c r="C52" s="11">
        <f>IFERROR(__xludf.DUMMYFUNCTION("""COMPUTED_VALUE"""),21.0)</f>
        <v>21</v>
      </c>
      <c r="D52" s="11" t="str">
        <f>IFERROR(__xludf.DUMMYFUNCTION("""COMPUTED_VALUE"""),"3:31")</f>
        <v>3:31</v>
      </c>
      <c r="E52" s="11" t="str">
        <f>IFERROR(__xludf.DUMMYFUNCTION("""COMPUTED_VALUE"""),"Pefect!")</f>
        <v>Pefect!</v>
      </c>
      <c r="F52" s="11" t="str">
        <f>IFERROR(__xludf.DUMMYFUNCTION("""COMPUTED_VALUE"""),"")</f>
        <v/>
      </c>
      <c r="G52" s="11" t="str">
        <f>IFERROR(__xludf.DUMMYFUNCTION("""COMPUTED_VALUE"""),"Brewed in Ada")</f>
        <v>Brewed in Ada</v>
      </c>
      <c r="H52" s="12" t="str">
        <f>IFERROR(__xludf.DUMMYFUNCTION("""COMPUTED_VALUE"""),"Slower on earlier pours / Faster on later pours")</f>
        <v>Slower on earlier pours / Faster on later pours</v>
      </c>
      <c r="I52" s="12" t="str">
        <f>IFERROR(__xludf.DUMMYFUNCTION("""COMPUTED_VALUE"""),"")</f>
        <v/>
      </c>
      <c r="J52" s="13">
        <f t="shared" si="1"/>
        <v>43926</v>
      </c>
      <c r="K52" s="12" t="str">
        <f>IFERROR(IF(A52="","",if($G52="",Reference!$J$2, VLOOKUP($G52,Reference!$I$2:$J$1000,2,false))),"")</f>
        <v>Ada</v>
      </c>
      <c r="L52" s="12" t="str">
        <f>IF(A52="","", IF(F52="",Reference!$M$2,F52))</f>
        <v>Hario V60</v>
      </c>
      <c r="M52" s="14">
        <f t="shared" si="2"/>
        <v>0.00244212963</v>
      </c>
      <c r="N52" s="15">
        <f t="shared" si="3"/>
        <v>211</v>
      </c>
      <c r="O52" s="14">
        <f t="shared" si="4"/>
        <v>0.00001157407407</v>
      </c>
      <c r="P52" s="16" t="str">
        <f t="array" ref="P52">IF($A52="","", IFERROR(INDEX('BM Data'!$N:$N,MATCH($J52&amp; "-" &amp; $N52,'BM Data'!$O:$O,0),1),""))</f>
        <v/>
      </c>
      <c r="Q52" s="16" t="str">
        <f t="array" ref="Q52">IF($A52="","", IFERROR(INDEX('BM Data'!$J:$J,MATCH($J52&amp; "-" &amp; $N52,'BM Data'!$O:$O,0),1),""))</f>
        <v/>
      </c>
    </row>
    <row r="53">
      <c r="A53" s="10">
        <f>IFERROR(__xludf.DUMMYFUNCTION("""COMPUTED_VALUE"""),43926.89043657408)</f>
        <v>43926.89044</v>
      </c>
      <c r="B53" s="3" t="str">
        <f>IFERROR(__xludf.DUMMYFUNCTION("""COMPUTED_VALUE"""),"Columbia Cauca - Decaf (Onyx)")</f>
        <v>Columbia Cauca - Decaf (Onyx)</v>
      </c>
      <c r="C53" s="11">
        <f>IFERROR(__xludf.DUMMYFUNCTION("""COMPUTED_VALUE"""),24.0)</f>
        <v>24</v>
      </c>
      <c r="D53" s="11" t="str">
        <f>IFERROR(__xludf.DUMMYFUNCTION("""COMPUTED_VALUE"""),"3:51")</f>
        <v>3:51</v>
      </c>
      <c r="E53" s="11" t="str">
        <f>IFERROR(__xludf.DUMMYFUNCTION("""COMPUTED_VALUE"""),"Sweet")</f>
        <v>Sweet</v>
      </c>
      <c r="F53" s="11" t="str">
        <f>IFERROR(__xludf.DUMMYFUNCTION("""COMPUTED_VALUE"""),"")</f>
        <v/>
      </c>
      <c r="G53" s="11" t="str">
        <f>IFERROR(__xludf.DUMMYFUNCTION("""COMPUTED_VALUE"""),"Brewed in Ada")</f>
        <v>Brewed in Ada</v>
      </c>
      <c r="H53" s="12" t="str">
        <f>IFERROR(__xludf.DUMMYFUNCTION("""COMPUTED_VALUE"""),"Slower on earlier pours / Faster on later pours")</f>
        <v>Slower on earlier pours / Faster on later pours</v>
      </c>
      <c r="I53" s="12" t="str">
        <f>IFERROR(__xludf.DUMMYFUNCTION("""COMPUTED_VALUE"""),"")</f>
        <v/>
      </c>
      <c r="J53" s="13">
        <f t="shared" si="1"/>
        <v>43926</v>
      </c>
      <c r="K53" s="12" t="str">
        <f>IFERROR(IF(A53="","",if($G53="",Reference!$J$2, VLOOKUP($G53,Reference!$I$2:$J$1000,2,false))),"")</f>
        <v>Ada</v>
      </c>
      <c r="L53" s="12" t="str">
        <f>IF(A53="","", IF(F53="",Reference!$M$2,F53))</f>
        <v>Hario V60</v>
      </c>
      <c r="M53" s="14">
        <f t="shared" si="2"/>
        <v>0.002673611111</v>
      </c>
      <c r="N53" s="15">
        <f t="shared" si="3"/>
        <v>231</v>
      </c>
      <c r="O53" s="14">
        <f t="shared" si="4"/>
        <v>0.0002430555556</v>
      </c>
      <c r="P53" s="16" t="str">
        <f t="array" ref="P53">IF($A53="","", IFERROR(INDEX('BM Data'!$N:$N,MATCH($J53&amp; "-" &amp; $N53,'BM Data'!$O:$O,0),1),""))</f>
        <v/>
      </c>
      <c r="Q53" s="16" t="str">
        <f t="array" ref="Q53">IF($A53="","", IFERROR(INDEX('BM Data'!$J:$J,MATCH($J53&amp; "-" &amp; $N53,'BM Data'!$O:$O,0),1),""))</f>
        <v/>
      </c>
    </row>
    <row r="54">
      <c r="A54" s="10">
        <f>IFERROR(__xludf.DUMMYFUNCTION("""COMPUTED_VALUE"""),43928.36847255787)</f>
        <v>43928.36847</v>
      </c>
      <c r="B54" s="3" t="str">
        <f>IFERROR(__xludf.DUMMYFUNCTION("""COMPUTED_VALUE"""),"Columbia Tablón de Gomez Los Rosales")</f>
        <v>Columbia Tablón de Gomez Los Rosales</v>
      </c>
      <c r="C54" s="11">
        <f>IFERROR(__xludf.DUMMYFUNCTION("""COMPUTED_VALUE"""),22.0)</f>
        <v>22</v>
      </c>
      <c r="D54" s="11" t="str">
        <f>IFERROR(__xludf.DUMMYFUNCTION("""COMPUTED_VALUE"""),"3:41")</f>
        <v>3:41</v>
      </c>
      <c r="E54" s="11" t="str">
        <f>IFERROR(__xludf.DUMMYFUNCTION("""COMPUTED_VALUE"""),"Sweet")</f>
        <v>Sweet</v>
      </c>
      <c r="F54" s="11" t="str">
        <f>IFERROR(__xludf.DUMMYFUNCTION("""COMPUTED_VALUE"""),"")</f>
        <v/>
      </c>
      <c r="G54" s="11" t="str">
        <f>IFERROR(__xludf.DUMMYFUNCTION("""COMPUTED_VALUE"""),"Brewed in Ada")</f>
        <v>Brewed in Ada</v>
      </c>
      <c r="H54" s="12" t="str">
        <f>IFERROR(__xludf.DUMMYFUNCTION("""COMPUTED_VALUE"""),"Slower on earlier pours / Faster on later pours")</f>
        <v>Slower on earlier pours / Faster on later pours</v>
      </c>
      <c r="I54" s="12" t="str">
        <f>IFERROR(__xludf.DUMMYFUNCTION("""COMPUTED_VALUE"""),"")</f>
        <v/>
      </c>
      <c r="J54" s="13">
        <f t="shared" si="1"/>
        <v>43928</v>
      </c>
      <c r="K54" s="12" t="str">
        <f>IFERROR(IF(A54="","",if($G54="",Reference!$J$2, VLOOKUP($G54,Reference!$I$2:$J$1000,2,false))),"")</f>
        <v>Ada</v>
      </c>
      <c r="L54" s="12" t="str">
        <f>IF(A54="","", IF(F54="",Reference!$M$2,F54))</f>
        <v>Hario V60</v>
      </c>
      <c r="M54" s="14">
        <f t="shared" si="2"/>
        <v>0.00255787037</v>
      </c>
      <c r="N54" s="15">
        <f t="shared" si="3"/>
        <v>221</v>
      </c>
      <c r="O54" s="14">
        <f t="shared" si="4"/>
        <v>0.0001273148148</v>
      </c>
      <c r="P54" s="16" t="str">
        <f t="array" ref="P54">IF($A54="","", IFERROR(INDEX('BM Data'!$N:$N,MATCH($J54&amp; "-" &amp; $N54,'BM Data'!$O:$O,0),1),""))</f>
        <v/>
      </c>
      <c r="Q54" s="16" t="str">
        <f t="array" ref="Q54">IF($A54="","", IFERROR(INDEX('BM Data'!$J:$J,MATCH($J54&amp; "-" &amp; $N54,'BM Data'!$O:$O,0),1),""))</f>
        <v/>
      </c>
    </row>
    <row r="55">
      <c r="A55" s="10">
        <f>IFERROR(__xludf.DUMMYFUNCTION("""COMPUTED_VALUE"""),43928.85090793981)</f>
        <v>43928.85091</v>
      </c>
      <c r="B55" s="3" t="str">
        <f>IFERROR(__xludf.DUMMYFUNCTION("""COMPUTED_VALUE"""),"Columbia Tablón de Gomez Los Rosales")</f>
        <v>Columbia Tablón de Gomez Los Rosales</v>
      </c>
      <c r="C55" s="11">
        <f>IFERROR(__xludf.DUMMYFUNCTION("""COMPUTED_VALUE"""),23.0)</f>
        <v>23</v>
      </c>
      <c r="D55" s="11" t="str">
        <f>IFERROR(__xludf.DUMMYFUNCTION("""COMPUTED_VALUE"""),"3:35")</f>
        <v>3:35</v>
      </c>
      <c r="E55" s="11" t="str">
        <f>IFERROR(__xludf.DUMMYFUNCTION("""COMPUTED_VALUE"""),"Sweet")</f>
        <v>Sweet</v>
      </c>
      <c r="F55" s="11" t="str">
        <f>IFERROR(__xludf.DUMMYFUNCTION("""COMPUTED_VALUE"""),"")</f>
        <v/>
      </c>
      <c r="G55" s="11" t="str">
        <f>IFERROR(__xludf.DUMMYFUNCTION("""COMPUTED_VALUE"""),"Brewed in Ada")</f>
        <v>Brewed in Ada</v>
      </c>
      <c r="H55" s="12" t="str">
        <f>IFERROR(__xludf.DUMMYFUNCTION("""COMPUTED_VALUE"""),"Slower on earlier pours / Faster on later pours")</f>
        <v>Slower on earlier pours / Faster on later pours</v>
      </c>
      <c r="I55" s="12" t="str">
        <f>IFERROR(__xludf.DUMMYFUNCTION("""COMPUTED_VALUE"""),"")</f>
        <v/>
      </c>
      <c r="J55" s="13">
        <f t="shared" si="1"/>
        <v>43928</v>
      </c>
      <c r="K55" s="12" t="str">
        <f>IFERROR(IF(A55="","",if($G55="",Reference!$J$2, VLOOKUP($G55,Reference!$I$2:$J$1000,2,false))),"")</f>
        <v>Ada</v>
      </c>
      <c r="L55" s="12" t="str">
        <f>IF(A55="","", IF(F55="",Reference!$M$2,F55))</f>
        <v>Hario V60</v>
      </c>
      <c r="M55" s="14">
        <f t="shared" si="2"/>
        <v>0.002488425926</v>
      </c>
      <c r="N55" s="15">
        <f t="shared" si="3"/>
        <v>215</v>
      </c>
      <c r="O55" s="14">
        <f t="shared" si="4"/>
        <v>0.00005787037037</v>
      </c>
      <c r="P55" s="16" t="str">
        <f t="array" ref="P55">IF($A55="","", IFERROR(INDEX('BM Data'!$N:$N,MATCH($J55&amp; "-" &amp; $N55,'BM Data'!$O:$O,0),1),""))</f>
        <v/>
      </c>
      <c r="Q55" s="16" t="str">
        <f t="array" ref="Q55">IF($A55="","", IFERROR(INDEX('BM Data'!$J:$J,MATCH($J55&amp; "-" &amp; $N55,'BM Data'!$O:$O,0),1),""))</f>
        <v/>
      </c>
    </row>
    <row r="56">
      <c r="A56" s="10">
        <f>IFERROR(__xludf.DUMMYFUNCTION("""COMPUTED_VALUE"""),43930.36419042825)</f>
        <v>43930.36419</v>
      </c>
      <c r="B56" s="3" t="str">
        <f>IFERROR(__xludf.DUMMYFUNCTION("""COMPUTED_VALUE"""),"Columbia Tablón de Gomez Los Rosales")</f>
        <v>Columbia Tablón de Gomez Los Rosales</v>
      </c>
      <c r="C56" s="11">
        <f>IFERROR(__xludf.DUMMYFUNCTION("""COMPUTED_VALUE"""),24.0)</f>
        <v>24</v>
      </c>
      <c r="D56" s="11" t="str">
        <f>IFERROR(__xludf.DUMMYFUNCTION("""COMPUTED_VALUE"""),"3:32")</f>
        <v>3:32</v>
      </c>
      <c r="E56" s="11" t="str">
        <f>IFERROR(__xludf.DUMMYFUNCTION("""COMPUTED_VALUE"""),"Pefect!")</f>
        <v>Pefect!</v>
      </c>
      <c r="F56" s="11" t="str">
        <f>IFERROR(__xludf.DUMMYFUNCTION("""COMPUTED_VALUE"""),"")</f>
        <v/>
      </c>
      <c r="G56" s="11" t="str">
        <f>IFERROR(__xludf.DUMMYFUNCTION("""COMPUTED_VALUE"""),"Brewed in Ada")</f>
        <v>Brewed in Ada</v>
      </c>
      <c r="H56" s="12" t="str">
        <f>IFERROR(__xludf.DUMMYFUNCTION("""COMPUTED_VALUE"""),"Slower on earlier pours / Faster on later pours")</f>
        <v>Slower on earlier pours / Faster on later pours</v>
      </c>
      <c r="I56" s="12" t="str">
        <f>IFERROR(__xludf.DUMMYFUNCTION("""COMPUTED_VALUE"""),"")</f>
        <v/>
      </c>
      <c r="J56" s="13">
        <f t="shared" si="1"/>
        <v>43930</v>
      </c>
      <c r="K56" s="12" t="str">
        <f>IFERROR(IF(A56="","",if($G56="",Reference!$J$2, VLOOKUP($G56,Reference!$I$2:$J$1000,2,false))),"")</f>
        <v>Ada</v>
      </c>
      <c r="L56" s="12" t="str">
        <f>IF(A56="","", IF(F56="",Reference!$M$2,F56))</f>
        <v>Hario V60</v>
      </c>
      <c r="M56" s="14">
        <f t="shared" si="2"/>
        <v>0.002453703704</v>
      </c>
      <c r="N56" s="15">
        <f t="shared" si="3"/>
        <v>212</v>
      </c>
      <c r="O56" s="14">
        <f t="shared" si="4"/>
        <v>0.00002314814815</v>
      </c>
      <c r="P56" s="16" t="str">
        <f t="array" ref="P56">IF($A56="","", IFERROR(INDEX('BM Data'!$N:$N,MATCH($J56&amp; "-" &amp; $N56,'BM Data'!$O:$O,0),1),""))</f>
        <v/>
      </c>
      <c r="Q56" s="16" t="str">
        <f t="array" ref="Q56">IF($A56="","", IFERROR(INDEX('BM Data'!$J:$J,MATCH($J56&amp; "-" &amp; $N56,'BM Data'!$O:$O,0),1),""))</f>
        <v/>
      </c>
    </row>
    <row r="57">
      <c r="A57" s="10">
        <f>IFERROR(__xludf.DUMMYFUNCTION("""COMPUTED_VALUE"""),43930.43724659722)</f>
        <v>43930.43725</v>
      </c>
      <c r="B57" s="3" t="str">
        <f>IFERROR(__xludf.DUMMYFUNCTION("""COMPUTED_VALUE"""),"Puru Vilcanzia (Onyx)")</f>
        <v>Puru Vilcanzia (Onyx)</v>
      </c>
      <c r="C57" s="11">
        <f>IFERROR(__xludf.DUMMYFUNCTION("""COMPUTED_VALUE"""),24.0)</f>
        <v>24</v>
      </c>
      <c r="D57" s="11" t="str">
        <f>IFERROR(__xludf.DUMMYFUNCTION("""COMPUTED_VALUE"""),"3:37")</f>
        <v>3:37</v>
      </c>
      <c r="E57" s="11" t="str">
        <f>IFERROR(__xludf.DUMMYFUNCTION("""COMPUTED_VALUE"""),"Nutty")</f>
        <v>Nutty</v>
      </c>
      <c r="F57" s="11" t="str">
        <f>IFERROR(__xludf.DUMMYFUNCTION("""COMPUTED_VALUE"""),"")</f>
        <v/>
      </c>
      <c r="G57" s="11" t="str">
        <f>IFERROR(__xludf.DUMMYFUNCTION("""COMPUTED_VALUE"""),"Brewed in Ada")</f>
        <v>Brewed in Ada</v>
      </c>
      <c r="H57" s="12" t="str">
        <f>IFERROR(__xludf.DUMMYFUNCTION("""COMPUTED_VALUE"""),"Slower on earlier pours / Faster on later pours")</f>
        <v>Slower on earlier pours / Faster on later pours</v>
      </c>
      <c r="I57" s="12" t="str">
        <f>IFERROR(__xludf.DUMMYFUNCTION("""COMPUTED_VALUE"""),"")</f>
        <v/>
      </c>
      <c r="J57" s="13">
        <f t="shared" si="1"/>
        <v>43930</v>
      </c>
      <c r="K57" s="12" t="str">
        <f>IFERROR(IF(A57="","",if($G57="",Reference!$J$2, VLOOKUP($G57,Reference!$I$2:$J$1000,2,false))),"")</f>
        <v>Ada</v>
      </c>
      <c r="L57" s="12" t="str">
        <f>IF(A57="","", IF(F57="",Reference!$M$2,F57))</f>
        <v>Hario V60</v>
      </c>
      <c r="M57" s="14">
        <f t="shared" si="2"/>
        <v>0.002511574074</v>
      </c>
      <c r="N57" s="15">
        <f t="shared" si="3"/>
        <v>217</v>
      </c>
      <c r="O57" s="14">
        <f t="shared" si="4"/>
        <v>0.00008101851852</v>
      </c>
      <c r="P57" s="16" t="str">
        <f t="array" ref="P57">IF($A57="","", IFERROR(INDEX('BM Data'!$N:$N,MATCH($J57&amp; "-" &amp; $N57,'BM Data'!$O:$O,0),1),""))</f>
        <v/>
      </c>
      <c r="Q57" s="16" t="str">
        <f t="array" ref="Q57">IF($A57="","", IFERROR(INDEX('BM Data'!$J:$J,MATCH($J57&amp; "-" &amp; $N57,'BM Data'!$O:$O,0),1),""))</f>
        <v/>
      </c>
    </row>
    <row r="58">
      <c r="A58" s="10">
        <f>IFERROR(__xludf.DUMMYFUNCTION("""COMPUTED_VALUE"""),43932.849270833336)</f>
        <v>43932.84927</v>
      </c>
      <c r="B58" s="3" t="str">
        <f>IFERROR(__xludf.DUMMYFUNCTION("""COMPUTED_VALUE"""),"Columbia Tablón de Gomez Los Rosales")</f>
        <v>Columbia Tablón de Gomez Los Rosales</v>
      </c>
      <c r="C58" s="11">
        <f>IFERROR(__xludf.DUMMYFUNCTION("""COMPUTED_VALUE"""),24.0)</f>
        <v>24</v>
      </c>
      <c r="D58" s="11" t="str">
        <f>IFERROR(__xludf.DUMMYFUNCTION("""COMPUTED_VALUE"""),"3:30")</f>
        <v>3:30</v>
      </c>
      <c r="E58" s="11" t="str">
        <f>IFERROR(__xludf.DUMMYFUNCTION("""COMPUTED_VALUE"""),"Weak")</f>
        <v>Weak</v>
      </c>
      <c r="F58" s="11" t="str">
        <f>IFERROR(__xludf.DUMMYFUNCTION("""COMPUTED_VALUE"""),"")</f>
        <v/>
      </c>
      <c r="G58" s="11" t="str">
        <f>IFERROR(__xludf.DUMMYFUNCTION("""COMPUTED_VALUE"""),"Brewed in Ada")</f>
        <v>Brewed in Ada</v>
      </c>
      <c r="H58" s="12" t="str">
        <f>IFERROR(__xludf.DUMMYFUNCTION("""COMPUTED_VALUE"""),"Slower on earlier pours / Faster on later pours")</f>
        <v>Slower on earlier pours / Faster on later pours</v>
      </c>
      <c r="I58" s="12" t="str">
        <f>IFERROR(__xludf.DUMMYFUNCTION("""COMPUTED_VALUE"""),"")</f>
        <v/>
      </c>
      <c r="J58" s="13">
        <f t="shared" si="1"/>
        <v>43932</v>
      </c>
      <c r="K58" s="12" t="str">
        <f>IFERROR(IF(A58="","",if($G58="",Reference!$J$2, VLOOKUP($G58,Reference!$I$2:$J$1000,2,false))),"")</f>
        <v>Ada</v>
      </c>
      <c r="L58" s="12" t="str">
        <f>IF(A58="","", IF(F58="",Reference!$M$2,F58))</f>
        <v>Hario V60</v>
      </c>
      <c r="M58" s="14">
        <f t="shared" si="2"/>
        <v>0.002430555556</v>
      </c>
      <c r="N58" s="15">
        <f t="shared" si="3"/>
        <v>210</v>
      </c>
      <c r="O58" s="14">
        <f t="shared" si="4"/>
        <v>0</v>
      </c>
      <c r="P58" s="16" t="str">
        <f t="array" ref="P58">IF($A58="","", IFERROR(INDEX('BM Data'!$N:$N,MATCH($J58&amp; "-" &amp; $N58,'BM Data'!$O:$O,0),1),""))</f>
        <v/>
      </c>
      <c r="Q58" s="16" t="str">
        <f t="array" ref="Q58">IF($A58="","", IFERROR(INDEX('BM Data'!$J:$J,MATCH($J58&amp; "-" &amp; $N58,'BM Data'!$O:$O,0),1),""))</f>
        <v/>
      </c>
    </row>
    <row r="59">
      <c r="A59" s="10">
        <f>IFERROR(__xludf.DUMMYFUNCTION("""COMPUTED_VALUE"""),43933.424751631945)</f>
        <v>43933.42475</v>
      </c>
      <c r="B59" s="3" t="str">
        <f>IFERROR(__xludf.DUMMYFUNCTION("""COMPUTED_VALUE"""),"Columbia Cauca - Decaf (Onyx)")</f>
        <v>Columbia Cauca - Decaf (Onyx)</v>
      </c>
      <c r="C59" s="11">
        <f>IFERROR(__xludf.DUMMYFUNCTION("""COMPUTED_VALUE"""),24.0)</f>
        <v>24</v>
      </c>
      <c r="D59" s="11" t="str">
        <f>IFERROR(__xludf.DUMMYFUNCTION("""COMPUTED_VALUE"""),"3:34")</f>
        <v>3:34</v>
      </c>
      <c r="E59" s="11" t="str">
        <f>IFERROR(__xludf.DUMMYFUNCTION("""COMPUTED_VALUE"""),"Sweet")</f>
        <v>Sweet</v>
      </c>
      <c r="F59" s="11" t="str">
        <f>IFERROR(__xludf.DUMMYFUNCTION("""COMPUTED_VALUE"""),"")</f>
        <v/>
      </c>
      <c r="G59" s="11" t="str">
        <f>IFERROR(__xludf.DUMMYFUNCTION("""COMPUTED_VALUE"""),"Brewed in Ada")</f>
        <v>Brewed in Ada</v>
      </c>
      <c r="H59" s="12" t="str">
        <f>IFERROR(__xludf.DUMMYFUNCTION("""COMPUTED_VALUE"""),"Slower on earlier pours / Faster on later pours")</f>
        <v>Slower on earlier pours / Faster on later pours</v>
      </c>
      <c r="I59" s="12" t="str">
        <f>IFERROR(__xludf.DUMMYFUNCTION("""COMPUTED_VALUE"""),"")</f>
        <v/>
      </c>
      <c r="J59" s="13">
        <f t="shared" si="1"/>
        <v>43933</v>
      </c>
      <c r="K59" s="12" t="str">
        <f>IFERROR(IF(A59="","",if($G59="",Reference!$J$2, VLOOKUP($G59,Reference!$I$2:$J$1000,2,false))),"")</f>
        <v>Ada</v>
      </c>
      <c r="L59" s="12" t="str">
        <f>IF(A59="","", IF(F59="",Reference!$M$2,F59))</f>
        <v>Hario V60</v>
      </c>
      <c r="M59" s="14">
        <f t="shared" si="2"/>
        <v>0.002476851852</v>
      </c>
      <c r="N59" s="15">
        <f t="shared" si="3"/>
        <v>214</v>
      </c>
      <c r="O59" s="14">
        <f t="shared" si="4"/>
        <v>0.0000462962963</v>
      </c>
      <c r="P59" s="16" t="str">
        <f t="array" ref="P59">IF($A59="","", IFERROR(INDEX('BM Data'!$N:$N,MATCH($J59&amp; "-" &amp; $N59,'BM Data'!$O:$O,0),1),""))</f>
        <v/>
      </c>
      <c r="Q59" s="16" t="str">
        <f t="array" ref="Q59">IF($A59="","", IFERROR(INDEX('BM Data'!$J:$J,MATCH($J59&amp; "-" &amp; $N59,'BM Data'!$O:$O,0),1),""))</f>
        <v/>
      </c>
    </row>
    <row r="60">
      <c r="A60" s="10">
        <f>IFERROR(__xludf.DUMMYFUNCTION("""COMPUTED_VALUE"""),43933.44456111111)</f>
        <v>43933.44456</v>
      </c>
      <c r="B60" s="3" t="str">
        <f>IFERROR(__xludf.DUMMYFUNCTION("""COMPUTED_VALUE"""),"Southern Weather (Onyx)")</f>
        <v>Southern Weather (Onyx)</v>
      </c>
      <c r="C60" s="11">
        <f>IFERROR(__xludf.DUMMYFUNCTION("""COMPUTED_VALUE"""),21.0)</f>
        <v>21</v>
      </c>
      <c r="D60" s="11" t="str">
        <f>IFERROR(__xludf.DUMMYFUNCTION("""COMPUTED_VALUE"""),"3:25")</f>
        <v>3:25</v>
      </c>
      <c r="E60" s="11" t="str">
        <f>IFERROR(__xludf.DUMMYFUNCTION("""COMPUTED_VALUE"""),"Brewed for Someone Else")</f>
        <v>Brewed for Someone Else</v>
      </c>
      <c r="F60" s="11" t="str">
        <f>IFERROR(__xludf.DUMMYFUNCTION("""COMPUTED_VALUE"""),"")</f>
        <v/>
      </c>
      <c r="G60" s="11" t="str">
        <f>IFERROR(__xludf.DUMMYFUNCTION("""COMPUTED_VALUE"""),"Brewed in Ada")</f>
        <v>Brewed in Ada</v>
      </c>
      <c r="H60" s="12" t="str">
        <f>IFERROR(__xludf.DUMMYFUNCTION("""COMPUTED_VALUE"""),"Slower on earlier pours / Faster on later pours")</f>
        <v>Slower on earlier pours / Faster on later pours</v>
      </c>
      <c r="I60" s="12" t="str">
        <f>IFERROR(__xludf.DUMMYFUNCTION("""COMPUTED_VALUE"""),"")</f>
        <v/>
      </c>
      <c r="J60" s="13">
        <f t="shared" si="1"/>
        <v>43933</v>
      </c>
      <c r="K60" s="12" t="str">
        <f>IFERROR(IF(A60="","",if($G60="",Reference!$J$2, VLOOKUP($G60,Reference!$I$2:$J$1000,2,false))),"")</f>
        <v>Ada</v>
      </c>
      <c r="L60" s="12" t="str">
        <f>IF(A60="","", IF(F60="",Reference!$M$2,F60))</f>
        <v>Hario V60</v>
      </c>
      <c r="M60" s="14">
        <f t="shared" si="2"/>
        <v>0.002372685185</v>
      </c>
      <c r="N60" s="15">
        <f t="shared" si="3"/>
        <v>205</v>
      </c>
      <c r="O60" s="14">
        <f t="shared" si="4"/>
        <v>0.00005787037037</v>
      </c>
      <c r="P60" s="16" t="str">
        <f t="array" ref="P60">IF($A60="","", IFERROR(INDEX('BM Data'!$N:$N,MATCH($J60&amp; "-" &amp; $N60,'BM Data'!$O:$O,0),1),""))</f>
        <v/>
      </c>
      <c r="Q60" s="16" t="str">
        <f t="array" ref="Q60">IF($A60="","", IFERROR(INDEX('BM Data'!$J:$J,MATCH($J60&amp; "-" &amp; $N60,'BM Data'!$O:$O,0),1),""))</f>
        <v/>
      </c>
    </row>
    <row r="61">
      <c r="A61" s="10">
        <f>IFERROR(__xludf.DUMMYFUNCTION("""COMPUTED_VALUE"""),43933.44483439815)</f>
        <v>43933.44483</v>
      </c>
      <c r="B61" s="3" t="str">
        <f>IFERROR(__xludf.DUMMYFUNCTION("""COMPUTED_VALUE"""),"Southern Weather (Onyx)")</f>
        <v>Southern Weather (Onyx)</v>
      </c>
      <c r="C61" s="11">
        <f>IFERROR(__xludf.DUMMYFUNCTION("""COMPUTED_VALUE"""),20.0)</f>
        <v>20</v>
      </c>
      <c r="D61" s="11" t="str">
        <f>IFERROR(__xludf.DUMMYFUNCTION("""COMPUTED_VALUE"""),"3:31")</f>
        <v>3:31</v>
      </c>
      <c r="E61" s="11" t="str">
        <f>IFERROR(__xludf.DUMMYFUNCTION("""COMPUTED_VALUE"""),"Brewed for Someone Else")</f>
        <v>Brewed for Someone Else</v>
      </c>
      <c r="F61" s="11" t="str">
        <f>IFERROR(__xludf.DUMMYFUNCTION("""COMPUTED_VALUE"""),"")</f>
        <v/>
      </c>
      <c r="G61" s="11" t="str">
        <f>IFERROR(__xludf.DUMMYFUNCTION("""COMPUTED_VALUE"""),"Brewed in Ada")</f>
        <v>Brewed in Ada</v>
      </c>
      <c r="H61" s="12" t="str">
        <f>IFERROR(__xludf.DUMMYFUNCTION("""COMPUTED_VALUE"""),"Slower on earlier pours / Faster on later pours")</f>
        <v>Slower on earlier pours / Faster on later pours</v>
      </c>
      <c r="I61" s="12" t="str">
        <f>IFERROR(__xludf.DUMMYFUNCTION("""COMPUTED_VALUE"""),"")</f>
        <v/>
      </c>
      <c r="J61" s="13">
        <f t="shared" si="1"/>
        <v>43933</v>
      </c>
      <c r="K61" s="12" t="str">
        <f>IFERROR(IF(A61="","",if($G61="",Reference!$J$2, VLOOKUP($G61,Reference!$I$2:$J$1000,2,false))),"")</f>
        <v>Ada</v>
      </c>
      <c r="L61" s="12" t="str">
        <f>IF(A61="","", IF(F61="",Reference!$M$2,F61))</f>
        <v>Hario V60</v>
      </c>
      <c r="M61" s="14">
        <f t="shared" si="2"/>
        <v>0.00244212963</v>
      </c>
      <c r="N61" s="15">
        <f t="shared" si="3"/>
        <v>211</v>
      </c>
      <c r="O61" s="14">
        <f t="shared" si="4"/>
        <v>0.00001157407407</v>
      </c>
      <c r="P61" s="16" t="str">
        <f t="array" ref="P61">IF($A61="","", IFERROR(INDEX('BM Data'!$N:$N,MATCH($J61&amp; "-" &amp; $N61,'BM Data'!$O:$O,0),1),""))</f>
        <v/>
      </c>
      <c r="Q61" s="16" t="str">
        <f t="array" ref="Q61">IF($A61="","", IFERROR(INDEX('BM Data'!$J:$J,MATCH($J61&amp; "-" &amp; $N61,'BM Data'!$O:$O,0),1),""))</f>
        <v/>
      </c>
    </row>
    <row r="62">
      <c r="A62" s="10">
        <f>IFERROR(__xludf.DUMMYFUNCTION("""COMPUTED_VALUE"""),43933.802319201386)</f>
        <v>43933.80232</v>
      </c>
      <c r="B62" s="3" t="str">
        <f>IFERROR(__xludf.DUMMYFUNCTION("""COMPUTED_VALUE"""),"Monarch (Onyx)")</f>
        <v>Monarch (Onyx)</v>
      </c>
      <c r="C62" s="11">
        <f>IFERROR(__xludf.DUMMYFUNCTION("""COMPUTED_VALUE"""),21.0)</f>
        <v>21</v>
      </c>
      <c r="D62" s="11" t="str">
        <f>IFERROR(__xludf.DUMMYFUNCTION("""COMPUTED_VALUE"""),"3:30")</f>
        <v>3:30</v>
      </c>
      <c r="E62" s="11" t="str">
        <f>IFERROR(__xludf.DUMMYFUNCTION("""COMPUTED_VALUE"""),"Pefect!")</f>
        <v>Pefect!</v>
      </c>
      <c r="F62" s="11" t="str">
        <f>IFERROR(__xludf.DUMMYFUNCTION("""COMPUTED_VALUE"""),"")</f>
        <v/>
      </c>
      <c r="G62" s="11" t="str">
        <f>IFERROR(__xludf.DUMMYFUNCTION("""COMPUTED_VALUE"""),"Brewed in Ada")</f>
        <v>Brewed in Ada</v>
      </c>
      <c r="H62" s="12" t="str">
        <f>IFERROR(__xludf.DUMMYFUNCTION("""COMPUTED_VALUE"""),"Slower on earlier pours / Faster on later pours")</f>
        <v>Slower on earlier pours / Faster on later pours</v>
      </c>
      <c r="I62" s="12" t="str">
        <f>IFERROR(__xludf.DUMMYFUNCTION("""COMPUTED_VALUE"""),"")</f>
        <v/>
      </c>
      <c r="J62" s="13">
        <f t="shared" si="1"/>
        <v>43933</v>
      </c>
      <c r="K62" s="12" t="str">
        <f>IFERROR(IF(A62="","",if($G62="",Reference!$J$2, VLOOKUP($G62,Reference!$I$2:$J$1000,2,false))),"")</f>
        <v>Ada</v>
      </c>
      <c r="L62" s="12" t="str">
        <f>IF(A62="","", IF(F62="",Reference!$M$2,F62))</f>
        <v>Hario V60</v>
      </c>
      <c r="M62" s="14">
        <f t="shared" si="2"/>
        <v>0.002430555556</v>
      </c>
      <c r="N62" s="15">
        <f t="shared" si="3"/>
        <v>210</v>
      </c>
      <c r="O62" s="14">
        <f t="shared" si="4"/>
        <v>0</v>
      </c>
      <c r="P62" s="16" t="str">
        <f t="array" ref="P62">IF($A62="","", IFERROR(INDEX('BM Data'!$N:$N,MATCH($J62&amp; "-" &amp; $N62,'BM Data'!$O:$O,0),1),""))</f>
        <v/>
      </c>
      <c r="Q62" s="16" t="str">
        <f t="array" ref="Q62">IF($A62="","", IFERROR(INDEX('BM Data'!$J:$J,MATCH($J62&amp; "-" &amp; $N62,'BM Data'!$O:$O,0),1),""))</f>
        <v/>
      </c>
    </row>
    <row r="63">
      <c r="A63" s="10">
        <f>IFERROR(__xludf.DUMMYFUNCTION("""COMPUTED_VALUE"""),43933.93426271991)</f>
        <v>43933.93426</v>
      </c>
      <c r="B63" s="3" t="str">
        <f>IFERROR(__xludf.DUMMYFUNCTION("""COMPUTED_VALUE"""),"Columbia Cauca - Decaf (Onyx)")</f>
        <v>Columbia Cauca - Decaf (Onyx)</v>
      </c>
      <c r="C63" s="11">
        <f>IFERROR(__xludf.DUMMYFUNCTION("""COMPUTED_VALUE"""),24.0)</f>
        <v>24</v>
      </c>
      <c r="D63" s="11" t="str">
        <f>IFERROR(__xludf.DUMMYFUNCTION("""COMPUTED_VALUE"""),"3:30")</f>
        <v>3:30</v>
      </c>
      <c r="E63" s="11" t="str">
        <f>IFERROR(__xludf.DUMMYFUNCTION("""COMPUTED_VALUE"""),"Pefect!")</f>
        <v>Pefect!</v>
      </c>
      <c r="F63" s="11" t="str">
        <f>IFERROR(__xludf.DUMMYFUNCTION("""COMPUTED_VALUE"""),"")</f>
        <v/>
      </c>
      <c r="G63" s="11" t="str">
        <f>IFERROR(__xludf.DUMMYFUNCTION("""COMPUTED_VALUE"""),"Brewed in Ada")</f>
        <v>Brewed in Ada</v>
      </c>
      <c r="H63" s="12" t="str">
        <f>IFERROR(__xludf.DUMMYFUNCTION("""COMPUTED_VALUE"""),"Slower on earlier pours / Faster on later pours")</f>
        <v>Slower on earlier pours / Faster on later pours</v>
      </c>
      <c r="I63" s="12" t="str">
        <f>IFERROR(__xludf.DUMMYFUNCTION("""COMPUTED_VALUE"""),"")</f>
        <v/>
      </c>
      <c r="J63" s="13">
        <f t="shared" si="1"/>
        <v>43933</v>
      </c>
      <c r="K63" s="12" t="str">
        <f>IFERROR(IF(A63="","",if($G63="",Reference!$J$2, VLOOKUP($G63,Reference!$I$2:$J$1000,2,false))),"")</f>
        <v>Ada</v>
      </c>
      <c r="L63" s="12" t="str">
        <f>IF(A63="","", IF(F63="",Reference!$M$2,F63))</f>
        <v>Hario V60</v>
      </c>
      <c r="M63" s="14">
        <f t="shared" si="2"/>
        <v>0.002430555556</v>
      </c>
      <c r="N63" s="15">
        <f t="shared" si="3"/>
        <v>210</v>
      </c>
      <c r="O63" s="14">
        <f t="shared" si="4"/>
        <v>0</v>
      </c>
      <c r="P63" s="16" t="str">
        <f t="array" ref="P63">IF($A63="","", IFERROR(INDEX('BM Data'!$N:$N,MATCH($J63&amp; "-" &amp; $N63,'BM Data'!$O:$O,0),1),""))</f>
        <v/>
      </c>
      <c r="Q63" s="16" t="str">
        <f t="array" ref="Q63">IF($A63="","", IFERROR(INDEX('BM Data'!$J:$J,MATCH($J63&amp; "-" &amp; $N63,'BM Data'!$O:$O,0),1),""))</f>
        <v/>
      </c>
    </row>
    <row r="64">
      <c r="A64" s="10">
        <f>IFERROR(__xludf.DUMMYFUNCTION("""COMPUTED_VALUE"""),43934.87826145833)</f>
        <v>43934.87826</v>
      </c>
      <c r="B64" s="3" t="str">
        <f>IFERROR(__xludf.DUMMYFUNCTION("""COMPUTED_VALUE"""),"Monarch (Onyx)")</f>
        <v>Monarch (Onyx)</v>
      </c>
      <c r="C64" s="11">
        <f>IFERROR(__xludf.DUMMYFUNCTION("""COMPUTED_VALUE"""),21.0)</f>
        <v>21</v>
      </c>
      <c r="D64" s="11" t="str">
        <f>IFERROR(__xludf.DUMMYFUNCTION("""COMPUTED_VALUE"""),"3:30")</f>
        <v>3:30</v>
      </c>
      <c r="E64" s="11" t="str">
        <f>IFERROR(__xludf.DUMMYFUNCTION("""COMPUTED_VALUE"""),"Pefect!")</f>
        <v>Pefect!</v>
      </c>
      <c r="F64" s="11" t="str">
        <f>IFERROR(__xludf.DUMMYFUNCTION("""COMPUTED_VALUE"""),"")</f>
        <v/>
      </c>
      <c r="G64" s="11" t="str">
        <f>IFERROR(__xludf.DUMMYFUNCTION("""COMPUTED_VALUE"""),"Brewed in Ada")</f>
        <v>Brewed in Ada</v>
      </c>
      <c r="H64" s="12" t="str">
        <f>IFERROR(__xludf.DUMMYFUNCTION("""COMPUTED_VALUE"""),"Slower on earlier pours / Faster on later pours")</f>
        <v>Slower on earlier pours / Faster on later pours</v>
      </c>
      <c r="I64" s="12" t="str">
        <f>IFERROR(__xludf.DUMMYFUNCTION("""COMPUTED_VALUE"""),"")</f>
        <v/>
      </c>
      <c r="J64" s="13">
        <f t="shared" si="1"/>
        <v>43934</v>
      </c>
      <c r="K64" s="12" t="str">
        <f>IFERROR(IF(A64="","",if($G64="",Reference!$J$2, VLOOKUP($G64,Reference!$I$2:$J$1000,2,false))),"")</f>
        <v>Ada</v>
      </c>
      <c r="L64" s="12" t="str">
        <f>IF(A64="","", IF(F64="",Reference!$M$2,F64))</f>
        <v>Hario V60</v>
      </c>
      <c r="M64" s="14">
        <f t="shared" si="2"/>
        <v>0.002430555556</v>
      </c>
      <c r="N64" s="15">
        <f t="shared" si="3"/>
        <v>210</v>
      </c>
      <c r="O64" s="14">
        <f t="shared" si="4"/>
        <v>0</v>
      </c>
      <c r="P64" s="16" t="str">
        <f t="array" ref="P64">IF($A64="","", IFERROR(INDEX('BM Data'!$N:$N,MATCH($J64&amp; "-" &amp; $N64,'BM Data'!$O:$O,0),1),""))</f>
        <v/>
      </c>
      <c r="Q64" s="16" t="str">
        <f t="array" ref="Q64">IF($A64="","", IFERROR(INDEX('BM Data'!$J:$J,MATCH($J64&amp; "-" &amp; $N64,'BM Data'!$O:$O,0),1),""))</f>
        <v/>
      </c>
    </row>
    <row r="65">
      <c r="A65" s="10">
        <f>IFERROR(__xludf.DUMMYFUNCTION("""COMPUTED_VALUE"""),43935.79343200232)</f>
        <v>43935.79343</v>
      </c>
      <c r="B65" s="3" t="str">
        <f>IFERROR(__xludf.DUMMYFUNCTION("""COMPUTED_VALUE"""),"Columbia Tablón de Gomez Los Rosales")</f>
        <v>Columbia Tablón de Gomez Los Rosales</v>
      </c>
      <c r="C65" s="11">
        <f>IFERROR(__xludf.DUMMYFUNCTION("""COMPUTED_VALUE"""),23.0)</f>
        <v>23</v>
      </c>
      <c r="D65" s="11" t="str">
        <f>IFERROR(__xludf.DUMMYFUNCTION("""COMPUTED_VALUE"""),"3:26")</f>
        <v>3:26</v>
      </c>
      <c r="E65" s="11" t="str">
        <f>IFERROR(__xludf.DUMMYFUNCTION("""COMPUTED_VALUE"""),"Weak")</f>
        <v>Weak</v>
      </c>
      <c r="F65" s="11" t="str">
        <f>IFERROR(__xludf.DUMMYFUNCTION("""COMPUTED_VALUE"""),"")</f>
        <v/>
      </c>
      <c r="G65" s="11" t="str">
        <f>IFERROR(__xludf.DUMMYFUNCTION("""COMPUTED_VALUE"""),"Brewed in Ada")</f>
        <v>Brewed in Ada</v>
      </c>
      <c r="H65" s="12" t="str">
        <f>IFERROR(__xludf.DUMMYFUNCTION("""COMPUTED_VALUE"""),"Slower on earlier pours / Faster on later pours")</f>
        <v>Slower on earlier pours / Faster on later pours</v>
      </c>
      <c r="I65" s="12" t="str">
        <f>IFERROR(__xludf.DUMMYFUNCTION("""COMPUTED_VALUE"""),"")</f>
        <v/>
      </c>
      <c r="J65" s="13">
        <f t="shared" si="1"/>
        <v>43935</v>
      </c>
      <c r="K65" s="12" t="str">
        <f>IFERROR(IF(A65="","",if($G65="",Reference!$J$2, VLOOKUP($G65,Reference!$I$2:$J$1000,2,false))),"")</f>
        <v>Ada</v>
      </c>
      <c r="L65" s="12" t="str">
        <f>IF(A65="","", IF(F65="",Reference!$M$2,F65))</f>
        <v>Hario V60</v>
      </c>
      <c r="M65" s="14">
        <f t="shared" si="2"/>
        <v>0.002384259259</v>
      </c>
      <c r="N65" s="15">
        <f t="shared" si="3"/>
        <v>206</v>
      </c>
      <c r="O65" s="14">
        <f t="shared" si="4"/>
        <v>0.0000462962963</v>
      </c>
      <c r="P65" s="16" t="str">
        <f t="array" ref="P65">IF($A65="","", IFERROR(INDEX('BM Data'!$N:$N,MATCH($J65&amp; "-" &amp; $N65,'BM Data'!$O:$O,0),1),""))</f>
        <v/>
      </c>
      <c r="Q65" s="16" t="str">
        <f t="array" ref="Q65">IF($A65="","", IFERROR(INDEX('BM Data'!$J:$J,MATCH($J65&amp; "-" &amp; $N65,'BM Data'!$O:$O,0),1),""))</f>
        <v/>
      </c>
    </row>
    <row r="66">
      <c r="A66" s="10">
        <f>IFERROR(__xludf.DUMMYFUNCTION("""COMPUTED_VALUE"""),43937.371214479164)</f>
        <v>43937.37121</v>
      </c>
      <c r="B66" s="3" t="str">
        <f>IFERROR(__xludf.DUMMYFUNCTION("""COMPUTED_VALUE"""),"Southern Weather (Onyx)")</f>
        <v>Southern Weather (Onyx)</v>
      </c>
      <c r="C66" s="11">
        <f>IFERROR(__xludf.DUMMYFUNCTION("""COMPUTED_VALUE"""),20.0)</f>
        <v>20</v>
      </c>
      <c r="D66" s="11" t="str">
        <f>IFERROR(__xludf.DUMMYFUNCTION("""COMPUTED_VALUE"""),"3:29")</f>
        <v>3:29</v>
      </c>
      <c r="E66" s="11" t="str">
        <f>IFERROR(__xludf.DUMMYFUNCTION("""COMPUTED_VALUE"""),"Weak")</f>
        <v>Weak</v>
      </c>
      <c r="F66" s="11" t="str">
        <f>IFERROR(__xludf.DUMMYFUNCTION("""COMPUTED_VALUE"""),"")</f>
        <v/>
      </c>
      <c r="G66" s="11" t="str">
        <f>IFERROR(__xludf.DUMMYFUNCTION("""COMPUTED_VALUE"""),"Brewed in Ada")</f>
        <v>Brewed in Ada</v>
      </c>
      <c r="H66" s="12" t="str">
        <f>IFERROR(__xludf.DUMMYFUNCTION("""COMPUTED_VALUE"""),"Slower on earlier pours / Faster on later pours")</f>
        <v>Slower on earlier pours / Faster on later pours</v>
      </c>
      <c r="I66" s="12" t="str">
        <f>IFERROR(__xludf.DUMMYFUNCTION("""COMPUTED_VALUE"""),"")</f>
        <v/>
      </c>
      <c r="J66" s="13">
        <f t="shared" si="1"/>
        <v>43937</v>
      </c>
      <c r="K66" s="12" t="str">
        <f>IFERROR(IF(A66="","",if($G66="",Reference!$J$2, VLOOKUP($G66,Reference!$I$2:$J$1000,2,false))),"")</f>
        <v>Ada</v>
      </c>
      <c r="L66" s="12" t="str">
        <f>IF(A66="","", IF(F66="",Reference!$M$2,F66))</f>
        <v>Hario V60</v>
      </c>
      <c r="M66" s="14">
        <f t="shared" si="2"/>
        <v>0.002418981481</v>
      </c>
      <c r="N66" s="15">
        <f t="shared" si="3"/>
        <v>209</v>
      </c>
      <c r="O66" s="14">
        <f t="shared" si="4"/>
        <v>0.00001157407407</v>
      </c>
      <c r="P66" s="16" t="str">
        <f t="array" ref="P66">IF($A66="","", IFERROR(INDEX('BM Data'!$N:$N,MATCH($J66&amp; "-" &amp; $N66,'BM Data'!$O:$O,0),1),""))</f>
        <v/>
      </c>
      <c r="Q66" s="16" t="str">
        <f t="array" ref="Q66">IF($A66="","", IFERROR(INDEX('BM Data'!$J:$J,MATCH($J66&amp; "-" &amp; $N66,'BM Data'!$O:$O,0),1),""))</f>
        <v/>
      </c>
    </row>
    <row r="67">
      <c r="A67" s="10">
        <f>IFERROR(__xludf.DUMMYFUNCTION("""COMPUTED_VALUE"""),43938.37260199075)</f>
        <v>43938.3726</v>
      </c>
      <c r="B67" s="3" t="str">
        <f>IFERROR(__xludf.DUMMYFUNCTION("""COMPUTED_VALUE"""),"Puru Vilcanzia (Onyx)")</f>
        <v>Puru Vilcanzia (Onyx)</v>
      </c>
      <c r="C67" s="11">
        <f>IFERROR(__xludf.DUMMYFUNCTION("""COMPUTED_VALUE"""),23.0)</f>
        <v>23</v>
      </c>
      <c r="D67" s="11" t="str">
        <f>IFERROR(__xludf.DUMMYFUNCTION("""COMPUTED_VALUE"""),"3:34")</f>
        <v>3:34</v>
      </c>
      <c r="E67" s="11" t="str">
        <f>IFERROR(__xludf.DUMMYFUNCTION("""COMPUTED_VALUE"""),"Nutty")</f>
        <v>Nutty</v>
      </c>
      <c r="F67" s="11" t="str">
        <f>IFERROR(__xludf.DUMMYFUNCTION("""COMPUTED_VALUE"""),"")</f>
        <v/>
      </c>
      <c r="G67" s="11" t="str">
        <f>IFERROR(__xludf.DUMMYFUNCTION("""COMPUTED_VALUE"""),"Brewed in Ada")</f>
        <v>Brewed in Ada</v>
      </c>
      <c r="H67" s="12" t="str">
        <f>IFERROR(__xludf.DUMMYFUNCTION("""COMPUTED_VALUE"""),"Slower on earlier pours / Faster on later pours")</f>
        <v>Slower on earlier pours / Faster on later pours</v>
      </c>
      <c r="I67" s="12" t="str">
        <f>IFERROR(__xludf.DUMMYFUNCTION("""COMPUTED_VALUE"""),"")</f>
        <v/>
      </c>
      <c r="J67" s="13">
        <f t="shared" si="1"/>
        <v>43938</v>
      </c>
      <c r="K67" s="12" t="str">
        <f>IFERROR(IF(A67="","",if($G67="",Reference!$J$2, VLOOKUP($G67,Reference!$I$2:$J$1000,2,false))),"")</f>
        <v>Ada</v>
      </c>
      <c r="L67" s="12" t="str">
        <f>IF(A67="","", IF(F67="",Reference!$M$2,F67))</f>
        <v>Hario V60</v>
      </c>
      <c r="M67" s="14">
        <f t="shared" si="2"/>
        <v>0.002476851852</v>
      </c>
      <c r="N67" s="15">
        <f t="shared" si="3"/>
        <v>214</v>
      </c>
      <c r="O67" s="14">
        <f t="shared" si="4"/>
        <v>0.0000462962963</v>
      </c>
      <c r="P67" s="16" t="str">
        <f t="array" ref="P67">IF($A67="","", IFERROR(INDEX('BM Data'!$N:$N,MATCH($J67&amp; "-" &amp; $N67,'BM Data'!$O:$O,0),1),""))</f>
        <v/>
      </c>
      <c r="Q67" s="16" t="str">
        <f t="array" ref="Q67">IF($A67="","", IFERROR(INDEX('BM Data'!$J:$J,MATCH($J67&amp; "-" &amp; $N67,'BM Data'!$O:$O,0),1),""))</f>
        <v/>
      </c>
    </row>
    <row r="68">
      <c r="A68" s="10">
        <f>IFERROR(__xludf.DUMMYFUNCTION("""COMPUTED_VALUE"""),43939.41385552083)</f>
        <v>43939.41386</v>
      </c>
      <c r="B68" s="3" t="str">
        <f>IFERROR(__xludf.DUMMYFUNCTION("""COMPUTED_VALUE"""),"Puru Vilcanzia (Onyx)")</f>
        <v>Puru Vilcanzia (Onyx)</v>
      </c>
      <c r="C68" s="11">
        <f>IFERROR(__xludf.DUMMYFUNCTION("""COMPUTED_VALUE"""),22.0)</f>
        <v>22</v>
      </c>
      <c r="D68" s="11" t="str">
        <f>IFERROR(__xludf.DUMMYFUNCTION("""COMPUTED_VALUE"""),"3:35")</f>
        <v>3:35</v>
      </c>
      <c r="E68" s="11" t="str">
        <f>IFERROR(__xludf.DUMMYFUNCTION("""COMPUTED_VALUE"""),"Dark")</f>
        <v>Dark</v>
      </c>
      <c r="F68" s="11" t="str">
        <f>IFERROR(__xludf.DUMMYFUNCTION("""COMPUTED_VALUE"""),"")</f>
        <v/>
      </c>
      <c r="G68" s="11" t="str">
        <f>IFERROR(__xludf.DUMMYFUNCTION("""COMPUTED_VALUE"""),"Brewed in Ada")</f>
        <v>Brewed in Ada</v>
      </c>
      <c r="H68" s="12" t="str">
        <f>IFERROR(__xludf.DUMMYFUNCTION("""COMPUTED_VALUE"""),"Slower on earlier pours / Faster on later pours")</f>
        <v>Slower on earlier pours / Faster on later pours</v>
      </c>
      <c r="I68" s="12" t="str">
        <f>IFERROR(__xludf.DUMMYFUNCTION("""COMPUTED_VALUE"""),"")</f>
        <v/>
      </c>
      <c r="J68" s="13">
        <f t="shared" si="1"/>
        <v>43939</v>
      </c>
      <c r="K68" s="12" t="str">
        <f>IFERROR(IF(A68="","",if($G68="",Reference!$J$2, VLOOKUP($G68,Reference!$I$2:$J$1000,2,false))),"")</f>
        <v>Ada</v>
      </c>
      <c r="L68" s="12" t="str">
        <f>IF(A68="","", IF(F68="",Reference!$M$2,F68))</f>
        <v>Hario V60</v>
      </c>
      <c r="M68" s="14">
        <f t="shared" si="2"/>
        <v>0.002488425926</v>
      </c>
      <c r="N68" s="15">
        <f t="shared" si="3"/>
        <v>215</v>
      </c>
      <c r="O68" s="14">
        <f t="shared" si="4"/>
        <v>0.00005787037037</v>
      </c>
      <c r="P68" s="16" t="str">
        <f t="array" ref="P68">IF($A68="","", IFERROR(INDEX('BM Data'!$N:$N,MATCH($J68&amp; "-" &amp; $N68,'BM Data'!$O:$O,0),1),""))</f>
        <v/>
      </c>
      <c r="Q68" s="16" t="str">
        <f t="array" ref="Q68">IF($A68="","", IFERROR(INDEX('BM Data'!$J:$J,MATCH($J68&amp; "-" &amp; $N68,'BM Data'!$O:$O,0),1),""))</f>
        <v/>
      </c>
    </row>
    <row r="69">
      <c r="A69" s="10">
        <f>IFERROR(__xludf.DUMMYFUNCTION("""COMPUTED_VALUE"""),43939.439629305554)</f>
        <v>43939.43963</v>
      </c>
      <c r="B69" s="3" t="str">
        <f>IFERROR(__xludf.DUMMYFUNCTION("""COMPUTED_VALUE"""),"Columbia Cauca - Decaf (Onyx)")</f>
        <v>Columbia Cauca - Decaf (Onyx)</v>
      </c>
      <c r="C69" s="11">
        <f>IFERROR(__xludf.DUMMYFUNCTION("""COMPUTED_VALUE"""),23.0)</f>
        <v>23</v>
      </c>
      <c r="D69" s="11" t="str">
        <f>IFERROR(__xludf.DUMMYFUNCTION("""COMPUTED_VALUE"""),"3:36")</f>
        <v>3:36</v>
      </c>
      <c r="E69" s="11" t="str">
        <f>IFERROR(__xludf.DUMMYFUNCTION("""COMPUTED_VALUE"""),"Pefect!")</f>
        <v>Pefect!</v>
      </c>
      <c r="F69" s="11" t="str">
        <f>IFERROR(__xludf.DUMMYFUNCTION("""COMPUTED_VALUE"""),"")</f>
        <v/>
      </c>
      <c r="G69" s="11" t="str">
        <f>IFERROR(__xludf.DUMMYFUNCTION("""COMPUTED_VALUE"""),"Brewed in Ada")</f>
        <v>Brewed in Ada</v>
      </c>
      <c r="H69" s="12" t="str">
        <f>IFERROR(__xludf.DUMMYFUNCTION("""COMPUTED_VALUE"""),"Slower on earlier pours / Faster on later pours")</f>
        <v>Slower on earlier pours / Faster on later pours</v>
      </c>
      <c r="I69" s="12">
        <f>IFERROR(__xludf.DUMMYFUNCTION("""COMPUTED_VALUE"""),20.0)</f>
        <v>20</v>
      </c>
      <c r="J69" s="13">
        <f t="shared" si="1"/>
        <v>43939</v>
      </c>
      <c r="K69" s="12" t="str">
        <f>IFERROR(IF(A69="","",if($G69="",Reference!$J$2, VLOOKUP($G69,Reference!$I$2:$J$1000,2,false))),"")</f>
        <v>Ada</v>
      </c>
      <c r="L69" s="12" t="str">
        <f>IF(A69="","", IF(F69="",Reference!$M$2,F69))</f>
        <v>Hario V60</v>
      </c>
      <c r="M69" s="14">
        <f t="shared" si="2"/>
        <v>0.0025</v>
      </c>
      <c r="N69" s="15">
        <f t="shared" si="3"/>
        <v>216</v>
      </c>
      <c r="O69" s="14">
        <f t="shared" si="4"/>
        <v>0.00006944444444</v>
      </c>
      <c r="P69" s="16" t="str">
        <f t="array" ref="P69">IF($A69="","", IFERROR(INDEX('BM Data'!$N:$N,MATCH($J69&amp; "-" &amp; $N69,'BM Data'!$O:$O,0),1),""))</f>
        <v/>
      </c>
      <c r="Q69" s="16" t="str">
        <f t="array" ref="Q69">IF($A69="","", IFERROR(INDEX('BM Data'!$J:$J,MATCH($J69&amp; "-" &amp; $N69,'BM Data'!$O:$O,0),1),""))</f>
        <v/>
      </c>
    </row>
    <row r="70">
      <c r="A70" s="10">
        <f>IFERROR(__xludf.DUMMYFUNCTION("""COMPUTED_VALUE"""),43940.45594832175)</f>
        <v>43940.45595</v>
      </c>
      <c r="B70" s="3" t="str">
        <f>IFERROR(__xludf.DUMMYFUNCTION("""COMPUTED_VALUE"""),"Southern Weather (Onyx)")</f>
        <v>Southern Weather (Onyx)</v>
      </c>
      <c r="C70" s="11">
        <f>IFERROR(__xludf.DUMMYFUNCTION("""COMPUTED_VALUE"""),20.0)</f>
        <v>20</v>
      </c>
      <c r="D70" s="11" t="str">
        <f>IFERROR(__xludf.DUMMYFUNCTION("""COMPUTED_VALUE"""),"3:34")</f>
        <v>3:34</v>
      </c>
      <c r="E70" s="11" t="str">
        <f>IFERROR(__xludf.DUMMYFUNCTION("""COMPUTED_VALUE"""),"Brewed for Someone Else")</f>
        <v>Brewed for Someone Else</v>
      </c>
      <c r="F70" s="11" t="str">
        <f>IFERROR(__xludf.DUMMYFUNCTION("""COMPUTED_VALUE"""),"")</f>
        <v/>
      </c>
      <c r="G70" s="11" t="str">
        <f>IFERROR(__xludf.DUMMYFUNCTION("""COMPUTED_VALUE"""),"Brewed in Ada")</f>
        <v>Brewed in Ada</v>
      </c>
      <c r="H70" s="12" t="str">
        <f>IFERROR(__xludf.DUMMYFUNCTION("""COMPUTED_VALUE"""),"Slower on earlier pours / Faster on later pours")</f>
        <v>Slower on earlier pours / Faster on later pours</v>
      </c>
      <c r="I70" s="12" t="str">
        <f>IFERROR(__xludf.DUMMYFUNCTION("""COMPUTED_VALUE"""),"")</f>
        <v/>
      </c>
      <c r="J70" s="13">
        <f t="shared" si="1"/>
        <v>43940</v>
      </c>
      <c r="K70" s="12" t="str">
        <f>IFERROR(IF(A70="","",if($G70="",Reference!$J$2, VLOOKUP($G70,Reference!$I$2:$J$1000,2,false))),"")</f>
        <v>Ada</v>
      </c>
      <c r="L70" s="12" t="str">
        <f>IF(A70="","", IF(F70="",Reference!$M$2,F70))</f>
        <v>Hario V60</v>
      </c>
      <c r="M70" s="14">
        <f t="shared" si="2"/>
        <v>0.002476851852</v>
      </c>
      <c r="N70" s="15">
        <f t="shared" si="3"/>
        <v>214</v>
      </c>
      <c r="O70" s="14">
        <f t="shared" si="4"/>
        <v>0.0000462962963</v>
      </c>
      <c r="P70" s="16" t="str">
        <f t="array" ref="P70">IF($A70="","", IFERROR(INDEX('BM Data'!$N:$N,MATCH($J70&amp; "-" &amp; $N70,'BM Data'!$O:$O,0),1),""))</f>
        <v/>
      </c>
      <c r="Q70" s="16" t="str">
        <f t="array" ref="Q70">IF($A70="","", IFERROR(INDEX('BM Data'!$J:$J,MATCH($J70&amp; "-" &amp; $N70,'BM Data'!$O:$O,0),1),""))</f>
        <v/>
      </c>
    </row>
    <row r="71">
      <c r="A71" s="10" t="str">
        <f>IFERROR(__xludf.DUMMYFUNCTION("""COMPUTED_VALUE"""),"")</f>
        <v/>
      </c>
      <c r="B71" s="3" t="str">
        <f>IFERROR(__xludf.DUMMYFUNCTION("""COMPUTED_VALUE"""),"")</f>
        <v/>
      </c>
      <c r="C71" s="11" t="str">
        <f>IFERROR(__xludf.DUMMYFUNCTION("""COMPUTED_VALUE"""),"")</f>
        <v/>
      </c>
      <c r="D71" s="11" t="str">
        <f>IFERROR(__xludf.DUMMYFUNCTION("""COMPUTED_VALUE"""),"")</f>
        <v/>
      </c>
      <c r="E71" s="11" t="str">
        <f>IFERROR(__xludf.DUMMYFUNCTION("""COMPUTED_VALUE"""),"")</f>
        <v/>
      </c>
      <c r="F71" s="11" t="str">
        <f>IFERROR(__xludf.DUMMYFUNCTION("""COMPUTED_VALUE"""),"")</f>
        <v/>
      </c>
      <c r="G71" s="11" t="str">
        <f>IFERROR(__xludf.DUMMYFUNCTION("""COMPUTED_VALUE"""),"")</f>
        <v/>
      </c>
      <c r="H71" s="12" t="str">
        <f>IFERROR(__xludf.DUMMYFUNCTION("""COMPUTED_VALUE"""),"")</f>
        <v/>
      </c>
      <c r="I71" s="12" t="str">
        <f>IFERROR(__xludf.DUMMYFUNCTION("""COMPUTED_VALUE"""),"")</f>
        <v/>
      </c>
      <c r="J71" s="13" t="str">
        <f t="shared" si="1"/>
        <v/>
      </c>
      <c r="K71" s="12" t="str">
        <f>IFERROR(IF(A71="","",if($G71="",Reference!$J$2, VLOOKUP($G71,Reference!$I$2:$J$1000,2,false))),"")</f>
        <v/>
      </c>
      <c r="L71" s="12" t="str">
        <f>IF(A71="","", IF(F71="",Reference!$M$2,F71))</f>
        <v/>
      </c>
      <c r="M71" s="14" t="str">
        <f t="shared" si="2"/>
        <v/>
      </c>
      <c r="N71" s="15" t="str">
        <f t="shared" si="3"/>
        <v/>
      </c>
      <c r="O71" s="14" t="str">
        <f t="shared" si="4"/>
        <v/>
      </c>
      <c r="P71" s="16" t="str">
        <f t="array" ref="P71">IF($A71="","", IFERROR(INDEX('BM Data'!$N:$N,MATCH($J71&amp; "-" &amp; $N71,'BM Data'!$O:$O,0),1),""))</f>
        <v/>
      </c>
      <c r="Q71" s="16" t="str">
        <f t="array" ref="Q71">IF($A71="","", IFERROR(INDEX('BM Data'!$J:$J,MATCH($J71&amp; "-" &amp; $N71,'BM Data'!$O:$O,0),1),""))</f>
        <v/>
      </c>
    </row>
    <row r="72">
      <c r="A72" s="10" t="str">
        <f>IFERROR(__xludf.DUMMYFUNCTION("""COMPUTED_VALUE"""),"")</f>
        <v/>
      </c>
      <c r="B72" s="3" t="str">
        <f>IFERROR(__xludf.DUMMYFUNCTION("""COMPUTED_VALUE"""),"")</f>
        <v/>
      </c>
      <c r="C72" s="11" t="str">
        <f>IFERROR(__xludf.DUMMYFUNCTION("""COMPUTED_VALUE"""),"")</f>
        <v/>
      </c>
      <c r="D72" s="11" t="str">
        <f>IFERROR(__xludf.DUMMYFUNCTION("""COMPUTED_VALUE"""),"")</f>
        <v/>
      </c>
      <c r="E72" s="11" t="str">
        <f>IFERROR(__xludf.DUMMYFUNCTION("""COMPUTED_VALUE"""),"")</f>
        <v/>
      </c>
      <c r="F72" s="11" t="str">
        <f>IFERROR(__xludf.DUMMYFUNCTION("""COMPUTED_VALUE"""),"")</f>
        <v/>
      </c>
      <c r="G72" s="11" t="str">
        <f>IFERROR(__xludf.DUMMYFUNCTION("""COMPUTED_VALUE"""),"")</f>
        <v/>
      </c>
      <c r="H72" s="12" t="str">
        <f>IFERROR(__xludf.DUMMYFUNCTION("""COMPUTED_VALUE"""),"")</f>
        <v/>
      </c>
      <c r="I72" s="12" t="str">
        <f>IFERROR(__xludf.DUMMYFUNCTION("""COMPUTED_VALUE"""),"")</f>
        <v/>
      </c>
      <c r="J72" s="13" t="str">
        <f t="shared" si="1"/>
        <v/>
      </c>
      <c r="K72" s="12" t="str">
        <f>IFERROR(IF(A72="","",if($G72="",Reference!$J$2, VLOOKUP($G72,Reference!$I$2:$J$1000,2,false))),"")</f>
        <v/>
      </c>
      <c r="L72" s="12" t="str">
        <f>IF(A72="","", IF(F72="",Reference!$M$2,F72))</f>
        <v/>
      </c>
      <c r="M72" s="14" t="str">
        <f t="shared" si="2"/>
        <v/>
      </c>
      <c r="N72" s="15" t="str">
        <f t="shared" si="3"/>
        <v/>
      </c>
      <c r="O72" s="14" t="str">
        <f t="shared" si="4"/>
        <v/>
      </c>
      <c r="P72" s="16" t="str">
        <f t="array" ref="P72">IF($A72="","", IFERROR(INDEX('BM Data'!$N:$N,MATCH($J72&amp; "-" &amp; $N72,'BM Data'!$O:$O,0),1),""))</f>
        <v/>
      </c>
      <c r="Q72" s="16" t="str">
        <f t="array" ref="Q72">IF($A72="","", IFERROR(INDEX('BM Data'!$J:$J,MATCH($J72&amp; "-" &amp; $N72,'BM Data'!$O:$O,0),1),""))</f>
        <v/>
      </c>
    </row>
    <row r="73">
      <c r="A73" s="10" t="str">
        <f>IFERROR(__xludf.DUMMYFUNCTION("""COMPUTED_VALUE"""),"")</f>
        <v/>
      </c>
      <c r="B73" s="3" t="str">
        <f>IFERROR(__xludf.DUMMYFUNCTION("""COMPUTED_VALUE"""),"")</f>
        <v/>
      </c>
      <c r="C73" s="11" t="str">
        <f>IFERROR(__xludf.DUMMYFUNCTION("""COMPUTED_VALUE"""),"")</f>
        <v/>
      </c>
      <c r="D73" s="11" t="str">
        <f>IFERROR(__xludf.DUMMYFUNCTION("""COMPUTED_VALUE"""),"")</f>
        <v/>
      </c>
      <c r="E73" s="11" t="str">
        <f>IFERROR(__xludf.DUMMYFUNCTION("""COMPUTED_VALUE"""),"")</f>
        <v/>
      </c>
      <c r="F73" s="11" t="str">
        <f>IFERROR(__xludf.DUMMYFUNCTION("""COMPUTED_VALUE"""),"")</f>
        <v/>
      </c>
      <c r="G73" s="11" t="str">
        <f>IFERROR(__xludf.DUMMYFUNCTION("""COMPUTED_VALUE"""),"")</f>
        <v/>
      </c>
      <c r="H73" s="12" t="str">
        <f>IFERROR(__xludf.DUMMYFUNCTION("""COMPUTED_VALUE"""),"")</f>
        <v/>
      </c>
      <c r="I73" s="12" t="str">
        <f>IFERROR(__xludf.DUMMYFUNCTION("""COMPUTED_VALUE"""),"")</f>
        <v/>
      </c>
      <c r="J73" s="13" t="str">
        <f t="shared" si="1"/>
        <v/>
      </c>
      <c r="K73" s="12" t="str">
        <f>IFERROR(IF(A73="","",if($G73="",Reference!$J$2, VLOOKUP($G73,Reference!$I$2:$J$1000,2,false))),"")</f>
        <v/>
      </c>
      <c r="L73" s="12" t="str">
        <f>IF(A73="","", IF(F73="",Reference!$M$2,F73))</f>
        <v/>
      </c>
      <c r="M73" s="14" t="str">
        <f t="shared" si="2"/>
        <v/>
      </c>
      <c r="N73" s="15" t="str">
        <f t="shared" si="3"/>
        <v/>
      </c>
      <c r="O73" s="14" t="str">
        <f t="shared" si="4"/>
        <v/>
      </c>
      <c r="P73" s="16" t="str">
        <f t="array" ref="P73">IF($A73="","", IFERROR(INDEX('BM Data'!$N:$N,MATCH($J73&amp; "-" &amp; $N73,'BM Data'!$O:$O,0),1),""))</f>
        <v/>
      </c>
      <c r="Q73" s="16" t="str">
        <f t="array" ref="Q73">IF($A73="","", IFERROR(INDEX('BM Data'!$J:$J,MATCH($J73&amp; "-" &amp; $N73,'BM Data'!$O:$O,0),1),""))</f>
        <v/>
      </c>
    </row>
    <row r="74">
      <c r="A74" s="10" t="str">
        <f>IFERROR(__xludf.DUMMYFUNCTION("""COMPUTED_VALUE"""),"")</f>
        <v/>
      </c>
      <c r="B74" s="3" t="str">
        <f>IFERROR(__xludf.DUMMYFUNCTION("""COMPUTED_VALUE"""),"")</f>
        <v/>
      </c>
      <c r="C74" s="11" t="str">
        <f>IFERROR(__xludf.DUMMYFUNCTION("""COMPUTED_VALUE"""),"")</f>
        <v/>
      </c>
      <c r="D74" s="11" t="str">
        <f>IFERROR(__xludf.DUMMYFUNCTION("""COMPUTED_VALUE"""),"")</f>
        <v/>
      </c>
      <c r="E74" s="11" t="str">
        <f>IFERROR(__xludf.DUMMYFUNCTION("""COMPUTED_VALUE"""),"")</f>
        <v/>
      </c>
      <c r="F74" s="11" t="str">
        <f>IFERROR(__xludf.DUMMYFUNCTION("""COMPUTED_VALUE"""),"")</f>
        <v/>
      </c>
      <c r="G74" s="11" t="str">
        <f>IFERROR(__xludf.DUMMYFUNCTION("""COMPUTED_VALUE"""),"")</f>
        <v/>
      </c>
      <c r="H74" s="12" t="str">
        <f>IFERROR(__xludf.DUMMYFUNCTION("""COMPUTED_VALUE"""),"")</f>
        <v/>
      </c>
      <c r="I74" s="12" t="str">
        <f>IFERROR(__xludf.DUMMYFUNCTION("""COMPUTED_VALUE"""),"")</f>
        <v/>
      </c>
      <c r="J74" s="13" t="str">
        <f t="shared" si="1"/>
        <v/>
      </c>
      <c r="K74" s="12" t="str">
        <f>IFERROR(IF(A74="","",if($G74="",Reference!$J$2, VLOOKUP($G74,Reference!$I$2:$J$1000,2,false))),"")</f>
        <v/>
      </c>
      <c r="L74" s="12" t="str">
        <f>IF(A74="","", IF(F74="",Reference!$M$2,F74))</f>
        <v/>
      </c>
      <c r="M74" s="14" t="str">
        <f t="shared" si="2"/>
        <v/>
      </c>
      <c r="N74" s="15" t="str">
        <f t="shared" si="3"/>
        <v/>
      </c>
      <c r="O74" s="14" t="str">
        <f t="shared" si="4"/>
        <v/>
      </c>
      <c r="P74" s="16" t="str">
        <f t="array" ref="P74">IF($A74="","", IFERROR(INDEX('BM Data'!$N:$N,MATCH($J74&amp; "-" &amp; $N74,'BM Data'!$O:$O,0),1),""))</f>
        <v/>
      </c>
      <c r="Q74" s="16" t="str">
        <f t="array" ref="Q74">IF($A74="","", IFERROR(INDEX('BM Data'!$J:$J,MATCH($J74&amp; "-" &amp; $N74,'BM Data'!$O:$O,0),1),""))</f>
        <v/>
      </c>
    </row>
    <row r="75">
      <c r="A75" s="10" t="str">
        <f>IFERROR(__xludf.DUMMYFUNCTION("""COMPUTED_VALUE"""),"")</f>
        <v/>
      </c>
      <c r="B75" s="3" t="str">
        <f>IFERROR(__xludf.DUMMYFUNCTION("""COMPUTED_VALUE"""),"")</f>
        <v/>
      </c>
      <c r="C75" s="11" t="str">
        <f>IFERROR(__xludf.DUMMYFUNCTION("""COMPUTED_VALUE"""),"")</f>
        <v/>
      </c>
      <c r="D75" s="11" t="str">
        <f>IFERROR(__xludf.DUMMYFUNCTION("""COMPUTED_VALUE"""),"")</f>
        <v/>
      </c>
      <c r="E75" s="11" t="str">
        <f>IFERROR(__xludf.DUMMYFUNCTION("""COMPUTED_VALUE"""),"")</f>
        <v/>
      </c>
      <c r="F75" s="11" t="str">
        <f>IFERROR(__xludf.DUMMYFUNCTION("""COMPUTED_VALUE"""),"")</f>
        <v/>
      </c>
      <c r="G75" s="11" t="str">
        <f>IFERROR(__xludf.DUMMYFUNCTION("""COMPUTED_VALUE"""),"")</f>
        <v/>
      </c>
      <c r="H75" s="12" t="str">
        <f>IFERROR(__xludf.DUMMYFUNCTION("""COMPUTED_VALUE"""),"")</f>
        <v/>
      </c>
      <c r="I75" s="12" t="str">
        <f>IFERROR(__xludf.DUMMYFUNCTION("""COMPUTED_VALUE"""),"")</f>
        <v/>
      </c>
      <c r="J75" s="13" t="str">
        <f t="shared" si="1"/>
        <v/>
      </c>
      <c r="K75" s="12" t="str">
        <f>IFERROR(IF(A75="","",if($G75="",Reference!$J$2, VLOOKUP($G75,Reference!$I$2:$J$1000,2,false))),"")</f>
        <v/>
      </c>
      <c r="L75" s="12" t="str">
        <f>IF(A75="","", IF(F75="",Reference!$M$2,F75))</f>
        <v/>
      </c>
      <c r="M75" s="14" t="str">
        <f t="shared" si="2"/>
        <v/>
      </c>
      <c r="N75" s="15" t="str">
        <f t="shared" si="3"/>
        <v/>
      </c>
      <c r="O75" s="14" t="str">
        <f t="shared" si="4"/>
        <v/>
      </c>
      <c r="P75" s="16" t="str">
        <f t="array" ref="P75">IF($A75="","", IFERROR(INDEX('BM Data'!$N:$N,MATCH($J75&amp; "-" &amp; $N75,'BM Data'!$O:$O,0),1),""))</f>
        <v/>
      </c>
      <c r="Q75" s="16" t="str">
        <f t="array" ref="Q75">IF($A75="","", IFERROR(INDEX('BM Data'!$J:$J,MATCH($J75&amp; "-" &amp; $N75,'BM Data'!$O:$O,0),1),""))</f>
        <v/>
      </c>
    </row>
    <row r="76">
      <c r="A76" s="10" t="str">
        <f>IFERROR(__xludf.DUMMYFUNCTION("""COMPUTED_VALUE"""),"")</f>
        <v/>
      </c>
      <c r="B76" s="3" t="str">
        <f>IFERROR(__xludf.DUMMYFUNCTION("""COMPUTED_VALUE"""),"")</f>
        <v/>
      </c>
      <c r="C76" s="11" t="str">
        <f>IFERROR(__xludf.DUMMYFUNCTION("""COMPUTED_VALUE"""),"")</f>
        <v/>
      </c>
      <c r="D76" s="11" t="str">
        <f>IFERROR(__xludf.DUMMYFUNCTION("""COMPUTED_VALUE"""),"")</f>
        <v/>
      </c>
      <c r="E76" s="11" t="str">
        <f>IFERROR(__xludf.DUMMYFUNCTION("""COMPUTED_VALUE"""),"")</f>
        <v/>
      </c>
      <c r="F76" s="11" t="str">
        <f>IFERROR(__xludf.DUMMYFUNCTION("""COMPUTED_VALUE"""),"")</f>
        <v/>
      </c>
      <c r="G76" s="11" t="str">
        <f>IFERROR(__xludf.DUMMYFUNCTION("""COMPUTED_VALUE"""),"")</f>
        <v/>
      </c>
      <c r="H76" s="12" t="str">
        <f>IFERROR(__xludf.DUMMYFUNCTION("""COMPUTED_VALUE"""),"")</f>
        <v/>
      </c>
      <c r="I76" s="12" t="str">
        <f>IFERROR(__xludf.DUMMYFUNCTION("""COMPUTED_VALUE"""),"")</f>
        <v/>
      </c>
      <c r="J76" s="13" t="str">
        <f t="shared" si="1"/>
        <v/>
      </c>
      <c r="K76" s="12" t="str">
        <f>IFERROR(IF(A76="","",if($G76="",Reference!$J$2, VLOOKUP($G76,Reference!$I$2:$J$1000,2,false))),"")</f>
        <v/>
      </c>
      <c r="L76" s="12" t="str">
        <f>IF(A76="","", IF(F76="",Reference!$M$2,F76))</f>
        <v/>
      </c>
      <c r="M76" s="14" t="str">
        <f t="shared" si="2"/>
        <v/>
      </c>
      <c r="N76" s="15" t="str">
        <f t="shared" si="3"/>
        <v/>
      </c>
      <c r="O76" s="14" t="str">
        <f t="shared" si="4"/>
        <v/>
      </c>
      <c r="P76" s="16" t="str">
        <f t="array" ref="P76">IF($A76="","", IFERROR(INDEX('BM Data'!$N:$N,MATCH($J76&amp; "-" &amp; $N76,'BM Data'!$O:$O,0),1),""))</f>
        <v/>
      </c>
      <c r="Q76" s="16" t="str">
        <f t="array" ref="Q76">IF($A76="","", IFERROR(INDEX('BM Data'!$J:$J,MATCH($J76&amp; "-" &amp; $N76,'BM Data'!$O:$O,0),1),""))</f>
        <v/>
      </c>
    </row>
    <row r="77">
      <c r="A77" s="10" t="str">
        <f>IFERROR(__xludf.DUMMYFUNCTION("""COMPUTED_VALUE"""),"")</f>
        <v/>
      </c>
      <c r="B77" s="3" t="str">
        <f>IFERROR(__xludf.DUMMYFUNCTION("""COMPUTED_VALUE"""),"")</f>
        <v/>
      </c>
      <c r="C77" s="11" t="str">
        <f>IFERROR(__xludf.DUMMYFUNCTION("""COMPUTED_VALUE"""),"")</f>
        <v/>
      </c>
      <c r="D77" s="11" t="str">
        <f>IFERROR(__xludf.DUMMYFUNCTION("""COMPUTED_VALUE"""),"")</f>
        <v/>
      </c>
      <c r="E77" s="11" t="str">
        <f>IFERROR(__xludf.DUMMYFUNCTION("""COMPUTED_VALUE"""),"")</f>
        <v/>
      </c>
      <c r="F77" s="11" t="str">
        <f>IFERROR(__xludf.DUMMYFUNCTION("""COMPUTED_VALUE"""),"")</f>
        <v/>
      </c>
      <c r="G77" s="11" t="str">
        <f>IFERROR(__xludf.DUMMYFUNCTION("""COMPUTED_VALUE"""),"")</f>
        <v/>
      </c>
      <c r="H77" s="12" t="str">
        <f>IFERROR(__xludf.DUMMYFUNCTION("""COMPUTED_VALUE"""),"")</f>
        <v/>
      </c>
      <c r="I77" s="12" t="str">
        <f>IFERROR(__xludf.DUMMYFUNCTION("""COMPUTED_VALUE"""),"")</f>
        <v/>
      </c>
      <c r="J77" s="13" t="str">
        <f t="shared" si="1"/>
        <v/>
      </c>
      <c r="K77" s="12" t="str">
        <f>IFERROR(IF(A77="","",if($G77="",Reference!$J$2, VLOOKUP($G77,Reference!$I$2:$J$1000,2,false))),"")</f>
        <v/>
      </c>
      <c r="L77" s="12" t="str">
        <f>IF(A77="","", IF(F77="",Reference!$M$2,F77))</f>
        <v/>
      </c>
      <c r="M77" s="14" t="str">
        <f t="shared" si="2"/>
        <v/>
      </c>
      <c r="N77" s="15" t="str">
        <f t="shared" si="3"/>
        <v/>
      </c>
      <c r="O77" s="14" t="str">
        <f t="shared" si="4"/>
        <v/>
      </c>
      <c r="P77" s="16" t="str">
        <f t="array" ref="P77">IF($A77="","", IFERROR(INDEX('BM Data'!$N:$N,MATCH($J77&amp; "-" &amp; $N77,'BM Data'!$O:$O,0),1),""))</f>
        <v/>
      </c>
      <c r="Q77" s="16" t="str">
        <f t="array" ref="Q77">IF($A77="","", IFERROR(INDEX('BM Data'!$J:$J,MATCH($J77&amp; "-" &amp; $N77,'BM Data'!$O:$O,0),1),""))</f>
        <v/>
      </c>
    </row>
    <row r="78">
      <c r="A78" s="10" t="str">
        <f>IFERROR(__xludf.DUMMYFUNCTION("""COMPUTED_VALUE"""),"")</f>
        <v/>
      </c>
      <c r="B78" s="3" t="str">
        <f>IFERROR(__xludf.DUMMYFUNCTION("""COMPUTED_VALUE"""),"")</f>
        <v/>
      </c>
      <c r="C78" s="11" t="str">
        <f>IFERROR(__xludf.DUMMYFUNCTION("""COMPUTED_VALUE"""),"")</f>
        <v/>
      </c>
      <c r="D78" s="11" t="str">
        <f>IFERROR(__xludf.DUMMYFUNCTION("""COMPUTED_VALUE"""),"")</f>
        <v/>
      </c>
      <c r="E78" s="11" t="str">
        <f>IFERROR(__xludf.DUMMYFUNCTION("""COMPUTED_VALUE"""),"")</f>
        <v/>
      </c>
      <c r="F78" s="11" t="str">
        <f>IFERROR(__xludf.DUMMYFUNCTION("""COMPUTED_VALUE"""),"")</f>
        <v/>
      </c>
      <c r="G78" s="11" t="str">
        <f>IFERROR(__xludf.DUMMYFUNCTION("""COMPUTED_VALUE"""),"")</f>
        <v/>
      </c>
      <c r="H78" s="12" t="str">
        <f>IFERROR(__xludf.DUMMYFUNCTION("""COMPUTED_VALUE"""),"")</f>
        <v/>
      </c>
      <c r="I78" s="12" t="str">
        <f>IFERROR(__xludf.DUMMYFUNCTION("""COMPUTED_VALUE"""),"")</f>
        <v/>
      </c>
      <c r="J78" s="13" t="str">
        <f t="shared" si="1"/>
        <v/>
      </c>
      <c r="K78" s="12" t="str">
        <f>IFERROR(IF(A78="","",if($G78="",Reference!$J$2, VLOOKUP($G78,Reference!$I$2:$J$1000,2,false))),"")</f>
        <v/>
      </c>
      <c r="L78" s="12" t="str">
        <f>IF(A78="","", IF(F78="",Reference!$M$2,F78))</f>
        <v/>
      </c>
      <c r="M78" s="14" t="str">
        <f t="shared" si="2"/>
        <v/>
      </c>
      <c r="N78" s="15" t="str">
        <f t="shared" si="3"/>
        <v/>
      </c>
      <c r="O78" s="14" t="str">
        <f t="shared" si="4"/>
        <v/>
      </c>
      <c r="P78" s="16" t="str">
        <f t="array" ref="P78">IF($A78="","", IFERROR(INDEX('BM Data'!$N:$N,MATCH($J78&amp; "-" &amp; $N78,'BM Data'!$O:$O,0),1),""))</f>
        <v/>
      </c>
      <c r="Q78" s="16" t="str">
        <f t="array" ref="Q78">IF($A78="","", IFERROR(INDEX('BM Data'!$J:$J,MATCH($J78&amp; "-" &amp; $N78,'BM Data'!$O:$O,0),1),""))</f>
        <v/>
      </c>
    </row>
    <row r="79">
      <c r="A79" s="10" t="str">
        <f>IFERROR(__xludf.DUMMYFUNCTION("""COMPUTED_VALUE"""),"")</f>
        <v/>
      </c>
      <c r="B79" s="3" t="str">
        <f>IFERROR(__xludf.DUMMYFUNCTION("""COMPUTED_VALUE"""),"")</f>
        <v/>
      </c>
      <c r="C79" s="11" t="str">
        <f>IFERROR(__xludf.DUMMYFUNCTION("""COMPUTED_VALUE"""),"")</f>
        <v/>
      </c>
      <c r="D79" s="11" t="str">
        <f>IFERROR(__xludf.DUMMYFUNCTION("""COMPUTED_VALUE"""),"")</f>
        <v/>
      </c>
      <c r="E79" s="11" t="str">
        <f>IFERROR(__xludf.DUMMYFUNCTION("""COMPUTED_VALUE"""),"")</f>
        <v/>
      </c>
      <c r="F79" s="11" t="str">
        <f>IFERROR(__xludf.DUMMYFUNCTION("""COMPUTED_VALUE"""),"")</f>
        <v/>
      </c>
      <c r="G79" s="11" t="str">
        <f>IFERROR(__xludf.DUMMYFUNCTION("""COMPUTED_VALUE"""),"")</f>
        <v/>
      </c>
      <c r="H79" s="12" t="str">
        <f>IFERROR(__xludf.DUMMYFUNCTION("""COMPUTED_VALUE"""),"")</f>
        <v/>
      </c>
      <c r="I79" s="12" t="str">
        <f>IFERROR(__xludf.DUMMYFUNCTION("""COMPUTED_VALUE"""),"")</f>
        <v/>
      </c>
      <c r="J79" s="13" t="str">
        <f t="shared" si="1"/>
        <v/>
      </c>
      <c r="K79" s="12" t="str">
        <f>IFERROR(IF(A79="","",if($G79="",Reference!$J$2, VLOOKUP($G79,Reference!$I$2:$J$1000,2,false))),"")</f>
        <v/>
      </c>
      <c r="L79" s="12" t="str">
        <f>IF(A79="","", IF(F79="",Reference!$M$2,F79))</f>
        <v/>
      </c>
      <c r="M79" s="14" t="str">
        <f t="shared" si="2"/>
        <v/>
      </c>
      <c r="N79" s="15" t="str">
        <f t="shared" si="3"/>
        <v/>
      </c>
      <c r="O79" s="14" t="str">
        <f t="shared" si="4"/>
        <v/>
      </c>
      <c r="P79" s="16" t="str">
        <f t="array" ref="P79">IF($A79="","", IFERROR(INDEX('BM Data'!$N:$N,MATCH($J79&amp; "-" &amp; $N79,'BM Data'!$O:$O,0),1),""))</f>
        <v/>
      </c>
      <c r="Q79" s="16" t="str">
        <f t="array" ref="Q79">IF($A79="","", IFERROR(INDEX('BM Data'!$J:$J,MATCH($J79&amp; "-" &amp; $N79,'BM Data'!$O:$O,0),1),""))</f>
        <v/>
      </c>
    </row>
    <row r="80">
      <c r="A80" s="10" t="str">
        <f>IFERROR(__xludf.DUMMYFUNCTION("""COMPUTED_VALUE"""),"")</f>
        <v/>
      </c>
      <c r="B80" s="3" t="str">
        <f>IFERROR(__xludf.DUMMYFUNCTION("""COMPUTED_VALUE"""),"")</f>
        <v/>
      </c>
      <c r="C80" s="11" t="str">
        <f>IFERROR(__xludf.DUMMYFUNCTION("""COMPUTED_VALUE"""),"")</f>
        <v/>
      </c>
      <c r="D80" s="11" t="str">
        <f>IFERROR(__xludf.DUMMYFUNCTION("""COMPUTED_VALUE"""),"")</f>
        <v/>
      </c>
      <c r="E80" s="11" t="str">
        <f>IFERROR(__xludf.DUMMYFUNCTION("""COMPUTED_VALUE"""),"")</f>
        <v/>
      </c>
      <c r="F80" s="11" t="str">
        <f>IFERROR(__xludf.DUMMYFUNCTION("""COMPUTED_VALUE"""),"")</f>
        <v/>
      </c>
      <c r="G80" s="11" t="str">
        <f>IFERROR(__xludf.DUMMYFUNCTION("""COMPUTED_VALUE"""),"")</f>
        <v/>
      </c>
      <c r="H80" s="12" t="str">
        <f>IFERROR(__xludf.DUMMYFUNCTION("""COMPUTED_VALUE"""),"")</f>
        <v/>
      </c>
      <c r="I80" s="12" t="str">
        <f>IFERROR(__xludf.DUMMYFUNCTION("""COMPUTED_VALUE"""),"")</f>
        <v/>
      </c>
      <c r="J80" s="13" t="str">
        <f t="shared" si="1"/>
        <v/>
      </c>
      <c r="K80" s="12" t="str">
        <f>IFERROR(IF(A80="","",if($G80="",Reference!$J$2, VLOOKUP($G80,Reference!$I$2:$J$1000,2,false))),"")</f>
        <v/>
      </c>
      <c r="L80" s="12" t="str">
        <f>IF(A80="","", IF(F80="",Reference!$M$2,F80))</f>
        <v/>
      </c>
      <c r="M80" s="14" t="str">
        <f t="shared" si="2"/>
        <v/>
      </c>
      <c r="N80" s="15" t="str">
        <f t="shared" si="3"/>
        <v/>
      </c>
      <c r="O80" s="14" t="str">
        <f t="shared" si="4"/>
        <v/>
      </c>
      <c r="P80" s="16" t="str">
        <f t="array" ref="P80">IF($A80="","", IFERROR(INDEX('BM Data'!$N:$N,MATCH($J80&amp; "-" &amp; $N80,'BM Data'!$O:$O,0),1),""))</f>
        <v/>
      </c>
      <c r="Q80" s="16" t="str">
        <f t="array" ref="Q80">IF($A80="","", IFERROR(INDEX('BM Data'!$J:$J,MATCH($J80&amp; "-" &amp; $N80,'BM Data'!$O:$O,0),1),""))</f>
        <v/>
      </c>
    </row>
    <row r="81">
      <c r="A81" s="10" t="str">
        <f>IFERROR(__xludf.DUMMYFUNCTION("""COMPUTED_VALUE"""),"")</f>
        <v/>
      </c>
      <c r="B81" s="3" t="str">
        <f>IFERROR(__xludf.DUMMYFUNCTION("""COMPUTED_VALUE"""),"")</f>
        <v/>
      </c>
      <c r="C81" s="11" t="str">
        <f>IFERROR(__xludf.DUMMYFUNCTION("""COMPUTED_VALUE"""),"")</f>
        <v/>
      </c>
      <c r="D81" s="11" t="str">
        <f>IFERROR(__xludf.DUMMYFUNCTION("""COMPUTED_VALUE"""),"")</f>
        <v/>
      </c>
      <c r="E81" s="11" t="str">
        <f>IFERROR(__xludf.DUMMYFUNCTION("""COMPUTED_VALUE"""),"")</f>
        <v/>
      </c>
      <c r="F81" s="11" t="str">
        <f>IFERROR(__xludf.DUMMYFUNCTION("""COMPUTED_VALUE"""),"")</f>
        <v/>
      </c>
      <c r="G81" s="11" t="str">
        <f>IFERROR(__xludf.DUMMYFUNCTION("""COMPUTED_VALUE"""),"")</f>
        <v/>
      </c>
      <c r="H81" s="12" t="str">
        <f>IFERROR(__xludf.DUMMYFUNCTION("""COMPUTED_VALUE"""),"")</f>
        <v/>
      </c>
      <c r="I81" s="12" t="str">
        <f>IFERROR(__xludf.DUMMYFUNCTION("""COMPUTED_VALUE"""),"")</f>
        <v/>
      </c>
      <c r="J81" s="13" t="str">
        <f t="shared" si="1"/>
        <v/>
      </c>
      <c r="K81" s="12" t="str">
        <f>IFERROR(IF(A81="","",if($G81="",Reference!$J$2, VLOOKUP($G81,Reference!$I$2:$J$1000,2,false))),"")</f>
        <v/>
      </c>
      <c r="L81" s="12" t="str">
        <f>IF(A81="","", IF(F81="",Reference!$M$2,F81))</f>
        <v/>
      </c>
      <c r="M81" s="14" t="str">
        <f t="shared" si="2"/>
        <v/>
      </c>
      <c r="N81" s="15" t="str">
        <f t="shared" si="3"/>
        <v/>
      </c>
      <c r="O81" s="14" t="str">
        <f t="shared" si="4"/>
        <v/>
      </c>
      <c r="P81" s="16" t="str">
        <f t="array" ref="P81">IF($A81="","", IFERROR(INDEX('BM Data'!$N:$N,MATCH($J81&amp; "-" &amp; $N81,'BM Data'!$O:$O,0),1),""))</f>
        <v/>
      </c>
      <c r="Q81" s="16" t="str">
        <f t="array" ref="Q81">IF($A81="","", IFERROR(INDEX('BM Data'!$J:$J,MATCH($J81&amp; "-" &amp; $N81,'BM Data'!$O:$O,0),1),""))</f>
        <v/>
      </c>
    </row>
    <row r="82">
      <c r="A82" s="10" t="str">
        <f>IFERROR(__xludf.DUMMYFUNCTION("""COMPUTED_VALUE"""),"")</f>
        <v/>
      </c>
      <c r="B82" s="3" t="str">
        <f>IFERROR(__xludf.DUMMYFUNCTION("""COMPUTED_VALUE"""),"")</f>
        <v/>
      </c>
      <c r="C82" s="11" t="str">
        <f>IFERROR(__xludf.DUMMYFUNCTION("""COMPUTED_VALUE"""),"")</f>
        <v/>
      </c>
      <c r="D82" s="11" t="str">
        <f>IFERROR(__xludf.DUMMYFUNCTION("""COMPUTED_VALUE"""),"")</f>
        <v/>
      </c>
      <c r="E82" s="11" t="str">
        <f>IFERROR(__xludf.DUMMYFUNCTION("""COMPUTED_VALUE"""),"")</f>
        <v/>
      </c>
      <c r="F82" s="11" t="str">
        <f>IFERROR(__xludf.DUMMYFUNCTION("""COMPUTED_VALUE"""),"")</f>
        <v/>
      </c>
      <c r="G82" s="11" t="str">
        <f>IFERROR(__xludf.DUMMYFUNCTION("""COMPUTED_VALUE"""),"")</f>
        <v/>
      </c>
      <c r="H82" s="12" t="str">
        <f>IFERROR(__xludf.DUMMYFUNCTION("""COMPUTED_VALUE"""),"")</f>
        <v/>
      </c>
      <c r="I82" s="12" t="str">
        <f>IFERROR(__xludf.DUMMYFUNCTION("""COMPUTED_VALUE"""),"")</f>
        <v/>
      </c>
      <c r="J82" s="13" t="str">
        <f t="shared" si="1"/>
        <v/>
      </c>
      <c r="K82" s="12" t="str">
        <f>IFERROR(IF(A82="","",if($G82="",Reference!$J$2, VLOOKUP($G82,Reference!$I$2:$J$1000,2,false))),"")</f>
        <v/>
      </c>
      <c r="L82" s="12" t="str">
        <f>IF(A82="","", IF(F82="",Reference!$M$2,F82))</f>
        <v/>
      </c>
      <c r="M82" s="14" t="str">
        <f t="shared" si="2"/>
        <v/>
      </c>
      <c r="N82" s="15" t="str">
        <f t="shared" si="3"/>
        <v/>
      </c>
      <c r="O82" s="14" t="str">
        <f t="shared" si="4"/>
        <v/>
      </c>
      <c r="P82" s="16" t="str">
        <f t="array" ref="P82">IF($A82="","", IFERROR(INDEX('BM Data'!$N:$N,MATCH($J82&amp; "-" &amp; $N82,'BM Data'!$O:$O,0),1),""))</f>
        <v/>
      </c>
      <c r="Q82" s="16" t="str">
        <f t="array" ref="Q82">IF($A82="","", IFERROR(INDEX('BM Data'!$J:$J,MATCH($J82&amp; "-" &amp; $N82,'BM Data'!$O:$O,0),1),""))</f>
        <v/>
      </c>
    </row>
    <row r="83">
      <c r="A83" s="10" t="str">
        <f>IFERROR(__xludf.DUMMYFUNCTION("""COMPUTED_VALUE"""),"")</f>
        <v/>
      </c>
      <c r="B83" s="3" t="str">
        <f>IFERROR(__xludf.DUMMYFUNCTION("""COMPUTED_VALUE"""),"")</f>
        <v/>
      </c>
      <c r="C83" s="11" t="str">
        <f>IFERROR(__xludf.DUMMYFUNCTION("""COMPUTED_VALUE"""),"")</f>
        <v/>
      </c>
      <c r="D83" s="11" t="str">
        <f>IFERROR(__xludf.DUMMYFUNCTION("""COMPUTED_VALUE"""),"")</f>
        <v/>
      </c>
      <c r="E83" s="11" t="str">
        <f>IFERROR(__xludf.DUMMYFUNCTION("""COMPUTED_VALUE"""),"")</f>
        <v/>
      </c>
      <c r="F83" s="11" t="str">
        <f>IFERROR(__xludf.DUMMYFUNCTION("""COMPUTED_VALUE"""),"")</f>
        <v/>
      </c>
      <c r="G83" s="11" t="str">
        <f>IFERROR(__xludf.DUMMYFUNCTION("""COMPUTED_VALUE"""),"")</f>
        <v/>
      </c>
      <c r="H83" s="12" t="str">
        <f>IFERROR(__xludf.DUMMYFUNCTION("""COMPUTED_VALUE"""),"")</f>
        <v/>
      </c>
      <c r="I83" s="12" t="str">
        <f>IFERROR(__xludf.DUMMYFUNCTION("""COMPUTED_VALUE"""),"")</f>
        <v/>
      </c>
      <c r="J83" s="13" t="str">
        <f t="shared" si="1"/>
        <v/>
      </c>
      <c r="K83" s="12" t="str">
        <f>IFERROR(IF(A83="","",if($G83="",Reference!$J$2, VLOOKUP($G83,Reference!$I$2:$J$1000,2,false))),"")</f>
        <v/>
      </c>
      <c r="L83" s="12" t="str">
        <f>IF(A83="","", IF(F83="",Reference!$M$2,F83))</f>
        <v/>
      </c>
      <c r="M83" s="14" t="str">
        <f t="shared" si="2"/>
        <v/>
      </c>
      <c r="N83" s="15" t="str">
        <f t="shared" si="3"/>
        <v/>
      </c>
      <c r="O83" s="14" t="str">
        <f t="shared" si="4"/>
        <v/>
      </c>
      <c r="P83" s="16" t="str">
        <f t="array" ref="P83">IF($A83="","", IFERROR(INDEX('BM Data'!$N:$N,MATCH($J83&amp; "-" &amp; $N83,'BM Data'!$O:$O,0),1),""))</f>
        <v/>
      </c>
      <c r="Q83" s="16" t="str">
        <f t="array" ref="Q83">IF($A83="","", IFERROR(INDEX('BM Data'!$J:$J,MATCH($J83&amp; "-" &amp; $N83,'BM Data'!$O:$O,0),1),""))</f>
        <v/>
      </c>
    </row>
    <row r="84">
      <c r="A84" s="10" t="str">
        <f>IFERROR(__xludf.DUMMYFUNCTION("""COMPUTED_VALUE"""),"")</f>
        <v/>
      </c>
      <c r="B84" s="3" t="str">
        <f>IFERROR(__xludf.DUMMYFUNCTION("""COMPUTED_VALUE"""),"")</f>
        <v/>
      </c>
      <c r="C84" s="11" t="str">
        <f>IFERROR(__xludf.DUMMYFUNCTION("""COMPUTED_VALUE"""),"")</f>
        <v/>
      </c>
      <c r="D84" s="11" t="str">
        <f>IFERROR(__xludf.DUMMYFUNCTION("""COMPUTED_VALUE"""),"")</f>
        <v/>
      </c>
      <c r="E84" s="11" t="str">
        <f>IFERROR(__xludf.DUMMYFUNCTION("""COMPUTED_VALUE"""),"")</f>
        <v/>
      </c>
      <c r="F84" s="11" t="str">
        <f>IFERROR(__xludf.DUMMYFUNCTION("""COMPUTED_VALUE"""),"")</f>
        <v/>
      </c>
      <c r="G84" s="11" t="str">
        <f>IFERROR(__xludf.DUMMYFUNCTION("""COMPUTED_VALUE"""),"")</f>
        <v/>
      </c>
      <c r="H84" s="12" t="str">
        <f>IFERROR(__xludf.DUMMYFUNCTION("""COMPUTED_VALUE"""),"")</f>
        <v/>
      </c>
      <c r="I84" s="12" t="str">
        <f>IFERROR(__xludf.DUMMYFUNCTION("""COMPUTED_VALUE"""),"")</f>
        <v/>
      </c>
      <c r="J84" s="13" t="str">
        <f t="shared" si="1"/>
        <v/>
      </c>
      <c r="K84" s="12" t="str">
        <f>IFERROR(IF(A84="","",if($G84="",Reference!$J$2, VLOOKUP($G84,Reference!$I$2:$J$1000,2,false))),"")</f>
        <v/>
      </c>
      <c r="L84" s="12" t="str">
        <f>IF(A84="","", IF(F84="",Reference!$M$2,F84))</f>
        <v/>
      </c>
      <c r="M84" s="14" t="str">
        <f t="shared" si="2"/>
        <v/>
      </c>
      <c r="N84" s="15" t="str">
        <f t="shared" si="3"/>
        <v/>
      </c>
      <c r="O84" s="14" t="str">
        <f t="shared" si="4"/>
        <v/>
      </c>
      <c r="P84" s="16" t="str">
        <f t="array" ref="P84">IF($A84="","", IFERROR(INDEX('BM Data'!$N:$N,MATCH($J84&amp; "-" &amp; $N84,'BM Data'!$O:$O,0),1),""))</f>
        <v/>
      </c>
      <c r="Q84" s="16" t="str">
        <f t="array" ref="Q84">IF($A84="","", IFERROR(INDEX('BM Data'!$J:$J,MATCH($J84&amp; "-" &amp; $N84,'BM Data'!$O:$O,0),1),""))</f>
        <v/>
      </c>
    </row>
    <row r="85">
      <c r="A85" s="10" t="str">
        <f>IFERROR(__xludf.DUMMYFUNCTION("""COMPUTED_VALUE"""),"")</f>
        <v/>
      </c>
      <c r="B85" s="3" t="str">
        <f>IFERROR(__xludf.DUMMYFUNCTION("""COMPUTED_VALUE"""),"")</f>
        <v/>
      </c>
      <c r="C85" s="11" t="str">
        <f>IFERROR(__xludf.DUMMYFUNCTION("""COMPUTED_VALUE"""),"")</f>
        <v/>
      </c>
      <c r="D85" s="11" t="str">
        <f>IFERROR(__xludf.DUMMYFUNCTION("""COMPUTED_VALUE"""),"")</f>
        <v/>
      </c>
      <c r="E85" s="11" t="str">
        <f>IFERROR(__xludf.DUMMYFUNCTION("""COMPUTED_VALUE"""),"")</f>
        <v/>
      </c>
      <c r="F85" s="11" t="str">
        <f>IFERROR(__xludf.DUMMYFUNCTION("""COMPUTED_VALUE"""),"")</f>
        <v/>
      </c>
      <c r="G85" s="11" t="str">
        <f>IFERROR(__xludf.DUMMYFUNCTION("""COMPUTED_VALUE"""),"")</f>
        <v/>
      </c>
      <c r="H85" s="12" t="str">
        <f>IFERROR(__xludf.DUMMYFUNCTION("""COMPUTED_VALUE"""),"")</f>
        <v/>
      </c>
      <c r="I85" s="12" t="str">
        <f>IFERROR(__xludf.DUMMYFUNCTION("""COMPUTED_VALUE"""),"")</f>
        <v/>
      </c>
      <c r="J85" s="13" t="str">
        <f t="shared" si="1"/>
        <v/>
      </c>
      <c r="K85" s="12" t="str">
        <f>IFERROR(IF(A85="","",if($G85="",Reference!$J$2, VLOOKUP($G85,Reference!$I$2:$J$1000,2,false))),"")</f>
        <v/>
      </c>
      <c r="L85" s="12" t="str">
        <f>IF(A85="","", IF(F85="",Reference!$M$2,F85))</f>
        <v/>
      </c>
      <c r="M85" s="14" t="str">
        <f t="shared" si="2"/>
        <v/>
      </c>
      <c r="N85" s="15" t="str">
        <f t="shared" si="3"/>
        <v/>
      </c>
      <c r="O85" s="14" t="str">
        <f t="shared" si="4"/>
        <v/>
      </c>
      <c r="P85" s="16" t="str">
        <f t="array" ref="P85">IF($A85="","", IFERROR(INDEX('BM Data'!$N:$N,MATCH($J85&amp; "-" &amp; $N85,'BM Data'!$O:$O,0),1),""))</f>
        <v/>
      </c>
      <c r="Q85" s="16" t="str">
        <f t="array" ref="Q85">IF($A85="","", IFERROR(INDEX('BM Data'!$J:$J,MATCH($J85&amp; "-" &amp; $N85,'BM Data'!$O:$O,0),1),""))</f>
        <v/>
      </c>
    </row>
    <row r="86">
      <c r="A86" s="10" t="str">
        <f>IFERROR(__xludf.DUMMYFUNCTION("""COMPUTED_VALUE"""),"")</f>
        <v/>
      </c>
      <c r="B86" s="3" t="str">
        <f>IFERROR(__xludf.DUMMYFUNCTION("""COMPUTED_VALUE"""),"")</f>
        <v/>
      </c>
      <c r="C86" s="11" t="str">
        <f>IFERROR(__xludf.DUMMYFUNCTION("""COMPUTED_VALUE"""),"")</f>
        <v/>
      </c>
      <c r="D86" s="11" t="str">
        <f>IFERROR(__xludf.DUMMYFUNCTION("""COMPUTED_VALUE"""),"")</f>
        <v/>
      </c>
      <c r="E86" s="11" t="str">
        <f>IFERROR(__xludf.DUMMYFUNCTION("""COMPUTED_VALUE"""),"")</f>
        <v/>
      </c>
      <c r="F86" s="11" t="str">
        <f>IFERROR(__xludf.DUMMYFUNCTION("""COMPUTED_VALUE"""),"")</f>
        <v/>
      </c>
      <c r="G86" s="11" t="str">
        <f>IFERROR(__xludf.DUMMYFUNCTION("""COMPUTED_VALUE"""),"")</f>
        <v/>
      </c>
      <c r="H86" s="12" t="str">
        <f>IFERROR(__xludf.DUMMYFUNCTION("""COMPUTED_VALUE"""),"")</f>
        <v/>
      </c>
      <c r="I86" s="12" t="str">
        <f>IFERROR(__xludf.DUMMYFUNCTION("""COMPUTED_VALUE"""),"")</f>
        <v/>
      </c>
      <c r="J86" s="13" t="str">
        <f t="shared" si="1"/>
        <v/>
      </c>
      <c r="K86" s="12" t="str">
        <f>IFERROR(IF(A86="","",if($G86="",Reference!$J$2, VLOOKUP($G86,Reference!$I$2:$J$1000,2,false))),"")</f>
        <v/>
      </c>
      <c r="L86" s="12" t="str">
        <f>IF(A86="","", IF(F86="",Reference!$M$2,F86))</f>
        <v/>
      </c>
      <c r="M86" s="14" t="str">
        <f t="shared" si="2"/>
        <v/>
      </c>
      <c r="N86" s="15" t="str">
        <f t="shared" si="3"/>
        <v/>
      </c>
      <c r="O86" s="14" t="str">
        <f t="shared" si="4"/>
        <v/>
      </c>
      <c r="P86" s="16" t="str">
        <f t="array" ref="P86">IF($A86="","", IFERROR(INDEX('BM Data'!$N:$N,MATCH($J86&amp; "-" &amp; $N86,'BM Data'!$O:$O,0),1),""))</f>
        <v/>
      </c>
      <c r="Q86" s="16" t="str">
        <f t="array" ref="Q86">IF($A86="","", IFERROR(INDEX('BM Data'!$J:$J,MATCH($J86&amp; "-" &amp; $N86,'BM Data'!$O:$O,0),1),""))</f>
        <v/>
      </c>
    </row>
    <row r="87">
      <c r="A87" s="10" t="str">
        <f>IFERROR(__xludf.DUMMYFUNCTION("""COMPUTED_VALUE"""),"")</f>
        <v/>
      </c>
      <c r="B87" s="3" t="str">
        <f>IFERROR(__xludf.DUMMYFUNCTION("""COMPUTED_VALUE"""),"")</f>
        <v/>
      </c>
      <c r="C87" s="11" t="str">
        <f>IFERROR(__xludf.DUMMYFUNCTION("""COMPUTED_VALUE"""),"")</f>
        <v/>
      </c>
      <c r="D87" s="11" t="str">
        <f>IFERROR(__xludf.DUMMYFUNCTION("""COMPUTED_VALUE"""),"")</f>
        <v/>
      </c>
      <c r="E87" s="11" t="str">
        <f>IFERROR(__xludf.DUMMYFUNCTION("""COMPUTED_VALUE"""),"")</f>
        <v/>
      </c>
      <c r="F87" s="11" t="str">
        <f>IFERROR(__xludf.DUMMYFUNCTION("""COMPUTED_VALUE"""),"")</f>
        <v/>
      </c>
      <c r="G87" s="11" t="str">
        <f>IFERROR(__xludf.DUMMYFUNCTION("""COMPUTED_VALUE"""),"")</f>
        <v/>
      </c>
      <c r="H87" s="12" t="str">
        <f>IFERROR(__xludf.DUMMYFUNCTION("""COMPUTED_VALUE"""),"")</f>
        <v/>
      </c>
      <c r="I87" s="12" t="str">
        <f>IFERROR(__xludf.DUMMYFUNCTION("""COMPUTED_VALUE"""),"")</f>
        <v/>
      </c>
      <c r="J87" s="13" t="str">
        <f t="shared" si="1"/>
        <v/>
      </c>
      <c r="K87" s="12" t="str">
        <f>IFERROR(IF(A87="","",if($G87="",Reference!$J$2, VLOOKUP($G87,Reference!$I$2:$J$1000,2,false))),"")</f>
        <v/>
      </c>
      <c r="L87" s="12" t="str">
        <f>IF(A87="","", IF(F87="",Reference!$M$2,F87))</f>
        <v/>
      </c>
      <c r="M87" s="14" t="str">
        <f t="shared" si="2"/>
        <v/>
      </c>
      <c r="N87" s="15" t="str">
        <f t="shared" si="3"/>
        <v/>
      </c>
      <c r="O87" s="14" t="str">
        <f t="shared" si="4"/>
        <v/>
      </c>
      <c r="P87" s="16" t="str">
        <f t="array" ref="P87">IF($A87="","", IFERROR(INDEX('BM Data'!$N:$N,MATCH($J87&amp; "-" &amp; $N87,'BM Data'!$O:$O,0),1),""))</f>
        <v/>
      </c>
      <c r="Q87" s="16" t="str">
        <f t="array" ref="Q87">IF($A87="","", IFERROR(INDEX('BM Data'!$J:$J,MATCH($J87&amp; "-" &amp; $N87,'BM Data'!$O:$O,0),1),""))</f>
        <v/>
      </c>
    </row>
    <row r="88">
      <c r="A88" s="10" t="str">
        <f>IFERROR(__xludf.DUMMYFUNCTION("""COMPUTED_VALUE"""),"")</f>
        <v/>
      </c>
      <c r="B88" s="3" t="str">
        <f>IFERROR(__xludf.DUMMYFUNCTION("""COMPUTED_VALUE"""),"")</f>
        <v/>
      </c>
      <c r="C88" s="11" t="str">
        <f>IFERROR(__xludf.DUMMYFUNCTION("""COMPUTED_VALUE"""),"")</f>
        <v/>
      </c>
      <c r="D88" s="11" t="str">
        <f>IFERROR(__xludf.DUMMYFUNCTION("""COMPUTED_VALUE"""),"")</f>
        <v/>
      </c>
      <c r="E88" s="11" t="str">
        <f>IFERROR(__xludf.DUMMYFUNCTION("""COMPUTED_VALUE"""),"")</f>
        <v/>
      </c>
      <c r="F88" s="11" t="str">
        <f>IFERROR(__xludf.DUMMYFUNCTION("""COMPUTED_VALUE"""),"")</f>
        <v/>
      </c>
      <c r="G88" s="11" t="str">
        <f>IFERROR(__xludf.DUMMYFUNCTION("""COMPUTED_VALUE"""),"")</f>
        <v/>
      </c>
      <c r="H88" s="12" t="str">
        <f>IFERROR(__xludf.DUMMYFUNCTION("""COMPUTED_VALUE"""),"")</f>
        <v/>
      </c>
      <c r="I88" s="12" t="str">
        <f>IFERROR(__xludf.DUMMYFUNCTION("""COMPUTED_VALUE"""),"")</f>
        <v/>
      </c>
      <c r="J88" s="13" t="str">
        <f t="shared" si="1"/>
        <v/>
      </c>
      <c r="K88" s="12" t="str">
        <f>IFERROR(IF(A88="","",if($G88="",Reference!$J$2, VLOOKUP($G88,Reference!$I$2:$J$1000,2,false))),"")</f>
        <v/>
      </c>
      <c r="L88" s="12" t="str">
        <f>IF(A88="","", IF(F88="",Reference!$M$2,F88))</f>
        <v/>
      </c>
      <c r="M88" s="14" t="str">
        <f t="shared" si="2"/>
        <v/>
      </c>
      <c r="N88" s="15" t="str">
        <f t="shared" si="3"/>
        <v/>
      </c>
      <c r="O88" s="14" t="str">
        <f t="shared" si="4"/>
        <v/>
      </c>
      <c r="P88" s="16" t="str">
        <f t="array" ref="P88">IF($A88="","", IFERROR(INDEX('BM Data'!$N:$N,MATCH($J88&amp; "-" &amp; $N88,'BM Data'!$O:$O,0),1),""))</f>
        <v/>
      </c>
      <c r="Q88" s="16" t="str">
        <f t="array" ref="Q88">IF($A88="","", IFERROR(INDEX('BM Data'!$J:$J,MATCH($J88&amp; "-" &amp; $N88,'BM Data'!$O:$O,0),1),""))</f>
        <v/>
      </c>
    </row>
    <row r="89">
      <c r="A89" s="10" t="str">
        <f>IFERROR(__xludf.DUMMYFUNCTION("""COMPUTED_VALUE"""),"")</f>
        <v/>
      </c>
      <c r="B89" s="3" t="str">
        <f>IFERROR(__xludf.DUMMYFUNCTION("""COMPUTED_VALUE"""),"")</f>
        <v/>
      </c>
      <c r="C89" s="11" t="str">
        <f>IFERROR(__xludf.DUMMYFUNCTION("""COMPUTED_VALUE"""),"")</f>
        <v/>
      </c>
      <c r="D89" s="11" t="str">
        <f>IFERROR(__xludf.DUMMYFUNCTION("""COMPUTED_VALUE"""),"")</f>
        <v/>
      </c>
      <c r="E89" s="11" t="str">
        <f>IFERROR(__xludf.DUMMYFUNCTION("""COMPUTED_VALUE"""),"")</f>
        <v/>
      </c>
      <c r="F89" s="11" t="str">
        <f>IFERROR(__xludf.DUMMYFUNCTION("""COMPUTED_VALUE"""),"")</f>
        <v/>
      </c>
      <c r="G89" s="11" t="str">
        <f>IFERROR(__xludf.DUMMYFUNCTION("""COMPUTED_VALUE"""),"")</f>
        <v/>
      </c>
      <c r="H89" s="12" t="str">
        <f>IFERROR(__xludf.DUMMYFUNCTION("""COMPUTED_VALUE"""),"")</f>
        <v/>
      </c>
      <c r="I89" s="12" t="str">
        <f>IFERROR(__xludf.DUMMYFUNCTION("""COMPUTED_VALUE"""),"")</f>
        <v/>
      </c>
      <c r="J89" s="13" t="str">
        <f t="shared" si="1"/>
        <v/>
      </c>
      <c r="K89" s="12" t="str">
        <f>IFERROR(IF(A89="","",if($G89="",Reference!$J$2, VLOOKUP($G89,Reference!$I$2:$J$1000,2,false))),"")</f>
        <v/>
      </c>
      <c r="L89" s="12" t="str">
        <f>IF(A89="","", IF(F89="",Reference!$M$2,F89))</f>
        <v/>
      </c>
      <c r="M89" s="14" t="str">
        <f t="shared" si="2"/>
        <v/>
      </c>
      <c r="N89" s="15" t="str">
        <f t="shared" si="3"/>
        <v/>
      </c>
      <c r="O89" s="14" t="str">
        <f t="shared" si="4"/>
        <v/>
      </c>
      <c r="P89" s="16" t="str">
        <f t="array" ref="P89">IF($A89="","", IFERROR(INDEX('BM Data'!$N:$N,MATCH($J89&amp; "-" &amp; $N89,'BM Data'!$O:$O,0),1),""))</f>
        <v/>
      </c>
      <c r="Q89" s="16" t="str">
        <f t="array" ref="Q89">IF($A89="","", IFERROR(INDEX('BM Data'!$J:$J,MATCH($J89&amp; "-" &amp; $N89,'BM Data'!$O:$O,0),1),""))</f>
        <v/>
      </c>
    </row>
    <row r="90">
      <c r="A90" s="10" t="str">
        <f>IFERROR(__xludf.DUMMYFUNCTION("""COMPUTED_VALUE"""),"")</f>
        <v/>
      </c>
      <c r="B90" s="3" t="str">
        <f>IFERROR(__xludf.DUMMYFUNCTION("""COMPUTED_VALUE"""),"")</f>
        <v/>
      </c>
      <c r="C90" s="11" t="str">
        <f>IFERROR(__xludf.DUMMYFUNCTION("""COMPUTED_VALUE"""),"")</f>
        <v/>
      </c>
      <c r="D90" s="11" t="str">
        <f>IFERROR(__xludf.DUMMYFUNCTION("""COMPUTED_VALUE"""),"")</f>
        <v/>
      </c>
      <c r="E90" s="11" t="str">
        <f>IFERROR(__xludf.DUMMYFUNCTION("""COMPUTED_VALUE"""),"")</f>
        <v/>
      </c>
      <c r="F90" s="11" t="str">
        <f>IFERROR(__xludf.DUMMYFUNCTION("""COMPUTED_VALUE"""),"")</f>
        <v/>
      </c>
      <c r="G90" s="11" t="str">
        <f>IFERROR(__xludf.DUMMYFUNCTION("""COMPUTED_VALUE"""),"")</f>
        <v/>
      </c>
      <c r="H90" s="12" t="str">
        <f>IFERROR(__xludf.DUMMYFUNCTION("""COMPUTED_VALUE"""),"")</f>
        <v/>
      </c>
      <c r="I90" s="12" t="str">
        <f>IFERROR(__xludf.DUMMYFUNCTION("""COMPUTED_VALUE"""),"")</f>
        <v/>
      </c>
      <c r="J90" s="13" t="str">
        <f t="shared" si="1"/>
        <v/>
      </c>
      <c r="K90" s="12" t="str">
        <f>IFERROR(IF(A90="","",if($G90="",Reference!$J$2, VLOOKUP($G90,Reference!$I$2:$J$1000,2,false))),"")</f>
        <v/>
      </c>
      <c r="L90" s="12" t="str">
        <f>IF(A90="","", IF(F90="",Reference!$M$2,F90))</f>
        <v/>
      </c>
      <c r="M90" s="14" t="str">
        <f t="shared" si="2"/>
        <v/>
      </c>
      <c r="N90" s="15" t="str">
        <f t="shared" si="3"/>
        <v/>
      </c>
      <c r="O90" s="14" t="str">
        <f t="shared" si="4"/>
        <v/>
      </c>
      <c r="P90" s="16" t="str">
        <f t="array" ref="P90">IF($A90="","", IFERROR(INDEX('BM Data'!$N:$N,MATCH($J90&amp; "-" &amp; $N90,'BM Data'!$O:$O,0),1),""))</f>
        <v/>
      </c>
      <c r="Q90" s="16" t="str">
        <f t="array" ref="Q90">IF($A90="","", IFERROR(INDEX('BM Data'!$J:$J,MATCH($J90&amp; "-" &amp; $N90,'BM Data'!$O:$O,0),1),""))</f>
        <v/>
      </c>
    </row>
    <row r="91">
      <c r="A91" s="10" t="str">
        <f>IFERROR(__xludf.DUMMYFUNCTION("""COMPUTED_VALUE"""),"")</f>
        <v/>
      </c>
      <c r="B91" s="3" t="str">
        <f>IFERROR(__xludf.DUMMYFUNCTION("""COMPUTED_VALUE"""),"")</f>
        <v/>
      </c>
      <c r="C91" s="11" t="str">
        <f>IFERROR(__xludf.DUMMYFUNCTION("""COMPUTED_VALUE"""),"")</f>
        <v/>
      </c>
      <c r="D91" s="11" t="str">
        <f>IFERROR(__xludf.DUMMYFUNCTION("""COMPUTED_VALUE"""),"")</f>
        <v/>
      </c>
      <c r="E91" s="11" t="str">
        <f>IFERROR(__xludf.DUMMYFUNCTION("""COMPUTED_VALUE"""),"")</f>
        <v/>
      </c>
      <c r="F91" s="11" t="str">
        <f>IFERROR(__xludf.DUMMYFUNCTION("""COMPUTED_VALUE"""),"")</f>
        <v/>
      </c>
      <c r="G91" s="11" t="str">
        <f>IFERROR(__xludf.DUMMYFUNCTION("""COMPUTED_VALUE"""),"")</f>
        <v/>
      </c>
      <c r="H91" s="12" t="str">
        <f>IFERROR(__xludf.DUMMYFUNCTION("""COMPUTED_VALUE"""),"")</f>
        <v/>
      </c>
      <c r="I91" s="12" t="str">
        <f>IFERROR(__xludf.DUMMYFUNCTION("""COMPUTED_VALUE"""),"")</f>
        <v/>
      </c>
      <c r="J91" s="13" t="str">
        <f t="shared" si="1"/>
        <v/>
      </c>
      <c r="K91" s="12" t="str">
        <f>IFERROR(IF(A91="","",if($G91="",Reference!$J$2, VLOOKUP($G91,Reference!$I$2:$J$1000,2,false))),"")</f>
        <v/>
      </c>
      <c r="L91" s="12" t="str">
        <f>IF(A91="","", IF(F91="",Reference!$M$2,F91))</f>
        <v/>
      </c>
      <c r="M91" s="14" t="str">
        <f t="shared" si="2"/>
        <v/>
      </c>
      <c r="N91" s="15" t="str">
        <f t="shared" si="3"/>
        <v/>
      </c>
      <c r="O91" s="14" t="str">
        <f t="shared" si="4"/>
        <v/>
      </c>
      <c r="P91" s="16" t="str">
        <f t="array" ref="P91">IF($A91="","", IFERROR(INDEX('BM Data'!$N:$N,MATCH($J91&amp; "-" &amp; $N91,'BM Data'!$O:$O,0),1),""))</f>
        <v/>
      </c>
      <c r="Q91" s="16" t="str">
        <f t="array" ref="Q91">IF($A91="","", IFERROR(INDEX('BM Data'!$J:$J,MATCH($J91&amp; "-" &amp; $N91,'BM Data'!$O:$O,0),1),""))</f>
        <v/>
      </c>
    </row>
    <row r="92">
      <c r="A92" s="10" t="str">
        <f>IFERROR(__xludf.DUMMYFUNCTION("""COMPUTED_VALUE"""),"")</f>
        <v/>
      </c>
      <c r="B92" s="3" t="str">
        <f>IFERROR(__xludf.DUMMYFUNCTION("""COMPUTED_VALUE"""),"")</f>
        <v/>
      </c>
      <c r="C92" s="11" t="str">
        <f>IFERROR(__xludf.DUMMYFUNCTION("""COMPUTED_VALUE"""),"")</f>
        <v/>
      </c>
      <c r="D92" s="11" t="str">
        <f>IFERROR(__xludf.DUMMYFUNCTION("""COMPUTED_VALUE"""),"")</f>
        <v/>
      </c>
      <c r="E92" s="11" t="str">
        <f>IFERROR(__xludf.DUMMYFUNCTION("""COMPUTED_VALUE"""),"")</f>
        <v/>
      </c>
      <c r="F92" s="11" t="str">
        <f>IFERROR(__xludf.DUMMYFUNCTION("""COMPUTED_VALUE"""),"")</f>
        <v/>
      </c>
      <c r="G92" s="11" t="str">
        <f>IFERROR(__xludf.DUMMYFUNCTION("""COMPUTED_VALUE"""),"")</f>
        <v/>
      </c>
      <c r="H92" s="12" t="str">
        <f>IFERROR(__xludf.DUMMYFUNCTION("""COMPUTED_VALUE"""),"")</f>
        <v/>
      </c>
      <c r="I92" s="12" t="str">
        <f>IFERROR(__xludf.DUMMYFUNCTION("""COMPUTED_VALUE"""),"")</f>
        <v/>
      </c>
      <c r="J92" s="13" t="str">
        <f t="shared" si="1"/>
        <v/>
      </c>
      <c r="K92" s="12" t="str">
        <f>IFERROR(IF(A92="","",if($G92="",Reference!$J$2, VLOOKUP($G92,Reference!$I$2:$J$1000,2,false))),"")</f>
        <v/>
      </c>
      <c r="L92" s="12" t="str">
        <f>IF(A92="","", IF(F92="",Reference!$M$2,F92))</f>
        <v/>
      </c>
      <c r="M92" s="14" t="str">
        <f t="shared" si="2"/>
        <v/>
      </c>
      <c r="N92" s="15" t="str">
        <f t="shared" si="3"/>
        <v/>
      </c>
      <c r="O92" s="14" t="str">
        <f t="shared" si="4"/>
        <v/>
      </c>
      <c r="P92" s="16" t="str">
        <f t="array" ref="P92">IF($A92="","", IFERROR(INDEX('BM Data'!$N:$N,MATCH($J92&amp; "-" &amp; $N92,'BM Data'!$O:$O,0),1),""))</f>
        <v/>
      </c>
      <c r="Q92" s="16" t="str">
        <f t="array" ref="Q92">IF($A92="","", IFERROR(INDEX('BM Data'!$J:$J,MATCH($J92&amp; "-" &amp; $N92,'BM Data'!$O:$O,0),1),""))</f>
        <v/>
      </c>
    </row>
    <row r="93">
      <c r="A93" s="10" t="str">
        <f>IFERROR(__xludf.DUMMYFUNCTION("""COMPUTED_VALUE"""),"")</f>
        <v/>
      </c>
      <c r="B93" s="3" t="str">
        <f>IFERROR(__xludf.DUMMYFUNCTION("""COMPUTED_VALUE"""),"")</f>
        <v/>
      </c>
      <c r="C93" s="11" t="str">
        <f>IFERROR(__xludf.DUMMYFUNCTION("""COMPUTED_VALUE"""),"")</f>
        <v/>
      </c>
      <c r="D93" s="11" t="str">
        <f>IFERROR(__xludf.DUMMYFUNCTION("""COMPUTED_VALUE"""),"")</f>
        <v/>
      </c>
      <c r="E93" s="11" t="str">
        <f>IFERROR(__xludf.DUMMYFUNCTION("""COMPUTED_VALUE"""),"")</f>
        <v/>
      </c>
      <c r="F93" s="11" t="str">
        <f>IFERROR(__xludf.DUMMYFUNCTION("""COMPUTED_VALUE"""),"")</f>
        <v/>
      </c>
      <c r="G93" s="11" t="str">
        <f>IFERROR(__xludf.DUMMYFUNCTION("""COMPUTED_VALUE"""),"")</f>
        <v/>
      </c>
      <c r="H93" s="12" t="str">
        <f>IFERROR(__xludf.DUMMYFUNCTION("""COMPUTED_VALUE"""),"")</f>
        <v/>
      </c>
      <c r="I93" s="12" t="str">
        <f>IFERROR(__xludf.DUMMYFUNCTION("""COMPUTED_VALUE"""),"")</f>
        <v/>
      </c>
      <c r="J93" s="13" t="str">
        <f t="shared" si="1"/>
        <v/>
      </c>
      <c r="K93" s="12" t="str">
        <f>IFERROR(IF(A93="","",if($G93="",Reference!$J$2, VLOOKUP($G93,Reference!$I$2:$J$1000,2,false))),"")</f>
        <v/>
      </c>
      <c r="L93" s="12" t="str">
        <f>IF(A93="","", IF(F93="",Reference!$M$2,F93))</f>
        <v/>
      </c>
      <c r="M93" s="14" t="str">
        <f t="shared" si="2"/>
        <v/>
      </c>
      <c r="N93" s="15" t="str">
        <f t="shared" si="3"/>
        <v/>
      </c>
      <c r="O93" s="14" t="str">
        <f t="shared" si="4"/>
        <v/>
      </c>
      <c r="P93" s="16" t="str">
        <f t="array" ref="P93">IF($A93="","", IFERROR(INDEX('BM Data'!$N:$N,MATCH($J93&amp; "-" &amp; $N93,'BM Data'!$O:$O,0),1),""))</f>
        <v/>
      </c>
      <c r="Q93" s="16" t="str">
        <f t="array" ref="Q93">IF($A93="","", IFERROR(INDEX('BM Data'!$J:$J,MATCH($J93&amp; "-" &amp; $N93,'BM Data'!$O:$O,0),1),""))</f>
        <v/>
      </c>
    </row>
    <row r="94">
      <c r="A94" s="10" t="str">
        <f>IFERROR(__xludf.DUMMYFUNCTION("""COMPUTED_VALUE"""),"")</f>
        <v/>
      </c>
      <c r="B94" s="3" t="str">
        <f>IFERROR(__xludf.DUMMYFUNCTION("""COMPUTED_VALUE"""),"")</f>
        <v/>
      </c>
      <c r="C94" s="11" t="str">
        <f>IFERROR(__xludf.DUMMYFUNCTION("""COMPUTED_VALUE"""),"")</f>
        <v/>
      </c>
      <c r="D94" s="11" t="str">
        <f>IFERROR(__xludf.DUMMYFUNCTION("""COMPUTED_VALUE"""),"")</f>
        <v/>
      </c>
      <c r="E94" s="11" t="str">
        <f>IFERROR(__xludf.DUMMYFUNCTION("""COMPUTED_VALUE"""),"")</f>
        <v/>
      </c>
      <c r="F94" s="11" t="str">
        <f>IFERROR(__xludf.DUMMYFUNCTION("""COMPUTED_VALUE"""),"")</f>
        <v/>
      </c>
      <c r="G94" s="11" t="str">
        <f>IFERROR(__xludf.DUMMYFUNCTION("""COMPUTED_VALUE"""),"")</f>
        <v/>
      </c>
      <c r="H94" s="12" t="str">
        <f>IFERROR(__xludf.DUMMYFUNCTION("""COMPUTED_VALUE"""),"")</f>
        <v/>
      </c>
      <c r="I94" s="12" t="str">
        <f>IFERROR(__xludf.DUMMYFUNCTION("""COMPUTED_VALUE"""),"")</f>
        <v/>
      </c>
      <c r="J94" s="13" t="str">
        <f t="shared" si="1"/>
        <v/>
      </c>
      <c r="K94" s="12" t="str">
        <f>IFERROR(IF(A94="","",if($G94="",Reference!$J$2, VLOOKUP($G94,Reference!$I$2:$J$1000,2,false))),"")</f>
        <v/>
      </c>
      <c r="L94" s="12" t="str">
        <f>IF(A94="","", IF(F94="",Reference!$M$2,F94))</f>
        <v/>
      </c>
      <c r="M94" s="14" t="str">
        <f t="shared" si="2"/>
        <v/>
      </c>
      <c r="N94" s="15" t="str">
        <f t="shared" si="3"/>
        <v/>
      </c>
      <c r="O94" s="14" t="str">
        <f t="shared" si="4"/>
        <v/>
      </c>
      <c r="P94" s="16" t="str">
        <f t="array" ref="P94">IF($A94="","", IFERROR(INDEX('BM Data'!$N:$N,MATCH($J94&amp; "-" &amp; $N94,'BM Data'!$O:$O,0),1),""))</f>
        <v/>
      </c>
      <c r="Q94" s="16" t="str">
        <f t="array" ref="Q94">IF($A94="","", IFERROR(INDEX('BM Data'!$J:$J,MATCH($J94&amp; "-" &amp; $N94,'BM Data'!$O:$O,0),1),""))</f>
        <v/>
      </c>
    </row>
    <row r="95">
      <c r="A95" s="10" t="str">
        <f>IFERROR(__xludf.DUMMYFUNCTION("""COMPUTED_VALUE"""),"")</f>
        <v/>
      </c>
      <c r="B95" s="3" t="str">
        <f>IFERROR(__xludf.DUMMYFUNCTION("""COMPUTED_VALUE"""),"")</f>
        <v/>
      </c>
      <c r="C95" s="11" t="str">
        <f>IFERROR(__xludf.DUMMYFUNCTION("""COMPUTED_VALUE"""),"")</f>
        <v/>
      </c>
      <c r="D95" s="11" t="str">
        <f>IFERROR(__xludf.DUMMYFUNCTION("""COMPUTED_VALUE"""),"")</f>
        <v/>
      </c>
      <c r="E95" s="11" t="str">
        <f>IFERROR(__xludf.DUMMYFUNCTION("""COMPUTED_VALUE"""),"")</f>
        <v/>
      </c>
      <c r="F95" s="11" t="str">
        <f>IFERROR(__xludf.DUMMYFUNCTION("""COMPUTED_VALUE"""),"")</f>
        <v/>
      </c>
      <c r="G95" s="11" t="str">
        <f>IFERROR(__xludf.DUMMYFUNCTION("""COMPUTED_VALUE"""),"")</f>
        <v/>
      </c>
      <c r="H95" s="12" t="str">
        <f>IFERROR(__xludf.DUMMYFUNCTION("""COMPUTED_VALUE"""),"")</f>
        <v/>
      </c>
      <c r="I95" s="12" t="str">
        <f>IFERROR(__xludf.DUMMYFUNCTION("""COMPUTED_VALUE"""),"")</f>
        <v/>
      </c>
      <c r="J95" s="13" t="str">
        <f t="shared" si="1"/>
        <v/>
      </c>
      <c r="K95" s="12" t="str">
        <f>IFERROR(IF(A95="","",if($G95="",Reference!$J$2, VLOOKUP($G95,Reference!$I$2:$J$1000,2,false))),"")</f>
        <v/>
      </c>
      <c r="L95" s="12" t="str">
        <f>IF(A95="","", IF(F95="",Reference!$M$2,F95))</f>
        <v/>
      </c>
      <c r="M95" s="14" t="str">
        <f t="shared" si="2"/>
        <v/>
      </c>
      <c r="N95" s="15" t="str">
        <f t="shared" si="3"/>
        <v/>
      </c>
      <c r="O95" s="14" t="str">
        <f t="shared" si="4"/>
        <v/>
      </c>
      <c r="P95" s="16" t="str">
        <f t="array" ref="P95">IF($A95="","", IFERROR(INDEX('BM Data'!$N:$N,MATCH($J95&amp; "-" &amp; $N95,'BM Data'!$O:$O,0),1),""))</f>
        <v/>
      </c>
      <c r="Q95" s="16" t="str">
        <f t="array" ref="Q95">IF($A95="","", IFERROR(INDEX('BM Data'!$J:$J,MATCH($J95&amp; "-" &amp; $N95,'BM Data'!$O:$O,0),1),""))</f>
        <v/>
      </c>
    </row>
    <row r="96">
      <c r="A96" s="10" t="str">
        <f>IFERROR(__xludf.DUMMYFUNCTION("""COMPUTED_VALUE"""),"")</f>
        <v/>
      </c>
      <c r="B96" s="3" t="str">
        <f>IFERROR(__xludf.DUMMYFUNCTION("""COMPUTED_VALUE"""),"")</f>
        <v/>
      </c>
      <c r="C96" s="11" t="str">
        <f>IFERROR(__xludf.DUMMYFUNCTION("""COMPUTED_VALUE"""),"")</f>
        <v/>
      </c>
      <c r="D96" s="11" t="str">
        <f>IFERROR(__xludf.DUMMYFUNCTION("""COMPUTED_VALUE"""),"")</f>
        <v/>
      </c>
      <c r="E96" s="11" t="str">
        <f>IFERROR(__xludf.DUMMYFUNCTION("""COMPUTED_VALUE"""),"")</f>
        <v/>
      </c>
      <c r="F96" s="11" t="str">
        <f>IFERROR(__xludf.DUMMYFUNCTION("""COMPUTED_VALUE"""),"")</f>
        <v/>
      </c>
      <c r="G96" s="11" t="str">
        <f>IFERROR(__xludf.DUMMYFUNCTION("""COMPUTED_VALUE"""),"")</f>
        <v/>
      </c>
      <c r="H96" s="12" t="str">
        <f>IFERROR(__xludf.DUMMYFUNCTION("""COMPUTED_VALUE"""),"")</f>
        <v/>
      </c>
      <c r="I96" s="12" t="str">
        <f>IFERROR(__xludf.DUMMYFUNCTION("""COMPUTED_VALUE"""),"")</f>
        <v/>
      </c>
      <c r="J96" s="13" t="str">
        <f t="shared" si="1"/>
        <v/>
      </c>
      <c r="K96" s="12" t="str">
        <f>IFERROR(IF(A96="","",if($G96="",Reference!$J$2, VLOOKUP($G96,Reference!$I$2:$J$1000,2,false))),"")</f>
        <v/>
      </c>
      <c r="L96" s="12" t="str">
        <f>IF(A96="","", IF(F96="",Reference!$M$2,F96))</f>
        <v/>
      </c>
      <c r="M96" s="14" t="str">
        <f t="shared" si="2"/>
        <v/>
      </c>
      <c r="N96" s="15" t="str">
        <f t="shared" si="3"/>
        <v/>
      </c>
      <c r="O96" s="14" t="str">
        <f t="shared" si="4"/>
        <v/>
      </c>
      <c r="P96" s="16" t="str">
        <f t="array" ref="P96">IF($A96="","", IFERROR(INDEX('BM Data'!$N:$N,MATCH($J96&amp; "-" &amp; $N96,'BM Data'!$O:$O,0),1),""))</f>
        <v/>
      </c>
      <c r="Q96" s="16" t="str">
        <f t="array" ref="Q96">IF($A96="","", IFERROR(INDEX('BM Data'!$J:$J,MATCH($J96&amp; "-" &amp; $N96,'BM Data'!$O:$O,0),1),""))</f>
        <v/>
      </c>
    </row>
    <row r="97">
      <c r="A97" s="10" t="str">
        <f>IFERROR(__xludf.DUMMYFUNCTION("""COMPUTED_VALUE"""),"")</f>
        <v/>
      </c>
      <c r="B97" s="3" t="str">
        <f>IFERROR(__xludf.DUMMYFUNCTION("""COMPUTED_VALUE"""),"")</f>
        <v/>
      </c>
      <c r="C97" s="11" t="str">
        <f>IFERROR(__xludf.DUMMYFUNCTION("""COMPUTED_VALUE"""),"")</f>
        <v/>
      </c>
      <c r="D97" s="11" t="str">
        <f>IFERROR(__xludf.DUMMYFUNCTION("""COMPUTED_VALUE"""),"")</f>
        <v/>
      </c>
      <c r="E97" s="11" t="str">
        <f>IFERROR(__xludf.DUMMYFUNCTION("""COMPUTED_VALUE"""),"")</f>
        <v/>
      </c>
      <c r="F97" s="11" t="str">
        <f>IFERROR(__xludf.DUMMYFUNCTION("""COMPUTED_VALUE"""),"")</f>
        <v/>
      </c>
      <c r="G97" s="11" t="str">
        <f>IFERROR(__xludf.DUMMYFUNCTION("""COMPUTED_VALUE"""),"")</f>
        <v/>
      </c>
      <c r="H97" s="12" t="str">
        <f>IFERROR(__xludf.DUMMYFUNCTION("""COMPUTED_VALUE"""),"")</f>
        <v/>
      </c>
      <c r="I97" s="12" t="str">
        <f>IFERROR(__xludf.DUMMYFUNCTION("""COMPUTED_VALUE"""),"")</f>
        <v/>
      </c>
      <c r="J97" s="13" t="str">
        <f t="shared" si="1"/>
        <v/>
      </c>
      <c r="K97" s="12" t="str">
        <f>IFERROR(IF(A97="","",if($G97="",Reference!$J$2, VLOOKUP($G97,Reference!$I$2:$J$1000,2,false))),"")</f>
        <v/>
      </c>
      <c r="L97" s="12" t="str">
        <f>IF(A97="","", IF(F97="",Reference!$M$2,F97))</f>
        <v/>
      </c>
      <c r="M97" s="14" t="str">
        <f t="shared" si="2"/>
        <v/>
      </c>
      <c r="N97" s="15" t="str">
        <f t="shared" si="3"/>
        <v/>
      </c>
      <c r="O97" s="14" t="str">
        <f t="shared" si="4"/>
        <v/>
      </c>
      <c r="P97" s="16" t="str">
        <f t="array" ref="P97">IF($A97="","", IFERROR(INDEX('BM Data'!$N:$N,MATCH($J97&amp; "-" &amp; $N97,'BM Data'!$O:$O,0),1),""))</f>
        <v/>
      </c>
      <c r="Q97" s="16" t="str">
        <f t="array" ref="Q97">IF($A97="","", IFERROR(INDEX('BM Data'!$J:$J,MATCH($J97&amp; "-" &amp; $N97,'BM Data'!$O:$O,0),1),""))</f>
        <v/>
      </c>
    </row>
    <row r="98">
      <c r="A98" s="10" t="str">
        <f>IFERROR(__xludf.DUMMYFUNCTION("""COMPUTED_VALUE"""),"")</f>
        <v/>
      </c>
      <c r="B98" s="3" t="str">
        <f>IFERROR(__xludf.DUMMYFUNCTION("""COMPUTED_VALUE"""),"")</f>
        <v/>
      </c>
      <c r="C98" s="11" t="str">
        <f>IFERROR(__xludf.DUMMYFUNCTION("""COMPUTED_VALUE"""),"")</f>
        <v/>
      </c>
      <c r="D98" s="11" t="str">
        <f>IFERROR(__xludf.DUMMYFUNCTION("""COMPUTED_VALUE"""),"")</f>
        <v/>
      </c>
      <c r="E98" s="11" t="str">
        <f>IFERROR(__xludf.DUMMYFUNCTION("""COMPUTED_VALUE"""),"")</f>
        <v/>
      </c>
      <c r="F98" s="11" t="str">
        <f>IFERROR(__xludf.DUMMYFUNCTION("""COMPUTED_VALUE"""),"")</f>
        <v/>
      </c>
      <c r="G98" s="11" t="str">
        <f>IFERROR(__xludf.DUMMYFUNCTION("""COMPUTED_VALUE"""),"")</f>
        <v/>
      </c>
      <c r="H98" s="12" t="str">
        <f>IFERROR(__xludf.DUMMYFUNCTION("""COMPUTED_VALUE"""),"")</f>
        <v/>
      </c>
      <c r="I98" s="12" t="str">
        <f>IFERROR(__xludf.DUMMYFUNCTION("""COMPUTED_VALUE"""),"")</f>
        <v/>
      </c>
      <c r="J98" s="13" t="str">
        <f t="shared" si="1"/>
        <v/>
      </c>
      <c r="K98" s="12" t="str">
        <f>IFERROR(IF(A98="","",if($G98="",Reference!$J$2, VLOOKUP($G98,Reference!$I$2:$J$1000,2,false))),"")</f>
        <v/>
      </c>
      <c r="L98" s="12" t="str">
        <f>IF(A98="","", IF(F98="",Reference!$M$2,F98))</f>
        <v/>
      </c>
      <c r="M98" s="14" t="str">
        <f t="shared" si="2"/>
        <v/>
      </c>
      <c r="N98" s="15" t="str">
        <f t="shared" si="3"/>
        <v/>
      </c>
      <c r="O98" s="14" t="str">
        <f t="shared" si="4"/>
        <v/>
      </c>
      <c r="P98" s="16" t="str">
        <f t="array" ref="P98">IF($A98="","", IFERROR(INDEX('BM Data'!$N:$N,MATCH($J98&amp; "-" &amp; $N98,'BM Data'!$O:$O,0),1),""))</f>
        <v/>
      </c>
      <c r="Q98" s="16" t="str">
        <f t="array" ref="Q98">IF($A98="","", IFERROR(INDEX('BM Data'!$J:$J,MATCH($J98&amp; "-" &amp; $N98,'BM Data'!$O:$O,0),1),""))</f>
        <v/>
      </c>
    </row>
    <row r="99">
      <c r="A99" s="10" t="str">
        <f>IFERROR(__xludf.DUMMYFUNCTION("""COMPUTED_VALUE"""),"")</f>
        <v/>
      </c>
      <c r="B99" s="3" t="str">
        <f>IFERROR(__xludf.DUMMYFUNCTION("""COMPUTED_VALUE"""),"")</f>
        <v/>
      </c>
      <c r="C99" s="11" t="str">
        <f>IFERROR(__xludf.DUMMYFUNCTION("""COMPUTED_VALUE"""),"")</f>
        <v/>
      </c>
      <c r="D99" s="11" t="str">
        <f>IFERROR(__xludf.DUMMYFUNCTION("""COMPUTED_VALUE"""),"")</f>
        <v/>
      </c>
      <c r="E99" s="11" t="str">
        <f>IFERROR(__xludf.DUMMYFUNCTION("""COMPUTED_VALUE"""),"")</f>
        <v/>
      </c>
      <c r="F99" s="11" t="str">
        <f>IFERROR(__xludf.DUMMYFUNCTION("""COMPUTED_VALUE"""),"")</f>
        <v/>
      </c>
      <c r="G99" s="11" t="str">
        <f>IFERROR(__xludf.DUMMYFUNCTION("""COMPUTED_VALUE"""),"")</f>
        <v/>
      </c>
      <c r="H99" s="12" t="str">
        <f>IFERROR(__xludf.DUMMYFUNCTION("""COMPUTED_VALUE"""),"")</f>
        <v/>
      </c>
      <c r="I99" s="12" t="str">
        <f>IFERROR(__xludf.DUMMYFUNCTION("""COMPUTED_VALUE"""),"")</f>
        <v/>
      </c>
      <c r="J99" s="13" t="str">
        <f t="shared" si="1"/>
        <v/>
      </c>
      <c r="K99" s="12" t="str">
        <f>IFERROR(IF(A99="","",if($G99="",Reference!$J$2, VLOOKUP($G99,Reference!$I$2:$J$1000,2,false))),"")</f>
        <v/>
      </c>
      <c r="L99" s="12" t="str">
        <f>IF(A99="","", IF(F99="",Reference!$M$2,F99))</f>
        <v/>
      </c>
      <c r="M99" s="14" t="str">
        <f t="shared" si="2"/>
        <v/>
      </c>
      <c r="N99" s="15" t="str">
        <f t="shared" si="3"/>
        <v/>
      </c>
      <c r="O99" s="14" t="str">
        <f t="shared" si="4"/>
        <v/>
      </c>
      <c r="P99" s="16" t="str">
        <f t="array" ref="P99">IF($A99="","", IFERROR(INDEX('BM Data'!$N:$N,MATCH($J99&amp; "-" &amp; $N99,'BM Data'!$O:$O,0),1),""))</f>
        <v/>
      </c>
      <c r="Q99" s="16" t="str">
        <f t="array" ref="Q99">IF($A99="","", IFERROR(INDEX('BM Data'!$J:$J,MATCH($J99&amp; "-" &amp; $N99,'BM Data'!$O:$O,0),1),""))</f>
        <v/>
      </c>
    </row>
    <row r="100">
      <c r="A100" s="10" t="str">
        <f>IFERROR(__xludf.DUMMYFUNCTION("""COMPUTED_VALUE"""),"")</f>
        <v/>
      </c>
      <c r="B100" s="3" t="str">
        <f>IFERROR(__xludf.DUMMYFUNCTION("""COMPUTED_VALUE"""),"")</f>
        <v/>
      </c>
      <c r="C100" s="11" t="str">
        <f>IFERROR(__xludf.DUMMYFUNCTION("""COMPUTED_VALUE"""),"")</f>
        <v/>
      </c>
      <c r="D100" s="11" t="str">
        <f>IFERROR(__xludf.DUMMYFUNCTION("""COMPUTED_VALUE"""),"")</f>
        <v/>
      </c>
      <c r="E100" s="11" t="str">
        <f>IFERROR(__xludf.DUMMYFUNCTION("""COMPUTED_VALUE"""),"")</f>
        <v/>
      </c>
      <c r="F100" s="11" t="str">
        <f>IFERROR(__xludf.DUMMYFUNCTION("""COMPUTED_VALUE"""),"")</f>
        <v/>
      </c>
      <c r="G100" s="11" t="str">
        <f>IFERROR(__xludf.DUMMYFUNCTION("""COMPUTED_VALUE"""),"")</f>
        <v/>
      </c>
      <c r="H100" s="12" t="str">
        <f>IFERROR(__xludf.DUMMYFUNCTION("""COMPUTED_VALUE"""),"")</f>
        <v/>
      </c>
      <c r="I100" s="12" t="str">
        <f>IFERROR(__xludf.DUMMYFUNCTION("""COMPUTED_VALUE"""),"")</f>
        <v/>
      </c>
      <c r="J100" s="13" t="str">
        <f t="shared" si="1"/>
        <v/>
      </c>
      <c r="K100" s="12" t="str">
        <f>IFERROR(IF(A100="","",if($G100="",Reference!$J$2, VLOOKUP($G100,Reference!$I$2:$J$1000,2,false))),"")</f>
        <v/>
      </c>
      <c r="L100" s="12" t="str">
        <f>IF(A100="","", IF(F100="",Reference!$M$2,F100))</f>
        <v/>
      </c>
      <c r="M100" s="14" t="str">
        <f t="shared" si="2"/>
        <v/>
      </c>
      <c r="N100" s="15" t="str">
        <f t="shared" si="3"/>
        <v/>
      </c>
      <c r="O100" s="14" t="str">
        <f t="shared" si="4"/>
        <v/>
      </c>
      <c r="P100" s="16" t="str">
        <f t="array" ref="P100">IF($A100="","", IFERROR(INDEX('BM Data'!$N:$N,MATCH($J100&amp; "-" &amp; $N100,'BM Data'!$O:$O,0),1),""))</f>
        <v/>
      </c>
      <c r="Q100" s="16" t="str">
        <f t="array" ref="Q100">IF($A100="","", IFERROR(INDEX('BM Data'!$J:$J,MATCH($J100&amp; "-" &amp; $N100,'BM Data'!$O:$O,0),1),""))</f>
        <v/>
      </c>
    </row>
    <row r="101">
      <c r="A101" s="10" t="str">
        <f>IFERROR(__xludf.DUMMYFUNCTION("""COMPUTED_VALUE"""),"")</f>
        <v/>
      </c>
      <c r="B101" s="3" t="str">
        <f>IFERROR(__xludf.DUMMYFUNCTION("""COMPUTED_VALUE"""),"")</f>
        <v/>
      </c>
      <c r="C101" s="11" t="str">
        <f>IFERROR(__xludf.DUMMYFUNCTION("""COMPUTED_VALUE"""),"")</f>
        <v/>
      </c>
      <c r="D101" s="11" t="str">
        <f>IFERROR(__xludf.DUMMYFUNCTION("""COMPUTED_VALUE"""),"")</f>
        <v/>
      </c>
      <c r="E101" s="11" t="str">
        <f>IFERROR(__xludf.DUMMYFUNCTION("""COMPUTED_VALUE"""),"")</f>
        <v/>
      </c>
      <c r="F101" s="11" t="str">
        <f>IFERROR(__xludf.DUMMYFUNCTION("""COMPUTED_VALUE"""),"")</f>
        <v/>
      </c>
      <c r="G101" s="11" t="str">
        <f>IFERROR(__xludf.DUMMYFUNCTION("""COMPUTED_VALUE"""),"")</f>
        <v/>
      </c>
      <c r="H101" s="12" t="str">
        <f>IFERROR(__xludf.DUMMYFUNCTION("""COMPUTED_VALUE"""),"")</f>
        <v/>
      </c>
      <c r="I101" s="12" t="str">
        <f>IFERROR(__xludf.DUMMYFUNCTION("""COMPUTED_VALUE"""),"")</f>
        <v/>
      </c>
      <c r="J101" s="13" t="str">
        <f t="shared" si="1"/>
        <v/>
      </c>
      <c r="K101" s="12" t="str">
        <f>IFERROR(IF(A101="","",if($G101="",Reference!$J$2, VLOOKUP($G101,Reference!$I$2:$J$1000,2,false))),"")</f>
        <v/>
      </c>
      <c r="L101" s="12" t="str">
        <f>IF(A101="","", IF(F101="",Reference!$M$2,F101))</f>
        <v/>
      </c>
      <c r="M101" s="14" t="str">
        <f t="shared" si="2"/>
        <v/>
      </c>
      <c r="N101" s="15" t="str">
        <f t="shared" si="3"/>
        <v/>
      </c>
      <c r="O101" s="14" t="str">
        <f t="shared" si="4"/>
        <v/>
      </c>
      <c r="P101" s="16" t="str">
        <f t="array" ref="P101">IF($A101="","", IFERROR(INDEX('BM Data'!$N:$N,MATCH($J101&amp; "-" &amp; $N101,'BM Data'!$O:$O,0),1),""))</f>
        <v/>
      </c>
      <c r="Q101" s="16" t="str">
        <f t="array" ref="Q101">IF($A101="","", IFERROR(INDEX('BM Data'!$J:$J,MATCH($J101&amp; "-" &amp; $N101,'BM Data'!$O:$O,0),1),""))</f>
        <v/>
      </c>
    </row>
    <row r="102">
      <c r="A102" s="10" t="str">
        <f>IFERROR(__xludf.DUMMYFUNCTION("""COMPUTED_VALUE"""),"")</f>
        <v/>
      </c>
      <c r="B102" s="3" t="str">
        <f>IFERROR(__xludf.DUMMYFUNCTION("""COMPUTED_VALUE"""),"")</f>
        <v/>
      </c>
      <c r="C102" s="11" t="str">
        <f>IFERROR(__xludf.DUMMYFUNCTION("""COMPUTED_VALUE"""),"")</f>
        <v/>
      </c>
      <c r="D102" s="11" t="str">
        <f>IFERROR(__xludf.DUMMYFUNCTION("""COMPUTED_VALUE"""),"")</f>
        <v/>
      </c>
      <c r="E102" s="11" t="str">
        <f>IFERROR(__xludf.DUMMYFUNCTION("""COMPUTED_VALUE"""),"")</f>
        <v/>
      </c>
      <c r="F102" s="11" t="str">
        <f>IFERROR(__xludf.DUMMYFUNCTION("""COMPUTED_VALUE"""),"")</f>
        <v/>
      </c>
      <c r="G102" s="11" t="str">
        <f>IFERROR(__xludf.DUMMYFUNCTION("""COMPUTED_VALUE"""),"")</f>
        <v/>
      </c>
      <c r="H102" s="12" t="str">
        <f>IFERROR(__xludf.DUMMYFUNCTION("""COMPUTED_VALUE"""),"")</f>
        <v/>
      </c>
      <c r="I102" s="12" t="str">
        <f>IFERROR(__xludf.DUMMYFUNCTION("""COMPUTED_VALUE"""),"")</f>
        <v/>
      </c>
      <c r="J102" s="13" t="str">
        <f t="shared" si="1"/>
        <v/>
      </c>
      <c r="K102" s="12" t="str">
        <f>IFERROR(IF(A102="","",if($G102="",Reference!$J$2, VLOOKUP($G102,Reference!$I$2:$J$1000,2,false))),"")</f>
        <v/>
      </c>
      <c r="L102" s="12" t="str">
        <f>IF(A102="","", IF(F102="",Reference!$M$2,F102))</f>
        <v/>
      </c>
      <c r="M102" s="14" t="str">
        <f t="shared" si="2"/>
        <v/>
      </c>
      <c r="N102" s="15" t="str">
        <f t="shared" si="3"/>
        <v/>
      </c>
      <c r="O102" s="14" t="str">
        <f t="shared" si="4"/>
        <v/>
      </c>
      <c r="P102" s="16" t="str">
        <f t="array" ref="P102">IF($A102="","", IFERROR(INDEX('BM Data'!$N:$N,MATCH($J102&amp; "-" &amp; $N102,'BM Data'!$O:$O,0),1),""))</f>
        <v/>
      </c>
      <c r="Q102" s="16" t="str">
        <f t="array" ref="Q102">IF($A102="","", IFERROR(INDEX('BM Data'!$J:$J,MATCH($J102&amp; "-" &amp; $N102,'BM Data'!$O:$O,0),1),""))</f>
        <v/>
      </c>
    </row>
    <row r="103">
      <c r="A103" s="10" t="str">
        <f>IFERROR(__xludf.DUMMYFUNCTION("""COMPUTED_VALUE"""),"")</f>
        <v/>
      </c>
      <c r="B103" s="3" t="str">
        <f>IFERROR(__xludf.DUMMYFUNCTION("""COMPUTED_VALUE"""),"")</f>
        <v/>
      </c>
      <c r="C103" s="11" t="str">
        <f>IFERROR(__xludf.DUMMYFUNCTION("""COMPUTED_VALUE"""),"")</f>
        <v/>
      </c>
      <c r="D103" s="11" t="str">
        <f>IFERROR(__xludf.DUMMYFUNCTION("""COMPUTED_VALUE"""),"")</f>
        <v/>
      </c>
      <c r="E103" s="11" t="str">
        <f>IFERROR(__xludf.DUMMYFUNCTION("""COMPUTED_VALUE"""),"")</f>
        <v/>
      </c>
      <c r="F103" s="11" t="str">
        <f>IFERROR(__xludf.DUMMYFUNCTION("""COMPUTED_VALUE"""),"")</f>
        <v/>
      </c>
      <c r="G103" s="11" t="str">
        <f>IFERROR(__xludf.DUMMYFUNCTION("""COMPUTED_VALUE"""),"")</f>
        <v/>
      </c>
      <c r="H103" s="12" t="str">
        <f>IFERROR(__xludf.DUMMYFUNCTION("""COMPUTED_VALUE"""),"")</f>
        <v/>
      </c>
      <c r="I103" s="12" t="str">
        <f>IFERROR(__xludf.DUMMYFUNCTION("""COMPUTED_VALUE"""),"")</f>
        <v/>
      </c>
      <c r="J103" s="13" t="str">
        <f t="shared" si="1"/>
        <v/>
      </c>
      <c r="K103" s="12" t="str">
        <f>IFERROR(IF(A103="","",if($G103="",Reference!$J$2, VLOOKUP($G103,Reference!$I$2:$J$1000,2,false))),"")</f>
        <v/>
      </c>
      <c r="L103" s="12" t="str">
        <f>IF(A103="","", IF(F103="",Reference!$M$2,F103))</f>
        <v/>
      </c>
      <c r="M103" s="14" t="str">
        <f t="shared" si="2"/>
        <v/>
      </c>
      <c r="N103" s="15" t="str">
        <f t="shared" si="3"/>
        <v/>
      </c>
      <c r="O103" s="14" t="str">
        <f t="shared" si="4"/>
        <v/>
      </c>
      <c r="P103" s="16" t="str">
        <f t="array" ref="P103">IF($A103="","", IFERROR(INDEX('BM Data'!$N:$N,MATCH($J103&amp; "-" &amp; $N103,'BM Data'!$O:$O,0),1),""))</f>
        <v/>
      </c>
      <c r="Q103" s="16" t="str">
        <f t="array" ref="Q103">IF($A103="","", IFERROR(INDEX('BM Data'!$J:$J,MATCH($J103&amp; "-" &amp; $N103,'BM Data'!$O:$O,0),1),""))</f>
        <v/>
      </c>
    </row>
    <row r="104">
      <c r="A104" s="10" t="str">
        <f>IFERROR(__xludf.DUMMYFUNCTION("""COMPUTED_VALUE"""),"")</f>
        <v/>
      </c>
      <c r="B104" s="3" t="str">
        <f>IFERROR(__xludf.DUMMYFUNCTION("""COMPUTED_VALUE"""),"")</f>
        <v/>
      </c>
      <c r="C104" s="11" t="str">
        <f>IFERROR(__xludf.DUMMYFUNCTION("""COMPUTED_VALUE"""),"")</f>
        <v/>
      </c>
      <c r="D104" s="11" t="str">
        <f>IFERROR(__xludf.DUMMYFUNCTION("""COMPUTED_VALUE"""),"")</f>
        <v/>
      </c>
      <c r="E104" s="11" t="str">
        <f>IFERROR(__xludf.DUMMYFUNCTION("""COMPUTED_VALUE"""),"")</f>
        <v/>
      </c>
      <c r="F104" s="11" t="str">
        <f>IFERROR(__xludf.DUMMYFUNCTION("""COMPUTED_VALUE"""),"")</f>
        <v/>
      </c>
      <c r="G104" s="11" t="str">
        <f>IFERROR(__xludf.DUMMYFUNCTION("""COMPUTED_VALUE"""),"")</f>
        <v/>
      </c>
      <c r="H104" s="12" t="str">
        <f>IFERROR(__xludf.DUMMYFUNCTION("""COMPUTED_VALUE"""),"")</f>
        <v/>
      </c>
      <c r="I104" s="12" t="str">
        <f>IFERROR(__xludf.DUMMYFUNCTION("""COMPUTED_VALUE"""),"")</f>
        <v/>
      </c>
      <c r="J104" s="13" t="str">
        <f t="shared" si="1"/>
        <v/>
      </c>
      <c r="K104" s="12" t="str">
        <f>IFERROR(IF(A104="","",if($G104="",Reference!$J$2, VLOOKUP($G104,Reference!$I$2:$J$1000,2,false))),"")</f>
        <v/>
      </c>
      <c r="L104" s="12" t="str">
        <f>IF(A104="","", IF(F104="",Reference!$M$2,F104))</f>
        <v/>
      </c>
      <c r="M104" s="14" t="str">
        <f t="shared" si="2"/>
        <v/>
      </c>
      <c r="N104" s="15" t="str">
        <f t="shared" si="3"/>
        <v/>
      </c>
      <c r="O104" s="14" t="str">
        <f t="shared" si="4"/>
        <v/>
      </c>
      <c r="P104" s="16" t="str">
        <f t="array" ref="P104">IF($A104="","", IFERROR(INDEX('BM Data'!$N:$N,MATCH($J104&amp; "-" &amp; $N104,'BM Data'!$O:$O,0),1),""))</f>
        <v/>
      </c>
      <c r="Q104" s="16" t="str">
        <f t="array" ref="Q104">IF($A104="","", IFERROR(INDEX('BM Data'!$J:$J,MATCH($J104&amp; "-" &amp; $N104,'BM Data'!$O:$O,0),1),""))</f>
        <v/>
      </c>
    </row>
    <row r="105">
      <c r="A105" s="10" t="str">
        <f>IFERROR(__xludf.DUMMYFUNCTION("""COMPUTED_VALUE"""),"")</f>
        <v/>
      </c>
      <c r="B105" s="3" t="str">
        <f>IFERROR(__xludf.DUMMYFUNCTION("""COMPUTED_VALUE"""),"")</f>
        <v/>
      </c>
      <c r="C105" s="11" t="str">
        <f>IFERROR(__xludf.DUMMYFUNCTION("""COMPUTED_VALUE"""),"")</f>
        <v/>
      </c>
      <c r="D105" s="11" t="str">
        <f>IFERROR(__xludf.DUMMYFUNCTION("""COMPUTED_VALUE"""),"")</f>
        <v/>
      </c>
      <c r="E105" s="11" t="str">
        <f>IFERROR(__xludf.DUMMYFUNCTION("""COMPUTED_VALUE"""),"")</f>
        <v/>
      </c>
      <c r="F105" s="11" t="str">
        <f>IFERROR(__xludf.DUMMYFUNCTION("""COMPUTED_VALUE"""),"")</f>
        <v/>
      </c>
      <c r="G105" s="11" t="str">
        <f>IFERROR(__xludf.DUMMYFUNCTION("""COMPUTED_VALUE"""),"")</f>
        <v/>
      </c>
      <c r="H105" s="12" t="str">
        <f>IFERROR(__xludf.DUMMYFUNCTION("""COMPUTED_VALUE"""),"")</f>
        <v/>
      </c>
      <c r="I105" s="12" t="str">
        <f>IFERROR(__xludf.DUMMYFUNCTION("""COMPUTED_VALUE"""),"")</f>
        <v/>
      </c>
      <c r="J105" s="13" t="str">
        <f t="shared" si="1"/>
        <v/>
      </c>
      <c r="K105" s="12" t="str">
        <f>IFERROR(IF(A105="","",if($G105="",Reference!$J$2, VLOOKUP($G105,Reference!$I$2:$J$1000,2,false))),"")</f>
        <v/>
      </c>
      <c r="L105" s="12" t="str">
        <f>IF(A105="","", IF(F105="",Reference!$M$2,F105))</f>
        <v/>
      </c>
      <c r="M105" s="14" t="str">
        <f t="shared" si="2"/>
        <v/>
      </c>
      <c r="N105" s="15" t="str">
        <f t="shared" si="3"/>
        <v/>
      </c>
      <c r="O105" s="14" t="str">
        <f t="shared" si="4"/>
        <v/>
      </c>
      <c r="P105" s="16" t="str">
        <f t="array" ref="P105">IF($A105="","", IFERROR(INDEX('BM Data'!$N:$N,MATCH($J105&amp; "-" &amp; $N105,'BM Data'!$O:$O,0),1),""))</f>
        <v/>
      </c>
      <c r="Q105" s="16" t="str">
        <f t="array" ref="Q105">IF($A105="","", IFERROR(INDEX('BM Data'!$J:$J,MATCH($J105&amp; "-" &amp; $N105,'BM Data'!$O:$O,0),1),""))</f>
        <v/>
      </c>
    </row>
    <row r="106">
      <c r="A106" s="10" t="str">
        <f>IFERROR(__xludf.DUMMYFUNCTION("""COMPUTED_VALUE"""),"")</f>
        <v/>
      </c>
      <c r="B106" s="3" t="str">
        <f>IFERROR(__xludf.DUMMYFUNCTION("""COMPUTED_VALUE"""),"")</f>
        <v/>
      </c>
      <c r="C106" s="11" t="str">
        <f>IFERROR(__xludf.DUMMYFUNCTION("""COMPUTED_VALUE"""),"")</f>
        <v/>
      </c>
      <c r="D106" s="11" t="str">
        <f>IFERROR(__xludf.DUMMYFUNCTION("""COMPUTED_VALUE"""),"")</f>
        <v/>
      </c>
      <c r="E106" s="11" t="str">
        <f>IFERROR(__xludf.DUMMYFUNCTION("""COMPUTED_VALUE"""),"")</f>
        <v/>
      </c>
      <c r="F106" s="11" t="str">
        <f>IFERROR(__xludf.DUMMYFUNCTION("""COMPUTED_VALUE"""),"")</f>
        <v/>
      </c>
      <c r="G106" s="11" t="str">
        <f>IFERROR(__xludf.DUMMYFUNCTION("""COMPUTED_VALUE"""),"")</f>
        <v/>
      </c>
      <c r="H106" s="12" t="str">
        <f>IFERROR(__xludf.DUMMYFUNCTION("""COMPUTED_VALUE"""),"")</f>
        <v/>
      </c>
      <c r="I106" s="12" t="str">
        <f>IFERROR(__xludf.DUMMYFUNCTION("""COMPUTED_VALUE"""),"")</f>
        <v/>
      </c>
      <c r="J106" s="13" t="str">
        <f t="shared" si="1"/>
        <v/>
      </c>
      <c r="K106" s="12" t="str">
        <f>IFERROR(IF(A106="","",if($G106="",Reference!$J$2, VLOOKUP($G106,Reference!$I$2:$J$1000,2,false))),"")</f>
        <v/>
      </c>
      <c r="L106" s="12" t="str">
        <f>IF(A106="","", IF(F106="",Reference!$M$2,F106))</f>
        <v/>
      </c>
      <c r="M106" s="14" t="str">
        <f t="shared" si="2"/>
        <v/>
      </c>
      <c r="N106" s="15" t="str">
        <f t="shared" si="3"/>
        <v/>
      </c>
      <c r="O106" s="14" t="str">
        <f t="shared" si="4"/>
        <v/>
      </c>
      <c r="P106" s="16" t="str">
        <f t="array" ref="P106">IF($A106="","", IFERROR(INDEX('BM Data'!$N:$N,MATCH($J106&amp; "-" &amp; $N106,'BM Data'!$O:$O,0),1),""))</f>
        <v/>
      </c>
      <c r="Q106" s="16" t="str">
        <f t="array" ref="Q106">IF($A106="","", IFERROR(INDEX('BM Data'!$J:$J,MATCH($J106&amp; "-" &amp; $N106,'BM Data'!$O:$O,0),1),""))</f>
        <v/>
      </c>
    </row>
    <row r="107">
      <c r="A107" s="10" t="str">
        <f>IFERROR(__xludf.DUMMYFUNCTION("""COMPUTED_VALUE"""),"")</f>
        <v/>
      </c>
      <c r="B107" s="3" t="str">
        <f>IFERROR(__xludf.DUMMYFUNCTION("""COMPUTED_VALUE"""),"")</f>
        <v/>
      </c>
      <c r="C107" s="11" t="str">
        <f>IFERROR(__xludf.DUMMYFUNCTION("""COMPUTED_VALUE"""),"")</f>
        <v/>
      </c>
      <c r="D107" s="11" t="str">
        <f>IFERROR(__xludf.DUMMYFUNCTION("""COMPUTED_VALUE"""),"")</f>
        <v/>
      </c>
      <c r="E107" s="11" t="str">
        <f>IFERROR(__xludf.DUMMYFUNCTION("""COMPUTED_VALUE"""),"")</f>
        <v/>
      </c>
      <c r="F107" s="11" t="str">
        <f>IFERROR(__xludf.DUMMYFUNCTION("""COMPUTED_VALUE"""),"")</f>
        <v/>
      </c>
      <c r="G107" s="11" t="str">
        <f>IFERROR(__xludf.DUMMYFUNCTION("""COMPUTED_VALUE"""),"")</f>
        <v/>
      </c>
      <c r="H107" s="12" t="str">
        <f>IFERROR(__xludf.DUMMYFUNCTION("""COMPUTED_VALUE"""),"")</f>
        <v/>
      </c>
      <c r="I107" s="12" t="str">
        <f>IFERROR(__xludf.DUMMYFUNCTION("""COMPUTED_VALUE"""),"")</f>
        <v/>
      </c>
      <c r="J107" s="13" t="str">
        <f t="shared" si="1"/>
        <v/>
      </c>
      <c r="K107" s="12" t="str">
        <f>IFERROR(IF(A107="","",if($G107="",Reference!$J$2, VLOOKUP($G107,Reference!$I$2:$J$1000,2,false))),"")</f>
        <v/>
      </c>
      <c r="L107" s="12" t="str">
        <f>IF(A107="","", IF(F107="",Reference!$M$2,F107))</f>
        <v/>
      </c>
      <c r="M107" s="14" t="str">
        <f t="shared" si="2"/>
        <v/>
      </c>
      <c r="N107" s="15" t="str">
        <f t="shared" si="3"/>
        <v/>
      </c>
      <c r="O107" s="14" t="str">
        <f t="shared" si="4"/>
        <v/>
      </c>
      <c r="P107" s="16" t="str">
        <f t="array" ref="P107">IF($A107="","", IFERROR(INDEX('BM Data'!$N:$N,MATCH($J107&amp; "-" &amp; $N107,'BM Data'!$O:$O,0),1),""))</f>
        <v/>
      </c>
      <c r="Q107" s="16" t="str">
        <f t="array" ref="Q107">IF($A107="","", IFERROR(INDEX('BM Data'!$J:$J,MATCH($J107&amp; "-" &amp; $N107,'BM Data'!$O:$O,0),1),""))</f>
        <v/>
      </c>
    </row>
    <row r="108">
      <c r="A108" s="10" t="str">
        <f>IFERROR(__xludf.DUMMYFUNCTION("""COMPUTED_VALUE"""),"")</f>
        <v/>
      </c>
      <c r="B108" s="3" t="str">
        <f>IFERROR(__xludf.DUMMYFUNCTION("""COMPUTED_VALUE"""),"")</f>
        <v/>
      </c>
      <c r="C108" s="11" t="str">
        <f>IFERROR(__xludf.DUMMYFUNCTION("""COMPUTED_VALUE"""),"")</f>
        <v/>
      </c>
      <c r="D108" s="11" t="str">
        <f>IFERROR(__xludf.DUMMYFUNCTION("""COMPUTED_VALUE"""),"")</f>
        <v/>
      </c>
      <c r="E108" s="11" t="str">
        <f>IFERROR(__xludf.DUMMYFUNCTION("""COMPUTED_VALUE"""),"")</f>
        <v/>
      </c>
      <c r="F108" s="11" t="str">
        <f>IFERROR(__xludf.DUMMYFUNCTION("""COMPUTED_VALUE"""),"")</f>
        <v/>
      </c>
      <c r="G108" s="11" t="str">
        <f>IFERROR(__xludf.DUMMYFUNCTION("""COMPUTED_VALUE"""),"")</f>
        <v/>
      </c>
      <c r="H108" s="12" t="str">
        <f>IFERROR(__xludf.DUMMYFUNCTION("""COMPUTED_VALUE"""),"")</f>
        <v/>
      </c>
      <c r="I108" s="12" t="str">
        <f>IFERROR(__xludf.DUMMYFUNCTION("""COMPUTED_VALUE"""),"")</f>
        <v/>
      </c>
      <c r="J108" s="13" t="str">
        <f t="shared" si="1"/>
        <v/>
      </c>
      <c r="K108" s="12" t="str">
        <f>IFERROR(IF(A108="","",if($G108="",Reference!$J$2, VLOOKUP($G108,Reference!$I$2:$J$1000,2,false))),"")</f>
        <v/>
      </c>
      <c r="L108" s="12" t="str">
        <f>IF(A108="","", IF(F108="",Reference!$M$2,F108))</f>
        <v/>
      </c>
      <c r="M108" s="14" t="str">
        <f t="shared" si="2"/>
        <v/>
      </c>
      <c r="N108" s="15" t="str">
        <f t="shared" si="3"/>
        <v/>
      </c>
      <c r="O108" s="14" t="str">
        <f t="shared" si="4"/>
        <v/>
      </c>
      <c r="P108" s="16" t="str">
        <f t="array" ref="P108">IF($A108="","", IFERROR(INDEX('BM Data'!$N:$N,MATCH($J108&amp; "-" &amp; $N108,'BM Data'!$O:$O,0),1),""))</f>
        <v/>
      </c>
      <c r="Q108" s="16" t="str">
        <f t="array" ref="Q108">IF($A108="","", IFERROR(INDEX('BM Data'!$J:$J,MATCH($J108&amp; "-" &amp; $N108,'BM Data'!$O:$O,0),1),""))</f>
        <v/>
      </c>
    </row>
    <row r="109">
      <c r="A109" s="10" t="str">
        <f>IFERROR(__xludf.DUMMYFUNCTION("""COMPUTED_VALUE"""),"")</f>
        <v/>
      </c>
      <c r="B109" s="3" t="str">
        <f>IFERROR(__xludf.DUMMYFUNCTION("""COMPUTED_VALUE"""),"")</f>
        <v/>
      </c>
      <c r="C109" s="11" t="str">
        <f>IFERROR(__xludf.DUMMYFUNCTION("""COMPUTED_VALUE"""),"")</f>
        <v/>
      </c>
      <c r="D109" s="11" t="str">
        <f>IFERROR(__xludf.DUMMYFUNCTION("""COMPUTED_VALUE"""),"")</f>
        <v/>
      </c>
      <c r="E109" s="11" t="str">
        <f>IFERROR(__xludf.DUMMYFUNCTION("""COMPUTED_VALUE"""),"")</f>
        <v/>
      </c>
      <c r="F109" s="11" t="str">
        <f>IFERROR(__xludf.DUMMYFUNCTION("""COMPUTED_VALUE"""),"")</f>
        <v/>
      </c>
      <c r="G109" s="11" t="str">
        <f>IFERROR(__xludf.DUMMYFUNCTION("""COMPUTED_VALUE"""),"")</f>
        <v/>
      </c>
      <c r="H109" s="12" t="str">
        <f>IFERROR(__xludf.DUMMYFUNCTION("""COMPUTED_VALUE"""),"")</f>
        <v/>
      </c>
      <c r="I109" s="12" t="str">
        <f>IFERROR(__xludf.DUMMYFUNCTION("""COMPUTED_VALUE"""),"")</f>
        <v/>
      </c>
      <c r="J109" s="13" t="str">
        <f t="shared" si="1"/>
        <v/>
      </c>
      <c r="K109" s="12" t="str">
        <f>IFERROR(IF(A109="","",if($G109="",Reference!$J$2, VLOOKUP($G109,Reference!$I$2:$J$1000,2,false))),"")</f>
        <v/>
      </c>
      <c r="L109" s="12" t="str">
        <f>IF(A109="","", IF(F109="",Reference!$M$2,F109))</f>
        <v/>
      </c>
      <c r="M109" s="14" t="str">
        <f t="shared" si="2"/>
        <v/>
      </c>
      <c r="N109" s="15" t="str">
        <f t="shared" si="3"/>
        <v/>
      </c>
      <c r="O109" s="14" t="str">
        <f t="shared" si="4"/>
        <v/>
      </c>
      <c r="P109" s="16" t="str">
        <f t="array" ref="P109">IF($A109="","", IFERROR(INDEX('BM Data'!$N:$N,MATCH($J109&amp; "-" &amp; $N109,'BM Data'!$O:$O,0),1),""))</f>
        <v/>
      </c>
      <c r="Q109" s="16" t="str">
        <f t="array" ref="Q109">IF($A109="","", IFERROR(INDEX('BM Data'!$J:$J,MATCH($J109&amp; "-" &amp; $N109,'BM Data'!$O:$O,0),1),""))</f>
        <v/>
      </c>
    </row>
    <row r="110">
      <c r="A110" s="10" t="str">
        <f>IFERROR(__xludf.DUMMYFUNCTION("""COMPUTED_VALUE"""),"")</f>
        <v/>
      </c>
      <c r="B110" s="3" t="str">
        <f>IFERROR(__xludf.DUMMYFUNCTION("""COMPUTED_VALUE"""),"")</f>
        <v/>
      </c>
      <c r="C110" s="11" t="str">
        <f>IFERROR(__xludf.DUMMYFUNCTION("""COMPUTED_VALUE"""),"")</f>
        <v/>
      </c>
      <c r="D110" s="11" t="str">
        <f>IFERROR(__xludf.DUMMYFUNCTION("""COMPUTED_VALUE"""),"")</f>
        <v/>
      </c>
      <c r="E110" s="11" t="str">
        <f>IFERROR(__xludf.DUMMYFUNCTION("""COMPUTED_VALUE"""),"")</f>
        <v/>
      </c>
      <c r="F110" s="11" t="str">
        <f>IFERROR(__xludf.DUMMYFUNCTION("""COMPUTED_VALUE"""),"")</f>
        <v/>
      </c>
      <c r="G110" s="11" t="str">
        <f>IFERROR(__xludf.DUMMYFUNCTION("""COMPUTED_VALUE"""),"")</f>
        <v/>
      </c>
      <c r="H110" s="12" t="str">
        <f>IFERROR(__xludf.DUMMYFUNCTION("""COMPUTED_VALUE"""),"")</f>
        <v/>
      </c>
      <c r="I110" s="12" t="str">
        <f>IFERROR(__xludf.DUMMYFUNCTION("""COMPUTED_VALUE"""),"")</f>
        <v/>
      </c>
      <c r="J110" s="13" t="str">
        <f t="shared" si="1"/>
        <v/>
      </c>
      <c r="K110" s="12" t="str">
        <f>IFERROR(IF(A110="","",if($G110="",Reference!$J$2, VLOOKUP($G110,Reference!$I$2:$J$1000,2,false))),"")</f>
        <v/>
      </c>
      <c r="L110" s="12" t="str">
        <f>IF(A110="","", IF(F110="",Reference!$M$2,F110))</f>
        <v/>
      </c>
      <c r="M110" s="14" t="str">
        <f t="shared" si="2"/>
        <v/>
      </c>
      <c r="N110" s="15" t="str">
        <f t="shared" si="3"/>
        <v/>
      </c>
      <c r="O110" s="14" t="str">
        <f t="shared" si="4"/>
        <v/>
      </c>
      <c r="P110" s="16" t="str">
        <f t="array" ref="P110">IF($A110="","", IFERROR(INDEX('BM Data'!$N:$N,MATCH($J110&amp; "-" &amp; $N110,'BM Data'!$O:$O,0),1),""))</f>
        <v/>
      </c>
      <c r="Q110" s="16" t="str">
        <f t="array" ref="Q110">IF($A110="","", IFERROR(INDEX('BM Data'!$J:$J,MATCH($J110&amp; "-" &amp; $N110,'BM Data'!$O:$O,0),1),""))</f>
        <v/>
      </c>
    </row>
    <row r="111">
      <c r="A111" s="10" t="str">
        <f>IFERROR(__xludf.DUMMYFUNCTION("""COMPUTED_VALUE"""),"")</f>
        <v/>
      </c>
      <c r="B111" s="3" t="str">
        <f>IFERROR(__xludf.DUMMYFUNCTION("""COMPUTED_VALUE"""),"")</f>
        <v/>
      </c>
      <c r="C111" s="11" t="str">
        <f>IFERROR(__xludf.DUMMYFUNCTION("""COMPUTED_VALUE"""),"")</f>
        <v/>
      </c>
      <c r="D111" s="11" t="str">
        <f>IFERROR(__xludf.DUMMYFUNCTION("""COMPUTED_VALUE"""),"")</f>
        <v/>
      </c>
      <c r="E111" s="11" t="str">
        <f>IFERROR(__xludf.DUMMYFUNCTION("""COMPUTED_VALUE"""),"")</f>
        <v/>
      </c>
      <c r="F111" s="11" t="str">
        <f>IFERROR(__xludf.DUMMYFUNCTION("""COMPUTED_VALUE"""),"")</f>
        <v/>
      </c>
      <c r="G111" s="11" t="str">
        <f>IFERROR(__xludf.DUMMYFUNCTION("""COMPUTED_VALUE"""),"")</f>
        <v/>
      </c>
      <c r="H111" s="12" t="str">
        <f>IFERROR(__xludf.DUMMYFUNCTION("""COMPUTED_VALUE"""),"")</f>
        <v/>
      </c>
      <c r="I111" s="12" t="str">
        <f>IFERROR(__xludf.DUMMYFUNCTION("""COMPUTED_VALUE"""),"")</f>
        <v/>
      </c>
      <c r="J111" s="13" t="str">
        <f t="shared" si="1"/>
        <v/>
      </c>
      <c r="K111" s="12" t="str">
        <f>IFERROR(IF(A111="","",if($G111="",Reference!$J$2, VLOOKUP($G111,Reference!$I$2:$J$1000,2,false))),"")</f>
        <v/>
      </c>
      <c r="L111" s="12" t="str">
        <f>IF(A111="","", IF(F111="",Reference!$M$2,F111))</f>
        <v/>
      </c>
      <c r="M111" s="14" t="str">
        <f t="shared" si="2"/>
        <v/>
      </c>
      <c r="N111" s="15" t="str">
        <f t="shared" si="3"/>
        <v/>
      </c>
      <c r="O111" s="14" t="str">
        <f t="shared" si="4"/>
        <v/>
      </c>
      <c r="P111" s="16" t="str">
        <f t="array" ref="P111">IF($A111="","", IFERROR(INDEX('BM Data'!$N:$N,MATCH($J111&amp; "-" &amp; $N111,'BM Data'!$O:$O,0),1),""))</f>
        <v/>
      </c>
      <c r="Q111" s="16" t="str">
        <f t="array" ref="Q111">IF($A111="","", IFERROR(INDEX('BM Data'!$J:$J,MATCH($J111&amp; "-" &amp; $N111,'BM Data'!$O:$O,0),1),""))</f>
        <v/>
      </c>
    </row>
    <row r="112">
      <c r="A112" s="10" t="str">
        <f>IFERROR(__xludf.DUMMYFUNCTION("""COMPUTED_VALUE"""),"")</f>
        <v/>
      </c>
      <c r="B112" s="3" t="str">
        <f>IFERROR(__xludf.DUMMYFUNCTION("""COMPUTED_VALUE"""),"")</f>
        <v/>
      </c>
      <c r="C112" s="11" t="str">
        <f>IFERROR(__xludf.DUMMYFUNCTION("""COMPUTED_VALUE"""),"")</f>
        <v/>
      </c>
      <c r="D112" s="11" t="str">
        <f>IFERROR(__xludf.DUMMYFUNCTION("""COMPUTED_VALUE"""),"")</f>
        <v/>
      </c>
      <c r="E112" s="11" t="str">
        <f>IFERROR(__xludf.DUMMYFUNCTION("""COMPUTED_VALUE"""),"")</f>
        <v/>
      </c>
      <c r="F112" s="11" t="str">
        <f>IFERROR(__xludf.DUMMYFUNCTION("""COMPUTED_VALUE"""),"")</f>
        <v/>
      </c>
      <c r="G112" s="11" t="str">
        <f>IFERROR(__xludf.DUMMYFUNCTION("""COMPUTED_VALUE"""),"")</f>
        <v/>
      </c>
      <c r="H112" s="12" t="str">
        <f>IFERROR(__xludf.DUMMYFUNCTION("""COMPUTED_VALUE"""),"")</f>
        <v/>
      </c>
      <c r="I112" s="12" t="str">
        <f>IFERROR(__xludf.DUMMYFUNCTION("""COMPUTED_VALUE"""),"")</f>
        <v/>
      </c>
      <c r="J112" s="13" t="str">
        <f t="shared" si="1"/>
        <v/>
      </c>
      <c r="K112" s="12" t="str">
        <f>IFERROR(IF(A112="","",if($G112="",Reference!$J$2, VLOOKUP($G112,Reference!$I$2:$J$1000,2,false))),"")</f>
        <v/>
      </c>
      <c r="L112" s="12" t="str">
        <f>IF(A112="","", IF(F112="",Reference!$M$2,F112))</f>
        <v/>
      </c>
      <c r="M112" s="14" t="str">
        <f t="shared" si="2"/>
        <v/>
      </c>
      <c r="N112" s="15" t="str">
        <f t="shared" si="3"/>
        <v/>
      </c>
      <c r="O112" s="14" t="str">
        <f t="shared" si="4"/>
        <v/>
      </c>
      <c r="P112" s="16" t="str">
        <f t="array" ref="P112">IF($A112="","", IFERROR(INDEX('BM Data'!$N:$N,MATCH($J112&amp; "-" &amp; $N112,'BM Data'!$O:$O,0),1),""))</f>
        <v/>
      </c>
      <c r="Q112" s="16" t="str">
        <f t="array" ref="Q112">IF($A112="","", IFERROR(INDEX('BM Data'!$J:$J,MATCH($J112&amp; "-" &amp; $N112,'BM Data'!$O:$O,0),1),""))</f>
        <v/>
      </c>
    </row>
    <row r="113">
      <c r="A113" s="10" t="str">
        <f>IFERROR(__xludf.DUMMYFUNCTION("""COMPUTED_VALUE"""),"")</f>
        <v/>
      </c>
      <c r="B113" s="3" t="str">
        <f>IFERROR(__xludf.DUMMYFUNCTION("""COMPUTED_VALUE"""),"")</f>
        <v/>
      </c>
      <c r="C113" s="11" t="str">
        <f>IFERROR(__xludf.DUMMYFUNCTION("""COMPUTED_VALUE"""),"")</f>
        <v/>
      </c>
      <c r="D113" s="11" t="str">
        <f>IFERROR(__xludf.DUMMYFUNCTION("""COMPUTED_VALUE"""),"")</f>
        <v/>
      </c>
      <c r="E113" s="11" t="str">
        <f>IFERROR(__xludf.DUMMYFUNCTION("""COMPUTED_VALUE"""),"")</f>
        <v/>
      </c>
      <c r="F113" s="11" t="str">
        <f>IFERROR(__xludf.DUMMYFUNCTION("""COMPUTED_VALUE"""),"")</f>
        <v/>
      </c>
      <c r="G113" s="11" t="str">
        <f>IFERROR(__xludf.DUMMYFUNCTION("""COMPUTED_VALUE"""),"")</f>
        <v/>
      </c>
      <c r="H113" s="12" t="str">
        <f>IFERROR(__xludf.DUMMYFUNCTION("""COMPUTED_VALUE"""),"")</f>
        <v/>
      </c>
      <c r="I113" s="12" t="str">
        <f>IFERROR(__xludf.DUMMYFUNCTION("""COMPUTED_VALUE"""),"")</f>
        <v/>
      </c>
      <c r="J113" s="13" t="str">
        <f t="shared" si="1"/>
        <v/>
      </c>
      <c r="K113" s="12" t="str">
        <f>IFERROR(IF(A113="","",if($G113="",Reference!$J$2, VLOOKUP($G113,Reference!$I$2:$J$1000,2,false))),"")</f>
        <v/>
      </c>
      <c r="L113" s="12" t="str">
        <f>IF(A113="","", IF(F113="",Reference!$M$2,F113))</f>
        <v/>
      </c>
      <c r="M113" s="14" t="str">
        <f t="shared" si="2"/>
        <v/>
      </c>
      <c r="N113" s="15" t="str">
        <f t="shared" si="3"/>
        <v/>
      </c>
      <c r="O113" s="14" t="str">
        <f t="shared" si="4"/>
        <v/>
      </c>
      <c r="P113" s="16" t="str">
        <f t="array" ref="P113">IF($A113="","", IFERROR(INDEX('BM Data'!$N:$N,MATCH($J113&amp; "-" &amp; $N113,'BM Data'!$O:$O,0),1),""))</f>
        <v/>
      </c>
      <c r="Q113" s="16" t="str">
        <f t="array" ref="Q113">IF($A113="","", IFERROR(INDEX('BM Data'!$J:$J,MATCH($J113&amp; "-" &amp; $N113,'BM Data'!$O:$O,0),1),""))</f>
        <v/>
      </c>
    </row>
    <row r="114">
      <c r="A114" s="10" t="str">
        <f>IFERROR(__xludf.DUMMYFUNCTION("""COMPUTED_VALUE"""),"")</f>
        <v/>
      </c>
      <c r="B114" s="3" t="str">
        <f>IFERROR(__xludf.DUMMYFUNCTION("""COMPUTED_VALUE"""),"")</f>
        <v/>
      </c>
      <c r="C114" s="11" t="str">
        <f>IFERROR(__xludf.DUMMYFUNCTION("""COMPUTED_VALUE"""),"")</f>
        <v/>
      </c>
      <c r="D114" s="11" t="str">
        <f>IFERROR(__xludf.DUMMYFUNCTION("""COMPUTED_VALUE"""),"")</f>
        <v/>
      </c>
      <c r="E114" s="11" t="str">
        <f>IFERROR(__xludf.DUMMYFUNCTION("""COMPUTED_VALUE"""),"")</f>
        <v/>
      </c>
      <c r="F114" s="11" t="str">
        <f>IFERROR(__xludf.DUMMYFUNCTION("""COMPUTED_VALUE"""),"")</f>
        <v/>
      </c>
      <c r="G114" s="11" t="str">
        <f>IFERROR(__xludf.DUMMYFUNCTION("""COMPUTED_VALUE"""),"")</f>
        <v/>
      </c>
      <c r="H114" s="12" t="str">
        <f>IFERROR(__xludf.DUMMYFUNCTION("""COMPUTED_VALUE"""),"")</f>
        <v/>
      </c>
      <c r="I114" s="12" t="str">
        <f>IFERROR(__xludf.DUMMYFUNCTION("""COMPUTED_VALUE"""),"")</f>
        <v/>
      </c>
      <c r="J114" s="13" t="str">
        <f t="shared" si="1"/>
        <v/>
      </c>
      <c r="K114" s="12" t="str">
        <f>IFERROR(IF(A114="","",if($G114="",Reference!$J$2, VLOOKUP($G114,Reference!$I$2:$J$1000,2,false))),"")</f>
        <v/>
      </c>
      <c r="L114" s="12" t="str">
        <f>IF(A114="","", IF(F114="",Reference!$M$2,F114))</f>
        <v/>
      </c>
      <c r="M114" s="14" t="str">
        <f t="shared" si="2"/>
        <v/>
      </c>
      <c r="N114" s="15" t="str">
        <f t="shared" si="3"/>
        <v/>
      </c>
      <c r="O114" s="14" t="str">
        <f t="shared" si="4"/>
        <v/>
      </c>
      <c r="P114" s="16" t="str">
        <f t="array" ref="P114">IF($A114="","", IFERROR(INDEX('BM Data'!$N:$N,MATCH($J114&amp; "-" &amp; $N114,'BM Data'!$O:$O,0),1),""))</f>
        <v/>
      </c>
      <c r="Q114" s="16" t="str">
        <f t="array" ref="Q114">IF($A114="","", IFERROR(INDEX('BM Data'!$J:$J,MATCH($J114&amp; "-" &amp; $N114,'BM Data'!$O:$O,0),1),""))</f>
        <v/>
      </c>
    </row>
    <row r="115">
      <c r="A115" s="10" t="str">
        <f>IFERROR(__xludf.DUMMYFUNCTION("""COMPUTED_VALUE"""),"")</f>
        <v/>
      </c>
      <c r="B115" s="3" t="str">
        <f>IFERROR(__xludf.DUMMYFUNCTION("""COMPUTED_VALUE"""),"")</f>
        <v/>
      </c>
      <c r="C115" s="11" t="str">
        <f>IFERROR(__xludf.DUMMYFUNCTION("""COMPUTED_VALUE"""),"")</f>
        <v/>
      </c>
      <c r="D115" s="11" t="str">
        <f>IFERROR(__xludf.DUMMYFUNCTION("""COMPUTED_VALUE"""),"")</f>
        <v/>
      </c>
      <c r="E115" s="11" t="str">
        <f>IFERROR(__xludf.DUMMYFUNCTION("""COMPUTED_VALUE"""),"")</f>
        <v/>
      </c>
      <c r="F115" s="11" t="str">
        <f>IFERROR(__xludf.DUMMYFUNCTION("""COMPUTED_VALUE"""),"")</f>
        <v/>
      </c>
      <c r="G115" s="11" t="str">
        <f>IFERROR(__xludf.DUMMYFUNCTION("""COMPUTED_VALUE"""),"")</f>
        <v/>
      </c>
      <c r="H115" s="12" t="str">
        <f>IFERROR(__xludf.DUMMYFUNCTION("""COMPUTED_VALUE"""),"")</f>
        <v/>
      </c>
      <c r="I115" s="12" t="str">
        <f>IFERROR(__xludf.DUMMYFUNCTION("""COMPUTED_VALUE"""),"")</f>
        <v/>
      </c>
      <c r="J115" s="13" t="str">
        <f t="shared" si="1"/>
        <v/>
      </c>
      <c r="K115" s="12" t="str">
        <f>IFERROR(IF(A115="","",if($G115="",Reference!$J$2, VLOOKUP($G115,Reference!$I$2:$J$1000,2,false))),"")</f>
        <v/>
      </c>
      <c r="L115" s="12" t="str">
        <f>IF(A115="","", IF(F115="",Reference!$M$2,F115))</f>
        <v/>
      </c>
      <c r="M115" s="14" t="str">
        <f t="shared" si="2"/>
        <v/>
      </c>
      <c r="N115" s="15" t="str">
        <f t="shared" si="3"/>
        <v/>
      </c>
      <c r="O115" s="14" t="str">
        <f t="shared" si="4"/>
        <v/>
      </c>
      <c r="P115" s="16" t="str">
        <f t="array" ref="P115">IF($A115="","", IFERROR(INDEX('BM Data'!$N:$N,MATCH($J115&amp; "-" &amp; $N115,'BM Data'!$O:$O,0),1),""))</f>
        <v/>
      </c>
      <c r="Q115" s="16" t="str">
        <f t="array" ref="Q115">IF($A115="","", IFERROR(INDEX('BM Data'!$J:$J,MATCH($J115&amp; "-" &amp; $N115,'BM Data'!$O:$O,0),1),""))</f>
        <v/>
      </c>
    </row>
    <row r="116">
      <c r="A116" s="10" t="str">
        <f>IFERROR(__xludf.DUMMYFUNCTION("""COMPUTED_VALUE"""),"")</f>
        <v/>
      </c>
      <c r="B116" s="3" t="str">
        <f>IFERROR(__xludf.DUMMYFUNCTION("""COMPUTED_VALUE"""),"")</f>
        <v/>
      </c>
      <c r="C116" s="11" t="str">
        <f>IFERROR(__xludf.DUMMYFUNCTION("""COMPUTED_VALUE"""),"")</f>
        <v/>
      </c>
      <c r="D116" s="11" t="str">
        <f>IFERROR(__xludf.DUMMYFUNCTION("""COMPUTED_VALUE"""),"")</f>
        <v/>
      </c>
      <c r="E116" s="11" t="str">
        <f>IFERROR(__xludf.DUMMYFUNCTION("""COMPUTED_VALUE"""),"")</f>
        <v/>
      </c>
      <c r="F116" s="11" t="str">
        <f>IFERROR(__xludf.DUMMYFUNCTION("""COMPUTED_VALUE"""),"")</f>
        <v/>
      </c>
      <c r="G116" s="11" t="str">
        <f>IFERROR(__xludf.DUMMYFUNCTION("""COMPUTED_VALUE"""),"")</f>
        <v/>
      </c>
      <c r="H116" s="12" t="str">
        <f>IFERROR(__xludf.DUMMYFUNCTION("""COMPUTED_VALUE"""),"")</f>
        <v/>
      </c>
      <c r="I116" s="12" t="str">
        <f>IFERROR(__xludf.DUMMYFUNCTION("""COMPUTED_VALUE"""),"")</f>
        <v/>
      </c>
      <c r="J116" s="13" t="str">
        <f t="shared" si="1"/>
        <v/>
      </c>
      <c r="K116" s="12" t="str">
        <f>IFERROR(IF(A116="","",if($G116="",Reference!$J$2, VLOOKUP($G116,Reference!$I$2:$J$1000,2,false))),"")</f>
        <v/>
      </c>
      <c r="L116" s="12" t="str">
        <f>IF(A116="","", IF(F116="",Reference!$M$2,F116))</f>
        <v/>
      </c>
      <c r="M116" s="14" t="str">
        <f t="shared" si="2"/>
        <v/>
      </c>
      <c r="N116" s="15" t="str">
        <f t="shared" si="3"/>
        <v/>
      </c>
      <c r="O116" s="14" t="str">
        <f t="shared" si="4"/>
        <v/>
      </c>
      <c r="P116" s="16" t="str">
        <f t="array" ref="P116">IF($A116="","", IFERROR(INDEX('BM Data'!$N:$N,MATCH($J116&amp; "-" &amp; $N116,'BM Data'!$O:$O,0),1),""))</f>
        <v/>
      </c>
      <c r="Q116" s="16" t="str">
        <f t="array" ref="Q116">IF($A116="","", IFERROR(INDEX('BM Data'!$J:$J,MATCH($J116&amp; "-" &amp; $N116,'BM Data'!$O:$O,0),1),""))</f>
        <v/>
      </c>
    </row>
    <row r="117">
      <c r="A117" s="10" t="str">
        <f>IFERROR(__xludf.DUMMYFUNCTION("""COMPUTED_VALUE"""),"")</f>
        <v/>
      </c>
      <c r="B117" s="3" t="str">
        <f>IFERROR(__xludf.DUMMYFUNCTION("""COMPUTED_VALUE"""),"")</f>
        <v/>
      </c>
      <c r="C117" s="11" t="str">
        <f>IFERROR(__xludf.DUMMYFUNCTION("""COMPUTED_VALUE"""),"")</f>
        <v/>
      </c>
      <c r="D117" s="11" t="str">
        <f>IFERROR(__xludf.DUMMYFUNCTION("""COMPUTED_VALUE"""),"")</f>
        <v/>
      </c>
      <c r="E117" s="11" t="str">
        <f>IFERROR(__xludf.DUMMYFUNCTION("""COMPUTED_VALUE"""),"")</f>
        <v/>
      </c>
      <c r="F117" s="11" t="str">
        <f>IFERROR(__xludf.DUMMYFUNCTION("""COMPUTED_VALUE"""),"")</f>
        <v/>
      </c>
      <c r="G117" s="11" t="str">
        <f>IFERROR(__xludf.DUMMYFUNCTION("""COMPUTED_VALUE"""),"")</f>
        <v/>
      </c>
      <c r="H117" s="12" t="str">
        <f>IFERROR(__xludf.DUMMYFUNCTION("""COMPUTED_VALUE"""),"")</f>
        <v/>
      </c>
      <c r="I117" s="12" t="str">
        <f>IFERROR(__xludf.DUMMYFUNCTION("""COMPUTED_VALUE"""),"")</f>
        <v/>
      </c>
      <c r="J117" s="13" t="str">
        <f t="shared" si="1"/>
        <v/>
      </c>
      <c r="K117" s="12" t="str">
        <f>IFERROR(IF(A117="","",if($G117="",Reference!$J$2, VLOOKUP($G117,Reference!$I$2:$J$1000,2,false))),"")</f>
        <v/>
      </c>
      <c r="L117" s="12" t="str">
        <f>IF(A117="","", IF(F117="",Reference!$M$2,F117))</f>
        <v/>
      </c>
      <c r="M117" s="14" t="str">
        <f t="shared" si="2"/>
        <v/>
      </c>
      <c r="N117" s="15" t="str">
        <f t="shared" si="3"/>
        <v/>
      </c>
      <c r="O117" s="14" t="str">
        <f t="shared" si="4"/>
        <v/>
      </c>
      <c r="P117" s="16" t="str">
        <f t="array" ref="P117">IF($A117="","", IFERROR(INDEX('BM Data'!$N:$N,MATCH($J117&amp; "-" &amp; $N117,'BM Data'!$O:$O,0),1),""))</f>
        <v/>
      </c>
      <c r="Q117" s="16" t="str">
        <f t="array" ref="Q117">IF($A117="","", IFERROR(INDEX('BM Data'!$J:$J,MATCH($J117&amp; "-" &amp; $N117,'BM Data'!$O:$O,0),1),""))</f>
        <v/>
      </c>
    </row>
    <row r="118">
      <c r="A118" s="10" t="str">
        <f>IFERROR(__xludf.DUMMYFUNCTION("""COMPUTED_VALUE"""),"")</f>
        <v/>
      </c>
      <c r="B118" s="3" t="str">
        <f>IFERROR(__xludf.DUMMYFUNCTION("""COMPUTED_VALUE"""),"")</f>
        <v/>
      </c>
      <c r="C118" s="11" t="str">
        <f>IFERROR(__xludf.DUMMYFUNCTION("""COMPUTED_VALUE"""),"")</f>
        <v/>
      </c>
      <c r="D118" s="11" t="str">
        <f>IFERROR(__xludf.DUMMYFUNCTION("""COMPUTED_VALUE"""),"")</f>
        <v/>
      </c>
      <c r="E118" s="11" t="str">
        <f>IFERROR(__xludf.DUMMYFUNCTION("""COMPUTED_VALUE"""),"")</f>
        <v/>
      </c>
      <c r="F118" s="11" t="str">
        <f>IFERROR(__xludf.DUMMYFUNCTION("""COMPUTED_VALUE"""),"")</f>
        <v/>
      </c>
      <c r="G118" s="11" t="str">
        <f>IFERROR(__xludf.DUMMYFUNCTION("""COMPUTED_VALUE"""),"")</f>
        <v/>
      </c>
      <c r="H118" s="12" t="str">
        <f>IFERROR(__xludf.DUMMYFUNCTION("""COMPUTED_VALUE"""),"")</f>
        <v/>
      </c>
      <c r="I118" s="12" t="str">
        <f>IFERROR(__xludf.DUMMYFUNCTION("""COMPUTED_VALUE"""),"")</f>
        <v/>
      </c>
      <c r="J118" s="13" t="str">
        <f t="shared" si="1"/>
        <v/>
      </c>
      <c r="K118" s="12" t="str">
        <f>IFERROR(IF(A118="","",if($G118="",Reference!$J$2, VLOOKUP($G118,Reference!$I$2:$J$1000,2,false))),"")</f>
        <v/>
      </c>
      <c r="L118" s="12" t="str">
        <f>IF(A118="","", IF(F118="",Reference!$M$2,F118))</f>
        <v/>
      </c>
      <c r="M118" s="14" t="str">
        <f t="shared" si="2"/>
        <v/>
      </c>
      <c r="N118" s="15" t="str">
        <f t="shared" si="3"/>
        <v/>
      </c>
      <c r="O118" s="14" t="str">
        <f t="shared" si="4"/>
        <v/>
      </c>
      <c r="P118" s="16" t="str">
        <f t="array" ref="P118">IF($A118="","", IFERROR(INDEX('BM Data'!$N:$N,MATCH($J118&amp; "-" &amp; $N118,'BM Data'!$O:$O,0),1),""))</f>
        <v/>
      </c>
      <c r="Q118" s="16" t="str">
        <f t="array" ref="Q118">IF($A118="","", IFERROR(INDEX('BM Data'!$J:$J,MATCH($J118&amp; "-" &amp; $N118,'BM Data'!$O:$O,0),1),""))</f>
        <v/>
      </c>
    </row>
    <row r="119">
      <c r="A119" s="10" t="str">
        <f>IFERROR(__xludf.DUMMYFUNCTION("""COMPUTED_VALUE"""),"")</f>
        <v/>
      </c>
      <c r="B119" s="3" t="str">
        <f>IFERROR(__xludf.DUMMYFUNCTION("""COMPUTED_VALUE"""),"")</f>
        <v/>
      </c>
      <c r="C119" s="11" t="str">
        <f>IFERROR(__xludf.DUMMYFUNCTION("""COMPUTED_VALUE"""),"")</f>
        <v/>
      </c>
      <c r="D119" s="11" t="str">
        <f>IFERROR(__xludf.DUMMYFUNCTION("""COMPUTED_VALUE"""),"")</f>
        <v/>
      </c>
      <c r="E119" s="11" t="str">
        <f>IFERROR(__xludf.DUMMYFUNCTION("""COMPUTED_VALUE"""),"")</f>
        <v/>
      </c>
      <c r="F119" s="11" t="str">
        <f>IFERROR(__xludf.DUMMYFUNCTION("""COMPUTED_VALUE"""),"")</f>
        <v/>
      </c>
      <c r="G119" s="11" t="str">
        <f>IFERROR(__xludf.DUMMYFUNCTION("""COMPUTED_VALUE"""),"")</f>
        <v/>
      </c>
      <c r="H119" s="12" t="str">
        <f>IFERROR(__xludf.DUMMYFUNCTION("""COMPUTED_VALUE"""),"")</f>
        <v/>
      </c>
      <c r="I119" s="12" t="str">
        <f>IFERROR(__xludf.DUMMYFUNCTION("""COMPUTED_VALUE"""),"")</f>
        <v/>
      </c>
      <c r="J119" s="13" t="str">
        <f t="shared" si="1"/>
        <v/>
      </c>
      <c r="K119" s="12" t="str">
        <f>IFERROR(IF(A119="","",if($G119="",Reference!$J$2, VLOOKUP($G119,Reference!$I$2:$J$1000,2,false))),"")</f>
        <v/>
      </c>
      <c r="L119" s="12" t="str">
        <f>IF(A119="","", IF(F119="",Reference!$M$2,F119))</f>
        <v/>
      </c>
      <c r="M119" s="14" t="str">
        <f t="shared" si="2"/>
        <v/>
      </c>
      <c r="N119" s="15" t="str">
        <f t="shared" si="3"/>
        <v/>
      </c>
      <c r="O119" s="14" t="str">
        <f t="shared" si="4"/>
        <v/>
      </c>
      <c r="P119" s="16" t="str">
        <f t="array" ref="P119">IF($A119="","", IFERROR(INDEX('BM Data'!$N:$N,MATCH($J119&amp; "-" &amp; $N119,'BM Data'!$O:$O,0),1),""))</f>
        <v/>
      </c>
      <c r="Q119" s="16" t="str">
        <f t="array" ref="Q119">IF($A119="","", IFERROR(INDEX('BM Data'!$J:$J,MATCH($J119&amp; "-" &amp; $N119,'BM Data'!$O:$O,0),1),""))</f>
        <v/>
      </c>
    </row>
    <row r="120">
      <c r="A120" s="10" t="str">
        <f>IFERROR(__xludf.DUMMYFUNCTION("""COMPUTED_VALUE"""),"")</f>
        <v/>
      </c>
      <c r="B120" s="3" t="str">
        <f>IFERROR(__xludf.DUMMYFUNCTION("""COMPUTED_VALUE"""),"")</f>
        <v/>
      </c>
      <c r="C120" s="11" t="str">
        <f>IFERROR(__xludf.DUMMYFUNCTION("""COMPUTED_VALUE"""),"")</f>
        <v/>
      </c>
      <c r="D120" s="11" t="str">
        <f>IFERROR(__xludf.DUMMYFUNCTION("""COMPUTED_VALUE"""),"")</f>
        <v/>
      </c>
      <c r="E120" s="11" t="str">
        <f>IFERROR(__xludf.DUMMYFUNCTION("""COMPUTED_VALUE"""),"")</f>
        <v/>
      </c>
      <c r="F120" s="11" t="str">
        <f>IFERROR(__xludf.DUMMYFUNCTION("""COMPUTED_VALUE"""),"")</f>
        <v/>
      </c>
      <c r="G120" s="11" t="str">
        <f>IFERROR(__xludf.DUMMYFUNCTION("""COMPUTED_VALUE"""),"")</f>
        <v/>
      </c>
      <c r="H120" s="12" t="str">
        <f>IFERROR(__xludf.DUMMYFUNCTION("""COMPUTED_VALUE"""),"")</f>
        <v/>
      </c>
      <c r="I120" s="12" t="str">
        <f>IFERROR(__xludf.DUMMYFUNCTION("""COMPUTED_VALUE"""),"")</f>
        <v/>
      </c>
      <c r="J120" s="13" t="str">
        <f t="shared" si="1"/>
        <v/>
      </c>
      <c r="K120" s="12" t="str">
        <f>IFERROR(IF(A120="","",if($G120="",Reference!$J$2, VLOOKUP($G120,Reference!$I$2:$J$1000,2,false))),"")</f>
        <v/>
      </c>
      <c r="L120" s="12" t="str">
        <f>IF(A120="","", IF(F120="",Reference!$M$2,F120))</f>
        <v/>
      </c>
      <c r="M120" s="14" t="str">
        <f t="shared" si="2"/>
        <v/>
      </c>
      <c r="N120" s="15" t="str">
        <f t="shared" si="3"/>
        <v/>
      </c>
      <c r="O120" s="14" t="str">
        <f t="shared" si="4"/>
        <v/>
      </c>
      <c r="P120" s="16" t="str">
        <f t="array" ref="P120">IF($A120="","", IFERROR(INDEX('BM Data'!$N:$N,MATCH($J120&amp; "-" &amp; $N120,'BM Data'!$O:$O,0),1),""))</f>
        <v/>
      </c>
      <c r="Q120" s="16" t="str">
        <f t="array" ref="Q120">IF($A120="","", IFERROR(INDEX('BM Data'!$J:$J,MATCH($J120&amp; "-" &amp; $N120,'BM Data'!$O:$O,0),1),""))</f>
        <v/>
      </c>
    </row>
    <row r="121">
      <c r="A121" s="10" t="str">
        <f>IFERROR(__xludf.DUMMYFUNCTION("""COMPUTED_VALUE"""),"")</f>
        <v/>
      </c>
      <c r="B121" s="3" t="str">
        <f>IFERROR(__xludf.DUMMYFUNCTION("""COMPUTED_VALUE"""),"")</f>
        <v/>
      </c>
      <c r="C121" s="11" t="str">
        <f>IFERROR(__xludf.DUMMYFUNCTION("""COMPUTED_VALUE"""),"")</f>
        <v/>
      </c>
      <c r="D121" s="11" t="str">
        <f>IFERROR(__xludf.DUMMYFUNCTION("""COMPUTED_VALUE"""),"")</f>
        <v/>
      </c>
      <c r="E121" s="11" t="str">
        <f>IFERROR(__xludf.DUMMYFUNCTION("""COMPUTED_VALUE"""),"")</f>
        <v/>
      </c>
      <c r="F121" s="11" t="str">
        <f>IFERROR(__xludf.DUMMYFUNCTION("""COMPUTED_VALUE"""),"")</f>
        <v/>
      </c>
      <c r="G121" s="11" t="str">
        <f>IFERROR(__xludf.DUMMYFUNCTION("""COMPUTED_VALUE"""),"")</f>
        <v/>
      </c>
      <c r="H121" s="12" t="str">
        <f>IFERROR(__xludf.DUMMYFUNCTION("""COMPUTED_VALUE"""),"")</f>
        <v/>
      </c>
      <c r="I121" s="12" t="str">
        <f>IFERROR(__xludf.DUMMYFUNCTION("""COMPUTED_VALUE"""),"")</f>
        <v/>
      </c>
      <c r="J121" s="13" t="str">
        <f t="shared" si="1"/>
        <v/>
      </c>
      <c r="K121" s="12" t="str">
        <f>IFERROR(IF(A121="","",if($G121="",Reference!$J$2, VLOOKUP($G121,Reference!$I$2:$J$1000,2,false))),"")</f>
        <v/>
      </c>
      <c r="L121" s="12" t="str">
        <f>IF(A121="","", IF(F121="",Reference!$M$2,F121))</f>
        <v/>
      </c>
      <c r="M121" s="14" t="str">
        <f t="shared" si="2"/>
        <v/>
      </c>
      <c r="N121" s="15" t="str">
        <f t="shared" si="3"/>
        <v/>
      </c>
      <c r="O121" s="14" t="str">
        <f t="shared" si="4"/>
        <v/>
      </c>
      <c r="P121" s="16" t="str">
        <f t="array" ref="P121">IF($A121="","", IFERROR(INDEX('BM Data'!$N:$N,MATCH($J121&amp; "-" &amp; $N121,'BM Data'!$O:$O,0),1),""))</f>
        <v/>
      </c>
      <c r="Q121" s="16" t="str">
        <f t="array" ref="Q121">IF($A121="","", IFERROR(INDEX('BM Data'!$J:$J,MATCH($J121&amp; "-" &amp; $N121,'BM Data'!$O:$O,0),1),""))</f>
        <v/>
      </c>
    </row>
    <row r="122">
      <c r="A122" s="10" t="str">
        <f>IFERROR(__xludf.DUMMYFUNCTION("""COMPUTED_VALUE"""),"")</f>
        <v/>
      </c>
      <c r="B122" s="3" t="str">
        <f>IFERROR(__xludf.DUMMYFUNCTION("""COMPUTED_VALUE"""),"")</f>
        <v/>
      </c>
      <c r="C122" s="11" t="str">
        <f>IFERROR(__xludf.DUMMYFUNCTION("""COMPUTED_VALUE"""),"")</f>
        <v/>
      </c>
      <c r="D122" s="11" t="str">
        <f>IFERROR(__xludf.DUMMYFUNCTION("""COMPUTED_VALUE"""),"")</f>
        <v/>
      </c>
      <c r="E122" s="11" t="str">
        <f>IFERROR(__xludf.DUMMYFUNCTION("""COMPUTED_VALUE"""),"")</f>
        <v/>
      </c>
      <c r="F122" s="11" t="str">
        <f>IFERROR(__xludf.DUMMYFUNCTION("""COMPUTED_VALUE"""),"")</f>
        <v/>
      </c>
      <c r="G122" s="11" t="str">
        <f>IFERROR(__xludf.DUMMYFUNCTION("""COMPUTED_VALUE"""),"")</f>
        <v/>
      </c>
      <c r="H122" s="12" t="str">
        <f>IFERROR(__xludf.DUMMYFUNCTION("""COMPUTED_VALUE"""),"")</f>
        <v/>
      </c>
      <c r="I122" s="12" t="str">
        <f>IFERROR(__xludf.DUMMYFUNCTION("""COMPUTED_VALUE"""),"")</f>
        <v/>
      </c>
      <c r="J122" s="13" t="str">
        <f t="shared" si="1"/>
        <v/>
      </c>
      <c r="K122" s="12" t="str">
        <f>IFERROR(IF(A122="","",if($G122="",Reference!$J$2, VLOOKUP($G122,Reference!$I$2:$J$1000,2,false))),"")</f>
        <v/>
      </c>
      <c r="L122" s="12" t="str">
        <f>IF(A122="","", IF(F122="",Reference!$M$2,F122))</f>
        <v/>
      </c>
      <c r="M122" s="14" t="str">
        <f t="shared" si="2"/>
        <v/>
      </c>
      <c r="N122" s="15" t="str">
        <f t="shared" si="3"/>
        <v/>
      </c>
      <c r="O122" s="14" t="str">
        <f t="shared" si="4"/>
        <v/>
      </c>
      <c r="P122" s="16" t="str">
        <f t="array" ref="P122">IF($A122="","", IFERROR(INDEX('BM Data'!$N:$N,MATCH($J122&amp; "-" &amp; $N122,'BM Data'!$O:$O,0),1),""))</f>
        <v/>
      </c>
      <c r="Q122" s="16" t="str">
        <f t="array" ref="Q122">IF($A122="","", IFERROR(INDEX('BM Data'!$J:$J,MATCH($J122&amp; "-" &amp; $N122,'BM Data'!$O:$O,0),1),""))</f>
        <v/>
      </c>
    </row>
    <row r="123">
      <c r="A123" s="10" t="str">
        <f>IFERROR(__xludf.DUMMYFUNCTION("""COMPUTED_VALUE"""),"")</f>
        <v/>
      </c>
      <c r="B123" s="3" t="str">
        <f>IFERROR(__xludf.DUMMYFUNCTION("""COMPUTED_VALUE"""),"")</f>
        <v/>
      </c>
      <c r="C123" s="11" t="str">
        <f>IFERROR(__xludf.DUMMYFUNCTION("""COMPUTED_VALUE"""),"")</f>
        <v/>
      </c>
      <c r="D123" s="11" t="str">
        <f>IFERROR(__xludf.DUMMYFUNCTION("""COMPUTED_VALUE"""),"")</f>
        <v/>
      </c>
      <c r="E123" s="11" t="str">
        <f>IFERROR(__xludf.DUMMYFUNCTION("""COMPUTED_VALUE"""),"")</f>
        <v/>
      </c>
      <c r="F123" s="11" t="str">
        <f>IFERROR(__xludf.DUMMYFUNCTION("""COMPUTED_VALUE"""),"")</f>
        <v/>
      </c>
      <c r="G123" s="11" t="str">
        <f>IFERROR(__xludf.DUMMYFUNCTION("""COMPUTED_VALUE"""),"")</f>
        <v/>
      </c>
      <c r="H123" s="12" t="str">
        <f>IFERROR(__xludf.DUMMYFUNCTION("""COMPUTED_VALUE"""),"")</f>
        <v/>
      </c>
      <c r="I123" s="12" t="str">
        <f>IFERROR(__xludf.DUMMYFUNCTION("""COMPUTED_VALUE"""),"")</f>
        <v/>
      </c>
      <c r="J123" s="13" t="str">
        <f t="shared" si="1"/>
        <v/>
      </c>
      <c r="K123" s="12" t="str">
        <f>IFERROR(IF(A123="","",if($G123="",Reference!$J$2, VLOOKUP($G123,Reference!$I$2:$J$1000,2,false))),"")</f>
        <v/>
      </c>
      <c r="L123" s="12" t="str">
        <f>IF(A123="","", IF(F123="",Reference!$M$2,F123))</f>
        <v/>
      </c>
      <c r="M123" s="14" t="str">
        <f t="shared" si="2"/>
        <v/>
      </c>
      <c r="N123" s="15" t="str">
        <f t="shared" si="3"/>
        <v/>
      </c>
      <c r="O123" s="14" t="str">
        <f t="shared" si="4"/>
        <v/>
      </c>
      <c r="P123" s="16" t="str">
        <f t="array" ref="P123">IF($A123="","", IFERROR(INDEX('BM Data'!$N:$N,MATCH($J123&amp; "-" &amp; $N123,'BM Data'!$O:$O,0),1),""))</f>
        <v/>
      </c>
      <c r="Q123" s="16" t="str">
        <f t="array" ref="Q123">IF($A123="","", IFERROR(INDEX('BM Data'!$J:$J,MATCH($J123&amp; "-" &amp; $N123,'BM Data'!$O:$O,0),1),""))</f>
        <v/>
      </c>
    </row>
    <row r="124">
      <c r="A124" s="10" t="str">
        <f>IFERROR(__xludf.DUMMYFUNCTION("""COMPUTED_VALUE"""),"")</f>
        <v/>
      </c>
      <c r="B124" s="3" t="str">
        <f>IFERROR(__xludf.DUMMYFUNCTION("""COMPUTED_VALUE"""),"")</f>
        <v/>
      </c>
      <c r="C124" s="11" t="str">
        <f>IFERROR(__xludf.DUMMYFUNCTION("""COMPUTED_VALUE"""),"")</f>
        <v/>
      </c>
      <c r="D124" s="11" t="str">
        <f>IFERROR(__xludf.DUMMYFUNCTION("""COMPUTED_VALUE"""),"")</f>
        <v/>
      </c>
      <c r="E124" s="11" t="str">
        <f>IFERROR(__xludf.DUMMYFUNCTION("""COMPUTED_VALUE"""),"")</f>
        <v/>
      </c>
      <c r="F124" s="11" t="str">
        <f>IFERROR(__xludf.DUMMYFUNCTION("""COMPUTED_VALUE"""),"")</f>
        <v/>
      </c>
      <c r="G124" s="11" t="str">
        <f>IFERROR(__xludf.DUMMYFUNCTION("""COMPUTED_VALUE"""),"")</f>
        <v/>
      </c>
      <c r="H124" s="12" t="str">
        <f>IFERROR(__xludf.DUMMYFUNCTION("""COMPUTED_VALUE"""),"")</f>
        <v/>
      </c>
      <c r="I124" s="12" t="str">
        <f>IFERROR(__xludf.DUMMYFUNCTION("""COMPUTED_VALUE"""),"")</f>
        <v/>
      </c>
      <c r="J124" s="13" t="str">
        <f t="shared" si="1"/>
        <v/>
      </c>
      <c r="K124" s="12" t="str">
        <f>IFERROR(IF(A124="","",if($G124="",Reference!$J$2, VLOOKUP($G124,Reference!$I$2:$J$1000,2,false))),"")</f>
        <v/>
      </c>
      <c r="L124" s="12" t="str">
        <f>IF(A124="","", IF(F124="",Reference!$M$2,F124))</f>
        <v/>
      </c>
      <c r="M124" s="14" t="str">
        <f t="shared" si="2"/>
        <v/>
      </c>
      <c r="N124" s="15" t="str">
        <f t="shared" si="3"/>
        <v/>
      </c>
      <c r="O124" s="14" t="str">
        <f t="shared" si="4"/>
        <v/>
      </c>
      <c r="P124" s="16" t="str">
        <f t="array" ref="P124">IF($A124="","", IFERROR(INDEX('BM Data'!$N:$N,MATCH($J124&amp; "-" &amp; $N124,'BM Data'!$O:$O,0),1),""))</f>
        <v/>
      </c>
      <c r="Q124" s="16" t="str">
        <f t="array" ref="Q124">IF($A124="","", IFERROR(INDEX('BM Data'!$J:$J,MATCH($J124&amp; "-" &amp; $N124,'BM Data'!$O:$O,0),1),""))</f>
        <v/>
      </c>
    </row>
    <row r="125">
      <c r="A125" s="10" t="str">
        <f>IFERROR(__xludf.DUMMYFUNCTION("""COMPUTED_VALUE"""),"")</f>
        <v/>
      </c>
      <c r="B125" s="3" t="str">
        <f>IFERROR(__xludf.DUMMYFUNCTION("""COMPUTED_VALUE"""),"")</f>
        <v/>
      </c>
      <c r="C125" s="11" t="str">
        <f>IFERROR(__xludf.DUMMYFUNCTION("""COMPUTED_VALUE"""),"")</f>
        <v/>
      </c>
      <c r="D125" s="11" t="str">
        <f>IFERROR(__xludf.DUMMYFUNCTION("""COMPUTED_VALUE"""),"")</f>
        <v/>
      </c>
      <c r="E125" s="11" t="str">
        <f>IFERROR(__xludf.DUMMYFUNCTION("""COMPUTED_VALUE"""),"")</f>
        <v/>
      </c>
      <c r="F125" s="11" t="str">
        <f>IFERROR(__xludf.DUMMYFUNCTION("""COMPUTED_VALUE"""),"")</f>
        <v/>
      </c>
      <c r="G125" s="11" t="str">
        <f>IFERROR(__xludf.DUMMYFUNCTION("""COMPUTED_VALUE"""),"")</f>
        <v/>
      </c>
      <c r="H125" s="12" t="str">
        <f>IFERROR(__xludf.DUMMYFUNCTION("""COMPUTED_VALUE"""),"")</f>
        <v/>
      </c>
      <c r="I125" s="12" t="str">
        <f>IFERROR(__xludf.DUMMYFUNCTION("""COMPUTED_VALUE"""),"")</f>
        <v/>
      </c>
      <c r="J125" s="13" t="str">
        <f t="shared" si="1"/>
        <v/>
      </c>
      <c r="K125" s="12" t="str">
        <f>IFERROR(IF(A125="","",if($G125="",Reference!$J$2, VLOOKUP($G125,Reference!$I$2:$J$1000,2,false))),"")</f>
        <v/>
      </c>
      <c r="L125" s="12" t="str">
        <f>IF(A125="","", IF(F125="",Reference!$M$2,F125))</f>
        <v/>
      </c>
      <c r="M125" s="14" t="str">
        <f t="shared" si="2"/>
        <v/>
      </c>
      <c r="N125" s="15" t="str">
        <f t="shared" si="3"/>
        <v/>
      </c>
      <c r="O125" s="14" t="str">
        <f t="shared" si="4"/>
        <v/>
      </c>
      <c r="P125" s="16" t="str">
        <f t="array" ref="P125">IF($A125="","", IFERROR(INDEX('BM Data'!$N:$N,MATCH($J125&amp; "-" &amp; $N125,'BM Data'!$O:$O,0),1),""))</f>
        <v/>
      </c>
      <c r="Q125" s="16" t="str">
        <f t="array" ref="Q125">IF($A125="","", IFERROR(INDEX('BM Data'!$J:$J,MATCH($J125&amp; "-" &amp; $N125,'BM Data'!$O:$O,0),1),""))</f>
        <v/>
      </c>
    </row>
    <row r="126">
      <c r="A126" s="10" t="str">
        <f>IFERROR(__xludf.DUMMYFUNCTION("""COMPUTED_VALUE"""),"")</f>
        <v/>
      </c>
      <c r="B126" s="3" t="str">
        <f>IFERROR(__xludf.DUMMYFUNCTION("""COMPUTED_VALUE"""),"")</f>
        <v/>
      </c>
      <c r="C126" s="11" t="str">
        <f>IFERROR(__xludf.DUMMYFUNCTION("""COMPUTED_VALUE"""),"")</f>
        <v/>
      </c>
      <c r="D126" s="11" t="str">
        <f>IFERROR(__xludf.DUMMYFUNCTION("""COMPUTED_VALUE"""),"")</f>
        <v/>
      </c>
      <c r="E126" s="11" t="str">
        <f>IFERROR(__xludf.DUMMYFUNCTION("""COMPUTED_VALUE"""),"")</f>
        <v/>
      </c>
      <c r="F126" s="11" t="str">
        <f>IFERROR(__xludf.DUMMYFUNCTION("""COMPUTED_VALUE"""),"")</f>
        <v/>
      </c>
      <c r="G126" s="11" t="str">
        <f>IFERROR(__xludf.DUMMYFUNCTION("""COMPUTED_VALUE"""),"")</f>
        <v/>
      </c>
      <c r="H126" s="12" t="str">
        <f>IFERROR(__xludf.DUMMYFUNCTION("""COMPUTED_VALUE"""),"")</f>
        <v/>
      </c>
      <c r="I126" s="12" t="str">
        <f>IFERROR(__xludf.DUMMYFUNCTION("""COMPUTED_VALUE"""),"")</f>
        <v/>
      </c>
      <c r="J126" s="13" t="str">
        <f t="shared" si="1"/>
        <v/>
      </c>
      <c r="K126" s="12" t="str">
        <f>IFERROR(IF(A126="","",if($G126="",Reference!$J$2, VLOOKUP($G126,Reference!$I$2:$J$1000,2,false))),"")</f>
        <v/>
      </c>
      <c r="L126" s="12" t="str">
        <f>IF(A126="","", IF(F126="",Reference!$M$2,F126))</f>
        <v/>
      </c>
      <c r="M126" s="14" t="str">
        <f t="shared" si="2"/>
        <v/>
      </c>
      <c r="N126" s="15" t="str">
        <f t="shared" si="3"/>
        <v/>
      </c>
      <c r="O126" s="14" t="str">
        <f t="shared" si="4"/>
        <v/>
      </c>
      <c r="P126" s="16" t="str">
        <f t="array" ref="P126">IF($A126="","", IFERROR(INDEX('BM Data'!$N:$N,MATCH($J126&amp; "-" &amp; $N126,'BM Data'!$O:$O,0),1),""))</f>
        <v/>
      </c>
      <c r="Q126" s="16" t="str">
        <f t="array" ref="Q126">IF($A126="","", IFERROR(INDEX('BM Data'!$J:$J,MATCH($J126&amp; "-" &amp; $N126,'BM Data'!$O:$O,0),1),""))</f>
        <v/>
      </c>
    </row>
    <row r="127">
      <c r="A127" s="10" t="str">
        <f>IFERROR(__xludf.DUMMYFUNCTION("""COMPUTED_VALUE"""),"")</f>
        <v/>
      </c>
      <c r="B127" s="3" t="str">
        <f>IFERROR(__xludf.DUMMYFUNCTION("""COMPUTED_VALUE"""),"")</f>
        <v/>
      </c>
      <c r="C127" s="11" t="str">
        <f>IFERROR(__xludf.DUMMYFUNCTION("""COMPUTED_VALUE"""),"")</f>
        <v/>
      </c>
      <c r="D127" s="11" t="str">
        <f>IFERROR(__xludf.DUMMYFUNCTION("""COMPUTED_VALUE"""),"")</f>
        <v/>
      </c>
      <c r="E127" s="11" t="str">
        <f>IFERROR(__xludf.DUMMYFUNCTION("""COMPUTED_VALUE"""),"")</f>
        <v/>
      </c>
      <c r="F127" s="11" t="str">
        <f>IFERROR(__xludf.DUMMYFUNCTION("""COMPUTED_VALUE"""),"")</f>
        <v/>
      </c>
      <c r="G127" s="11" t="str">
        <f>IFERROR(__xludf.DUMMYFUNCTION("""COMPUTED_VALUE"""),"")</f>
        <v/>
      </c>
      <c r="H127" s="12" t="str">
        <f>IFERROR(__xludf.DUMMYFUNCTION("""COMPUTED_VALUE"""),"")</f>
        <v/>
      </c>
      <c r="I127" s="12" t="str">
        <f>IFERROR(__xludf.DUMMYFUNCTION("""COMPUTED_VALUE"""),"")</f>
        <v/>
      </c>
      <c r="J127" s="13" t="str">
        <f t="shared" si="1"/>
        <v/>
      </c>
      <c r="K127" s="12" t="str">
        <f>IFERROR(IF(A127="","",if($G127="",Reference!$J$2, VLOOKUP($G127,Reference!$I$2:$J$1000,2,false))),"")</f>
        <v/>
      </c>
      <c r="L127" s="12" t="str">
        <f>IF(A127="","", IF(F127="",Reference!$M$2,F127))</f>
        <v/>
      </c>
      <c r="M127" s="14" t="str">
        <f t="shared" si="2"/>
        <v/>
      </c>
      <c r="N127" s="15" t="str">
        <f t="shared" si="3"/>
        <v/>
      </c>
      <c r="O127" s="14" t="str">
        <f t="shared" si="4"/>
        <v/>
      </c>
      <c r="P127" s="16" t="str">
        <f t="array" ref="P127">IF($A127="","", IFERROR(INDEX('BM Data'!$N:$N,MATCH($J127&amp; "-" &amp; $N127,'BM Data'!$O:$O,0),1),""))</f>
        <v/>
      </c>
      <c r="Q127" s="16" t="str">
        <f t="array" ref="Q127">IF($A127="","", IFERROR(INDEX('BM Data'!$J:$J,MATCH($J127&amp; "-" &amp; $N127,'BM Data'!$O:$O,0),1),""))</f>
        <v/>
      </c>
    </row>
    <row r="128">
      <c r="A128" s="10" t="str">
        <f>IFERROR(__xludf.DUMMYFUNCTION("""COMPUTED_VALUE"""),"")</f>
        <v/>
      </c>
      <c r="B128" s="3" t="str">
        <f>IFERROR(__xludf.DUMMYFUNCTION("""COMPUTED_VALUE"""),"")</f>
        <v/>
      </c>
      <c r="C128" s="11" t="str">
        <f>IFERROR(__xludf.DUMMYFUNCTION("""COMPUTED_VALUE"""),"")</f>
        <v/>
      </c>
      <c r="D128" s="11" t="str">
        <f>IFERROR(__xludf.DUMMYFUNCTION("""COMPUTED_VALUE"""),"")</f>
        <v/>
      </c>
      <c r="E128" s="11" t="str">
        <f>IFERROR(__xludf.DUMMYFUNCTION("""COMPUTED_VALUE"""),"")</f>
        <v/>
      </c>
      <c r="F128" s="11" t="str">
        <f>IFERROR(__xludf.DUMMYFUNCTION("""COMPUTED_VALUE"""),"")</f>
        <v/>
      </c>
      <c r="G128" s="11" t="str">
        <f>IFERROR(__xludf.DUMMYFUNCTION("""COMPUTED_VALUE"""),"")</f>
        <v/>
      </c>
      <c r="H128" s="12" t="str">
        <f>IFERROR(__xludf.DUMMYFUNCTION("""COMPUTED_VALUE"""),"")</f>
        <v/>
      </c>
      <c r="I128" s="12" t="str">
        <f>IFERROR(__xludf.DUMMYFUNCTION("""COMPUTED_VALUE"""),"")</f>
        <v/>
      </c>
      <c r="J128" s="13" t="str">
        <f t="shared" si="1"/>
        <v/>
      </c>
      <c r="K128" s="12" t="str">
        <f>IFERROR(IF(A128="","",if($G128="",Reference!$J$2, VLOOKUP($G128,Reference!$I$2:$J$1000,2,false))),"")</f>
        <v/>
      </c>
      <c r="L128" s="12" t="str">
        <f>IF(A128="","", IF(F128="",Reference!$M$2,F128))</f>
        <v/>
      </c>
      <c r="M128" s="14" t="str">
        <f t="shared" si="2"/>
        <v/>
      </c>
      <c r="N128" s="15" t="str">
        <f t="shared" si="3"/>
        <v/>
      </c>
      <c r="O128" s="14" t="str">
        <f t="shared" si="4"/>
        <v/>
      </c>
      <c r="P128" s="16" t="str">
        <f t="array" ref="P128">IF($A128="","", IFERROR(INDEX('BM Data'!$N:$N,MATCH($J128&amp; "-" &amp; $N128,'BM Data'!$O:$O,0),1),""))</f>
        <v/>
      </c>
      <c r="Q128" s="16" t="str">
        <f t="array" ref="Q128">IF($A128="","", IFERROR(INDEX('BM Data'!$J:$J,MATCH($J128&amp; "-" &amp; $N128,'BM Data'!$O:$O,0),1),""))</f>
        <v/>
      </c>
    </row>
    <row r="129">
      <c r="A129" s="10" t="str">
        <f>IFERROR(__xludf.DUMMYFUNCTION("""COMPUTED_VALUE"""),"")</f>
        <v/>
      </c>
      <c r="B129" s="3" t="str">
        <f>IFERROR(__xludf.DUMMYFUNCTION("""COMPUTED_VALUE"""),"")</f>
        <v/>
      </c>
      <c r="C129" s="11" t="str">
        <f>IFERROR(__xludf.DUMMYFUNCTION("""COMPUTED_VALUE"""),"")</f>
        <v/>
      </c>
      <c r="D129" s="11" t="str">
        <f>IFERROR(__xludf.DUMMYFUNCTION("""COMPUTED_VALUE"""),"")</f>
        <v/>
      </c>
      <c r="E129" s="11" t="str">
        <f>IFERROR(__xludf.DUMMYFUNCTION("""COMPUTED_VALUE"""),"")</f>
        <v/>
      </c>
      <c r="F129" s="11" t="str">
        <f>IFERROR(__xludf.DUMMYFUNCTION("""COMPUTED_VALUE"""),"")</f>
        <v/>
      </c>
      <c r="G129" s="11" t="str">
        <f>IFERROR(__xludf.DUMMYFUNCTION("""COMPUTED_VALUE"""),"")</f>
        <v/>
      </c>
      <c r="H129" s="12" t="str">
        <f>IFERROR(__xludf.DUMMYFUNCTION("""COMPUTED_VALUE"""),"")</f>
        <v/>
      </c>
      <c r="I129" s="12" t="str">
        <f>IFERROR(__xludf.DUMMYFUNCTION("""COMPUTED_VALUE"""),"")</f>
        <v/>
      </c>
      <c r="J129" s="13" t="str">
        <f t="shared" si="1"/>
        <v/>
      </c>
      <c r="K129" s="12" t="str">
        <f>IFERROR(IF(A129="","",if($G129="",Reference!$J$2, VLOOKUP($G129,Reference!$I$2:$J$1000,2,false))),"")</f>
        <v/>
      </c>
      <c r="L129" s="12" t="str">
        <f>IF(A129="","", IF(F129="",Reference!$M$2,F129))</f>
        <v/>
      </c>
      <c r="M129" s="14" t="str">
        <f t="shared" si="2"/>
        <v/>
      </c>
      <c r="N129" s="15" t="str">
        <f t="shared" si="3"/>
        <v/>
      </c>
      <c r="O129" s="14" t="str">
        <f t="shared" si="4"/>
        <v/>
      </c>
      <c r="P129" s="16" t="str">
        <f t="array" ref="P129">IF($A129="","", IFERROR(INDEX('BM Data'!$N:$N,MATCH($J129&amp; "-" &amp; $N129,'BM Data'!$O:$O,0),1),""))</f>
        <v/>
      </c>
      <c r="Q129" s="16" t="str">
        <f t="array" ref="Q129">IF($A129="","", IFERROR(INDEX('BM Data'!$J:$J,MATCH($J129&amp; "-" &amp; $N129,'BM Data'!$O:$O,0),1),""))</f>
        <v/>
      </c>
    </row>
    <row r="130">
      <c r="A130" s="10" t="str">
        <f>IFERROR(__xludf.DUMMYFUNCTION("""COMPUTED_VALUE"""),"")</f>
        <v/>
      </c>
      <c r="B130" s="3" t="str">
        <f>IFERROR(__xludf.DUMMYFUNCTION("""COMPUTED_VALUE"""),"")</f>
        <v/>
      </c>
      <c r="C130" s="11" t="str">
        <f>IFERROR(__xludf.DUMMYFUNCTION("""COMPUTED_VALUE"""),"")</f>
        <v/>
      </c>
      <c r="D130" s="11" t="str">
        <f>IFERROR(__xludf.DUMMYFUNCTION("""COMPUTED_VALUE"""),"")</f>
        <v/>
      </c>
      <c r="E130" s="11" t="str">
        <f>IFERROR(__xludf.DUMMYFUNCTION("""COMPUTED_VALUE"""),"")</f>
        <v/>
      </c>
      <c r="F130" s="11" t="str">
        <f>IFERROR(__xludf.DUMMYFUNCTION("""COMPUTED_VALUE"""),"")</f>
        <v/>
      </c>
      <c r="G130" s="11" t="str">
        <f>IFERROR(__xludf.DUMMYFUNCTION("""COMPUTED_VALUE"""),"")</f>
        <v/>
      </c>
      <c r="H130" s="12" t="str">
        <f>IFERROR(__xludf.DUMMYFUNCTION("""COMPUTED_VALUE"""),"")</f>
        <v/>
      </c>
      <c r="I130" s="12" t="str">
        <f>IFERROR(__xludf.DUMMYFUNCTION("""COMPUTED_VALUE"""),"")</f>
        <v/>
      </c>
      <c r="J130" s="13" t="str">
        <f t="shared" si="1"/>
        <v/>
      </c>
      <c r="K130" s="12" t="str">
        <f>IFERROR(IF(A130="","",if($G130="",Reference!$J$2, VLOOKUP($G130,Reference!$I$2:$J$1000,2,false))),"")</f>
        <v/>
      </c>
      <c r="L130" s="12" t="str">
        <f>IF(A130="","", IF(F130="",Reference!$M$2,F130))</f>
        <v/>
      </c>
      <c r="M130" s="14" t="str">
        <f t="shared" si="2"/>
        <v/>
      </c>
      <c r="N130" s="15" t="str">
        <f t="shared" si="3"/>
        <v/>
      </c>
      <c r="O130" s="14" t="str">
        <f t="shared" si="4"/>
        <v/>
      </c>
      <c r="P130" s="16" t="str">
        <f t="array" ref="P130">IF($A130="","", IFERROR(INDEX('BM Data'!$N:$N,MATCH($J130&amp; "-" &amp; $N130,'BM Data'!$O:$O,0),1),""))</f>
        <v/>
      </c>
      <c r="Q130" s="16" t="str">
        <f t="array" ref="Q130">IF($A130="","", IFERROR(INDEX('BM Data'!$J:$J,MATCH($J130&amp; "-" &amp; $N130,'BM Data'!$O:$O,0),1),""))</f>
        <v/>
      </c>
    </row>
    <row r="131">
      <c r="A131" s="10" t="str">
        <f>IFERROR(__xludf.DUMMYFUNCTION("""COMPUTED_VALUE"""),"")</f>
        <v/>
      </c>
      <c r="B131" s="3" t="str">
        <f>IFERROR(__xludf.DUMMYFUNCTION("""COMPUTED_VALUE"""),"")</f>
        <v/>
      </c>
      <c r="C131" s="11" t="str">
        <f>IFERROR(__xludf.DUMMYFUNCTION("""COMPUTED_VALUE"""),"")</f>
        <v/>
      </c>
      <c r="D131" s="11" t="str">
        <f>IFERROR(__xludf.DUMMYFUNCTION("""COMPUTED_VALUE"""),"")</f>
        <v/>
      </c>
      <c r="E131" s="11" t="str">
        <f>IFERROR(__xludf.DUMMYFUNCTION("""COMPUTED_VALUE"""),"")</f>
        <v/>
      </c>
      <c r="F131" s="11" t="str">
        <f>IFERROR(__xludf.DUMMYFUNCTION("""COMPUTED_VALUE"""),"")</f>
        <v/>
      </c>
      <c r="G131" s="11" t="str">
        <f>IFERROR(__xludf.DUMMYFUNCTION("""COMPUTED_VALUE"""),"")</f>
        <v/>
      </c>
      <c r="H131" s="12" t="str">
        <f>IFERROR(__xludf.DUMMYFUNCTION("""COMPUTED_VALUE"""),"")</f>
        <v/>
      </c>
      <c r="I131" s="12" t="str">
        <f>IFERROR(__xludf.DUMMYFUNCTION("""COMPUTED_VALUE"""),"")</f>
        <v/>
      </c>
      <c r="J131" s="13" t="str">
        <f t="shared" si="1"/>
        <v/>
      </c>
      <c r="K131" s="12" t="str">
        <f>IFERROR(IF(A131="","",if($G131="",Reference!$J$2, VLOOKUP($G131,Reference!$I$2:$J$1000,2,false))),"")</f>
        <v/>
      </c>
      <c r="L131" s="12" t="str">
        <f>IF(A131="","", IF(F131="",Reference!$M$2,F131))</f>
        <v/>
      </c>
      <c r="M131" s="14" t="str">
        <f t="shared" si="2"/>
        <v/>
      </c>
      <c r="N131" s="15" t="str">
        <f t="shared" si="3"/>
        <v/>
      </c>
      <c r="O131" s="14" t="str">
        <f t="shared" si="4"/>
        <v/>
      </c>
      <c r="P131" s="16" t="str">
        <f t="array" ref="P131">IF($A131="","", IFERROR(INDEX('BM Data'!$N:$N,MATCH($J131&amp; "-" &amp; $N131,'BM Data'!$O:$O,0),1),""))</f>
        <v/>
      </c>
      <c r="Q131" s="16" t="str">
        <f t="array" ref="Q131">IF($A131="","", IFERROR(INDEX('BM Data'!$J:$J,MATCH($J131&amp; "-" &amp; $N131,'BM Data'!$O:$O,0),1),""))</f>
        <v/>
      </c>
    </row>
    <row r="132">
      <c r="A132" s="10" t="str">
        <f>IFERROR(__xludf.DUMMYFUNCTION("""COMPUTED_VALUE"""),"")</f>
        <v/>
      </c>
      <c r="B132" s="3" t="str">
        <f>IFERROR(__xludf.DUMMYFUNCTION("""COMPUTED_VALUE"""),"")</f>
        <v/>
      </c>
      <c r="C132" s="11" t="str">
        <f>IFERROR(__xludf.DUMMYFUNCTION("""COMPUTED_VALUE"""),"")</f>
        <v/>
      </c>
      <c r="D132" s="11" t="str">
        <f>IFERROR(__xludf.DUMMYFUNCTION("""COMPUTED_VALUE"""),"")</f>
        <v/>
      </c>
      <c r="E132" s="11" t="str">
        <f>IFERROR(__xludf.DUMMYFUNCTION("""COMPUTED_VALUE"""),"")</f>
        <v/>
      </c>
      <c r="F132" s="11" t="str">
        <f>IFERROR(__xludf.DUMMYFUNCTION("""COMPUTED_VALUE"""),"")</f>
        <v/>
      </c>
      <c r="G132" s="11" t="str">
        <f>IFERROR(__xludf.DUMMYFUNCTION("""COMPUTED_VALUE"""),"")</f>
        <v/>
      </c>
      <c r="H132" s="12" t="str">
        <f>IFERROR(__xludf.DUMMYFUNCTION("""COMPUTED_VALUE"""),"")</f>
        <v/>
      </c>
      <c r="I132" s="12" t="str">
        <f>IFERROR(__xludf.DUMMYFUNCTION("""COMPUTED_VALUE"""),"")</f>
        <v/>
      </c>
      <c r="J132" s="13" t="str">
        <f t="shared" si="1"/>
        <v/>
      </c>
      <c r="K132" s="12" t="str">
        <f>IFERROR(IF(A132="","",if($G132="",Reference!$J$2, VLOOKUP($G132,Reference!$I$2:$J$1000,2,false))),"")</f>
        <v/>
      </c>
      <c r="L132" s="12" t="str">
        <f>IF(A132="","", IF(F132="",Reference!$M$2,F132))</f>
        <v/>
      </c>
      <c r="M132" s="14" t="str">
        <f t="shared" si="2"/>
        <v/>
      </c>
      <c r="N132" s="15" t="str">
        <f t="shared" si="3"/>
        <v/>
      </c>
      <c r="O132" s="14" t="str">
        <f t="shared" si="4"/>
        <v/>
      </c>
      <c r="P132" s="16" t="str">
        <f t="array" ref="P132">IF($A132="","", IFERROR(INDEX('BM Data'!$N:$N,MATCH($J132&amp; "-" &amp; $N132,'BM Data'!$O:$O,0),1),""))</f>
        <v/>
      </c>
      <c r="Q132" s="16" t="str">
        <f t="array" ref="Q132">IF($A132="","", IFERROR(INDEX('BM Data'!$J:$J,MATCH($J132&amp; "-" &amp; $N132,'BM Data'!$O:$O,0),1),""))</f>
        <v/>
      </c>
    </row>
    <row r="133">
      <c r="A133" s="10" t="str">
        <f>IFERROR(__xludf.DUMMYFUNCTION("""COMPUTED_VALUE"""),"")</f>
        <v/>
      </c>
      <c r="B133" s="3" t="str">
        <f>IFERROR(__xludf.DUMMYFUNCTION("""COMPUTED_VALUE"""),"")</f>
        <v/>
      </c>
      <c r="C133" s="11" t="str">
        <f>IFERROR(__xludf.DUMMYFUNCTION("""COMPUTED_VALUE"""),"")</f>
        <v/>
      </c>
      <c r="D133" s="11" t="str">
        <f>IFERROR(__xludf.DUMMYFUNCTION("""COMPUTED_VALUE"""),"")</f>
        <v/>
      </c>
      <c r="E133" s="11" t="str">
        <f>IFERROR(__xludf.DUMMYFUNCTION("""COMPUTED_VALUE"""),"")</f>
        <v/>
      </c>
      <c r="F133" s="11" t="str">
        <f>IFERROR(__xludf.DUMMYFUNCTION("""COMPUTED_VALUE"""),"")</f>
        <v/>
      </c>
      <c r="G133" s="11" t="str">
        <f>IFERROR(__xludf.DUMMYFUNCTION("""COMPUTED_VALUE"""),"")</f>
        <v/>
      </c>
      <c r="H133" s="12" t="str">
        <f>IFERROR(__xludf.DUMMYFUNCTION("""COMPUTED_VALUE"""),"")</f>
        <v/>
      </c>
      <c r="I133" s="12" t="str">
        <f>IFERROR(__xludf.DUMMYFUNCTION("""COMPUTED_VALUE"""),"")</f>
        <v/>
      </c>
      <c r="J133" s="13" t="str">
        <f t="shared" si="1"/>
        <v/>
      </c>
      <c r="K133" s="12" t="str">
        <f>IFERROR(IF(A133="","",if($G133="",Reference!$J$2, VLOOKUP($G133,Reference!$I$2:$J$1000,2,false))),"")</f>
        <v/>
      </c>
      <c r="L133" s="12" t="str">
        <f>IF(A133="","", IF(F133="",Reference!$M$2,F133))</f>
        <v/>
      </c>
      <c r="M133" s="14" t="str">
        <f t="shared" si="2"/>
        <v/>
      </c>
      <c r="N133" s="15" t="str">
        <f t="shared" si="3"/>
        <v/>
      </c>
      <c r="O133" s="14" t="str">
        <f t="shared" si="4"/>
        <v/>
      </c>
      <c r="P133" s="16" t="str">
        <f t="array" ref="P133">IF($A133="","", IFERROR(INDEX('BM Data'!$N:$N,MATCH($J133&amp; "-" &amp; $N133,'BM Data'!$O:$O,0),1),""))</f>
        <v/>
      </c>
      <c r="Q133" s="16" t="str">
        <f t="array" ref="Q133">IF($A133="","", IFERROR(INDEX('BM Data'!$J:$J,MATCH($J133&amp; "-" &amp; $N133,'BM Data'!$O:$O,0),1),""))</f>
        <v/>
      </c>
    </row>
    <row r="134">
      <c r="A134" s="10" t="str">
        <f>IFERROR(__xludf.DUMMYFUNCTION("""COMPUTED_VALUE"""),"")</f>
        <v/>
      </c>
      <c r="B134" s="3" t="str">
        <f>IFERROR(__xludf.DUMMYFUNCTION("""COMPUTED_VALUE"""),"")</f>
        <v/>
      </c>
      <c r="C134" s="11" t="str">
        <f>IFERROR(__xludf.DUMMYFUNCTION("""COMPUTED_VALUE"""),"")</f>
        <v/>
      </c>
      <c r="D134" s="11" t="str">
        <f>IFERROR(__xludf.DUMMYFUNCTION("""COMPUTED_VALUE"""),"")</f>
        <v/>
      </c>
      <c r="E134" s="11" t="str">
        <f>IFERROR(__xludf.DUMMYFUNCTION("""COMPUTED_VALUE"""),"")</f>
        <v/>
      </c>
      <c r="F134" s="11" t="str">
        <f>IFERROR(__xludf.DUMMYFUNCTION("""COMPUTED_VALUE"""),"")</f>
        <v/>
      </c>
      <c r="G134" s="11" t="str">
        <f>IFERROR(__xludf.DUMMYFUNCTION("""COMPUTED_VALUE"""),"")</f>
        <v/>
      </c>
      <c r="H134" s="12" t="str">
        <f>IFERROR(__xludf.DUMMYFUNCTION("""COMPUTED_VALUE"""),"")</f>
        <v/>
      </c>
      <c r="I134" s="12" t="str">
        <f>IFERROR(__xludf.DUMMYFUNCTION("""COMPUTED_VALUE"""),"")</f>
        <v/>
      </c>
      <c r="J134" s="13" t="str">
        <f t="shared" si="1"/>
        <v/>
      </c>
      <c r="K134" s="12" t="str">
        <f>IFERROR(IF(A134="","",if($G134="",Reference!$J$2, VLOOKUP($G134,Reference!$I$2:$J$1000,2,false))),"")</f>
        <v/>
      </c>
      <c r="L134" s="12" t="str">
        <f>IF(A134="","", IF(F134="",Reference!$M$2,F134))</f>
        <v/>
      </c>
      <c r="M134" s="14" t="str">
        <f t="shared" si="2"/>
        <v/>
      </c>
      <c r="N134" s="15" t="str">
        <f t="shared" si="3"/>
        <v/>
      </c>
      <c r="O134" s="14" t="str">
        <f t="shared" si="4"/>
        <v/>
      </c>
      <c r="P134" s="16" t="str">
        <f t="array" ref="P134">IF($A134="","", IFERROR(INDEX('BM Data'!$N:$N,MATCH($J134&amp; "-" &amp; $N134,'BM Data'!$O:$O,0),1),""))</f>
        <v/>
      </c>
      <c r="Q134" s="16" t="str">
        <f t="array" ref="Q134">IF($A134="","", IFERROR(INDEX('BM Data'!$J:$J,MATCH($J134&amp; "-" &amp; $N134,'BM Data'!$O:$O,0),1),""))</f>
        <v/>
      </c>
    </row>
    <row r="135">
      <c r="A135" s="10" t="str">
        <f>IFERROR(__xludf.DUMMYFUNCTION("""COMPUTED_VALUE"""),"")</f>
        <v/>
      </c>
      <c r="B135" s="3" t="str">
        <f>IFERROR(__xludf.DUMMYFUNCTION("""COMPUTED_VALUE"""),"")</f>
        <v/>
      </c>
      <c r="C135" s="11" t="str">
        <f>IFERROR(__xludf.DUMMYFUNCTION("""COMPUTED_VALUE"""),"")</f>
        <v/>
      </c>
      <c r="D135" s="11" t="str">
        <f>IFERROR(__xludf.DUMMYFUNCTION("""COMPUTED_VALUE"""),"")</f>
        <v/>
      </c>
      <c r="E135" s="11" t="str">
        <f>IFERROR(__xludf.DUMMYFUNCTION("""COMPUTED_VALUE"""),"")</f>
        <v/>
      </c>
      <c r="F135" s="11" t="str">
        <f>IFERROR(__xludf.DUMMYFUNCTION("""COMPUTED_VALUE"""),"")</f>
        <v/>
      </c>
      <c r="G135" s="11" t="str">
        <f>IFERROR(__xludf.DUMMYFUNCTION("""COMPUTED_VALUE"""),"")</f>
        <v/>
      </c>
      <c r="H135" s="12" t="str">
        <f>IFERROR(__xludf.DUMMYFUNCTION("""COMPUTED_VALUE"""),"")</f>
        <v/>
      </c>
      <c r="I135" s="12" t="str">
        <f>IFERROR(__xludf.DUMMYFUNCTION("""COMPUTED_VALUE"""),"")</f>
        <v/>
      </c>
      <c r="J135" s="13" t="str">
        <f t="shared" si="1"/>
        <v/>
      </c>
      <c r="K135" s="12" t="str">
        <f>IFERROR(IF(A135="","",if($G135="",Reference!$J$2, VLOOKUP($G135,Reference!$I$2:$J$1000,2,false))),"")</f>
        <v/>
      </c>
      <c r="L135" s="12" t="str">
        <f>IF(A135="","", IF(F135="",Reference!$M$2,F135))</f>
        <v/>
      </c>
      <c r="M135" s="14" t="str">
        <f t="shared" si="2"/>
        <v/>
      </c>
      <c r="N135" s="15" t="str">
        <f t="shared" si="3"/>
        <v/>
      </c>
      <c r="O135" s="14" t="str">
        <f t="shared" si="4"/>
        <v/>
      </c>
      <c r="P135" s="16" t="str">
        <f t="array" ref="P135">IF($A135="","", IFERROR(INDEX('BM Data'!$N:$N,MATCH($J135&amp; "-" &amp; $N135,'BM Data'!$O:$O,0),1),""))</f>
        <v/>
      </c>
      <c r="Q135" s="16" t="str">
        <f t="array" ref="Q135">IF($A135="","", IFERROR(INDEX('BM Data'!$J:$J,MATCH($J135&amp; "-" &amp; $N135,'BM Data'!$O:$O,0),1),""))</f>
        <v/>
      </c>
    </row>
    <row r="136">
      <c r="A136" s="10" t="str">
        <f>IFERROR(__xludf.DUMMYFUNCTION("""COMPUTED_VALUE"""),"")</f>
        <v/>
      </c>
      <c r="B136" s="3" t="str">
        <f>IFERROR(__xludf.DUMMYFUNCTION("""COMPUTED_VALUE"""),"")</f>
        <v/>
      </c>
      <c r="C136" s="11" t="str">
        <f>IFERROR(__xludf.DUMMYFUNCTION("""COMPUTED_VALUE"""),"")</f>
        <v/>
      </c>
      <c r="D136" s="11" t="str">
        <f>IFERROR(__xludf.DUMMYFUNCTION("""COMPUTED_VALUE"""),"")</f>
        <v/>
      </c>
      <c r="E136" s="11" t="str">
        <f>IFERROR(__xludf.DUMMYFUNCTION("""COMPUTED_VALUE"""),"")</f>
        <v/>
      </c>
      <c r="F136" s="11" t="str">
        <f>IFERROR(__xludf.DUMMYFUNCTION("""COMPUTED_VALUE"""),"")</f>
        <v/>
      </c>
      <c r="G136" s="11" t="str">
        <f>IFERROR(__xludf.DUMMYFUNCTION("""COMPUTED_VALUE"""),"")</f>
        <v/>
      </c>
      <c r="H136" s="12" t="str">
        <f>IFERROR(__xludf.DUMMYFUNCTION("""COMPUTED_VALUE"""),"")</f>
        <v/>
      </c>
      <c r="I136" s="12" t="str">
        <f>IFERROR(__xludf.DUMMYFUNCTION("""COMPUTED_VALUE"""),"")</f>
        <v/>
      </c>
      <c r="J136" s="13" t="str">
        <f t="shared" si="1"/>
        <v/>
      </c>
      <c r="K136" s="12" t="str">
        <f>IFERROR(IF(A136="","",if($G136="",Reference!$J$2, VLOOKUP($G136,Reference!$I$2:$J$1000,2,false))),"")</f>
        <v/>
      </c>
      <c r="L136" s="12" t="str">
        <f>IF(A136="","", IF(F136="",Reference!$M$2,F136))</f>
        <v/>
      </c>
      <c r="M136" s="14" t="str">
        <f t="shared" si="2"/>
        <v/>
      </c>
      <c r="N136" s="15" t="str">
        <f t="shared" si="3"/>
        <v/>
      </c>
      <c r="O136" s="14" t="str">
        <f t="shared" si="4"/>
        <v/>
      </c>
      <c r="P136" s="16" t="str">
        <f t="array" ref="P136">IF($A136="","", IFERROR(INDEX('BM Data'!$N:$N,MATCH($J136&amp; "-" &amp; $N136,'BM Data'!$O:$O,0),1),""))</f>
        <v/>
      </c>
      <c r="Q136" s="16" t="str">
        <f t="array" ref="Q136">IF($A136="","", IFERROR(INDEX('BM Data'!$J:$J,MATCH($J136&amp; "-" &amp; $N136,'BM Data'!$O:$O,0),1),""))</f>
        <v/>
      </c>
    </row>
    <row r="137">
      <c r="A137" s="10" t="str">
        <f>IFERROR(__xludf.DUMMYFUNCTION("""COMPUTED_VALUE"""),"")</f>
        <v/>
      </c>
      <c r="B137" s="3" t="str">
        <f>IFERROR(__xludf.DUMMYFUNCTION("""COMPUTED_VALUE"""),"")</f>
        <v/>
      </c>
      <c r="C137" s="11" t="str">
        <f>IFERROR(__xludf.DUMMYFUNCTION("""COMPUTED_VALUE"""),"")</f>
        <v/>
      </c>
      <c r="D137" s="11" t="str">
        <f>IFERROR(__xludf.DUMMYFUNCTION("""COMPUTED_VALUE"""),"")</f>
        <v/>
      </c>
      <c r="E137" s="11" t="str">
        <f>IFERROR(__xludf.DUMMYFUNCTION("""COMPUTED_VALUE"""),"")</f>
        <v/>
      </c>
      <c r="F137" s="11" t="str">
        <f>IFERROR(__xludf.DUMMYFUNCTION("""COMPUTED_VALUE"""),"")</f>
        <v/>
      </c>
      <c r="G137" s="11" t="str">
        <f>IFERROR(__xludf.DUMMYFUNCTION("""COMPUTED_VALUE"""),"")</f>
        <v/>
      </c>
      <c r="H137" s="12" t="str">
        <f>IFERROR(__xludf.DUMMYFUNCTION("""COMPUTED_VALUE"""),"")</f>
        <v/>
      </c>
      <c r="I137" s="12" t="str">
        <f>IFERROR(__xludf.DUMMYFUNCTION("""COMPUTED_VALUE"""),"")</f>
        <v/>
      </c>
      <c r="J137" s="13" t="str">
        <f t="shared" si="1"/>
        <v/>
      </c>
      <c r="K137" s="12" t="str">
        <f>IFERROR(IF(A137="","",if($G137="",Reference!$J$2, VLOOKUP($G137,Reference!$I$2:$J$1000,2,false))),"")</f>
        <v/>
      </c>
      <c r="L137" s="12" t="str">
        <f>IF(A137="","", IF(F137="",Reference!$M$2,F137))</f>
        <v/>
      </c>
      <c r="M137" s="14" t="str">
        <f t="shared" si="2"/>
        <v/>
      </c>
      <c r="N137" s="15" t="str">
        <f t="shared" si="3"/>
        <v/>
      </c>
      <c r="O137" s="14" t="str">
        <f t="shared" si="4"/>
        <v/>
      </c>
      <c r="P137" s="16" t="str">
        <f t="array" ref="P137">IF($A137="","", IFERROR(INDEX('BM Data'!$N:$N,MATCH($J137&amp; "-" &amp; $N137,'BM Data'!$O:$O,0),1),""))</f>
        <v/>
      </c>
      <c r="Q137" s="16" t="str">
        <f t="array" ref="Q137">IF($A137="","", IFERROR(INDEX('BM Data'!$J:$J,MATCH($J137&amp; "-" &amp; $N137,'BM Data'!$O:$O,0),1),""))</f>
        <v/>
      </c>
    </row>
    <row r="138">
      <c r="A138" s="10" t="str">
        <f>IFERROR(__xludf.DUMMYFUNCTION("""COMPUTED_VALUE"""),"")</f>
        <v/>
      </c>
      <c r="B138" s="3" t="str">
        <f>IFERROR(__xludf.DUMMYFUNCTION("""COMPUTED_VALUE"""),"")</f>
        <v/>
      </c>
      <c r="C138" s="11" t="str">
        <f>IFERROR(__xludf.DUMMYFUNCTION("""COMPUTED_VALUE"""),"")</f>
        <v/>
      </c>
      <c r="D138" s="11" t="str">
        <f>IFERROR(__xludf.DUMMYFUNCTION("""COMPUTED_VALUE"""),"")</f>
        <v/>
      </c>
      <c r="E138" s="11" t="str">
        <f>IFERROR(__xludf.DUMMYFUNCTION("""COMPUTED_VALUE"""),"")</f>
        <v/>
      </c>
      <c r="F138" s="11" t="str">
        <f>IFERROR(__xludf.DUMMYFUNCTION("""COMPUTED_VALUE"""),"")</f>
        <v/>
      </c>
      <c r="G138" s="11" t="str">
        <f>IFERROR(__xludf.DUMMYFUNCTION("""COMPUTED_VALUE"""),"")</f>
        <v/>
      </c>
      <c r="H138" s="12" t="str">
        <f>IFERROR(__xludf.DUMMYFUNCTION("""COMPUTED_VALUE"""),"")</f>
        <v/>
      </c>
      <c r="I138" s="12" t="str">
        <f>IFERROR(__xludf.DUMMYFUNCTION("""COMPUTED_VALUE"""),"")</f>
        <v/>
      </c>
      <c r="J138" s="13" t="str">
        <f t="shared" si="1"/>
        <v/>
      </c>
      <c r="K138" s="12" t="str">
        <f>IFERROR(IF(A138="","",if($G138="",Reference!$J$2, VLOOKUP($G138,Reference!$I$2:$J$1000,2,false))),"")</f>
        <v/>
      </c>
      <c r="L138" s="12" t="str">
        <f>IF(A138="","", IF(F138="",Reference!$M$2,F138))</f>
        <v/>
      </c>
      <c r="M138" s="14" t="str">
        <f t="shared" si="2"/>
        <v/>
      </c>
      <c r="N138" s="15" t="str">
        <f t="shared" si="3"/>
        <v/>
      </c>
      <c r="O138" s="14" t="str">
        <f t="shared" si="4"/>
        <v/>
      </c>
      <c r="P138" s="16" t="str">
        <f t="array" ref="P138">IF($A138="","", IFERROR(INDEX('BM Data'!$N:$N,MATCH($J138&amp; "-" &amp; $N138,'BM Data'!$O:$O,0),1),""))</f>
        <v/>
      </c>
      <c r="Q138" s="16" t="str">
        <f t="array" ref="Q138">IF($A138="","", IFERROR(INDEX('BM Data'!$J:$J,MATCH($J138&amp; "-" &amp; $N138,'BM Data'!$O:$O,0),1),""))</f>
        <v/>
      </c>
    </row>
    <row r="139">
      <c r="A139" s="10" t="str">
        <f>IFERROR(__xludf.DUMMYFUNCTION("""COMPUTED_VALUE"""),"")</f>
        <v/>
      </c>
      <c r="B139" s="3" t="str">
        <f>IFERROR(__xludf.DUMMYFUNCTION("""COMPUTED_VALUE"""),"")</f>
        <v/>
      </c>
      <c r="C139" s="11" t="str">
        <f>IFERROR(__xludf.DUMMYFUNCTION("""COMPUTED_VALUE"""),"")</f>
        <v/>
      </c>
      <c r="D139" s="11" t="str">
        <f>IFERROR(__xludf.DUMMYFUNCTION("""COMPUTED_VALUE"""),"")</f>
        <v/>
      </c>
      <c r="E139" s="11" t="str">
        <f>IFERROR(__xludf.DUMMYFUNCTION("""COMPUTED_VALUE"""),"")</f>
        <v/>
      </c>
      <c r="F139" s="11" t="str">
        <f>IFERROR(__xludf.DUMMYFUNCTION("""COMPUTED_VALUE"""),"")</f>
        <v/>
      </c>
      <c r="G139" s="11" t="str">
        <f>IFERROR(__xludf.DUMMYFUNCTION("""COMPUTED_VALUE"""),"")</f>
        <v/>
      </c>
      <c r="H139" s="12" t="str">
        <f>IFERROR(__xludf.DUMMYFUNCTION("""COMPUTED_VALUE"""),"")</f>
        <v/>
      </c>
      <c r="I139" s="12" t="str">
        <f>IFERROR(__xludf.DUMMYFUNCTION("""COMPUTED_VALUE"""),"")</f>
        <v/>
      </c>
      <c r="J139" s="13" t="str">
        <f t="shared" si="1"/>
        <v/>
      </c>
      <c r="K139" s="12" t="str">
        <f>IFERROR(IF(A139="","",if($G139="",Reference!$J$2, VLOOKUP($G139,Reference!$I$2:$J$1000,2,false))),"")</f>
        <v/>
      </c>
      <c r="L139" s="12" t="str">
        <f>IF(A139="","", IF(F139="",Reference!$M$2,F139))</f>
        <v/>
      </c>
      <c r="M139" s="14" t="str">
        <f t="shared" si="2"/>
        <v/>
      </c>
      <c r="N139" s="15" t="str">
        <f t="shared" si="3"/>
        <v/>
      </c>
      <c r="O139" s="14" t="str">
        <f t="shared" si="4"/>
        <v/>
      </c>
      <c r="P139" s="16" t="str">
        <f t="array" ref="P139">IF($A139="","", IFERROR(INDEX('BM Data'!$N:$N,MATCH($J139&amp; "-" &amp; $N139,'BM Data'!$O:$O,0),1),""))</f>
        <v/>
      </c>
      <c r="Q139" s="16" t="str">
        <f t="array" ref="Q139">IF($A139="","", IFERROR(INDEX('BM Data'!$J:$J,MATCH($J139&amp; "-" &amp; $N139,'BM Data'!$O:$O,0),1),""))</f>
        <v/>
      </c>
    </row>
    <row r="140">
      <c r="A140" s="10" t="str">
        <f>IFERROR(__xludf.DUMMYFUNCTION("""COMPUTED_VALUE"""),"")</f>
        <v/>
      </c>
      <c r="B140" s="3" t="str">
        <f>IFERROR(__xludf.DUMMYFUNCTION("""COMPUTED_VALUE"""),"")</f>
        <v/>
      </c>
      <c r="C140" s="11" t="str">
        <f>IFERROR(__xludf.DUMMYFUNCTION("""COMPUTED_VALUE"""),"")</f>
        <v/>
      </c>
      <c r="D140" s="11" t="str">
        <f>IFERROR(__xludf.DUMMYFUNCTION("""COMPUTED_VALUE"""),"")</f>
        <v/>
      </c>
      <c r="E140" s="11" t="str">
        <f>IFERROR(__xludf.DUMMYFUNCTION("""COMPUTED_VALUE"""),"")</f>
        <v/>
      </c>
      <c r="F140" s="11" t="str">
        <f>IFERROR(__xludf.DUMMYFUNCTION("""COMPUTED_VALUE"""),"")</f>
        <v/>
      </c>
      <c r="G140" s="11" t="str">
        <f>IFERROR(__xludf.DUMMYFUNCTION("""COMPUTED_VALUE"""),"")</f>
        <v/>
      </c>
      <c r="H140" s="12" t="str">
        <f>IFERROR(__xludf.DUMMYFUNCTION("""COMPUTED_VALUE"""),"")</f>
        <v/>
      </c>
      <c r="I140" s="12" t="str">
        <f>IFERROR(__xludf.DUMMYFUNCTION("""COMPUTED_VALUE"""),"")</f>
        <v/>
      </c>
      <c r="J140" s="13" t="str">
        <f t="shared" si="1"/>
        <v/>
      </c>
      <c r="K140" s="12" t="str">
        <f>IFERROR(IF(A140="","",if($G140="",Reference!$J$2, VLOOKUP($G140,Reference!$I$2:$J$1000,2,false))),"")</f>
        <v/>
      </c>
      <c r="L140" s="12" t="str">
        <f>IF(A140="","", IF(F140="",Reference!$M$2,F140))</f>
        <v/>
      </c>
      <c r="M140" s="14" t="str">
        <f t="shared" si="2"/>
        <v/>
      </c>
      <c r="N140" s="15" t="str">
        <f t="shared" si="3"/>
        <v/>
      </c>
      <c r="O140" s="14" t="str">
        <f t="shared" si="4"/>
        <v/>
      </c>
      <c r="P140" s="16" t="str">
        <f t="array" ref="P140">IF($A140="","", IFERROR(INDEX('BM Data'!$N:$N,MATCH($J140&amp; "-" &amp; $N140,'BM Data'!$O:$O,0),1),""))</f>
        <v/>
      </c>
      <c r="Q140" s="16" t="str">
        <f t="array" ref="Q140">IF($A140="","", IFERROR(INDEX('BM Data'!$J:$J,MATCH($J140&amp; "-" &amp; $N140,'BM Data'!$O:$O,0),1),""))</f>
        <v/>
      </c>
    </row>
    <row r="141">
      <c r="A141" s="10" t="str">
        <f>IFERROR(__xludf.DUMMYFUNCTION("""COMPUTED_VALUE"""),"")</f>
        <v/>
      </c>
      <c r="B141" s="3" t="str">
        <f>IFERROR(__xludf.DUMMYFUNCTION("""COMPUTED_VALUE"""),"")</f>
        <v/>
      </c>
      <c r="C141" s="11" t="str">
        <f>IFERROR(__xludf.DUMMYFUNCTION("""COMPUTED_VALUE"""),"")</f>
        <v/>
      </c>
      <c r="D141" s="11" t="str">
        <f>IFERROR(__xludf.DUMMYFUNCTION("""COMPUTED_VALUE"""),"")</f>
        <v/>
      </c>
      <c r="E141" s="11" t="str">
        <f>IFERROR(__xludf.DUMMYFUNCTION("""COMPUTED_VALUE"""),"")</f>
        <v/>
      </c>
      <c r="F141" s="11" t="str">
        <f>IFERROR(__xludf.DUMMYFUNCTION("""COMPUTED_VALUE"""),"")</f>
        <v/>
      </c>
      <c r="G141" s="11" t="str">
        <f>IFERROR(__xludf.DUMMYFUNCTION("""COMPUTED_VALUE"""),"")</f>
        <v/>
      </c>
      <c r="H141" s="12" t="str">
        <f>IFERROR(__xludf.DUMMYFUNCTION("""COMPUTED_VALUE"""),"")</f>
        <v/>
      </c>
      <c r="I141" s="12" t="str">
        <f>IFERROR(__xludf.DUMMYFUNCTION("""COMPUTED_VALUE"""),"")</f>
        <v/>
      </c>
      <c r="J141" s="13" t="str">
        <f t="shared" si="1"/>
        <v/>
      </c>
      <c r="K141" s="12" t="str">
        <f>IFERROR(IF(A141="","",if($G141="",Reference!$J$2, VLOOKUP($G141,Reference!$I$2:$J$1000,2,false))),"")</f>
        <v/>
      </c>
      <c r="L141" s="12" t="str">
        <f>IF(A141="","", IF(F141="",Reference!$M$2,F141))</f>
        <v/>
      </c>
      <c r="M141" s="14" t="str">
        <f t="shared" si="2"/>
        <v/>
      </c>
      <c r="N141" s="15" t="str">
        <f t="shared" si="3"/>
        <v/>
      </c>
      <c r="O141" s="14" t="str">
        <f t="shared" si="4"/>
        <v/>
      </c>
      <c r="P141" s="16" t="str">
        <f t="array" ref="P141">IF($A141="","", IFERROR(INDEX('BM Data'!$N:$N,MATCH($J141&amp; "-" &amp; $N141,'BM Data'!$O:$O,0),1),""))</f>
        <v/>
      </c>
      <c r="Q141" s="16" t="str">
        <f t="array" ref="Q141">IF($A141="","", IFERROR(INDEX('BM Data'!$J:$J,MATCH($J141&amp; "-" &amp; $N141,'BM Data'!$O:$O,0),1),""))</f>
        <v/>
      </c>
    </row>
    <row r="142">
      <c r="A142" s="10" t="str">
        <f>IFERROR(__xludf.DUMMYFUNCTION("""COMPUTED_VALUE"""),"")</f>
        <v/>
      </c>
      <c r="B142" s="3" t="str">
        <f>IFERROR(__xludf.DUMMYFUNCTION("""COMPUTED_VALUE"""),"")</f>
        <v/>
      </c>
      <c r="C142" s="11" t="str">
        <f>IFERROR(__xludf.DUMMYFUNCTION("""COMPUTED_VALUE"""),"")</f>
        <v/>
      </c>
      <c r="D142" s="11" t="str">
        <f>IFERROR(__xludf.DUMMYFUNCTION("""COMPUTED_VALUE"""),"")</f>
        <v/>
      </c>
      <c r="E142" s="11" t="str">
        <f>IFERROR(__xludf.DUMMYFUNCTION("""COMPUTED_VALUE"""),"")</f>
        <v/>
      </c>
      <c r="F142" s="11" t="str">
        <f>IFERROR(__xludf.DUMMYFUNCTION("""COMPUTED_VALUE"""),"")</f>
        <v/>
      </c>
      <c r="G142" s="11" t="str">
        <f>IFERROR(__xludf.DUMMYFUNCTION("""COMPUTED_VALUE"""),"")</f>
        <v/>
      </c>
      <c r="H142" s="12" t="str">
        <f>IFERROR(__xludf.DUMMYFUNCTION("""COMPUTED_VALUE"""),"")</f>
        <v/>
      </c>
      <c r="I142" s="12" t="str">
        <f>IFERROR(__xludf.DUMMYFUNCTION("""COMPUTED_VALUE"""),"")</f>
        <v/>
      </c>
      <c r="J142" s="13" t="str">
        <f t="shared" si="1"/>
        <v/>
      </c>
      <c r="K142" s="12" t="str">
        <f>IFERROR(IF(A142="","",if($G142="",Reference!$J$2, VLOOKUP($G142,Reference!$I$2:$J$1000,2,false))),"")</f>
        <v/>
      </c>
      <c r="L142" s="12" t="str">
        <f>IF(A142="","", IF(F142="",Reference!$M$2,F142))</f>
        <v/>
      </c>
      <c r="M142" s="14" t="str">
        <f t="shared" si="2"/>
        <v/>
      </c>
      <c r="N142" s="15" t="str">
        <f t="shared" si="3"/>
        <v/>
      </c>
      <c r="O142" s="14" t="str">
        <f t="shared" si="4"/>
        <v/>
      </c>
      <c r="P142" s="16" t="str">
        <f t="array" ref="P142">IF($A142="","", IFERROR(INDEX('BM Data'!$N:$N,MATCH($J142&amp; "-" &amp; $N142,'BM Data'!$O:$O,0),1),""))</f>
        <v/>
      </c>
      <c r="Q142" s="16" t="str">
        <f t="array" ref="Q142">IF($A142="","", IFERROR(INDEX('BM Data'!$J:$J,MATCH($J142&amp; "-" &amp; $N142,'BM Data'!$O:$O,0),1),""))</f>
        <v/>
      </c>
    </row>
    <row r="143">
      <c r="A143" s="10" t="str">
        <f>IFERROR(__xludf.DUMMYFUNCTION("""COMPUTED_VALUE"""),"")</f>
        <v/>
      </c>
      <c r="B143" s="3" t="str">
        <f>IFERROR(__xludf.DUMMYFUNCTION("""COMPUTED_VALUE"""),"")</f>
        <v/>
      </c>
      <c r="C143" s="11" t="str">
        <f>IFERROR(__xludf.DUMMYFUNCTION("""COMPUTED_VALUE"""),"")</f>
        <v/>
      </c>
      <c r="D143" s="11" t="str">
        <f>IFERROR(__xludf.DUMMYFUNCTION("""COMPUTED_VALUE"""),"")</f>
        <v/>
      </c>
      <c r="E143" s="11" t="str">
        <f>IFERROR(__xludf.DUMMYFUNCTION("""COMPUTED_VALUE"""),"")</f>
        <v/>
      </c>
      <c r="F143" s="11" t="str">
        <f>IFERROR(__xludf.DUMMYFUNCTION("""COMPUTED_VALUE"""),"")</f>
        <v/>
      </c>
      <c r="G143" s="11" t="str">
        <f>IFERROR(__xludf.DUMMYFUNCTION("""COMPUTED_VALUE"""),"")</f>
        <v/>
      </c>
      <c r="H143" s="12" t="str">
        <f>IFERROR(__xludf.DUMMYFUNCTION("""COMPUTED_VALUE"""),"")</f>
        <v/>
      </c>
      <c r="I143" s="12" t="str">
        <f>IFERROR(__xludf.DUMMYFUNCTION("""COMPUTED_VALUE"""),"")</f>
        <v/>
      </c>
      <c r="J143" s="13" t="str">
        <f t="shared" si="1"/>
        <v/>
      </c>
      <c r="K143" s="12" t="str">
        <f>IFERROR(IF(A143="","",if($G143="",Reference!$J$2, VLOOKUP($G143,Reference!$I$2:$J$1000,2,false))),"")</f>
        <v/>
      </c>
      <c r="L143" s="12" t="str">
        <f>IF(A143="","", IF(F143="",Reference!$M$2,F143))</f>
        <v/>
      </c>
      <c r="M143" s="14" t="str">
        <f t="shared" si="2"/>
        <v/>
      </c>
      <c r="N143" s="15" t="str">
        <f t="shared" si="3"/>
        <v/>
      </c>
      <c r="O143" s="14" t="str">
        <f t="shared" si="4"/>
        <v/>
      </c>
      <c r="P143" s="16" t="str">
        <f t="array" ref="P143">IF($A143="","", IFERROR(INDEX('BM Data'!$N:$N,MATCH($J143&amp; "-" &amp; $N143,'BM Data'!$O:$O,0),1),""))</f>
        <v/>
      </c>
      <c r="Q143" s="16" t="str">
        <f t="array" ref="Q143">IF($A143="","", IFERROR(INDEX('BM Data'!$J:$J,MATCH($J143&amp; "-" &amp; $N143,'BM Data'!$O:$O,0),1),""))</f>
        <v/>
      </c>
    </row>
    <row r="144">
      <c r="A144" s="10" t="str">
        <f>IFERROR(__xludf.DUMMYFUNCTION("""COMPUTED_VALUE"""),"")</f>
        <v/>
      </c>
      <c r="B144" s="3" t="str">
        <f>IFERROR(__xludf.DUMMYFUNCTION("""COMPUTED_VALUE"""),"")</f>
        <v/>
      </c>
      <c r="C144" s="11" t="str">
        <f>IFERROR(__xludf.DUMMYFUNCTION("""COMPUTED_VALUE"""),"")</f>
        <v/>
      </c>
      <c r="D144" s="11" t="str">
        <f>IFERROR(__xludf.DUMMYFUNCTION("""COMPUTED_VALUE"""),"")</f>
        <v/>
      </c>
      <c r="E144" s="11" t="str">
        <f>IFERROR(__xludf.DUMMYFUNCTION("""COMPUTED_VALUE"""),"")</f>
        <v/>
      </c>
      <c r="F144" s="11" t="str">
        <f>IFERROR(__xludf.DUMMYFUNCTION("""COMPUTED_VALUE"""),"")</f>
        <v/>
      </c>
      <c r="G144" s="11" t="str">
        <f>IFERROR(__xludf.DUMMYFUNCTION("""COMPUTED_VALUE"""),"")</f>
        <v/>
      </c>
      <c r="H144" s="12" t="str">
        <f>IFERROR(__xludf.DUMMYFUNCTION("""COMPUTED_VALUE"""),"")</f>
        <v/>
      </c>
      <c r="I144" s="12" t="str">
        <f>IFERROR(__xludf.DUMMYFUNCTION("""COMPUTED_VALUE"""),"")</f>
        <v/>
      </c>
      <c r="J144" s="13" t="str">
        <f t="shared" si="1"/>
        <v/>
      </c>
      <c r="K144" s="12" t="str">
        <f>IFERROR(IF(A144="","",if($G144="",Reference!$J$2, VLOOKUP($G144,Reference!$I$2:$J$1000,2,false))),"")</f>
        <v/>
      </c>
      <c r="L144" s="12" t="str">
        <f>IF(A144="","", IF(F144="",Reference!$M$2,F144))</f>
        <v/>
      </c>
      <c r="M144" s="14" t="str">
        <f t="shared" si="2"/>
        <v/>
      </c>
      <c r="N144" s="15" t="str">
        <f t="shared" si="3"/>
        <v/>
      </c>
      <c r="O144" s="14" t="str">
        <f t="shared" si="4"/>
        <v/>
      </c>
      <c r="P144" s="16" t="str">
        <f t="array" ref="P144">IF($A144="","", IFERROR(INDEX('BM Data'!$N:$N,MATCH($J144&amp; "-" &amp; $N144,'BM Data'!$O:$O,0),1),""))</f>
        <v/>
      </c>
      <c r="Q144" s="16" t="str">
        <f t="array" ref="Q144">IF($A144="","", IFERROR(INDEX('BM Data'!$J:$J,MATCH($J144&amp; "-" &amp; $N144,'BM Data'!$O:$O,0),1),""))</f>
        <v/>
      </c>
    </row>
    <row r="145">
      <c r="A145" s="10" t="str">
        <f>IFERROR(__xludf.DUMMYFUNCTION("""COMPUTED_VALUE"""),"")</f>
        <v/>
      </c>
      <c r="B145" s="3" t="str">
        <f>IFERROR(__xludf.DUMMYFUNCTION("""COMPUTED_VALUE"""),"")</f>
        <v/>
      </c>
      <c r="C145" s="11" t="str">
        <f>IFERROR(__xludf.DUMMYFUNCTION("""COMPUTED_VALUE"""),"")</f>
        <v/>
      </c>
      <c r="D145" s="11" t="str">
        <f>IFERROR(__xludf.DUMMYFUNCTION("""COMPUTED_VALUE"""),"")</f>
        <v/>
      </c>
      <c r="E145" s="11" t="str">
        <f>IFERROR(__xludf.DUMMYFUNCTION("""COMPUTED_VALUE"""),"")</f>
        <v/>
      </c>
      <c r="F145" s="11" t="str">
        <f>IFERROR(__xludf.DUMMYFUNCTION("""COMPUTED_VALUE"""),"")</f>
        <v/>
      </c>
      <c r="G145" s="11" t="str">
        <f>IFERROR(__xludf.DUMMYFUNCTION("""COMPUTED_VALUE"""),"")</f>
        <v/>
      </c>
      <c r="H145" s="12" t="str">
        <f>IFERROR(__xludf.DUMMYFUNCTION("""COMPUTED_VALUE"""),"")</f>
        <v/>
      </c>
      <c r="I145" s="12" t="str">
        <f>IFERROR(__xludf.DUMMYFUNCTION("""COMPUTED_VALUE"""),"")</f>
        <v/>
      </c>
      <c r="J145" s="13" t="str">
        <f t="shared" si="1"/>
        <v/>
      </c>
      <c r="K145" s="12" t="str">
        <f>IFERROR(IF(A145="","",if($G145="",Reference!$J$2, VLOOKUP($G145,Reference!$I$2:$J$1000,2,false))),"")</f>
        <v/>
      </c>
      <c r="L145" s="12" t="str">
        <f>IF(A145="","", IF(F145="",Reference!$M$2,F145))</f>
        <v/>
      </c>
      <c r="M145" s="14" t="str">
        <f t="shared" si="2"/>
        <v/>
      </c>
      <c r="N145" s="15" t="str">
        <f t="shared" si="3"/>
        <v/>
      </c>
      <c r="O145" s="14" t="str">
        <f t="shared" si="4"/>
        <v/>
      </c>
      <c r="P145" s="16" t="str">
        <f t="array" ref="P145">IF($A145="","", IFERROR(INDEX('BM Data'!$N:$N,MATCH($J145&amp; "-" &amp; $N145,'BM Data'!$O:$O,0),1),""))</f>
        <v/>
      </c>
      <c r="Q145" s="16" t="str">
        <f t="array" ref="Q145">IF($A145="","", IFERROR(INDEX('BM Data'!$J:$J,MATCH($J145&amp; "-" &amp; $N145,'BM Data'!$O:$O,0),1),""))</f>
        <v/>
      </c>
    </row>
    <row r="146">
      <c r="A146" s="10" t="str">
        <f>IFERROR(__xludf.DUMMYFUNCTION("""COMPUTED_VALUE"""),"")</f>
        <v/>
      </c>
      <c r="B146" s="3" t="str">
        <f>IFERROR(__xludf.DUMMYFUNCTION("""COMPUTED_VALUE"""),"")</f>
        <v/>
      </c>
      <c r="C146" s="11" t="str">
        <f>IFERROR(__xludf.DUMMYFUNCTION("""COMPUTED_VALUE"""),"")</f>
        <v/>
      </c>
      <c r="D146" s="11" t="str">
        <f>IFERROR(__xludf.DUMMYFUNCTION("""COMPUTED_VALUE"""),"")</f>
        <v/>
      </c>
      <c r="E146" s="11" t="str">
        <f>IFERROR(__xludf.DUMMYFUNCTION("""COMPUTED_VALUE"""),"")</f>
        <v/>
      </c>
      <c r="F146" s="11" t="str">
        <f>IFERROR(__xludf.DUMMYFUNCTION("""COMPUTED_VALUE"""),"")</f>
        <v/>
      </c>
      <c r="G146" s="11" t="str">
        <f>IFERROR(__xludf.DUMMYFUNCTION("""COMPUTED_VALUE"""),"")</f>
        <v/>
      </c>
      <c r="H146" s="12" t="str">
        <f>IFERROR(__xludf.DUMMYFUNCTION("""COMPUTED_VALUE"""),"")</f>
        <v/>
      </c>
      <c r="I146" s="12" t="str">
        <f>IFERROR(__xludf.DUMMYFUNCTION("""COMPUTED_VALUE"""),"")</f>
        <v/>
      </c>
      <c r="J146" s="13" t="str">
        <f t="shared" si="1"/>
        <v/>
      </c>
      <c r="K146" s="12" t="str">
        <f>IFERROR(IF(A146="","",if($G146="",Reference!$J$2, VLOOKUP($G146,Reference!$I$2:$J$1000,2,false))),"")</f>
        <v/>
      </c>
      <c r="L146" s="12" t="str">
        <f>IF(A146="","", IF(F146="",Reference!$M$2,F146))</f>
        <v/>
      </c>
      <c r="M146" s="14" t="str">
        <f t="shared" si="2"/>
        <v/>
      </c>
      <c r="N146" s="15" t="str">
        <f t="shared" si="3"/>
        <v/>
      </c>
      <c r="O146" s="14" t="str">
        <f t="shared" si="4"/>
        <v/>
      </c>
      <c r="P146" s="16" t="str">
        <f t="array" ref="P146">IF($A146="","", IFERROR(INDEX('BM Data'!$N:$N,MATCH($J146&amp; "-" &amp; $N146,'BM Data'!$O:$O,0),1),""))</f>
        <v/>
      </c>
      <c r="Q146" s="16" t="str">
        <f t="array" ref="Q146">IF($A146="","", IFERROR(INDEX('BM Data'!$J:$J,MATCH($J146&amp; "-" &amp; $N146,'BM Data'!$O:$O,0),1),""))</f>
        <v/>
      </c>
    </row>
    <row r="147">
      <c r="A147" s="10" t="str">
        <f>IFERROR(__xludf.DUMMYFUNCTION("""COMPUTED_VALUE"""),"")</f>
        <v/>
      </c>
      <c r="B147" s="3" t="str">
        <f>IFERROR(__xludf.DUMMYFUNCTION("""COMPUTED_VALUE"""),"")</f>
        <v/>
      </c>
      <c r="C147" s="11" t="str">
        <f>IFERROR(__xludf.DUMMYFUNCTION("""COMPUTED_VALUE"""),"")</f>
        <v/>
      </c>
      <c r="D147" s="11" t="str">
        <f>IFERROR(__xludf.DUMMYFUNCTION("""COMPUTED_VALUE"""),"")</f>
        <v/>
      </c>
      <c r="E147" s="11" t="str">
        <f>IFERROR(__xludf.DUMMYFUNCTION("""COMPUTED_VALUE"""),"")</f>
        <v/>
      </c>
      <c r="F147" s="11" t="str">
        <f>IFERROR(__xludf.DUMMYFUNCTION("""COMPUTED_VALUE"""),"")</f>
        <v/>
      </c>
      <c r="G147" s="11" t="str">
        <f>IFERROR(__xludf.DUMMYFUNCTION("""COMPUTED_VALUE"""),"")</f>
        <v/>
      </c>
      <c r="H147" s="12" t="str">
        <f>IFERROR(__xludf.DUMMYFUNCTION("""COMPUTED_VALUE"""),"")</f>
        <v/>
      </c>
      <c r="I147" s="12" t="str">
        <f>IFERROR(__xludf.DUMMYFUNCTION("""COMPUTED_VALUE"""),"")</f>
        <v/>
      </c>
      <c r="J147" s="13" t="str">
        <f t="shared" si="1"/>
        <v/>
      </c>
      <c r="K147" s="12" t="str">
        <f>IFERROR(IF(A147="","",if($G147="",Reference!$J$2, VLOOKUP($G147,Reference!$I$2:$J$1000,2,false))),"")</f>
        <v/>
      </c>
      <c r="L147" s="12" t="str">
        <f>IF(A147="","", IF(F147="",Reference!$M$2,F147))</f>
        <v/>
      </c>
      <c r="M147" s="14" t="str">
        <f t="shared" si="2"/>
        <v/>
      </c>
      <c r="N147" s="15" t="str">
        <f t="shared" si="3"/>
        <v/>
      </c>
      <c r="O147" s="14" t="str">
        <f t="shared" si="4"/>
        <v/>
      </c>
      <c r="P147" s="16" t="str">
        <f t="array" ref="P147">IF($A147="","", IFERROR(INDEX('BM Data'!$N:$N,MATCH($J147&amp; "-" &amp; $N147,'BM Data'!$O:$O,0),1),""))</f>
        <v/>
      </c>
      <c r="Q147" s="16" t="str">
        <f t="array" ref="Q147">IF($A147="","", IFERROR(INDEX('BM Data'!$J:$J,MATCH($J147&amp; "-" &amp; $N147,'BM Data'!$O:$O,0),1),""))</f>
        <v/>
      </c>
    </row>
    <row r="148">
      <c r="A148" s="10" t="str">
        <f>IFERROR(__xludf.DUMMYFUNCTION("""COMPUTED_VALUE"""),"")</f>
        <v/>
      </c>
      <c r="B148" s="3" t="str">
        <f>IFERROR(__xludf.DUMMYFUNCTION("""COMPUTED_VALUE"""),"")</f>
        <v/>
      </c>
      <c r="C148" s="11" t="str">
        <f>IFERROR(__xludf.DUMMYFUNCTION("""COMPUTED_VALUE"""),"")</f>
        <v/>
      </c>
      <c r="D148" s="11" t="str">
        <f>IFERROR(__xludf.DUMMYFUNCTION("""COMPUTED_VALUE"""),"")</f>
        <v/>
      </c>
      <c r="E148" s="11" t="str">
        <f>IFERROR(__xludf.DUMMYFUNCTION("""COMPUTED_VALUE"""),"")</f>
        <v/>
      </c>
      <c r="F148" s="11" t="str">
        <f>IFERROR(__xludf.DUMMYFUNCTION("""COMPUTED_VALUE"""),"")</f>
        <v/>
      </c>
      <c r="G148" s="11" t="str">
        <f>IFERROR(__xludf.DUMMYFUNCTION("""COMPUTED_VALUE"""),"")</f>
        <v/>
      </c>
      <c r="H148" s="12" t="str">
        <f>IFERROR(__xludf.DUMMYFUNCTION("""COMPUTED_VALUE"""),"")</f>
        <v/>
      </c>
      <c r="I148" s="12" t="str">
        <f>IFERROR(__xludf.DUMMYFUNCTION("""COMPUTED_VALUE"""),"")</f>
        <v/>
      </c>
      <c r="J148" s="13" t="str">
        <f t="shared" si="1"/>
        <v/>
      </c>
      <c r="K148" s="12" t="str">
        <f>IFERROR(IF(A148="","",if($G148="",Reference!$J$2, VLOOKUP($G148,Reference!$I$2:$J$1000,2,false))),"")</f>
        <v/>
      </c>
      <c r="L148" s="12" t="str">
        <f>IF(A148="","", IF(F148="",Reference!$M$2,F148))</f>
        <v/>
      </c>
      <c r="M148" s="14" t="str">
        <f t="shared" si="2"/>
        <v/>
      </c>
      <c r="N148" s="15" t="str">
        <f t="shared" si="3"/>
        <v/>
      </c>
      <c r="O148" s="14" t="str">
        <f t="shared" si="4"/>
        <v/>
      </c>
      <c r="P148" s="16" t="str">
        <f t="array" ref="P148">IF($A148="","", IFERROR(INDEX('BM Data'!$N:$N,MATCH($J148&amp; "-" &amp; $N148,'BM Data'!$O:$O,0),1),""))</f>
        <v/>
      </c>
      <c r="Q148" s="16" t="str">
        <f t="array" ref="Q148">IF($A148="","", IFERROR(INDEX('BM Data'!$J:$J,MATCH($J148&amp; "-" &amp; $N148,'BM Data'!$O:$O,0),1),""))</f>
        <v/>
      </c>
    </row>
    <row r="149">
      <c r="A149" s="10" t="str">
        <f>IFERROR(__xludf.DUMMYFUNCTION("""COMPUTED_VALUE"""),"")</f>
        <v/>
      </c>
      <c r="B149" s="3" t="str">
        <f>IFERROR(__xludf.DUMMYFUNCTION("""COMPUTED_VALUE"""),"")</f>
        <v/>
      </c>
      <c r="C149" s="11" t="str">
        <f>IFERROR(__xludf.DUMMYFUNCTION("""COMPUTED_VALUE"""),"")</f>
        <v/>
      </c>
      <c r="D149" s="11" t="str">
        <f>IFERROR(__xludf.DUMMYFUNCTION("""COMPUTED_VALUE"""),"")</f>
        <v/>
      </c>
      <c r="E149" s="11" t="str">
        <f>IFERROR(__xludf.DUMMYFUNCTION("""COMPUTED_VALUE"""),"")</f>
        <v/>
      </c>
      <c r="F149" s="11" t="str">
        <f>IFERROR(__xludf.DUMMYFUNCTION("""COMPUTED_VALUE"""),"")</f>
        <v/>
      </c>
      <c r="G149" s="11" t="str">
        <f>IFERROR(__xludf.DUMMYFUNCTION("""COMPUTED_VALUE"""),"")</f>
        <v/>
      </c>
      <c r="H149" s="12" t="str">
        <f>IFERROR(__xludf.DUMMYFUNCTION("""COMPUTED_VALUE"""),"")</f>
        <v/>
      </c>
      <c r="I149" s="12" t="str">
        <f>IFERROR(__xludf.DUMMYFUNCTION("""COMPUTED_VALUE"""),"")</f>
        <v/>
      </c>
      <c r="J149" s="13" t="str">
        <f t="shared" si="1"/>
        <v/>
      </c>
      <c r="K149" s="12" t="str">
        <f>IFERROR(IF(A149="","",if($G149="",Reference!$J$2, VLOOKUP($G149,Reference!$I$2:$J$1000,2,false))),"")</f>
        <v/>
      </c>
      <c r="L149" s="12" t="str">
        <f>IF(A149="","", IF(F149="",Reference!$M$2,F149))</f>
        <v/>
      </c>
      <c r="M149" s="14" t="str">
        <f t="shared" si="2"/>
        <v/>
      </c>
      <c r="N149" s="15" t="str">
        <f t="shared" si="3"/>
        <v/>
      </c>
      <c r="O149" s="14" t="str">
        <f t="shared" si="4"/>
        <v/>
      </c>
      <c r="P149" s="16" t="str">
        <f t="array" ref="P149">IF($A149="","", IFERROR(INDEX('BM Data'!$N:$N,MATCH($J149&amp; "-" &amp; $N149,'BM Data'!$O:$O,0),1),""))</f>
        <v/>
      </c>
      <c r="Q149" s="16" t="str">
        <f t="array" ref="Q149">IF($A149="","", IFERROR(INDEX('BM Data'!$J:$J,MATCH($J149&amp; "-" &amp; $N149,'BM Data'!$O:$O,0),1),""))</f>
        <v/>
      </c>
    </row>
    <row r="150">
      <c r="A150" s="10" t="str">
        <f>IFERROR(__xludf.DUMMYFUNCTION("""COMPUTED_VALUE"""),"")</f>
        <v/>
      </c>
      <c r="B150" s="3" t="str">
        <f>IFERROR(__xludf.DUMMYFUNCTION("""COMPUTED_VALUE"""),"")</f>
        <v/>
      </c>
      <c r="C150" s="11" t="str">
        <f>IFERROR(__xludf.DUMMYFUNCTION("""COMPUTED_VALUE"""),"")</f>
        <v/>
      </c>
      <c r="D150" s="11" t="str">
        <f>IFERROR(__xludf.DUMMYFUNCTION("""COMPUTED_VALUE"""),"")</f>
        <v/>
      </c>
      <c r="E150" s="11" t="str">
        <f>IFERROR(__xludf.DUMMYFUNCTION("""COMPUTED_VALUE"""),"")</f>
        <v/>
      </c>
      <c r="F150" s="11" t="str">
        <f>IFERROR(__xludf.DUMMYFUNCTION("""COMPUTED_VALUE"""),"")</f>
        <v/>
      </c>
      <c r="G150" s="11" t="str">
        <f>IFERROR(__xludf.DUMMYFUNCTION("""COMPUTED_VALUE"""),"")</f>
        <v/>
      </c>
      <c r="H150" s="12" t="str">
        <f>IFERROR(__xludf.DUMMYFUNCTION("""COMPUTED_VALUE"""),"")</f>
        <v/>
      </c>
      <c r="I150" s="12" t="str">
        <f>IFERROR(__xludf.DUMMYFUNCTION("""COMPUTED_VALUE"""),"")</f>
        <v/>
      </c>
      <c r="J150" s="13" t="str">
        <f t="shared" si="1"/>
        <v/>
      </c>
      <c r="K150" s="12" t="str">
        <f>IFERROR(IF(A150="","",if($G150="",Reference!$J$2, VLOOKUP($G150,Reference!$I$2:$J$1000,2,false))),"")</f>
        <v/>
      </c>
      <c r="L150" s="12" t="str">
        <f>IF(A150="","", IF(F150="",Reference!$M$2,F150))</f>
        <v/>
      </c>
      <c r="M150" s="14" t="str">
        <f t="shared" si="2"/>
        <v/>
      </c>
      <c r="N150" s="15" t="str">
        <f t="shared" si="3"/>
        <v/>
      </c>
      <c r="O150" s="14" t="str">
        <f t="shared" si="4"/>
        <v/>
      </c>
      <c r="P150" s="16" t="str">
        <f t="array" ref="P150">IF($A150="","", IFERROR(INDEX('BM Data'!$N:$N,MATCH($J150&amp; "-" &amp; $N150,'BM Data'!$O:$O,0),1),""))</f>
        <v/>
      </c>
      <c r="Q150" s="16" t="str">
        <f t="array" ref="Q150">IF($A150="","", IFERROR(INDEX('BM Data'!$J:$J,MATCH($J150&amp; "-" &amp; $N150,'BM Data'!$O:$O,0),1),""))</f>
        <v/>
      </c>
    </row>
    <row r="151">
      <c r="A151" s="10" t="str">
        <f>IFERROR(__xludf.DUMMYFUNCTION("""COMPUTED_VALUE"""),"")</f>
        <v/>
      </c>
      <c r="B151" s="3" t="str">
        <f>IFERROR(__xludf.DUMMYFUNCTION("""COMPUTED_VALUE"""),"")</f>
        <v/>
      </c>
      <c r="C151" s="11" t="str">
        <f>IFERROR(__xludf.DUMMYFUNCTION("""COMPUTED_VALUE"""),"")</f>
        <v/>
      </c>
      <c r="D151" s="11" t="str">
        <f>IFERROR(__xludf.DUMMYFUNCTION("""COMPUTED_VALUE"""),"")</f>
        <v/>
      </c>
      <c r="E151" s="11" t="str">
        <f>IFERROR(__xludf.DUMMYFUNCTION("""COMPUTED_VALUE"""),"")</f>
        <v/>
      </c>
      <c r="F151" s="11" t="str">
        <f>IFERROR(__xludf.DUMMYFUNCTION("""COMPUTED_VALUE"""),"")</f>
        <v/>
      </c>
      <c r="G151" s="11" t="str">
        <f>IFERROR(__xludf.DUMMYFUNCTION("""COMPUTED_VALUE"""),"")</f>
        <v/>
      </c>
      <c r="H151" s="12" t="str">
        <f>IFERROR(__xludf.DUMMYFUNCTION("""COMPUTED_VALUE"""),"")</f>
        <v/>
      </c>
      <c r="I151" s="12" t="str">
        <f>IFERROR(__xludf.DUMMYFUNCTION("""COMPUTED_VALUE"""),"")</f>
        <v/>
      </c>
      <c r="J151" s="13" t="str">
        <f t="shared" si="1"/>
        <v/>
      </c>
      <c r="K151" s="12" t="str">
        <f>IFERROR(IF(A151="","",if($G151="",Reference!$J$2, VLOOKUP($G151,Reference!$I$2:$J$1000,2,false))),"")</f>
        <v/>
      </c>
      <c r="L151" s="12" t="str">
        <f>IF(A151="","", IF(F151="",Reference!$M$2,F151))</f>
        <v/>
      </c>
      <c r="M151" s="14" t="str">
        <f t="shared" si="2"/>
        <v/>
      </c>
      <c r="N151" s="15" t="str">
        <f t="shared" si="3"/>
        <v/>
      </c>
      <c r="O151" s="14" t="str">
        <f t="shared" si="4"/>
        <v/>
      </c>
      <c r="P151" s="16" t="str">
        <f t="array" ref="P151">IF($A151="","", IFERROR(INDEX('BM Data'!$N:$N,MATCH($J151&amp; "-" &amp; $N151,'BM Data'!$O:$O,0),1),""))</f>
        <v/>
      </c>
      <c r="Q151" s="16" t="str">
        <f t="array" ref="Q151">IF($A151="","", IFERROR(INDEX('BM Data'!$J:$J,MATCH($J151&amp; "-" &amp; $N151,'BM Data'!$O:$O,0),1),""))</f>
        <v/>
      </c>
    </row>
    <row r="152">
      <c r="A152" s="10" t="str">
        <f>IFERROR(__xludf.DUMMYFUNCTION("""COMPUTED_VALUE"""),"")</f>
        <v/>
      </c>
      <c r="B152" s="3" t="str">
        <f>IFERROR(__xludf.DUMMYFUNCTION("""COMPUTED_VALUE"""),"")</f>
        <v/>
      </c>
      <c r="C152" s="11" t="str">
        <f>IFERROR(__xludf.DUMMYFUNCTION("""COMPUTED_VALUE"""),"")</f>
        <v/>
      </c>
      <c r="D152" s="11" t="str">
        <f>IFERROR(__xludf.DUMMYFUNCTION("""COMPUTED_VALUE"""),"")</f>
        <v/>
      </c>
      <c r="E152" s="11" t="str">
        <f>IFERROR(__xludf.DUMMYFUNCTION("""COMPUTED_VALUE"""),"")</f>
        <v/>
      </c>
      <c r="F152" s="11" t="str">
        <f>IFERROR(__xludf.DUMMYFUNCTION("""COMPUTED_VALUE"""),"")</f>
        <v/>
      </c>
      <c r="G152" s="11" t="str">
        <f>IFERROR(__xludf.DUMMYFUNCTION("""COMPUTED_VALUE"""),"")</f>
        <v/>
      </c>
      <c r="H152" s="12" t="str">
        <f>IFERROR(__xludf.DUMMYFUNCTION("""COMPUTED_VALUE"""),"")</f>
        <v/>
      </c>
      <c r="I152" s="12" t="str">
        <f>IFERROR(__xludf.DUMMYFUNCTION("""COMPUTED_VALUE"""),"")</f>
        <v/>
      </c>
      <c r="J152" s="13" t="str">
        <f t="shared" si="1"/>
        <v/>
      </c>
      <c r="K152" s="12" t="str">
        <f>IFERROR(IF(A152="","",if($G152="",Reference!$J$2, VLOOKUP($G152,Reference!$I$2:$J$1000,2,false))),"")</f>
        <v/>
      </c>
      <c r="L152" s="12" t="str">
        <f>IF(A152="","", IF(F152="",Reference!$M$2,F152))</f>
        <v/>
      </c>
      <c r="M152" s="14" t="str">
        <f t="shared" si="2"/>
        <v/>
      </c>
      <c r="N152" s="15" t="str">
        <f t="shared" si="3"/>
        <v/>
      </c>
      <c r="O152" s="14" t="str">
        <f t="shared" si="4"/>
        <v/>
      </c>
      <c r="P152" s="16" t="str">
        <f t="array" ref="P152">IF($A152="","", IFERROR(INDEX('BM Data'!$N:$N,MATCH($J152&amp; "-" &amp; $N152,'BM Data'!$O:$O,0),1),""))</f>
        <v/>
      </c>
      <c r="Q152" s="16" t="str">
        <f t="array" ref="Q152">IF($A152="","", IFERROR(INDEX('BM Data'!$J:$J,MATCH($J152&amp; "-" &amp; $N152,'BM Data'!$O:$O,0),1),""))</f>
        <v/>
      </c>
    </row>
    <row r="153">
      <c r="A153" s="10" t="str">
        <f>IFERROR(__xludf.DUMMYFUNCTION("""COMPUTED_VALUE"""),"")</f>
        <v/>
      </c>
      <c r="B153" s="3" t="str">
        <f>IFERROR(__xludf.DUMMYFUNCTION("""COMPUTED_VALUE"""),"")</f>
        <v/>
      </c>
      <c r="C153" s="11" t="str">
        <f>IFERROR(__xludf.DUMMYFUNCTION("""COMPUTED_VALUE"""),"")</f>
        <v/>
      </c>
      <c r="D153" s="11" t="str">
        <f>IFERROR(__xludf.DUMMYFUNCTION("""COMPUTED_VALUE"""),"")</f>
        <v/>
      </c>
      <c r="E153" s="11" t="str">
        <f>IFERROR(__xludf.DUMMYFUNCTION("""COMPUTED_VALUE"""),"")</f>
        <v/>
      </c>
      <c r="F153" s="11" t="str">
        <f>IFERROR(__xludf.DUMMYFUNCTION("""COMPUTED_VALUE"""),"")</f>
        <v/>
      </c>
      <c r="G153" s="11" t="str">
        <f>IFERROR(__xludf.DUMMYFUNCTION("""COMPUTED_VALUE"""),"")</f>
        <v/>
      </c>
      <c r="H153" s="12" t="str">
        <f>IFERROR(__xludf.DUMMYFUNCTION("""COMPUTED_VALUE"""),"")</f>
        <v/>
      </c>
      <c r="I153" s="12" t="str">
        <f>IFERROR(__xludf.DUMMYFUNCTION("""COMPUTED_VALUE"""),"")</f>
        <v/>
      </c>
      <c r="J153" s="13" t="str">
        <f t="shared" si="1"/>
        <v/>
      </c>
      <c r="K153" s="12" t="str">
        <f>IFERROR(IF(A153="","",if($G153="",Reference!$J$2, VLOOKUP($G153,Reference!$I$2:$J$1000,2,false))),"")</f>
        <v/>
      </c>
      <c r="L153" s="12" t="str">
        <f>IF(A153="","", IF(F153="",Reference!$M$2,F153))</f>
        <v/>
      </c>
      <c r="M153" s="14" t="str">
        <f t="shared" si="2"/>
        <v/>
      </c>
      <c r="N153" s="15" t="str">
        <f t="shared" si="3"/>
        <v/>
      </c>
      <c r="O153" s="14" t="str">
        <f t="shared" si="4"/>
        <v/>
      </c>
      <c r="P153" s="16" t="str">
        <f t="array" ref="P153">IF($A153="","", IFERROR(INDEX('BM Data'!$N:$N,MATCH($J153&amp; "-" &amp; $N153,'BM Data'!$O:$O,0),1),""))</f>
        <v/>
      </c>
      <c r="Q153" s="16" t="str">
        <f t="array" ref="Q153">IF($A153="","", IFERROR(INDEX('BM Data'!$J:$J,MATCH($J153&amp; "-" &amp; $N153,'BM Data'!$O:$O,0),1),""))</f>
        <v/>
      </c>
    </row>
    <row r="154">
      <c r="A154" s="10" t="str">
        <f>IFERROR(__xludf.DUMMYFUNCTION("""COMPUTED_VALUE"""),"")</f>
        <v/>
      </c>
      <c r="B154" s="3" t="str">
        <f>IFERROR(__xludf.DUMMYFUNCTION("""COMPUTED_VALUE"""),"")</f>
        <v/>
      </c>
      <c r="C154" s="11" t="str">
        <f>IFERROR(__xludf.DUMMYFUNCTION("""COMPUTED_VALUE"""),"")</f>
        <v/>
      </c>
      <c r="D154" s="11" t="str">
        <f>IFERROR(__xludf.DUMMYFUNCTION("""COMPUTED_VALUE"""),"")</f>
        <v/>
      </c>
      <c r="E154" s="11" t="str">
        <f>IFERROR(__xludf.DUMMYFUNCTION("""COMPUTED_VALUE"""),"")</f>
        <v/>
      </c>
      <c r="F154" s="11" t="str">
        <f>IFERROR(__xludf.DUMMYFUNCTION("""COMPUTED_VALUE"""),"")</f>
        <v/>
      </c>
      <c r="G154" s="11" t="str">
        <f>IFERROR(__xludf.DUMMYFUNCTION("""COMPUTED_VALUE"""),"")</f>
        <v/>
      </c>
      <c r="H154" s="12" t="str">
        <f>IFERROR(__xludf.DUMMYFUNCTION("""COMPUTED_VALUE"""),"")</f>
        <v/>
      </c>
      <c r="I154" s="12" t="str">
        <f>IFERROR(__xludf.DUMMYFUNCTION("""COMPUTED_VALUE"""),"")</f>
        <v/>
      </c>
      <c r="J154" s="13" t="str">
        <f t="shared" si="1"/>
        <v/>
      </c>
      <c r="K154" s="12" t="str">
        <f>IFERROR(IF(A154="","",if($G154="",Reference!$J$2, VLOOKUP($G154,Reference!$I$2:$J$1000,2,false))),"")</f>
        <v/>
      </c>
      <c r="L154" s="12" t="str">
        <f>IF(A154="","", IF(F154="",Reference!$M$2,F154))</f>
        <v/>
      </c>
      <c r="M154" s="14" t="str">
        <f t="shared" si="2"/>
        <v/>
      </c>
      <c r="N154" s="15" t="str">
        <f t="shared" si="3"/>
        <v/>
      </c>
      <c r="O154" s="14" t="str">
        <f t="shared" si="4"/>
        <v/>
      </c>
      <c r="P154" s="16" t="str">
        <f t="array" ref="P154">IF($A154="","", IFERROR(INDEX('BM Data'!$N:$N,MATCH($J154&amp; "-" &amp; $N154,'BM Data'!$O:$O,0),1),""))</f>
        <v/>
      </c>
      <c r="Q154" s="16" t="str">
        <f t="array" ref="Q154">IF($A154="","", IFERROR(INDEX('BM Data'!$J:$J,MATCH($J154&amp; "-" &amp; $N154,'BM Data'!$O:$O,0),1),""))</f>
        <v/>
      </c>
    </row>
    <row r="155">
      <c r="A155" s="10" t="str">
        <f>IFERROR(__xludf.DUMMYFUNCTION("""COMPUTED_VALUE"""),"")</f>
        <v/>
      </c>
      <c r="B155" s="3" t="str">
        <f>IFERROR(__xludf.DUMMYFUNCTION("""COMPUTED_VALUE"""),"")</f>
        <v/>
      </c>
      <c r="C155" s="11" t="str">
        <f>IFERROR(__xludf.DUMMYFUNCTION("""COMPUTED_VALUE"""),"")</f>
        <v/>
      </c>
      <c r="D155" s="11" t="str">
        <f>IFERROR(__xludf.DUMMYFUNCTION("""COMPUTED_VALUE"""),"")</f>
        <v/>
      </c>
      <c r="E155" s="11" t="str">
        <f>IFERROR(__xludf.DUMMYFUNCTION("""COMPUTED_VALUE"""),"")</f>
        <v/>
      </c>
      <c r="F155" s="11" t="str">
        <f>IFERROR(__xludf.DUMMYFUNCTION("""COMPUTED_VALUE"""),"")</f>
        <v/>
      </c>
      <c r="G155" s="11" t="str">
        <f>IFERROR(__xludf.DUMMYFUNCTION("""COMPUTED_VALUE"""),"")</f>
        <v/>
      </c>
      <c r="H155" s="12" t="str">
        <f>IFERROR(__xludf.DUMMYFUNCTION("""COMPUTED_VALUE"""),"")</f>
        <v/>
      </c>
      <c r="I155" s="12" t="str">
        <f>IFERROR(__xludf.DUMMYFUNCTION("""COMPUTED_VALUE"""),"")</f>
        <v/>
      </c>
      <c r="J155" s="13" t="str">
        <f t="shared" si="1"/>
        <v/>
      </c>
      <c r="K155" s="12" t="str">
        <f>IFERROR(IF(A155="","",if($G155="",Reference!$J$2, VLOOKUP($G155,Reference!$I$2:$J$1000,2,false))),"")</f>
        <v/>
      </c>
      <c r="L155" s="12" t="str">
        <f>IF(A155="","", IF(F155="",Reference!$M$2,F155))</f>
        <v/>
      </c>
      <c r="M155" s="14" t="str">
        <f t="shared" si="2"/>
        <v/>
      </c>
      <c r="N155" s="15" t="str">
        <f t="shared" si="3"/>
        <v/>
      </c>
      <c r="O155" s="14" t="str">
        <f t="shared" si="4"/>
        <v/>
      </c>
      <c r="P155" s="16" t="str">
        <f t="array" ref="P155">IF($A155="","", IFERROR(INDEX('BM Data'!$N:$N,MATCH($J155&amp; "-" &amp; $N155,'BM Data'!$O:$O,0),1),""))</f>
        <v/>
      </c>
      <c r="Q155" s="16" t="str">
        <f t="array" ref="Q155">IF($A155="","", IFERROR(INDEX('BM Data'!$J:$J,MATCH($J155&amp; "-" &amp; $N155,'BM Data'!$O:$O,0),1),""))</f>
        <v/>
      </c>
    </row>
    <row r="156">
      <c r="A156" s="10" t="str">
        <f>IFERROR(__xludf.DUMMYFUNCTION("""COMPUTED_VALUE"""),"")</f>
        <v/>
      </c>
      <c r="B156" s="3" t="str">
        <f>IFERROR(__xludf.DUMMYFUNCTION("""COMPUTED_VALUE"""),"")</f>
        <v/>
      </c>
      <c r="C156" s="11" t="str">
        <f>IFERROR(__xludf.DUMMYFUNCTION("""COMPUTED_VALUE"""),"")</f>
        <v/>
      </c>
      <c r="D156" s="11" t="str">
        <f>IFERROR(__xludf.DUMMYFUNCTION("""COMPUTED_VALUE"""),"")</f>
        <v/>
      </c>
      <c r="E156" s="11" t="str">
        <f>IFERROR(__xludf.DUMMYFUNCTION("""COMPUTED_VALUE"""),"")</f>
        <v/>
      </c>
      <c r="F156" s="11" t="str">
        <f>IFERROR(__xludf.DUMMYFUNCTION("""COMPUTED_VALUE"""),"")</f>
        <v/>
      </c>
      <c r="G156" s="11" t="str">
        <f>IFERROR(__xludf.DUMMYFUNCTION("""COMPUTED_VALUE"""),"")</f>
        <v/>
      </c>
      <c r="H156" s="12" t="str">
        <f>IFERROR(__xludf.DUMMYFUNCTION("""COMPUTED_VALUE"""),"")</f>
        <v/>
      </c>
      <c r="I156" s="12" t="str">
        <f>IFERROR(__xludf.DUMMYFUNCTION("""COMPUTED_VALUE"""),"")</f>
        <v/>
      </c>
      <c r="J156" s="13" t="str">
        <f t="shared" si="1"/>
        <v/>
      </c>
      <c r="K156" s="12" t="str">
        <f>IFERROR(IF(A156="","",if($G156="",Reference!$J$2, VLOOKUP($G156,Reference!$I$2:$J$1000,2,false))),"")</f>
        <v/>
      </c>
      <c r="L156" s="12" t="str">
        <f>IF(A156="","", IF(F156="",Reference!$M$2,F156))</f>
        <v/>
      </c>
      <c r="M156" s="14" t="str">
        <f t="shared" si="2"/>
        <v/>
      </c>
      <c r="N156" s="15" t="str">
        <f t="shared" si="3"/>
        <v/>
      </c>
      <c r="O156" s="14" t="str">
        <f t="shared" si="4"/>
        <v/>
      </c>
      <c r="P156" s="16" t="str">
        <f t="array" ref="P156">IF($A156="","", IFERROR(INDEX('BM Data'!$N:$N,MATCH($J156&amp; "-" &amp; $N156,'BM Data'!$O:$O,0),1),""))</f>
        <v/>
      </c>
      <c r="Q156" s="16" t="str">
        <f t="array" ref="Q156">IF($A156="","", IFERROR(INDEX('BM Data'!$J:$J,MATCH($J156&amp; "-" &amp; $N156,'BM Data'!$O:$O,0),1),""))</f>
        <v/>
      </c>
    </row>
    <row r="157">
      <c r="A157" s="10" t="str">
        <f>IFERROR(__xludf.DUMMYFUNCTION("""COMPUTED_VALUE"""),"")</f>
        <v/>
      </c>
      <c r="B157" s="3" t="str">
        <f>IFERROR(__xludf.DUMMYFUNCTION("""COMPUTED_VALUE"""),"")</f>
        <v/>
      </c>
      <c r="C157" s="11" t="str">
        <f>IFERROR(__xludf.DUMMYFUNCTION("""COMPUTED_VALUE"""),"")</f>
        <v/>
      </c>
      <c r="D157" s="11" t="str">
        <f>IFERROR(__xludf.DUMMYFUNCTION("""COMPUTED_VALUE"""),"")</f>
        <v/>
      </c>
      <c r="E157" s="11" t="str">
        <f>IFERROR(__xludf.DUMMYFUNCTION("""COMPUTED_VALUE"""),"")</f>
        <v/>
      </c>
      <c r="F157" s="11" t="str">
        <f>IFERROR(__xludf.DUMMYFUNCTION("""COMPUTED_VALUE"""),"")</f>
        <v/>
      </c>
      <c r="G157" s="11" t="str">
        <f>IFERROR(__xludf.DUMMYFUNCTION("""COMPUTED_VALUE"""),"")</f>
        <v/>
      </c>
      <c r="H157" s="12" t="str">
        <f>IFERROR(__xludf.DUMMYFUNCTION("""COMPUTED_VALUE"""),"")</f>
        <v/>
      </c>
      <c r="I157" s="12" t="str">
        <f>IFERROR(__xludf.DUMMYFUNCTION("""COMPUTED_VALUE"""),"")</f>
        <v/>
      </c>
      <c r="J157" s="13" t="str">
        <f t="shared" si="1"/>
        <v/>
      </c>
      <c r="K157" s="12" t="str">
        <f>IFERROR(IF(A157="","",if($G157="",Reference!$J$2, VLOOKUP($G157,Reference!$I$2:$J$1000,2,false))),"")</f>
        <v/>
      </c>
      <c r="L157" s="12" t="str">
        <f>IF(A157="","", IF(F157="",Reference!$M$2,F157))</f>
        <v/>
      </c>
      <c r="M157" s="14" t="str">
        <f t="shared" si="2"/>
        <v/>
      </c>
      <c r="N157" s="15" t="str">
        <f t="shared" si="3"/>
        <v/>
      </c>
      <c r="O157" s="14" t="str">
        <f t="shared" si="4"/>
        <v/>
      </c>
      <c r="P157" s="16" t="str">
        <f t="array" ref="P157">IF($A157="","", IFERROR(INDEX('BM Data'!$N:$N,MATCH($J157&amp; "-" &amp; $N157,'BM Data'!$O:$O,0),1),""))</f>
        <v/>
      </c>
      <c r="Q157" s="16" t="str">
        <f t="array" ref="Q157">IF($A157="","", IFERROR(INDEX('BM Data'!$J:$J,MATCH($J157&amp; "-" &amp; $N157,'BM Data'!$O:$O,0),1),""))</f>
        <v/>
      </c>
    </row>
    <row r="158">
      <c r="A158" s="10" t="str">
        <f>IFERROR(__xludf.DUMMYFUNCTION("""COMPUTED_VALUE"""),"")</f>
        <v/>
      </c>
      <c r="B158" s="3" t="str">
        <f>IFERROR(__xludf.DUMMYFUNCTION("""COMPUTED_VALUE"""),"")</f>
        <v/>
      </c>
      <c r="C158" s="11" t="str">
        <f>IFERROR(__xludf.DUMMYFUNCTION("""COMPUTED_VALUE"""),"")</f>
        <v/>
      </c>
      <c r="D158" s="11" t="str">
        <f>IFERROR(__xludf.DUMMYFUNCTION("""COMPUTED_VALUE"""),"")</f>
        <v/>
      </c>
      <c r="E158" s="11" t="str">
        <f>IFERROR(__xludf.DUMMYFUNCTION("""COMPUTED_VALUE"""),"")</f>
        <v/>
      </c>
      <c r="F158" s="11" t="str">
        <f>IFERROR(__xludf.DUMMYFUNCTION("""COMPUTED_VALUE"""),"")</f>
        <v/>
      </c>
      <c r="G158" s="11" t="str">
        <f>IFERROR(__xludf.DUMMYFUNCTION("""COMPUTED_VALUE"""),"")</f>
        <v/>
      </c>
      <c r="H158" s="12" t="str">
        <f>IFERROR(__xludf.DUMMYFUNCTION("""COMPUTED_VALUE"""),"")</f>
        <v/>
      </c>
      <c r="I158" s="12" t="str">
        <f>IFERROR(__xludf.DUMMYFUNCTION("""COMPUTED_VALUE"""),"")</f>
        <v/>
      </c>
      <c r="J158" s="13" t="str">
        <f t="shared" si="1"/>
        <v/>
      </c>
      <c r="K158" s="12" t="str">
        <f>IFERROR(IF(A158="","",if($G158="",Reference!$J$2, VLOOKUP($G158,Reference!$I$2:$J$1000,2,false))),"")</f>
        <v/>
      </c>
      <c r="L158" s="12" t="str">
        <f>IF(A158="","", IF(F158="",Reference!$M$2,F158))</f>
        <v/>
      </c>
      <c r="M158" s="14" t="str">
        <f t="shared" si="2"/>
        <v/>
      </c>
      <c r="N158" s="15" t="str">
        <f t="shared" si="3"/>
        <v/>
      </c>
      <c r="O158" s="14" t="str">
        <f t="shared" si="4"/>
        <v/>
      </c>
      <c r="P158" s="16" t="str">
        <f t="array" ref="P158">IF($A158="","", IFERROR(INDEX('BM Data'!$N:$N,MATCH($J158&amp; "-" &amp; $N158,'BM Data'!$O:$O,0),1),""))</f>
        <v/>
      </c>
      <c r="Q158" s="16" t="str">
        <f t="array" ref="Q158">IF($A158="","", IFERROR(INDEX('BM Data'!$J:$J,MATCH($J158&amp; "-" &amp; $N158,'BM Data'!$O:$O,0),1),""))</f>
        <v/>
      </c>
    </row>
    <row r="159">
      <c r="A159" s="10" t="str">
        <f>IFERROR(__xludf.DUMMYFUNCTION("""COMPUTED_VALUE"""),"")</f>
        <v/>
      </c>
      <c r="B159" s="3" t="str">
        <f>IFERROR(__xludf.DUMMYFUNCTION("""COMPUTED_VALUE"""),"")</f>
        <v/>
      </c>
      <c r="C159" s="11" t="str">
        <f>IFERROR(__xludf.DUMMYFUNCTION("""COMPUTED_VALUE"""),"")</f>
        <v/>
      </c>
      <c r="D159" s="11" t="str">
        <f>IFERROR(__xludf.DUMMYFUNCTION("""COMPUTED_VALUE"""),"")</f>
        <v/>
      </c>
      <c r="E159" s="11" t="str">
        <f>IFERROR(__xludf.DUMMYFUNCTION("""COMPUTED_VALUE"""),"")</f>
        <v/>
      </c>
      <c r="F159" s="11" t="str">
        <f>IFERROR(__xludf.DUMMYFUNCTION("""COMPUTED_VALUE"""),"")</f>
        <v/>
      </c>
      <c r="G159" s="11" t="str">
        <f>IFERROR(__xludf.DUMMYFUNCTION("""COMPUTED_VALUE"""),"")</f>
        <v/>
      </c>
      <c r="H159" s="12" t="str">
        <f>IFERROR(__xludf.DUMMYFUNCTION("""COMPUTED_VALUE"""),"")</f>
        <v/>
      </c>
      <c r="I159" s="12" t="str">
        <f>IFERROR(__xludf.DUMMYFUNCTION("""COMPUTED_VALUE"""),"")</f>
        <v/>
      </c>
      <c r="J159" s="13" t="str">
        <f t="shared" si="1"/>
        <v/>
      </c>
      <c r="K159" s="12" t="str">
        <f>IFERROR(IF(A159="","",if($G159="",Reference!$J$2, VLOOKUP($G159,Reference!$I$2:$J$1000,2,false))),"")</f>
        <v/>
      </c>
      <c r="L159" s="12" t="str">
        <f>IF(A159="","", IF(F159="",Reference!$M$2,F159))</f>
        <v/>
      </c>
      <c r="M159" s="14" t="str">
        <f t="shared" si="2"/>
        <v/>
      </c>
      <c r="N159" s="15" t="str">
        <f t="shared" si="3"/>
        <v/>
      </c>
      <c r="O159" s="14" t="str">
        <f t="shared" si="4"/>
        <v/>
      </c>
      <c r="P159" s="16" t="str">
        <f t="array" ref="P159">IF($A159="","", IFERROR(INDEX('BM Data'!$N:$N,MATCH($J159&amp; "-" &amp; $N159,'BM Data'!$O:$O,0),1),""))</f>
        <v/>
      </c>
      <c r="Q159" s="16" t="str">
        <f t="array" ref="Q159">IF($A159="","", IFERROR(INDEX('BM Data'!$J:$J,MATCH($J159&amp; "-" &amp; $N159,'BM Data'!$O:$O,0),1),""))</f>
        <v/>
      </c>
    </row>
    <row r="160">
      <c r="A160" s="10" t="str">
        <f>IFERROR(__xludf.DUMMYFUNCTION("""COMPUTED_VALUE"""),"")</f>
        <v/>
      </c>
      <c r="B160" s="3" t="str">
        <f>IFERROR(__xludf.DUMMYFUNCTION("""COMPUTED_VALUE"""),"")</f>
        <v/>
      </c>
      <c r="C160" s="11" t="str">
        <f>IFERROR(__xludf.DUMMYFUNCTION("""COMPUTED_VALUE"""),"")</f>
        <v/>
      </c>
      <c r="D160" s="11" t="str">
        <f>IFERROR(__xludf.DUMMYFUNCTION("""COMPUTED_VALUE"""),"")</f>
        <v/>
      </c>
      <c r="E160" s="11" t="str">
        <f>IFERROR(__xludf.DUMMYFUNCTION("""COMPUTED_VALUE"""),"")</f>
        <v/>
      </c>
      <c r="F160" s="11" t="str">
        <f>IFERROR(__xludf.DUMMYFUNCTION("""COMPUTED_VALUE"""),"")</f>
        <v/>
      </c>
      <c r="G160" s="11" t="str">
        <f>IFERROR(__xludf.DUMMYFUNCTION("""COMPUTED_VALUE"""),"")</f>
        <v/>
      </c>
      <c r="H160" s="12" t="str">
        <f>IFERROR(__xludf.DUMMYFUNCTION("""COMPUTED_VALUE"""),"")</f>
        <v/>
      </c>
      <c r="I160" s="12" t="str">
        <f>IFERROR(__xludf.DUMMYFUNCTION("""COMPUTED_VALUE"""),"")</f>
        <v/>
      </c>
      <c r="J160" s="13" t="str">
        <f t="shared" si="1"/>
        <v/>
      </c>
      <c r="K160" s="12" t="str">
        <f>IFERROR(IF(A160="","",if($G160="",Reference!$J$2, VLOOKUP($G160,Reference!$I$2:$J$1000,2,false))),"")</f>
        <v/>
      </c>
      <c r="L160" s="12" t="str">
        <f>IF(A160="","", IF(F160="",Reference!$M$2,F160))</f>
        <v/>
      </c>
      <c r="M160" s="14" t="str">
        <f t="shared" si="2"/>
        <v/>
      </c>
      <c r="N160" s="15" t="str">
        <f t="shared" si="3"/>
        <v/>
      </c>
      <c r="O160" s="14" t="str">
        <f t="shared" si="4"/>
        <v/>
      </c>
      <c r="P160" s="16" t="str">
        <f t="array" ref="P160">IF($A160="","", IFERROR(INDEX('BM Data'!$N:$N,MATCH($J160&amp; "-" &amp; $N160,'BM Data'!$O:$O,0),1),""))</f>
        <v/>
      </c>
      <c r="Q160" s="16" t="str">
        <f t="array" ref="Q160">IF($A160="","", IFERROR(INDEX('BM Data'!$J:$J,MATCH($J160&amp; "-" &amp; $N160,'BM Data'!$O:$O,0),1),""))</f>
        <v/>
      </c>
    </row>
    <row r="161">
      <c r="A161" s="10" t="str">
        <f>IFERROR(__xludf.DUMMYFUNCTION("""COMPUTED_VALUE"""),"")</f>
        <v/>
      </c>
      <c r="B161" s="3" t="str">
        <f>IFERROR(__xludf.DUMMYFUNCTION("""COMPUTED_VALUE"""),"")</f>
        <v/>
      </c>
      <c r="C161" s="11" t="str">
        <f>IFERROR(__xludf.DUMMYFUNCTION("""COMPUTED_VALUE"""),"")</f>
        <v/>
      </c>
      <c r="D161" s="11" t="str">
        <f>IFERROR(__xludf.DUMMYFUNCTION("""COMPUTED_VALUE"""),"")</f>
        <v/>
      </c>
      <c r="E161" s="11" t="str">
        <f>IFERROR(__xludf.DUMMYFUNCTION("""COMPUTED_VALUE"""),"")</f>
        <v/>
      </c>
      <c r="F161" s="11" t="str">
        <f>IFERROR(__xludf.DUMMYFUNCTION("""COMPUTED_VALUE"""),"")</f>
        <v/>
      </c>
      <c r="G161" s="11" t="str">
        <f>IFERROR(__xludf.DUMMYFUNCTION("""COMPUTED_VALUE"""),"")</f>
        <v/>
      </c>
      <c r="H161" s="12" t="str">
        <f>IFERROR(__xludf.DUMMYFUNCTION("""COMPUTED_VALUE"""),"")</f>
        <v/>
      </c>
      <c r="I161" s="12" t="str">
        <f>IFERROR(__xludf.DUMMYFUNCTION("""COMPUTED_VALUE"""),"")</f>
        <v/>
      </c>
      <c r="J161" s="13" t="str">
        <f t="shared" si="1"/>
        <v/>
      </c>
      <c r="K161" s="12" t="str">
        <f>IFERROR(IF(A161="","",if($G161="",Reference!$J$2, VLOOKUP($G161,Reference!$I$2:$J$1000,2,false))),"")</f>
        <v/>
      </c>
      <c r="L161" s="12" t="str">
        <f>IF(A161="","", IF(F161="",Reference!$M$2,F161))</f>
        <v/>
      </c>
      <c r="M161" s="14" t="str">
        <f t="shared" si="2"/>
        <v/>
      </c>
      <c r="N161" s="15" t="str">
        <f t="shared" si="3"/>
        <v/>
      </c>
      <c r="O161" s="14" t="str">
        <f t="shared" si="4"/>
        <v/>
      </c>
      <c r="P161" s="16" t="str">
        <f t="array" ref="P161">IF($A161="","", IFERROR(INDEX('BM Data'!$N:$N,MATCH($J161&amp; "-" &amp; $N161,'BM Data'!$O:$O,0),1),""))</f>
        <v/>
      </c>
      <c r="Q161" s="16" t="str">
        <f t="array" ref="Q161">IF($A161="","", IFERROR(INDEX('BM Data'!$J:$J,MATCH($J161&amp; "-" &amp; $N161,'BM Data'!$O:$O,0),1),""))</f>
        <v/>
      </c>
    </row>
    <row r="162">
      <c r="A162" s="10" t="str">
        <f>IFERROR(__xludf.DUMMYFUNCTION("""COMPUTED_VALUE"""),"")</f>
        <v/>
      </c>
      <c r="B162" s="3" t="str">
        <f>IFERROR(__xludf.DUMMYFUNCTION("""COMPUTED_VALUE"""),"")</f>
        <v/>
      </c>
      <c r="C162" s="11" t="str">
        <f>IFERROR(__xludf.DUMMYFUNCTION("""COMPUTED_VALUE"""),"")</f>
        <v/>
      </c>
      <c r="D162" s="11" t="str">
        <f>IFERROR(__xludf.DUMMYFUNCTION("""COMPUTED_VALUE"""),"")</f>
        <v/>
      </c>
      <c r="E162" s="11" t="str">
        <f>IFERROR(__xludf.DUMMYFUNCTION("""COMPUTED_VALUE"""),"")</f>
        <v/>
      </c>
      <c r="F162" s="11" t="str">
        <f>IFERROR(__xludf.DUMMYFUNCTION("""COMPUTED_VALUE"""),"")</f>
        <v/>
      </c>
      <c r="G162" s="11" t="str">
        <f>IFERROR(__xludf.DUMMYFUNCTION("""COMPUTED_VALUE"""),"")</f>
        <v/>
      </c>
      <c r="H162" s="12" t="str">
        <f>IFERROR(__xludf.DUMMYFUNCTION("""COMPUTED_VALUE"""),"")</f>
        <v/>
      </c>
      <c r="I162" s="12" t="str">
        <f>IFERROR(__xludf.DUMMYFUNCTION("""COMPUTED_VALUE"""),"")</f>
        <v/>
      </c>
      <c r="J162" s="13" t="str">
        <f t="shared" si="1"/>
        <v/>
      </c>
      <c r="K162" s="12" t="str">
        <f>IFERROR(IF(A162="","",if($G162="",Reference!$J$2, VLOOKUP($G162,Reference!$I$2:$J$1000,2,false))),"")</f>
        <v/>
      </c>
      <c r="L162" s="12" t="str">
        <f>IF(A162="","", IF(F162="",Reference!$M$2,F162))</f>
        <v/>
      </c>
      <c r="M162" s="14" t="str">
        <f t="shared" si="2"/>
        <v/>
      </c>
      <c r="N162" s="15" t="str">
        <f t="shared" si="3"/>
        <v/>
      </c>
      <c r="O162" s="14" t="str">
        <f t="shared" si="4"/>
        <v/>
      </c>
      <c r="P162" s="16" t="str">
        <f t="array" ref="P162">IF($A162="","", IFERROR(INDEX('BM Data'!$N:$N,MATCH($J162&amp; "-" &amp; $N162,'BM Data'!$O:$O,0),1),""))</f>
        <v/>
      </c>
      <c r="Q162" s="16" t="str">
        <f t="array" ref="Q162">IF($A162="","", IFERROR(INDEX('BM Data'!$J:$J,MATCH($J162&amp; "-" &amp; $N162,'BM Data'!$O:$O,0),1),""))</f>
        <v/>
      </c>
    </row>
    <row r="163">
      <c r="A163" s="10" t="str">
        <f>IFERROR(__xludf.DUMMYFUNCTION("""COMPUTED_VALUE"""),"")</f>
        <v/>
      </c>
      <c r="B163" s="3" t="str">
        <f>IFERROR(__xludf.DUMMYFUNCTION("""COMPUTED_VALUE"""),"")</f>
        <v/>
      </c>
      <c r="C163" s="11" t="str">
        <f>IFERROR(__xludf.DUMMYFUNCTION("""COMPUTED_VALUE"""),"")</f>
        <v/>
      </c>
      <c r="D163" s="11" t="str">
        <f>IFERROR(__xludf.DUMMYFUNCTION("""COMPUTED_VALUE"""),"")</f>
        <v/>
      </c>
      <c r="E163" s="11" t="str">
        <f>IFERROR(__xludf.DUMMYFUNCTION("""COMPUTED_VALUE"""),"")</f>
        <v/>
      </c>
      <c r="F163" s="11" t="str">
        <f>IFERROR(__xludf.DUMMYFUNCTION("""COMPUTED_VALUE"""),"")</f>
        <v/>
      </c>
      <c r="G163" s="11" t="str">
        <f>IFERROR(__xludf.DUMMYFUNCTION("""COMPUTED_VALUE"""),"")</f>
        <v/>
      </c>
      <c r="H163" s="12" t="str">
        <f>IFERROR(__xludf.DUMMYFUNCTION("""COMPUTED_VALUE"""),"")</f>
        <v/>
      </c>
      <c r="I163" s="12" t="str">
        <f>IFERROR(__xludf.DUMMYFUNCTION("""COMPUTED_VALUE"""),"")</f>
        <v/>
      </c>
      <c r="J163" s="13" t="str">
        <f t="shared" si="1"/>
        <v/>
      </c>
      <c r="K163" s="12" t="str">
        <f>IFERROR(IF(A163="","",if($G163="",Reference!$J$2, VLOOKUP($G163,Reference!$I$2:$J$1000,2,false))),"")</f>
        <v/>
      </c>
      <c r="L163" s="12" t="str">
        <f>IF(A163="","", IF(F163="",Reference!$M$2,F163))</f>
        <v/>
      </c>
      <c r="M163" s="14" t="str">
        <f t="shared" si="2"/>
        <v/>
      </c>
      <c r="N163" s="15" t="str">
        <f t="shared" si="3"/>
        <v/>
      </c>
      <c r="O163" s="14" t="str">
        <f t="shared" si="4"/>
        <v/>
      </c>
      <c r="P163" s="16" t="str">
        <f t="array" ref="P163">IF($A163="","", IFERROR(INDEX('BM Data'!$N:$N,MATCH($J163&amp; "-" &amp; $N163,'BM Data'!$O:$O,0),1),""))</f>
        <v/>
      </c>
      <c r="Q163" s="16" t="str">
        <f t="array" ref="Q163">IF($A163="","", IFERROR(INDEX('BM Data'!$J:$J,MATCH($J163&amp; "-" &amp; $N163,'BM Data'!$O:$O,0),1),""))</f>
        <v/>
      </c>
    </row>
    <row r="164">
      <c r="A164" s="10" t="str">
        <f>IFERROR(__xludf.DUMMYFUNCTION("""COMPUTED_VALUE"""),"")</f>
        <v/>
      </c>
      <c r="B164" s="3" t="str">
        <f>IFERROR(__xludf.DUMMYFUNCTION("""COMPUTED_VALUE"""),"")</f>
        <v/>
      </c>
      <c r="C164" s="11" t="str">
        <f>IFERROR(__xludf.DUMMYFUNCTION("""COMPUTED_VALUE"""),"")</f>
        <v/>
      </c>
      <c r="D164" s="11" t="str">
        <f>IFERROR(__xludf.DUMMYFUNCTION("""COMPUTED_VALUE"""),"")</f>
        <v/>
      </c>
      <c r="E164" s="11" t="str">
        <f>IFERROR(__xludf.DUMMYFUNCTION("""COMPUTED_VALUE"""),"")</f>
        <v/>
      </c>
      <c r="F164" s="11" t="str">
        <f>IFERROR(__xludf.DUMMYFUNCTION("""COMPUTED_VALUE"""),"")</f>
        <v/>
      </c>
      <c r="G164" s="11" t="str">
        <f>IFERROR(__xludf.DUMMYFUNCTION("""COMPUTED_VALUE"""),"")</f>
        <v/>
      </c>
      <c r="H164" s="12" t="str">
        <f>IFERROR(__xludf.DUMMYFUNCTION("""COMPUTED_VALUE"""),"")</f>
        <v/>
      </c>
      <c r="I164" s="12" t="str">
        <f>IFERROR(__xludf.DUMMYFUNCTION("""COMPUTED_VALUE"""),"")</f>
        <v/>
      </c>
      <c r="J164" s="13" t="str">
        <f t="shared" si="1"/>
        <v/>
      </c>
      <c r="K164" s="12" t="str">
        <f>IFERROR(IF(A164="","",if($G164="",Reference!$J$2, VLOOKUP($G164,Reference!$I$2:$J$1000,2,false))),"")</f>
        <v/>
      </c>
      <c r="L164" s="12" t="str">
        <f>IF(A164="","", IF(F164="",Reference!$M$2,F164))</f>
        <v/>
      </c>
      <c r="M164" s="14" t="str">
        <f t="shared" si="2"/>
        <v/>
      </c>
      <c r="N164" s="15" t="str">
        <f t="shared" si="3"/>
        <v/>
      </c>
      <c r="O164" s="14" t="str">
        <f t="shared" si="4"/>
        <v/>
      </c>
      <c r="P164" s="16" t="str">
        <f t="array" ref="P164">IF($A164="","", IFERROR(INDEX('BM Data'!$N:$N,MATCH($J164&amp; "-" &amp; $N164,'BM Data'!$O:$O,0),1),""))</f>
        <v/>
      </c>
      <c r="Q164" s="16" t="str">
        <f t="array" ref="Q164">IF($A164="","", IFERROR(INDEX('BM Data'!$J:$J,MATCH($J164&amp; "-" &amp; $N164,'BM Data'!$O:$O,0),1),""))</f>
        <v/>
      </c>
    </row>
    <row r="165">
      <c r="A165" s="10" t="str">
        <f>IFERROR(__xludf.DUMMYFUNCTION("""COMPUTED_VALUE"""),"")</f>
        <v/>
      </c>
      <c r="B165" s="3" t="str">
        <f>IFERROR(__xludf.DUMMYFUNCTION("""COMPUTED_VALUE"""),"")</f>
        <v/>
      </c>
      <c r="C165" s="11" t="str">
        <f>IFERROR(__xludf.DUMMYFUNCTION("""COMPUTED_VALUE"""),"")</f>
        <v/>
      </c>
      <c r="D165" s="11" t="str">
        <f>IFERROR(__xludf.DUMMYFUNCTION("""COMPUTED_VALUE"""),"")</f>
        <v/>
      </c>
      <c r="E165" s="11" t="str">
        <f>IFERROR(__xludf.DUMMYFUNCTION("""COMPUTED_VALUE"""),"")</f>
        <v/>
      </c>
      <c r="F165" s="11" t="str">
        <f>IFERROR(__xludf.DUMMYFUNCTION("""COMPUTED_VALUE"""),"")</f>
        <v/>
      </c>
      <c r="G165" s="11" t="str">
        <f>IFERROR(__xludf.DUMMYFUNCTION("""COMPUTED_VALUE"""),"")</f>
        <v/>
      </c>
      <c r="H165" s="12" t="str">
        <f>IFERROR(__xludf.DUMMYFUNCTION("""COMPUTED_VALUE"""),"")</f>
        <v/>
      </c>
      <c r="I165" s="12" t="str">
        <f>IFERROR(__xludf.DUMMYFUNCTION("""COMPUTED_VALUE"""),"")</f>
        <v/>
      </c>
      <c r="J165" s="13" t="str">
        <f t="shared" si="1"/>
        <v/>
      </c>
      <c r="K165" s="12" t="str">
        <f>IFERROR(IF(A165="","",if($G165="",Reference!$J$2, VLOOKUP($G165,Reference!$I$2:$J$1000,2,false))),"")</f>
        <v/>
      </c>
      <c r="L165" s="12" t="str">
        <f>IF(A165="","", IF(F165="",Reference!$M$2,F165))</f>
        <v/>
      </c>
      <c r="M165" s="14" t="str">
        <f t="shared" si="2"/>
        <v/>
      </c>
      <c r="N165" s="15" t="str">
        <f t="shared" si="3"/>
        <v/>
      </c>
      <c r="O165" s="14" t="str">
        <f t="shared" si="4"/>
        <v/>
      </c>
      <c r="P165" s="16" t="str">
        <f t="array" ref="P165">IF($A165="","", IFERROR(INDEX('BM Data'!$N:$N,MATCH($J165&amp; "-" &amp; $N165,'BM Data'!$O:$O,0),1),""))</f>
        <v/>
      </c>
      <c r="Q165" s="16" t="str">
        <f t="array" ref="Q165">IF($A165="","", IFERROR(INDEX('BM Data'!$J:$J,MATCH($J165&amp; "-" &amp; $N165,'BM Data'!$O:$O,0),1),""))</f>
        <v/>
      </c>
    </row>
    <row r="166">
      <c r="A166" s="10" t="str">
        <f>IFERROR(__xludf.DUMMYFUNCTION("""COMPUTED_VALUE"""),"")</f>
        <v/>
      </c>
      <c r="B166" s="3" t="str">
        <f>IFERROR(__xludf.DUMMYFUNCTION("""COMPUTED_VALUE"""),"")</f>
        <v/>
      </c>
      <c r="C166" s="11" t="str">
        <f>IFERROR(__xludf.DUMMYFUNCTION("""COMPUTED_VALUE"""),"")</f>
        <v/>
      </c>
      <c r="D166" s="11" t="str">
        <f>IFERROR(__xludf.DUMMYFUNCTION("""COMPUTED_VALUE"""),"")</f>
        <v/>
      </c>
      <c r="E166" s="11" t="str">
        <f>IFERROR(__xludf.DUMMYFUNCTION("""COMPUTED_VALUE"""),"")</f>
        <v/>
      </c>
      <c r="F166" s="11" t="str">
        <f>IFERROR(__xludf.DUMMYFUNCTION("""COMPUTED_VALUE"""),"")</f>
        <v/>
      </c>
      <c r="G166" s="11" t="str">
        <f>IFERROR(__xludf.DUMMYFUNCTION("""COMPUTED_VALUE"""),"")</f>
        <v/>
      </c>
      <c r="H166" s="12" t="str">
        <f>IFERROR(__xludf.DUMMYFUNCTION("""COMPUTED_VALUE"""),"")</f>
        <v/>
      </c>
      <c r="I166" s="12" t="str">
        <f>IFERROR(__xludf.DUMMYFUNCTION("""COMPUTED_VALUE"""),"")</f>
        <v/>
      </c>
      <c r="J166" s="13" t="str">
        <f t="shared" si="1"/>
        <v/>
      </c>
      <c r="K166" s="12" t="str">
        <f>IFERROR(IF(A166="","",if($G166="",Reference!$J$2, VLOOKUP($G166,Reference!$I$2:$J$1000,2,false))),"")</f>
        <v/>
      </c>
      <c r="L166" s="12" t="str">
        <f>IF(A166="","", IF(F166="",Reference!$M$2,F166))</f>
        <v/>
      </c>
      <c r="M166" s="14" t="str">
        <f t="shared" si="2"/>
        <v/>
      </c>
      <c r="N166" s="15" t="str">
        <f t="shared" si="3"/>
        <v/>
      </c>
      <c r="O166" s="14" t="str">
        <f t="shared" si="4"/>
        <v/>
      </c>
      <c r="P166" s="16" t="str">
        <f t="array" ref="P166">IF($A166="","", IFERROR(INDEX('BM Data'!$N:$N,MATCH($J166&amp; "-" &amp; $N166,'BM Data'!$O:$O,0),1),""))</f>
        <v/>
      </c>
      <c r="Q166" s="16" t="str">
        <f t="array" ref="Q166">IF($A166="","", IFERROR(INDEX('BM Data'!$J:$J,MATCH($J166&amp; "-" &amp; $N166,'BM Data'!$O:$O,0),1),""))</f>
        <v/>
      </c>
    </row>
    <row r="167">
      <c r="A167" s="10" t="str">
        <f>IFERROR(__xludf.DUMMYFUNCTION("""COMPUTED_VALUE"""),"")</f>
        <v/>
      </c>
      <c r="B167" s="3" t="str">
        <f>IFERROR(__xludf.DUMMYFUNCTION("""COMPUTED_VALUE"""),"")</f>
        <v/>
      </c>
      <c r="C167" s="11" t="str">
        <f>IFERROR(__xludf.DUMMYFUNCTION("""COMPUTED_VALUE"""),"")</f>
        <v/>
      </c>
      <c r="D167" s="11" t="str">
        <f>IFERROR(__xludf.DUMMYFUNCTION("""COMPUTED_VALUE"""),"")</f>
        <v/>
      </c>
      <c r="E167" s="11" t="str">
        <f>IFERROR(__xludf.DUMMYFUNCTION("""COMPUTED_VALUE"""),"")</f>
        <v/>
      </c>
      <c r="F167" s="11" t="str">
        <f>IFERROR(__xludf.DUMMYFUNCTION("""COMPUTED_VALUE"""),"")</f>
        <v/>
      </c>
      <c r="G167" s="11" t="str">
        <f>IFERROR(__xludf.DUMMYFUNCTION("""COMPUTED_VALUE"""),"")</f>
        <v/>
      </c>
      <c r="H167" s="12" t="str">
        <f>IFERROR(__xludf.DUMMYFUNCTION("""COMPUTED_VALUE"""),"")</f>
        <v/>
      </c>
      <c r="I167" s="12" t="str">
        <f>IFERROR(__xludf.DUMMYFUNCTION("""COMPUTED_VALUE"""),"")</f>
        <v/>
      </c>
      <c r="J167" s="13" t="str">
        <f t="shared" si="1"/>
        <v/>
      </c>
      <c r="K167" s="12" t="str">
        <f>IFERROR(IF(A167="","",if($G167="",Reference!$J$2, VLOOKUP($G167,Reference!$I$2:$J$1000,2,false))),"")</f>
        <v/>
      </c>
      <c r="L167" s="12" t="str">
        <f>IF(A167="","", IF(F167="",Reference!$M$2,F167))</f>
        <v/>
      </c>
      <c r="M167" s="14" t="str">
        <f t="shared" si="2"/>
        <v/>
      </c>
      <c r="N167" s="15" t="str">
        <f t="shared" si="3"/>
        <v/>
      </c>
      <c r="O167" s="14" t="str">
        <f t="shared" si="4"/>
        <v/>
      </c>
      <c r="P167" s="16" t="str">
        <f t="array" ref="P167">IF($A167="","", IFERROR(INDEX('BM Data'!$N:$N,MATCH($J167&amp; "-" &amp; $N167,'BM Data'!$O:$O,0),1),""))</f>
        <v/>
      </c>
      <c r="Q167" s="16" t="str">
        <f t="array" ref="Q167">IF($A167="","", IFERROR(INDEX('BM Data'!$J:$J,MATCH($J167&amp; "-" &amp; $N167,'BM Data'!$O:$O,0),1),""))</f>
        <v/>
      </c>
    </row>
    <row r="168">
      <c r="A168" s="10" t="str">
        <f>IFERROR(__xludf.DUMMYFUNCTION("""COMPUTED_VALUE"""),"")</f>
        <v/>
      </c>
      <c r="B168" s="3" t="str">
        <f>IFERROR(__xludf.DUMMYFUNCTION("""COMPUTED_VALUE"""),"")</f>
        <v/>
      </c>
      <c r="C168" s="11" t="str">
        <f>IFERROR(__xludf.DUMMYFUNCTION("""COMPUTED_VALUE"""),"")</f>
        <v/>
      </c>
      <c r="D168" s="11" t="str">
        <f>IFERROR(__xludf.DUMMYFUNCTION("""COMPUTED_VALUE"""),"")</f>
        <v/>
      </c>
      <c r="E168" s="11" t="str">
        <f>IFERROR(__xludf.DUMMYFUNCTION("""COMPUTED_VALUE"""),"")</f>
        <v/>
      </c>
      <c r="F168" s="11" t="str">
        <f>IFERROR(__xludf.DUMMYFUNCTION("""COMPUTED_VALUE"""),"")</f>
        <v/>
      </c>
      <c r="G168" s="11" t="str">
        <f>IFERROR(__xludf.DUMMYFUNCTION("""COMPUTED_VALUE"""),"")</f>
        <v/>
      </c>
      <c r="H168" s="12" t="str">
        <f>IFERROR(__xludf.DUMMYFUNCTION("""COMPUTED_VALUE"""),"")</f>
        <v/>
      </c>
      <c r="I168" s="12" t="str">
        <f>IFERROR(__xludf.DUMMYFUNCTION("""COMPUTED_VALUE"""),"")</f>
        <v/>
      </c>
      <c r="J168" s="13" t="str">
        <f t="shared" si="1"/>
        <v/>
      </c>
      <c r="K168" s="12" t="str">
        <f>IFERROR(IF(A168="","",if($G168="",Reference!$J$2, VLOOKUP($G168,Reference!$I$2:$J$1000,2,false))),"")</f>
        <v/>
      </c>
      <c r="L168" s="12" t="str">
        <f>IF(A168="","", IF(F168="",Reference!$M$2,F168))</f>
        <v/>
      </c>
      <c r="M168" s="14" t="str">
        <f t="shared" si="2"/>
        <v/>
      </c>
      <c r="N168" s="15" t="str">
        <f t="shared" si="3"/>
        <v/>
      </c>
      <c r="O168" s="14" t="str">
        <f t="shared" si="4"/>
        <v/>
      </c>
      <c r="P168" s="16" t="str">
        <f t="array" ref="P168">IF($A168="","", IFERROR(INDEX('BM Data'!$N:$N,MATCH($J168&amp; "-" &amp; $N168,'BM Data'!$O:$O,0),1),""))</f>
        <v/>
      </c>
      <c r="Q168" s="16" t="str">
        <f t="array" ref="Q168">IF($A168="","", IFERROR(INDEX('BM Data'!$J:$J,MATCH($J168&amp; "-" &amp; $N168,'BM Data'!$O:$O,0),1),""))</f>
        <v/>
      </c>
    </row>
    <row r="169">
      <c r="A169" s="10" t="str">
        <f>IFERROR(__xludf.DUMMYFUNCTION("""COMPUTED_VALUE"""),"")</f>
        <v/>
      </c>
      <c r="B169" s="3" t="str">
        <f>IFERROR(__xludf.DUMMYFUNCTION("""COMPUTED_VALUE"""),"")</f>
        <v/>
      </c>
      <c r="C169" s="11" t="str">
        <f>IFERROR(__xludf.DUMMYFUNCTION("""COMPUTED_VALUE"""),"")</f>
        <v/>
      </c>
      <c r="D169" s="11" t="str">
        <f>IFERROR(__xludf.DUMMYFUNCTION("""COMPUTED_VALUE"""),"")</f>
        <v/>
      </c>
      <c r="E169" s="11" t="str">
        <f>IFERROR(__xludf.DUMMYFUNCTION("""COMPUTED_VALUE"""),"")</f>
        <v/>
      </c>
      <c r="F169" s="11" t="str">
        <f>IFERROR(__xludf.DUMMYFUNCTION("""COMPUTED_VALUE"""),"")</f>
        <v/>
      </c>
      <c r="G169" s="11" t="str">
        <f>IFERROR(__xludf.DUMMYFUNCTION("""COMPUTED_VALUE"""),"")</f>
        <v/>
      </c>
      <c r="H169" s="12" t="str">
        <f>IFERROR(__xludf.DUMMYFUNCTION("""COMPUTED_VALUE"""),"")</f>
        <v/>
      </c>
      <c r="I169" s="12" t="str">
        <f>IFERROR(__xludf.DUMMYFUNCTION("""COMPUTED_VALUE"""),"")</f>
        <v/>
      </c>
      <c r="J169" s="13" t="str">
        <f t="shared" si="1"/>
        <v/>
      </c>
      <c r="K169" s="12" t="str">
        <f>IFERROR(IF(A169="","",if($G169="",Reference!$J$2, VLOOKUP($G169,Reference!$I$2:$J$1000,2,false))),"")</f>
        <v/>
      </c>
      <c r="L169" s="12" t="str">
        <f>IF(A169="","", IF(F169="",Reference!$M$2,F169))</f>
        <v/>
      </c>
      <c r="M169" s="14" t="str">
        <f t="shared" si="2"/>
        <v/>
      </c>
      <c r="N169" s="15" t="str">
        <f t="shared" si="3"/>
        <v/>
      </c>
      <c r="O169" s="14" t="str">
        <f t="shared" si="4"/>
        <v/>
      </c>
      <c r="P169" s="16" t="str">
        <f t="array" ref="P169">IF($A169="","", IFERROR(INDEX('BM Data'!$N:$N,MATCH($J169&amp; "-" &amp; $N169,'BM Data'!$O:$O,0),1),""))</f>
        <v/>
      </c>
      <c r="Q169" s="16" t="str">
        <f t="array" ref="Q169">IF($A169="","", IFERROR(INDEX('BM Data'!$J:$J,MATCH($J169&amp; "-" &amp; $N169,'BM Data'!$O:$O,0),1),""))</f>
        <v/>
      </c>
    </row>
    <row r="170">
      <c r="A170" s="10" t="str">
        <f>IFERROR(__xludf.DUMMYFUNCTION("""COMPUTED_VALUE"""),"")</f>
        <v/>
      </c>
      <c r="B170" s="3" t="str">
        <f>IFERROR(__xludf.DUMMYFUNCTION("""COMPUTED_VALUE"""),"")</f>
        <v/>
      </c>
      <c r="C170" s="11" t="str">
        <f>IFERROR(__xludf.DUMMYFUNCTION("""COMPUTED_VALUE"""),"")</f>
        <v/>
      </c>
      <c r="D170" s="11" t="str">
        <f>IFERROR(__xludf.DUMMYFUNCTION("""COMPUTED_VALUE"""),"")</f>
        <v/>
      </c>
      <c r="E170" s="11" t="str">
        <f>IFERROR(__xludf.DUMMYFUNCTION("""COMPUTED_VALUE"""),"")</f>
        <v/>
      </c>
      <c r="F170" s="11" t="str">
        <f>IFERROR(__xludf.DUMMYFUNCTION("""COMPUTED_VALUE"""),"")</f>
        <v/>
      </c>
      <c r="G170" s="11" t="str">
        <f>IFERROR(__xludf.DUMMYFUNCTION("""COMPUTED_VALUE"""),"")</f>
        <v/>
      </c>
      <c r="H170" s="12" t="str">
        <f>IFERROR(__xludf.DUMMYFUNCTION("""COMPUTED_VALUE"""),"")</f>
        <v/>
      </c>
      <c r="I170" s="12" t="str">
        <f>IFERROR(__xludf.DUMMYFUNCTION("""COMPUTED_VALUE"""),"")</f>
        <v/>
      </c>
      <c r="J170" s="13" t="str">
        <f t="shared" si="1"/>
        <v/>
      </c>
      <c r="K170" s="12" t="str">
        <f>IFERROR(IF(A170="","",if($G170="",Reference!$J$2, VLOOKUP($G170,Reference!$I$2:$J$1000,2,false))),"")</f>
        <v/>
      </c>
      <c r="L170" s="12" t="str">
        <f>IF(A170="","", IF(F170="",Reference!$M$2,F170))</f>
        <v/>
      </c>
      <c r="M170" s="14" t="str">
        <f t="shared" si="2"/>
        <v/>
      </c>
      <c r="N170" s="15" t="str">
        <f t="shared" si="3"/>
        <v/>
      </c>
      <c r="O170" s="14" t="str">
        <f t="shared" si="4"/>
        <v/>
      </c>
      <c r="P170" s="16" t="str">
        <f t="array" ref="P170">IF($A170="","", IFERROR(INDEX('BM Data'!$N:$N,MATCH($J170&amp; "-" &amp; $N170,'BM Data'!$O:$O,0),1),""))</f>
        <v/>
      </c>
      <c r="Q170" s="16" t="str">
        <f t="array" ref="Q170">IF($A170="","", IFERROR(INDEX('BM Data'!$J:$J,MATCH($J170&amp; "-" &amp; $N170,'BM Data'!$O:$O,0),1),""))</f>
        <v/>
      </c>
    </row>
    <row r="171">
      <c r="A171" s="10" t="str">
        <f>IFERROR(__xludf.DUMMYFUNCTION("""COMPUTED_VALUE"""),"")</f>
        <v/>
      </c>
      <c r="B171" s="3" t="str">
        <f>IFERROR(__xludf.DUMMYFUNCTION("""COMPUTED_VALUE"""),"")</f>
        <v/>
      </c>
      <c r="C171" s="11" t="str">
        <f>IFERROR(__xludf.DUMMYFUNCTION("""COMPUTED_VALUE"""),"")</f>
        <v/>
      </c>
      <c r="D171" s="11" t="str">
        <f>IFERROR(__xludf.DUMMYFUNCTION("""COMPUTED_VALUE"""),"")</f>
        <v/>
      </c>
      <c r="E171" s="11" t="str">
        <f>IFERROR(__xludf.DUMMYFUNCTION("""COMPUTED_VALUE"""),"")</f>
        <v/>
      </c>
      <c r="F171" s="11" t="str">
        <f>IFERROR(__xludf.DUMMYFUNCTION("""COMPUTED_VALUE"""),"")</f>
        <v/>
      </c>
      <c r="G171" s="11" t="str">
        <f>IFERROR(__xludf.DUMMYFUNCTION("""COMPUTED_VALUE"""),"")</f>
        <v/>
      </c>
      <c r="H171" s="12" t="str">
        <f>IFERROR(__xludf.DUMMYFUNCTION("""COMPUTED_VALUE"""),"")</f>
        <v/>
      </c>
      <c r="I171" s="12" t="str">
        <f>IFERROR(__xludf.DUMMYFUNCTION("""COMPUTED_VALUE"""),"")</f>
        <v/>
      </c>
      <c r="J171" s="13" t="str">
        <f t="shared" si="1"/>
        <v/>
      </c>
      <c r="K171" s="12" t="str">
        <f>IFERROR(IF(A171="","",if($G171="",Reference!$J$2, VLOOKUP($G171,Reference!$I$2:$J$1000,2,false))),"")</f>
        <v/>
      </c>
      <c r="L171" s="12" t="str">
        <f>IF(A171="","", IF(F171="",Reference!$M$2,F171))</f>
        <v/>
      </c>
      <c r="M171" s="14" t="str">
        <f t="shared" si="2"/>
        <v/>
      </c>
      <c r="N171" s="15" t="str">
        <f t="shared" si="3"/>
        <v/>
      </c>
      <c r="O171" s="14" t="str">
        <f t="shared" si="4"/>
        <v/>
      </c>
      <c r="P171" s="16" t="str">
        <f t="array" ref="P171">IF($A171="","", IFERROR(INDEX('BM Data'!$N:$N,MATCH($J171&amp; "-" &amp; $N171,'BM Data'!$O:$O,0),1),""))</f>
        <v/>
      </c>
      <c r="Q171" s="16" t="str">
        <f t="array" ref="Q171">IF($A171="","", IFERROR(INDEX('BM Data'!$J:$J,MATCH($J171&amp; "-" &amp; $N171,'BM Data'!$O:$O,0),1),""))</f>
        <v/>
      </c>
    </row>
    <row r="172">
      <c r="A172" s="10" t="str">
        <f>IFERROR(__xludf.DUMMYFUNCTION("""COMPUTED_VALUE"""),"")</f>
        <v/>
      </c>
      <c r="B172" s="3" t="str">
        <f>IFERROR(__xludf.DUMMYFUNCTION("""COMPUTED_VALUE"""),"")</f>
        <v/>
      </c>
      <c r="C172" s="11" t="str">
        <f>IFERROR(__xludf.DUMMYFUNCTION("""COMPUTED_VALUE"""),"")</f>
        <v/>
      </c>
      <c r="D172" s="11" t="str">
        <f>IFERROR(__xludf.DUMMYFUNCTION("""COMPUTED_VALUE"""),"")</f>
        <v/>
      </c>
      <c r="E172" s="11" t="str">
        <f>IFERROR(__xludf.DUMMYFUNCTION("""COMPUTED_VALUE"""),"")</f>
        <v/>
      </c>
      <c r="F172" s="11" t="str">
        <f>IFERROR(__xludf.DUMMYFUNCTION("""COMPUTED_VALUE"""),"")</f>
        <v/>
      </c>
      <c r="G172" s="11" t="str">
        <f>IFERROR(__xludf.DUMMYFUNCTION("""COMPUTED_VALUE"""),"")</f>
        <v/>
      </c>
      <c r="H172" s="12" t="str">
        <f>IFERROR(__xludf.DUMMYFUNCTION("""COMPUTED_VALUE"""),"")</f>
        <v/>
      </c>
      <c r="I172" s="12" t="str">
        <f>IFERROR(__xludf.DUMMYFUNCTION("""COMPUTED_VALUE"""),"")</f>
        <v/>
      </c>
      <c r="J172" s="13" t="str">
        <f t="shared" si="1"/>
        <v/>
      </c>
      <c r="K172" s="12" t="str">
        <f>IFERROR(IF(A172="","",if($G172="",Reference!$J$2, VLOOKUP($G172,Reference!$I$2:$J$1000,2,false))),"")</f>
        <v/>
      </c>
      <c r="L172" s="12" t="str">
        <f>IF(A172="","", IF(F172="",Reference!$M$2,F172))</f>
        <v/>
      </c>
      <c r="M172" s="14" t="str">
        <f t="shared" si="2"/>
        <v/>
      </c>
      <c r="N172" s="15" t="str">
        <f t="shared" si="3"/>
        <v/>
      </c>
      <c r="O172" s="14" t="str">
        <f t="shared" si="4"/>
        <v/>
      </c>
      <c r="P172" s="16" t="str">
        <f t="array" ref="P172">IF($A172="","", IFERROR(INDEX('BM Data'!$N:$N,MATCH($J172&amp; "-" &amp; $N172,'BM Data'!$O:$O,0),1),""))</f>
        <v/>
      </c>
      <c r="Q172" s="16" t="str">
        <f t="array" ref="Q172">IF($A172="","", IFERROR(INDEX('BM Data'!$J:$J,MATCH($J172&amp; "-" &amp; $N172,'BM Data'!$O:$O,0),1),""))</f>
        <v/>
      </c>
    </row>
    <row r="173">
      <c r="A173" s="10" t="str">
        <f>IFERROR(__xludf.DUMMYFUNCTION("""COMPUTED_VALUE"""),"")</f>
        <v/>
      </c>
      <c r="B173" s="3" t="str">
        <f>IFERROR(__xludf.DUMMYFUNCTION("""COMPUTED_VALUE"""),"")</f>
        <v/>
      </c>
      <c r="C173" s="11" t="str">
        <f>IFERROR(__xludf.DUMMYFUNCTION("""COMPUTED_VALUE"""),"")</f>
        <v/>
      </c>
      <c r="D173" s="11" t="str">
        <f>IFERROR(__xludf.DUMMYFUNCTION("""COMPUTED_VALUE"""),"")</f>
        <v/>
      </c>
      <c r="E173" s="11" t="str">
        <f>IFERROR(__xludf.DUMMYFUNCTION("""COMPUTED_VALUE"""),"")</f>
        <v/>
      </c>
      <c r="F173" s="11" t="str">
        <f>IFERROR(__xludf.DUMMYFUNCTION("""COMPUTED_VALUE"""),"")</f>
        <v/>
      </c>
      <c r="G173" s="11" t="str">
        <f>IFERROR(__xludf.DUMMYFUNCTION("""COMPUTED_VALUE"""),"")</f>
        <v/>
      </c>
      <c r="H173" s="12" t="str">
        <f>IFERROR(__xludf.DUMMYFUNCTION("""COMPUTED_VALUE"""),"")</f>
        <v/>
      </c>
      <c r="I173" s="12" t="str">
        <f>IFERROR(__xludf.DUMMYFUNCTION("""COMPUTED_VALUE"""),"")</f>
        <v/>
      </c>
      <c r="J173" s="13" t="str">
        <f t="shared" si="1"/>
        <v/>
      </c>
      <c r="K173" s="12" t="str">
        <f>IFERROR(IF(A173="","",if($G173="",Reference!$J$2, VLOOKUP($G173,Reference!$I$2:$J$1000,2,false))),"")</f>
        <v/>
      </c>
      <c r="L173" s="12" t="str">
        <f>IF(A173="","", IF(F173="",Reference!$M$2,F173))</f>
        <v/>
      </c>
      <c r="M173" s="14" t="str">
        <f t="shared" si="2"/>
        <v/>
      </c>
      <c r="N173" s="15" t="str">
        <f t="shared" si="3"/>
        <v/>
      </c>
      <c r="O173" s="14" t="str">
        <f t="shared" si="4"/>
        <v/>
      </c>
      <c r="P173" s="16" t="str">
        <f t="array" ref="P173">IF($A173="","", IFERROR(INDEX('BM Data'!$N:$N,MATCH($J173&amp; "-" &amp; $N173,'BM Data'!$O:$O,0),1),""))</f>
        <v/>
      </c>
      <c r="Q173" s="16" t="str">
        <f t="array" ref="Q173">IF($A173="","", IFERROR(INDEX('BM Data'!$J:$J,MATCH($J173&amp; "-" &amp; $N173,'BM Data'!$O:$O,0),1),""))</f>
        <v/>
      </c>
    </row>
    <row r="174">
      <c r="A174" s="10" t="str">
        <f>IFERROR(__xludf.DUMMYFUNCTION("""COMPUTED_VALUE"""),"")</f>
        <v/>
      </c>
      <c r="B174" s="3" t="str">
        <f>IFERROR(__xludf.DUMMYFUNCTION("""COMPUTED_VALUE"""),"")</f>
        <v/>
      </c>
      <c r="C174" s="11" t="str">
        <f>IFERROR(__xludf.DUMMYFUNCTION("""COMPUTED_VALUE"""),"")</f>
        <v/>
      </c>
      <c r="D174" s="11" t="str">
        <f>IFERROR(__xludf.DUMMYFUNCTION("""COMPUTED_VALUE"""),"")</f>
        <v/>
      </c>
      <c r="E174" s="11" t="str">
        <f>IFERROR(__xludf.DUMMYFUNCTION("""COMPUTED_VALUE"""),"")</f>
        <v/>
      </c>
      <c r="F174" s="11" t="str">
        <f>IFERROR(__xludf.DUMMYFUNCTION("""COMPUTED_VALUE"""),"")</f>
        <v/>
      </c>
      <c r="G174" s="11" t="str">
        <f>IFERROR(__xludf.DUMMYFUNCTION("""COMPUTED_VALUE"""),"")</f>
        <v/>
      </c>
      <c r="H174" s="12" t="str">
        <f>IFERROR(__xludf.DUMMYFUNCTION("""COMPUTED_VALUE"""),"")</f>
        <v/>
      </c>
      <c r="I174" s="12" t="str">
        <f>IFERROR(__xludf.DUMMYFUNCTION("""COMPUTED_VALUE"""),"")</f>
        <v/>
      </c>
      <c r="J174" s="13" t="str">
        <f t="shared" si="1"/>
        <v/>
      </c>
      <c r="K174" s="12" t="str">
        <f>IFERROR(IF(A174="","",if($G174="",Reference!$J$2, VLOOKUP($G174,Reference!$I$2:$J$1000,2,false))),"")</f>
        <v/>
      </c>
      <c r="L174" s="12" t="str">
        <f>IF(A174="","", IF(F174="",Reference!$M$2,F174))</f>
        <v/>
      </c>
      <c r="M174" s="14" t="str">
        <f t="shared" si="2"/>
        <v/>
      </c>
      <c r="N174" s="15" t="str">
        <f t="shared" si="3"/>
        <v/>
      </c>
      <c r="O174" s="14" t="str">
        <f t="shared" si="4"/>
        <v/>
      </c>
      <c r="P174" s="16" t="str">
        <f t="array" ref="P174">IF($A174="","", IFERROR(INDEX('BM Data'!$N:$N,MATCH($J174&amp; "-" &amp; $N174,'BM Data'!$O:$O,0),1),""))</f>
        <v/>
      </c>
      <c r="Q174" s="16" t="str">
        <f t="array" ref="Q174">IF($A174="","", IFERROR(INDEX('BM Data'!$J:$J,MATCH($J174&amp; "-" &amp; $N174,'BM Data'!$O:$O,0),1),""))</f>
        <v/>
      </c>
    </row>
    <row r="175">
      <c r="A175" s="10" t="str">
        <f>IFERROR(__xludf.DUMMYFUNCTION("""COMPUTED_VALUE"""),"")</f>
        <v/>
      </c>
      <c r="B175" s="3" t="str">
        <f>IFERROR(__xludf.DUMMYFUNCTION("""COMPUTED_VALUE"""),"")</f>
        <v/>
      </c>
      <c r="C175" s="11" t="str">
        <f>IFERROR(__xludf.DUMMYFUNCTION("""COMPUTED_VALUE"""),"")</f>
        <v/>
      </c>
      <c r="D175" s="11" t="str">
        <f>IFERROR(__xludf.DUMMYFUNCTION("""COMPUTED_VALUE"""),"")</f>
        <v/>
      </c>
      <c r="E175" s="11" t="str">
        <f>IFERROR(__xludf.DUMMYFUNCTION("""COMPUTED_VALUE"""),"")</f>
        <v/>
      </c>
      <c r="F175" s="11" t="str">
        <f>IFERROR(__xludf.DUMMYFUNCTION("""COMPUTED_VALUE"""),"")</f>
        <v/>
      </c>
      <c r="G175" s="11" t="str">
        <f>IFERROR(__xludf.DUMMYFUNCTION("""COMPUTED_VALUE"""),"")</f>
        <v/>
      </c>
      <c r="H175" s="12" t="str">
        <f>IFERROR(__xludf.DUMMYFUNCTION("""COMPUTED_VALUE"""),"")</f>
        <v/>
      </c>
      <c r="I175" s="12" t="str">
        <f>IFERROR(__xludf.DUMMYFUNCTION("""COMPUTED_VALUE"""),"")</f>
        <v/>
      </c>
      <c r="J175" s="13" t="str">
        <f t="shared" si="1"/>
        <v/>
      </c>
      <c r="K175" s="12" t="str">
        <f>IFERROR(IF(A175="","",if($G175="",Reference!$J$2, VLOOKUP($G175,Reference!$I$2:$J$1000,2,false))),"")</f>
        <v/>
      </c>
      <c r="L175" s="12" t="str">
        <f>IF(A175="","", IF(F175="",Reference!$M$2,F175))</f>
        <v/>
      </c>
      <c r="M175" s="14" t="str">
        <f t="shared" si="2"/>
        <v/>
      </c>
      <c r="N175" s="15" t="str">
        <f t="shared" si="3"/>
        <v/>
      </c>
      <c r="O175" s="14" t="str">
        <f t="shared" si="4"/>
        <v/>
      </c>
      <c r="P175" s="16" t="str">
        <f t="array" ref="P175">IF($A175="","", IFERROR(INDEX('BM Data'!$N:$N,MATCH($J175&amp; "-" &amp; $N175,'BM Data'!$O:$O,0),1),""))</f>
        <v/>
      </c>
      <c r="Q175" s="16" t="str">
        <f t="array" ref="Q175">IF($A175="","", IFERROR(INDEX('BM Data'!$J:$J,MATCH($J175&amp; "-" &amp; $N175,'BM Data'!$O:$O,0),1),""))</f>
        <v/>
      </c>
    </row>
    <row r="176">
      <c r="A176" s="10" t="str">
        <f>IFERROR(__xludf.DUMMYFUNCTION("""COMPUTED_VALUE"""),"")</f>
        <v/>
      </c>
      <c r="B176" s="3" t="str">
        <f>IFERROR(__xludf.DUMMYFUNCTION("""COMPUTED_VALUE"""),"")</f>
        <v/>
      </c>
      <c r="C176" s="11" t="str">
        <f>IFERROR(__xludf.DUMMYFUNCTION("""COMPUTED_VALUE"""),"")</f>
        <v/>
      </c>
      <c r="D176" s="11" t="str">
        <f>IFERROR(__xludf.DUMMYFUNCTION("""COMPUTED_VALUE"""),"")</f>
        <v/>
      </c>
      <c r="E176" s="11" t="str">
        <f>IFERROR(__xludf.DUMMYFUNCTION("""COMPUTED_VALUE"""),"")</f>
        <v/>
      </c>
      <c r="F176" s="11" t="str">
        <f>IFERROR(__xludf.DUMMYFUNCTION("""COMPUTED_VALUE"""),"")</f>
        <v/>
      </c>
      <c r="G176" s="11" t="str">
        <f>IFERROR(__xludf.DUMMYFUNCTION("""COMPUTED_VALUE"""),"")</f>
        <v/>
      </c>
      <c r="H176" s="12" t="str">
        <f>IFERROR(__xludf.DUMMYFUNCTION("""COMPUTED_VALUE"""),"")</f>
        <v/>
      </c>
      <c r="I176" s="12" t="str">
        <f>IFERROR(__xludf.DUMMYFUNCTION("""COMPUTED_VALUE"""),"")</f>
        <v/>
      </c>
      <c r="J176" s="13" t="str">
        <f t="shared" si="1"/>
        <v/>
      </c>
      <c r="K176" s="12" t="str">
        <f>IFERROR(IF(A176="","",if($G176="",Reference!$J$2, VLOOKUP($G176,Reference!$I$2:$J$1000,2,false))),"")</f>
        <v/>
      </c>
      <c r="L176" s="12" t="str">
        <f>IF(A176="","", IF(F176="",Reference!$M$2,F176))</f>
        <v/>
      </c>
      <c r="M176" s="14" t="str">
        <f t="shared" si="2"/>
        <v/>
      </c>
      <c r="N176" s="15" t="str">
        <f t="shared" si="3"/>
        <v/>
      </c>
      <c r="O176" s="14" t="str">
        <f t="shared" si="4"/>
        <v/>
      </c>
      <c r="P176" s="16" t="str">
        <f t="array" ref="P176">IF($A176="","", IFERROR(INDEX('BM Data'!$N:$N,MATCH($J176&amp; "-" &amp; $N176,'BM Data'!$O:$O,0),1),""))</f>
        <v/>
      </c>
      <c r="Q176" s="16" t="str">
        <f t="array" ref="Q176">IF($A176="","", IFERROR(INDEX('BM Data'!$J:$J,MATCH($J176&amp; "-" &amp; $N176,'BM Data'!$O:$O,0),1),""))</f>
        <v/>
      </c>
    </row>
    <row r="177">
      <c r="A177" s="10" t="str">
        <f>IFERROR(__xludf.DUMMYFUNCTION("""COMPUTED_VALUE"""),"")</f>
        <v/>
      </c>
      <c r="B177" s="3" t="str">
        <f>IFERROR(__xludf.DUMMYFUNCTION("""COMPUTED_VALUE"""),"")</f>
        <v/>
      </c>
      <c r="C177" s="11" t="str">
        <f>IFERROR(__xludf.DUMMYFUNCTION("""COMPUTED_VALUE"""),"")</f>
        <v/>
      </c>
      <c r="D177" s="11" t="str">
        <f>IFERROR(__xludf.DUMMYFUNCTION("""COMPUTED_VALUE"""),"")</f>
        <v/>
      </c>
      <c r="E177" s="11" t="str">
        <f>IFERROR(__xludf.DUMMYFUNCTION("""COMPUTED_VALUE"""),"")</f>
        <v/>
      </c>
      <c r="F177" s="11" t="str">
        <f>IFERROR(__xludf.DUMMYFUNCTION("""COMPUTED_VALUE"""),"")</f>
        <v/>
      </c>
      <c r="G177" s="11" t="str">
        <f>IFERROR(__xludf.DUMMYFUNCTION("""COMPUTED_VALUE"""),"")</f>
        <v/>
      </c>
      <c r="H177" s="12" t="str">
        <f>IFERROR(__xludf.DUMMYFUNCTION("""COMPUTED_VALUE"""),"")</f>
        <v/>
      </c>
      <c r="I177" s="12" t="str">
        <f>IFERROR(__xludf.DUMMYFUNCTION("""COMPUTED_VALUE"""),"")</f>
        <v/>
      </c>
      <c r="J177" s="13" t="str">
        <f t="shared" si="1"/>
        <v/>
      </c>
      <c r="K177" s="12" t="str">
        <f>IFERROR(IF(A177="","",if($G177="",Reference!$J$2, VLOOKUP($G177,Reference!$I$2:$J$1000,2,false))),"")</f>
        <v/>
      </c>
      <c r="L177" s="12" t="str">
        <f>IF(A177="","", IF(F177="",Reference!$M$2,F177))</f>
        <v/>
      </c>
      <c r="M177" s="14" t="str">
        <f t="shared" si="2"/>
        <v/>
      </c>
      <c r="N177" s="15" t="str">
        <f t="shared" si="3"/>
        <v/>
      </c>
      <c r="O177" s="14" t="str">
        <f t="shared" si="4"/>
        <v/>
      </c>
      <c r="P177" s="16" t="str">
        <f t="array" ref="P177">IF($A177="","", IFERROR(INDEX('BM Data'!$N:$N,MATCH($J177&amp; "-" &amp; $N177,'BM Data'!$O:$O,0),1),""))</f>
        <v/>
      </c>
      <c r="Q177" s="16" t="str">
        <f t="array" ref="Q177">IF($A177="","", IFERROR(INDEX('BM Data'!$J:$J,MATCH($J177&amp; "-" &amp; $N177,'BM Data'!$O:$O,0),1),""))</f>
        <v/>
      </c>
    </row>
    <row r="178">
      <c r="A178" s="10" t="str">
        <f>IFERROR(__xludf.DUMMYFUNCTION("""COMPUTED_VALUE"""),"")</f>
        <v/>
      </c>
      <c r="B178" s="3" t="str">
        <f>IFERROR(__xludf.DUMMYFUNCTION("""COMPUTED_VALUE"""),"")</f>
        <v/>
      </c>
      <c r="C178" s="11" t="str">
        <f>IFERROR(__xludf.DUMMYFUNCTION("""COMPUTED_VALUE"""),"")</f>
        <v/>
      </c>
      <c r="D178" s="11" t="str">
        <f>IFERROR(__xludf.DUMMYFUNCTION("""COMPUTED_VALUE"""),"")</f>
        <v/>
      </c>
      <c r="E178" s="11" t="str">
        <f>IFERROR(__xludf.DUMMYFUNCTION("""COMPUTED_VALUE"""),"")</f>
        <v/>
      </c>
      <c r="F178" s="11" t="str">
        <f>IFERROR(__xludf.DUMMYFUNCTION("""COMPUTED_VALUE"""),"")</f>
        <v/>
      </c>
      <c r="G178" s="11" t="str">
        <f>IFERROR(__xludf.DUMMYFUNCTION("""COMPUTED_VALUE"""),"")</f>
        <v/>
      </c>
      <c r="H178" s="12" t="str">
        <f>IFERROR(__xludf.DUMMYFUNCTION("""COMPUTED_VALUE"""),"")</f>
        <v/>
      </c>
      <c r="I178" s="12" t="str">
        <f>IFERROR(__xludf.DUMMYFUNCTION("""COMPUTED_VALUE"""),"")</f>
        <v/>
      </c>
      <c r="J178" s="13" t="str">
        <f t="shared" si="1"/>
        <v/>
      </c>
      <c r="K178" s="12" t="str">
        <f>IFERROR(IF(A178="","",if($G178="",Reference!$J$2, VLOOKUP($G178,Reference!$I$2:$J$1000,2,false))),"")</f>
        <v/>
      </c>
      <c r="L178" s="12" t="str">
        <f>IF(A178="","", IF(F178="",Reference!$M$2,F178))</f>
        <v/>
      </c>
      <c r="M178" s="14" t="str">
        <f t="shared" si="2"/>
        <v/>
      </c>
      <c r="N178" s="15" t="str">
        <f t="shared" si="3"/>
        <v/>
      </c>
      <c r="O178" s="14" t="str">
        <f t="shared" si="4"/>
        <v/>
      </c>
      <c r="P178" s="16" t="str">
        <f t="array" ref="P178">IF($A178="","", IFERROR(INDEX('BM Data'!$N:$N,MATCH($J178&amp; "-" &amp; $N178,'BM Data'!$O:$O,0),1),""))</f>
        <v/>
      </c>
      <c r="Q178" s="16" t="str">
        <f t="array" ref="Q178">IF($A178="","", IFERROR(INDEX('BM Data'!$J:$J,MATCH($J178&amp; "-" &amp; $N178,'BM Data'!$O:$O,0),1),""))</f>
        <v/>
      </c>
    </row>
    <row r="179">
      <c r="A179" s="10" t="str">
        <f>IFERROR(__xludf.DUMMYFUNCTION("""COMPUTED_VALUE"""),"")</f>
        <v/>
      </c>
      <c r="B179" s="3" t="str">
        <f>IFERROR(__xludf.DUMMYFUNCTION("""COMPUTED_VALUE"""),"")</f>
        <v/>
      </c>
      <c r="C179" s="11" t="str">
        <f>IFERROR(__xludf.DUMMYFUNCTION("""COMPUTED_VALUE"""),"")</f>
        <v/>
      </c>
      <c r="D179" s="11" t="str">
        <f>IFERROR(__xludf.DUMMYFUNCTION("""COMPUTED_VALUE"""),"")</f>
        <v/>
      </c>
      <c r="E179" s="11" t="str">
        <f>IFERROR(__xludf.DUMMYFUNCTION("""COMPUTED_VALUE"""),"")</f>
        <v/>
      </c>
      <c r="F179" s="11" t="str">
        <f>IFERROR(__xludf.DUMMYFUNCTION("""COMPUTED_VALUE"""),"")</f>
        <v/>
      </c>
      <c r="G179" s="11" t="str">
        <f>IFERROR(__xludf.DUMMYFUNCTION("""COMPUTED_VALUE"""),"")</f>
        <v/>
      </c>
      <c r="H179" s="12" t="str">
        <f>IFERROR(__xludf.DUMMYFUNCTION("""COMPUTED_VALUE"""),"")</f>
        <v/>
      </c>
      <c r="I179" s="12" t="str">
        <f>IFERROR(__xludf.DUMMYFUNCTION("""COMPUTED_VALUE"""),"")</f>
        <v/>
      </c>
      <c r="J179" s="13" t="str">
        <f t="shared" si="1"/>
        <v/>
      </c>
      <c r="K179" s="12" t="str">
        <f>IFERROR(IF(A179="","",if($G179="",Reference!$J$2, VLOOKUP($G179,Reference!$I$2:$J$1000,2,false))),"")</f>
        <v/>
      </c>
      <c r="L179" s="12" t="str">
        <f>IF(A179="","", IF(F179="",Reference!$M$2,F179))</f>
        <v/>
      </c>
      <c r="M179" s="14" t="str">
        <f t="shared" si="2"/>
        <v/>
      </c>
      <c r="N179" s="15" t="str">
        <f t="shared" si="3"/>
        <v/>
      </c>
      <c r="O179" s="14" t="str">
        <f t="shared" si="4"/>
        <v/>
      </c>
      <c r="P179" s="16" t="str">
        <f t="array" ref="P179">IF($A179="","", IFERROR(INDEX('BM Data'!$N:$N,MATCH($J179&amp; "-" &amp; $N179,'BM Data'!$O:$O,0),1),""))</f>
        <v/>
      </c>
      <c r="Q179" s="16" t="str">
        <f t="array" ref="Q179">IF($A179="","", IFERROR(INDEX('BM Data'!$J:$J,MATCH($J179&amp; "-" &amp; $N179,'BM Data'!$O:$O,0),1),""))</f>
        <v/>
      </c>
    </row>
    <row r="180">
      <c r="A180" s="10" t="str">
        <f>IFERROR(__xludf.DUMMYFUNCTION("""COMPUTED_VALUE"""),"")</f>
        <v/>
      </c>
      <c r="B180" s="3" t="str">
        <f>IFERROR(__xludf.DUMMYFUNCTION("""COMPUTED_VALUE"""),"")</f>
        <v/>
      </c>
      <c r="C180" s="11" t="str">
        <f>IFERROR(__xludf.DUMMYFUNCTION("""COMPUTED_VALUE"""),"")</f>
        <v/>
      </c>
      <c r="D180" s="11" t="str">
        <f>IFERROR(__xludf.DUMMYFUNCTION("""COMPUTED_VALUE"""),"")</f>
        <v/>
      </c>
      <c r="E180" s="11" t="str">
        <f>IFERROR(__xludf.DUMMYFUNCTION("""COMPUTED_VALUE"""),"")</f>
        <v/>
      </c>
      <c r="F180" s="11" t="str">
        <f>IFERROR(__xludf.DUMMYFUNCTION("""COMPUTED_VALUE"""),"")</f>
        <v/>
      </c>
      <c r="G180" s="11" t="str">
        <f>IFERROR(__xludf.DUMMYFUNCTION("""COMPUTED_VALUE"""),"")</f>
        <v/>
      </c>
      <c r="H180" s="12" t="str">
        <f>IFERROR(__xludf.DUMMYFUNCTION("""COMPUTED_VALUE"""),"")</f>
        <v/>
      </c>
      <c r="I180" s="12" t="str">
        <f>IFERROR(__xludf.DUMMYFUNCTION("""COMPUTED_VALUE"""),"")</f>
        <v/>
      </c>
      <c r="J180" s="13" t="str">
        <f t="shared" si="1"/>
        <v/>
      </c>
      <c r="K180" s="12" t="str">
        <f>IFERROR(IF(A180="","",if($G180="",Reference!$J$2, VLOOKUP($G180,Reference!$I$2:$J$1000,2,false))),"")</f>
        <v/>
      </c>
      <c r="L180" s="12" t="str">
        <f>IF(A180="","", IF(F180="",Reference!$M$2,F180))</f>
        <v/>
      </c>
      <c r="M180" s="14" t="str">
        <f t="shared" si="2"/>
        <v/>
      </c>
      <c r="N180" s="15" t="str">
        <f t="shared" si="3"/>
        <v/>
      </c>
      <c r="O180" s="14" t="str">
        <f t="shared" si="4"/>
        <v/>
      </c>
      <c r="P180" s="16" t="str">
        <f t="array" ref="P180">IF($A180="","", IFERROR(INDEX('BM Data'!$N:$N,MATCH($J180&amp; "-" &amp; $N180,'BM Data'!$O:$O,0),1),""))</f>
        <v/>
      </c>
      <c r="Q180" s="16" t="str">
        <f t="array" ref="Q180">IF($A180="","", IFERROR(INDEX('BM Data'!$J:$J,MATCH($J180&amp; "-" &amp; $N180,'BM Data'!$O:$O,0),1),""))</f>
        <v/>
      </c>
    </row>
    <row r="181">
      <c r="A181" s="10" t="str">
        <f>IFERROR(__xludf.DUMMYFUNCTION("""COMPUTED_VALUE"""),"")</f>
        <v/>
      </c>
      <c r="B181" s="3" t="str">
        <f>IFERROR(__xludf.DUMMYFUNCTION("""COMPUTED_VALUE"""),"")</f>
        <v/>
      </c>
      <c r="C181" s="11" t="str">
        <f>IFERROR(__xludf.DUMMYFUNCTION("""COMPUTED_VALUE"""),"")</f>
        <v/>
      </c>
      <c r="D181" s="11" t="str">
        <f>IFERROR(__xludf.DUMMYFUNCTION("""COMPUTED_VALUE"""),"")</f>
        <v/>
      </c>
      <c r="E181" s="11" t="str">
        <f>IFERROR(__xludf.DUMMYFUNCTION("""COMPUTED_VALUE"""),"")</f>
        <v/>
      </c>
      <c r="F181" s="11" t="str">
        <f>IFERROR(__xludf.DUMMYFUNCTION("""COMPUTED_VALUE"""),"")</f>
        <v/>
      </c>
      <c r="G181" s="11" t="str">
        <f>IFERROR(__xludf.DUMMYFUNCTION("""COMPUTED_VALUE"""),"")</f>
        <v/>
      </c>
      <c r="H181" s="12" t="str">
        <f>IFERROR(__xludf.DUMMYFUNCTION("""COMPUTED_VALUE"""),"")</f>
        <v/>
      </c>
      <c r="I181" s="12" t="str">
        <f>IFERROR(__xludf.DUMMYFUNCTION("""COMPUTED_VALUE"""),"")</f>
        <v/>
      </c>
      <c r="J181" s="13" t="str">
        <f t="shared" si="1"/>
        <v/>
      </c>
      <c r="K181" s="12" t="str">
        <f>IFERROR(IF(A181="","",if($G181="",Reference!$J$2, VLOOKUP($G181,Reference!$I$2:$J$1000,2,false))),"")</f>
        <v/>
      </c>
      <c r="L181" s="12" t="str">
        <f>IF(A181="","", IF(F181="",Reference!$M$2,F181))</f>
        <v/>
      </c>
      <c r="M181" s="14" t="str">
        <f t="shared" si="2"/>
        <v/>
      </c>
      <c r="N181" s="15" t="str">
        <f t="shared" si="3"/>
        <v/>
      </c>
      <c r="O181" s="14" t="str">
        <f t="shared" si="4"/>
        <v/>
      </c>
      <c r="P181" s="16" t="str">
        <f t="array" ref="P181">IF($A181="","", IFERROR(INDEX('BM Data'!$N:$N,MATCH($J181&amp; "-" &amp; $N181,'BM Data'!$O:$O,0),1),""))</f>
        <v/>
      </c>
      <c r="Q181" s="16" t="str">
        <f t="array" ref="Q181">IF($A181="","", IFERROR(INDEX('BM Data'!$J:$J,MATCH($J181&amp; "-" &amp; $N181,'BM Data'!$O:$O,0),1),""))</f>
        <v/>
      </c>
    </row>
    <row r="182">
      <c r="A182" s="10" t="str">
        <f>IFERROR(__xludf.DUMMYFUNCTION("""COMPUTED_VALUE"""),"")</f>
        <v/>
      </c>
      <c r="B182" s="3" t="str">
        <f>IFERROR(__xludf.DUMMYFUNCTION("""COMPUTED_VALUE"""),"")</f>
        <v/>
      </c>
      <c r="C182" s="11" t="str">
        <f>IFERROR(__xludf.DUMMYFUNCTION("""COMPUTED_VALUE"""),"")</f>
        <v/>
      </c>
      <c r="D182" s="11" t="str">
        <f>IFERROR(__xludf.DUMMYFUNCTION("""COMPUTED_VALUE"""),"")</f>
        <v/>
      </c>
      <c r="E182" s="11" t="str">
        <f>IFERROR(__xludf.DUMMYFUNCTION("""COMPUTED_VALUE"""),"")</f>
        <v/>
      </c>
      <c r="F182" s="11" t="str">
        <f>IFERROR(__xludf.DUMMYFUNCTION("""COMPUTED_VALUE"""),"")</f>
        <v/>
      </c>
      <c r="G182" s="11" t="str">
        <f>IFERROR(__xludf.DUMMYFUNCTION("""COMPUTED_VALUE"""),"")</f>
        <v/>
      </c>
      <c r="H182" s="12" t="str">
        <f>IFERROR(__xludf.DUMMYFUNCTION("""COMPUTED_VALUE"""),"")</f>
        <v/>
      </c>
      <c r="I182" s="12" t="str">
        <f>IFERROR(__xludf.DUMMYFUNCTION("""COMPUTED_VALUE"""),"")</f>
        <v/>
      </c>
      <c r="J182" s="13" t="str">
        <f t="shared" si="1"/>
        <v/>
      </c>
      <c r="K182" s="12" t="str">
        <f>IFERROR(IF(A182="","",if($G182="",Reference!$J$2, VLOOKUP($G182,Reference!$I$2:$J$1000,2,false))),"")</f>
        <v/>
      </c>
      <c r="L182" s="12" t="str">
        <f>IF(A182="","", IF(F182="",Reference!$M$2,F182))</f>
        <v/>
      </c>
      <c r="M182" s="14" t="str">
        <f t="shared" si="2"/>
        <v/>
      </c>
      <c r="N182" s="15" t="str">
        <f t="shared" si="3"/>
        <v/>
      </c>
      <c r="O182" s="14" t="str">
        <f t="shared" si="4"/>
        <v/>
      </c>
      <c r="P182" s="16" t="str">
        <f t="array" ref="P182">IF($A182="","", IFERROR(INDEX('BM Data'!$N:$N,MATCH($J182&amp; "-" &amp; $N182,'BM Data'!$O:$O,0),1),""))</f>
        <v/>
      </c>
      <c r="Q182" s="16" t="str">
        <f t="array" ref="Q182">IF($A182="","", IFERROR(INDEX('BM Data'!$J:$J,MATCH($J182&amp; "-" &amp; $N182,'BM Data'!$O:$O,0),1),""))</f>
        <v/>
      </c>
    </row>
    <row r="183">
      <c r="A183" s="10" t="str">
        <f>IFERROR(__xludf.DUMMYFUNCTION("""COMPUTED_VALUE"""),"")</f>
        <v/>
      </c>
      <c r="B183" s="3" t="str">
        <f>IFERROR(__xludf.DUMMYFUNCTION("""COMPUTED_VALUE"""),"")</f>
        <v/>
      </c>
      <c r="C183" s="11" t="str">
        <f>IFERROR(__xludf.DUMMYFUNCTION("""COMPUTED_VALUE"""),"")</f>
        <v/>
      </c>
      <c r="D183" s="11" t="str">
        <f>IFERROR(__xludf.DUMMYFUNCTION("""COMPUTED_VALUE"""),"")</f>
        <v/>
      </c>
      <c r="E183" s="11" t="str">
        <f>IFERROR(__xludf.DUMMYFUNCTION("""COMPUTED_VALUE"""),"")</f>
        <v/>
      </c>
      <c r="F183" s="11" t="str">
        <f>IFERROR(__xludf.DUMMYFUNCTION("""COMPUTED_VALUE"""),"")</f>
        <v/>
      </c>
      <c r="G183" s="11" t="str">
        <f>IFERROR(__xludf.DUMMYFUNCTION("""COMPUTED_VALUE"""),"")</f>
        <v/>
      </c>
      <c r="H183" s="12" t="str">
        <f>IFERROR(__xludf.DUMMYFUNCTION("""COMPUTED_VALUE"""),"")</f>
        <v/>
      </c>
      <c r="I183" s="12" t="str">
        <f>IFERROR(__xludf.DUMMYFUNCTION("""COMPUTED_VALUE"""),"")</f>
        <v/>
      </c>
      <c r="J183" s="13" t="str">
        <f t="shared" si="1"/>
        <v/>
      </c>
      <c r="K183" s="12" t="str">
        <f>IFERROR(IF(A183="","",if($G183="",Reference!$J$2, VLOOKUP($G183,Reference!$I$2:$J$1000,2,false))),"")</f>
        <v/>
      </c>
      <c r="L183" s="12" t="str">
        <f>IF(A183="","", IF(F183="",Reference!$M$2,F183))</f>
        <v/>
      </c>
      <c r="M183" s="14" t="str">
        <f t="shared" si="2"/>
        <v/>
      </c>
      <c r="N183" s="15" t="str">
        <f t="shared" si="3"/>
        <v/>
      </c>
      <c r="O183" s="14" t="str">
        <f t="shared" si="4"/>
        <v/>
      </c>
      <c r="P183" s="16" t="str">
        <f t="array" ref="P183">IF($A183="","", IFERROR(INDEX('BM Data'!$N:$N,MATCH($J183&amp; "-" &amp; $N183,'BM Data'!$O:$O,0),1),""))</f>
        <v/>
      </c>
      <c r="Q183" s="16" t="str">
        <f t="array" ref="Q183">IF($A183="","", IFERROR(INDEX('BM Data'!$J:$J,MATCH($J183&amp; "-" &amp; $N183,'BM Data'!$O:$O,0),1),""))</f>
        <v/>
      </c>
    </row>
    <row r="184">
      <c r="A184" s="10" t="str">
        <f>IFERROR(__xludf.DUMMYFUNCTION("""COMPUTED_VALUE"""),"")</f>
        <v/>
      </c>
      <c r="B184" s="3" t="str">
        <f>IFERROR(__xludf.DUMMYFUNCTION("""COMPUTED_VALUE"""),"")</f>
        <v/>
      </c>
      <c r="C184" s="11" t="str">
        <f>IFERROR(__xludf.DUMMYFUNCTION("""COMPUTED_VALUE"""),"")</f>
        <v/>
      </c>
      <c r="D184" s="11" t="str">
        <f>IFERROR(__xludf.DUMMYFUNCTION("""COMPUTED_VALUE"""),"")</f>
        <v/>
      </c>
      <c r="E184" s="11" t="str">
        <f>IFERROR(__xludf.DUMMYFUNCTION("""COMPUTED_VALUE"""),"")</f>
        <v/>
      </c>
      <c r="F184" s="11" t="str">
        <f>IFERROR(__xludf.DUMMYFUNCTION("""COMPUTED_VALUE"""),"")</f>
        <v/>
      </c>
      <c r="G184" s="11" t="str">
        <f>IFERROR(__xludf.DUMMYFUNCTION("""COMPUTED_VALUE"""),"")</f>
        <v/>
      </c>
      <c r="H184" s="12" t="str">
        <f>IFERROR(__xludf.DUMMYFUNCTION("""COMPUTED_VALUE"""),"")</f>
        <v/>
      </c>
      <c r="I184" s="12" t="str">
        <f>IFERROR(__xludf.DUMMYFUNCTION("""COMPUTED_VALUE"""),"")</f>
        <v/>
      </c>
      <c r="J184" s="13" t="str">
        <f t="shared" si="1"/>
        <v/>
      </c>
      <c r="K184" s="12" t="str">
        <f>IFERROR(IF(A184="","",if($G184="",Reference!$J$2, VLOOKUP($G184,Reference!$I$2:$J$1000,2,false))),"")</f>
        <v/>
      </c>
      <c r="L184" s="12" t="str">
        <f>IF(A184="","", IF(F184="",Reference!$M$2,F184))</f>
        <v/>
      </c>
      <c r="M184" s="14" t="str">
        <f t="shared" si="2"/>
        <v/>
      </c>
      <c r="N184" s="15" t="str">
        <f t="shared" si="3"/>
        <v/>
      </c>
      <c r="O184" s="14" t="str">
        <f t="shared" si="4"/>
        <v/>
      </c>
      <c r="P184" s="16" t="str">
        <f t="array" ref="P184">IF($A184="","", IFERROR(INDEX('BM Data'!$N:$N,MATCH($J184&amp; "-" &amp; $N184,'BM Data'!$O:$O,0),1),""))</f>
        <v/>
      </c>
      <c r="Q184" s="16" t="str">
        <f t="array" ref="Q184">IF($A184="","", IFERROR(INDEX('BM Data'!$J:$J,MATCH($J184&amp; "-" &amp; $N184,'BM Data'!$O:$O,0),1),""))</f>
        <v/>
      </c>
    </row>
    <row r="185">
      <c r="A185" s="10" t="str">
        <f>IFERROR(__xludf.DUMMYFUNCTION("""COMPUTED_VALUE"""),"")</f>
        <v/>
      </c>
      <c r="B185" s="3" t="str">
        <f>IFERROR(__xludf.DUMMYFUNCTION("""COMPUTED_VALUE"""),"")</f>
        <v/>
      </c>
      <c r="C185" s="11" t="str">
        <f>IFERROR(__xludf.DUMMYFUNCTION("""COMPUTED_VALUE"""),"")</f>
        <v/>
      </c>
      <c r="D185" s="11" t="str">
        <f>IFERROR(__xludf.DUMMYFUNCTION("""COMPUTED_VALUE"""),"")</f>
        <v/>
      </c>
      <c r="E185" s="11" t="str">
        <f>IFERROR(__xludf.DUMMYFUNCTION("""COMPUTED_VALUE"""),"")</f>
        <v/>
      </c>
      <c r="F185" s="11" t="str">
        <f>IFERROR(__xludf.DUMMYFUNCTION("""COMPUTED_VALUE"""),"")</f>
        <v/>
      </c>
      <c r="G185" s="11" t="str">
        <f>IFERROR(__xludf.DUMMYFUNCTION("""COMPUTED_VALUE"""),"")</f>
        <v/>
      </c>
      <c r="H185" s="12" t="str">
        <f>IFERROR(__xludf.DUMMYFUNCTION("""COMPUTED_VALUE"""),"")</f>
        <v/>
      </c>
      <c r="I185" s="12" t="str">
        <f>IFERROR(__xludf.DUMMYFUNCTION("""COMPUTED_VALUE"""),"")</f>
        <v/>
      </c>
      <c r="J185" s="13" t="str">
        <f t="shared" si="1"/>
        <v/>
      </c>
      <c r="K185" s="12" t="str">
        <f>IFERROR(IF(A185="","",if($G185="",Reference!$J$2, VLOOKUP($G185,Reference!$I$2:$J$1000,2,false))),"")</f>
        <v/>
      </c>
      <c r="L185" s="12" t="str">
        <f>IF(A185="","", IF(F185="",Reference!$M$2,F185))</f>
        <v/>
      </c>
      <c r="M185" s="14" t="str">
        <f t="shared" si="2"/>
        <v/>
      </c>
      <c r="N185" s="15" t="str">
        <f t="shared" si="3"/>
        <v/>
      </c>
      <c r="O185" s="14" t="str">
        <f t="shared" si="4"/>
        <v/>
      </c>
      <c r="P185" s="16" t="str">
        <f t="array" ref="P185">IF($A185="","", IFERROR(INDEX('BM Data'!$N:$N,MATCH($J185&amp; "-" &amp; $N185,'BM Data'!$O:$O,0),1),""))</f>
        <v/>
      </c>
      <c r="Q185" s="16" t="str">
        <f t="array" ref="Q185">IF($A185="","", IFERROR(INDEX('BM Data'!$J:$J,MATCH($J185&amp; "-" &amp; $N185,'BM Data'!$O:$O,0),1),""))</f>
        <v/>
      </c>
    </row>
    <row r="186">
      <c r="A186" s="10" t="str">
        <f>IFERROR(__xludf.DUMMYFUNCTION("""COMPUTED_VALUE"""),"")</f>
        <v/>
      </c>
      <c r="B186" s="3" t="str">
        <f>IFERROR(__xludf.DUMMYFUNCTION("""COMPUTED_VALUE"""),"")</f>
        <v/>
      </c>
      <c r="C186" s="11" t="str">
        <f>IFERROR(__xludf.DUMMYFUNCTION("""COMPUTED_VALUE"""),"")</f>
        <v/>
      </c>
      <c r="D186" s="11" t="str">
        <f>IFERROR(__xludf.DUMMYFUNCTION("""COMPUTED_VALUE"""),"")</f>
        <v/>
      </c>
      <c r="E186" s="11" t="str">
        <f>IFERROR(__xludf.DUMMYFUNCTION("""COMPUTED_VALUE"""),"")</f>
        <v/>
      </c>
      <c r="F186" s="11" t="str">
        <f>IFERROR(__xludf.DUMMYFUNCTION("""COMPUTED_VALUE"""),"")</f>
        <v/>
      </c>
      <c r="G186" s="11" t="str">
        <f>IFERROR(__xludf.DUMMYFUNCTION("""COMPUTED_VALUE"""),"")</f>
        <v/>
      </c>
      <c r="H186" s="12" t="str">
        <f>IFERROR(__xludf.DUMMYFUNCTION("""COMPUTED_VALUE"""),"")</f>
        <v/>
      </c>
      <c r="I186" s="12" t="str">
        <f>IFERROR(__xludf.DUMMYFUNCTION("""COMPUTED_VALUE"""),"")</f>
        <v/>
      </c>
      <c r="J186" s="13" t="str">
        <f t="shared" si="1"/>
        <v/>
      </c>
      <c r="K186" s="12" t="str">
        <f>IFERROR(IF(A186="","",if($G186="",Reference!$J$2, VLOOKUP($G186,Reference!$I$2:$J$1000,2,false))),"")</f>
        <v/>
      </c>
      <c r="L186" s="12" t="str">
        <f>IF(A186="","", IF(F186="",Reference!$M$2,F186))</f>
        <v/>
      </c>
      <c r="M186" s="14" t="str">
        <f t="shared" si="2"/>
        <v/>
      </c>
      <c r="N186" s="15" t="str">
        <f t="shared" si="3"/>
        <v/>
      </c>
      <c r="O186" s="14" t="str">
        <f t="shared" si="4"/>
        <v/>
      </c>
      <c r="P186" s="16" t="str">
        <f t="array" ref="P186">IF($A186="","", IFERROR(INDEX('BM Data'!$N:$N,MATCH($J186&amp; "-" &amp; $N186,'BM Data'!$O:$O,0),1),""))</f>
        <v/>
      </c>
      <c r="Q186" s="16" t="str">
        <f t="array" ref="Q186">IF($A186="","", IFERROR(INDEX('BM Data'!$J:$J,MATCH($J186&amp; "-" &amp; $N186,'BM Data'!$O:$O,0),1),""))</f>
        <v/>
      </c>
    </row>
    <row r="187">
      <c r="A187" s="10" t="str">
        <f>IFERROR(__xludf.DUMMYFUNCTION("""COMPUTED_VALUE"""),"")</f>
        <v/>
      </c>
      <c r="B187" s="3" t="str">
        <f>IFERROR(__xludf.DUMMYFUNCTION("""COMPUTED_VALUE"""),"")</f>
        <v/>
      </c>
      <c r="C187" s="11" t="str">
        <f>IFERROR(__xludf.DUMMYFUNCTION("""COMPUTED_VALUE"""),"")</f>
        <v/>
      </c>
      <c r="D187" s="11" t="str">
        <f>IFERROR(__xludf.DUMMYFUNCTION("""COMPUTED_VALUE"""),"")</f>
        <v/>
      </c>
      <c r="E187" s="11" t="str">
        <f>IFERROR(__xludf.DUMMYFUNCTION("""COMPUTED_VALUE"""),"")</f>
        <v/>
      </c>
      <c r="F187" s="11" t="str">
        <f>IFERROR(__xludf.DUMMYFUNCTION("""COMPUTED_VALUE"""),"")</f>
        <v/>
      </c>
      <c r="G187" s="11" t="str">
        <f>IFERROR(__xludf.DUMMYFUNCTION("""COMPUTED_VALUE"""),"")</f>
        <v/>
      </c>
      <c r="H187" s="12" t="str">
        <f>IFERROR(__xludf.DUMMYFUNCTION("""COMPUTED_VALUE"""),"")</f>
        <v/>
      </c>
      <c r="I187" s="12" t="str">
        <f>IFERROR(__xludf.DUMMYFUNCTION("""COMPUTED_VALUE"""),"")</f>
        <v/>
      </c>
      <c r="J187" s="13" t="str">
        <f t="shared" si="1"/>
        <v/>
      </c>
      <c r="K187" s="12" t="str">
        <f>IFERROR(IF(A187="","",if($G187="",Reference!$J$2, VLOOKUP($G187,Reference!$I$2:$J$1000,2,false))),"")</f>
        <v/>
      </c>
      <c r="L187" s="12" t="str">
        <f>IF(A187="","", IF(F187="",Reference!$M$2,F187))</f>
        <v/>
      </c>
      <c r="M187" s="14" t="str">
        <f t="shared" si="2"/>
        <v/>
      </c>
      <c r="N187" s="15" t="str">
        <f t="shared" si="3"/>
        <v/>
      </c>
      <c r="O187" s="14" t="str">
        <f t="shared" si="4"/>
        <v/>
      </c>
      <c r="P187" s="16" t="str">
        <f t="array" ref="P187">IF($A187="","", IFERROR(INDEX('BM Data'!$N:$N,MATCH($J187&amp; "-" &amp; $N187,'BM Data'!$O:$O,0),1),""))</f>
        <v/>
      </c>
      <c r="Q187" s="16" t="str">
        <f t="array" ref="Q187">IF($A187="","", IFERROR(INDEX('BM Data'!$J:$J,MATCH($J187&amp; "-" &amp; $N187,'BM Data'!$O:$O,0),1),""))</f>
        <v/>
      </c>
    </row>
    <row r="188">
      <c r="A188" s="10" t="str">
        <f>IFERROR(__xludf.DUMMYFUNCTION("""COMPUTED_VALUE"""),"")</f>
        <v/>
      </c>
      <c r="B188" s="3" t="str">
        <f>IFERROR(__xludf.DUMMYFUNCTION("""COMPUTED_VALUE"""),"")</f>
        <v/>
      </c>
      <c r="C188" s="11" t="str">
        <f>IFERROR(__xludf.DUMMYFUNCTION("""COMPUTED_VALUE"""),"")</f>
        <v/>
      </c>
      <c r="D188" s="11" t="str">
        <f>IFERROR(__xludf.DUMMYFUNCTION("""COMPUTED_VALUE"""),"")</f>
        <v/>
      </c>
      <c r="E188" s="11" t="str">
        <f>IFERROR(__xludf.DUMMYFUNCTION("""COMPUTED_VALUE"""),"")</f>
        <v/>
      </c>
      <c r="F188" s="11" t="str">
        <f>IFERROR(__xludf.DUMMYFUNCTION("""COMPUTED_VALUE"""),"")</f>
        <v/>
      </c>
      <c r="G188" s="11" t="str">
        <f>IFERROR(__xludf.DUMMYFUNCTION("""COMPUTED_VALUE"""),"")</f>
        <v/>
      </c>
      <c r="H188" s="12" t="str">
        <f>IFERROR(__xludf.DUMMYFUNCTION("""COMPUTED_VALUE"""),"")</f>
        <v/>
      </c>
      <c r="I188" s="12" t="str">
        <f>IFERROR(__xludf.DUMMYFUNCTION("""COMPUTED_VALUE"""),"")</f>
        <v/>
      </c>
      <c r="J188" s="13" t="str">
        <f t="shared" si="1"/>
        <v/>
      </c>
      <c r="K188" s="12" t="str">
        <f>IFERROR(IF(A188="","",if($G188="",Reference!$J$2, VLOOKUP($G188,Reference!$I$2:$J$1000,2,false))),"")</f>
        <v/>
      </c>
      <c r="L188" s="12" t="str">
        <f>IF(A188="","", IF(F188="",Reference!$M$2,F188))</f>
        <v/>
      </c>
      <c r="M188" s="14" t="str">
        <f t="shared" si="2"/>
        <v/>
      </c>
      <c r="N188" s="15" t="str">
        <f t="shared" si="3"/>
        <v/>
      </c>
      <c r="O188" s="14" t="str">
        <f t="shared" si="4"/>
        <v/>
      </c>
      <c r="P188" s="16" t="str">
        <f t="array" ref="P188">IF($A188="","", IFERROR(INDEX('BM Data'!$N:$N,MATCH($J188&amp; "-" &amp; $N188,'BM Data'!$O:$O,0),1),""))</f>
        <v/>
      </c>
      <c r="Q188" s="16" t="str">
        <f t="array" ref="Q188">IF($A188="","", IFERROR(INDEX('BM Data'!$J:$J,MATCH($J188&amp; "-" &amp; $N188,'BM Data'!$O:$O,0),1),""))</f>
        <v/>
      </c>
    </row>
    <row r="189">
      <c r="A189" s="10" t="str">
        <f>IFERROR(__xludf.DUMMYFUNCTION("""COMPUTED_VALUE"""),"")</f>
        <v/>
      </c>
      <c r="B189" s="3" t="str">
        <f>IFERROR(__xludf.DUMMYFUNCTION("""COMPUTED_VALUE"""),"")</f>
        <v/>
      </c>
      <c r="C189" s="11" t="str">
        <f>IFERROR(__xludf.DUMMYFUNCTION("""COMPUTED_VALUE"""),"")</f>
        <v/>
      </c>
      <c r="D189" s="11" t="str">
        <f>IFERROR(__xludf.DUMMYFUNCTION("""COMPUTED_VALUE"""),"")</f>
        <v/>
      </c>
      <c r="E189" s="11" t="str">
        <f>IFERROR(__xludf.DUMMYFUNCTION("""COMPUTED_VALUE"""),"")</f>
        <v/>
      </c>
      <c r="F189" s="11" t="str">
        <f>IFERROR(__xludf.DUMMYFUNCTION("""COMPUTED_VALUE"""),"")</f>
        <v/>
      </c>
      <c r="G189" s="11" t="str">
        <f>IFERROR(__xludf.DUMMYFUNCTION("""COMPUTED_VALUE"""),"")</f>
        <v/>
      </c>
      <c r="H189" s="12" t="str">
        <f>IFERROR(__xludf.DUMMYFUNCTION("""COMPUTED_VALUE"""),"")</f>
        <v/>
      </c>
      <c r="I189" s="12" t="str">
        <f>IFERROR(__xludf.DUMMYFUNCTION("""COMPUTED_VALUE"""),"")</f>
        <v/>
      </c>
      <c r="J189" s="13" t="str">
        <f t="shared" si="1"/>
        <v/>
      </c>
      <c r="K189" s="12" t="str">
        <f>IFERROR(IF(A189="","",if($G189="",Reference!$J$2, VLOOKUP($G189,Reference!$I$2:$J$1000,2,false))),"")</f>
        <v/>
      </c>
      <c r="L189" s="12" t="str">
        <f>IF(A189="","", IF(F189="",Reference!$M$2,F189))</f>
        <v/>
      </c>
      <c r="M189" s="14" t="str">
        <f t="shared" si="2"/>
        <v/>
      </c>
      <c r="N189" s="15" t="str">
        <f t="shared" si="3"/>
        <v/>
      </c>
      <c r="O189" s="14" t="str">
        <f t="shared" si="4"/>
        <v/>
      </c>
      <c r="P189" s="16" t="str">
        <f t="array" ref="P189">IF($A189="","", IFERROR(INDEX('BM Data'!$N:$N,MATCH($J189&amp; "-" &amp; $N189,'BM Data'!$O:$O,0),1),""))</f>
        <v/>
      </c>
      <c r="Q189" s="16" t="str">
        <f t="array" ref="Q189">IF($A189="","", IFERROR(INDEX('BM Data'!$J:$J,MATCH($J189&amp; "-" &amp; $N189,'BM Data'!$O:$O,0),1),""))</f>
        <v/>
      </c>
    </row>
    <row r="190">
      <c r="A190" s="10" t="str">
        <f>IFERROR(__xludf.DUMMYFUNCTION("""COMPUTED_VALUE"""),"")</f>
        <v/>
      </c>
      <c r="B190" s="3" t="str">
        <f>IFERROR(__xludf.DUMMYFUNCTION("""COMPUTED_VALUE"""),"")</f>
        <v/>
      </c>
      <c r="C190" s="11" t="str">
        <f>IFERROR(__xludf.DUMMYFUNCTION("""COMPUTED_VALUE"""),"")</f>
        <v/>
      </c>
      <c r="D190" s="11" t="str">
        <f>IFERROR(__xludf.DUMMYFUNCTION("""COMPUTED_VALUE"""),"")</f>
        <v/>
      </c>
      <c r="E190" s="11" t="str">
        <f>IFERROR(__xludf.DUMMYFUNCTION("""COMPUTED_VALUE"""),"")</f>
        <v/>
      </c>
      <c r="F190" s="11" t="str">
        <f>IFERROR(__xludf.DUMMYFUNCTION("""COMPUTED_VALUE"""),"")</f>
        <v/>
      </c>
      <c r="G190" s="11" t="str">
        <f>IFERROR(__xludf.DUMMYFUNCTION("""COMPUTED_VALUE"""),"")</f>
        <v/>
      </c>
      <c r="H190" s="12" t="str">
        <f>IFERROR(__xludf.DUMMYFUNCTION("""COMPUTED_VALUE"""),"")</f>
        <v/>
      </c>
      <c r="I190" s="12" t="str">
        <f>IFERROR(__xludf.DUMMYFUNCTION("""COMPUTED_VALUE"""),"")</f>
        <v/>
      </c>
      <c r="J190" s="13" t="str">
        <f t="shared" si="1"/>
        <v/>
      </c>
      <c r="K190" s="12" t="str">
        <f>IFERROR(IF(A190="","",if($G190="",Reference!$J$2, VLOOKUP($G190,Reference!$I$2:$J$1000,2,false))),"")</f>
        <v/>
      </c>
      <c r="L190" s="12" t="str">
        <f>IF(A190="","", IF(F190="",Reference!$M$2,F190))</f>
        <v/>
      </c>
      <c r="M190" s="14" t="str">
        <f t="shared" si="2"/>
        <v/>
      </c>
      <c r="N190" s="15" t="str">
        <f t="shared" si="3"/>
        <v/>
      </c>
      <c r="O190" s="14" t="str">
        <f t="shared" si="4"/>
        <v/>
      </c>
      <c r="P190" s="16" t="str">
        <f t="array" ref="P190">IF($A190="","", IFERROR(INDEX('BM Data'!$N:$N,MATCH($J190&amp; "-" &amp; $N190,'BM Data'!$O:$O,0),1),""))</f>
        <v/>
      </c>
      <c r="Q190" s="16" t="str">
        <f t="array" ref="Q190">IF($A190="","", IFERROR(INDEX('BM Data'!$J:$J,MATCH($J190&amp; "-" &amp; $N190,'BM Data'!$O:$O,0),1),""))</f>
        <v/>
      </c>
    </row>
    <row r="191">
      <c r="A191" s="10" t="str">
        <f>IFERROR(__xludf.DUMMYFUNCTION("""COMPUTED_VALUE"""),"")</f>
        <v/>
      </c>
      <c r="B191" s="3" t="str">
        <f>IFERROR(__xludf.DUMMYFUNCTION("""COMPUTED_VALUE"""),"")</f>
        <v/>
      </c>
      <c r="C191" s="11" t="str">
        <f>IFERROR(__xludf.DUMMYFUNCTION("""COMPUTED_VALUE"""),"")</f>
        <v/>
      </c>
      <c r="D191" s="11" t="str">
        <f>IFERROR(__xludf.DUMMYFUNCTION("""COMPUTED_VALUE"""),"")</f>
        <v/>
      </c>
      <c r="E191" s="11" t="str">
        <f>IFERROR(__xludf.DUMMYFUNCTION("""COMPUTED_VALUE"""),"")</f>
        <v/>
      </c>
      <c r="F191" s="11" t="str">
        <f>IFERROR(__xludf.DUMMYFUNCTION("""COMPUTED_VALUE"""),"")</f>
        <v/>
      </c>
      <c r="G191" s="11" t="str">
        <f>IFERROR(__xludf.DUMMYFUNCTION("""COMPUTED_VALUE"""),"")</f>
        <v/>
      </c>
      <c r="H191" s="12" t="str">
        <f>IFERROR(__xludf.DUMMYFUNCTION("""COMPUTED_VALUE"""),"")</f>
        <v/>
      </c>
      <c r="I191" s="12" t="str">
        <f>IFERROR(__xludf.DUMMYFUNCTION("""COMPUTED_VALUE"""),"")</f>
        <v/>
      </c>
      <c r="J191" s="13" t="str">
        <f t="shared" si="1"/>
        <v/>
      </c>
      <c r="K191" s="12" t="str">
        <f>IFERROR(IF(A191="","",if($G191="",Reference!$J$2, VLOOKUP($G191,Reference!$I$2:$J$1000,2,false))),"")</f>
        <v/>
      </c>
      <c r="L191" s="12" t="str">
        <f>IF(A191="","", IF(F191="",Reference!$M$2,F191))</f>
        <v/>
      </c>
      <c r="M191" s="14" t="str">
        <f t="shared" si="2"/>
        <v/>
      </c>
      <c r="N191" s="15" t="str">
        <f t="shared" si="3"/>
        <v/>
      </c>
      <c r="O191" s="14" t="str">
        <f t="shared" si="4"/>
        <v/>
      </c>
      <c r="P191" s="16" t="str">
        <f t="array" ref="P191">IF($A191="","", IFERROR(INDEX('BM Data'!$N:$N,MATCH($J191&amp; "-" &amp; $N191,'BM Data'!$O:$O,0),1),""))</f>
        <v/>
      </c>
      <c r="Q191" s="16" t="str">
        <f t="array" ref="Q191">IF($A191="","", IFERROR(INDEX('BM Data'!$J:$J,MATCH($J191&amp; "-" &amp; $N191,'BM Data'!$O:$O,0),1),""))</f>
        <v/>
      </c>
    </row>
    <row r="192">
      <c r="A192" s="10" t="str">
        <f>IFERROR(__xludf.DUMMYFUNCTION("""COMPUTED_VALUE"""),"")</f>
        <v/>
      </c>
      <c r="B192" s="3" t="str">
        <f>IFERROR(__xludf.DUMMYFUNCTION("""COMPUTED_VALUE"""),"")</f>
        <v/>
      </c>
      <c r="C192" s="11" t="str">
        <f>IFERROR(__xludf.DUMMYFUNCTION("""COMPUTED_VALUE"""),"")</f>
        <v/>
      </c>
      <c r="D192" s="11" t="str">
        <f>IFERROR(__xludf.DUMMYFUNCTION("""COMPUTED_VALUE"""),"")</f>
        <v/>
      </c>
      <c r="E192" s="11" t="str">
        <f>IFERROR(__xludf.DUMMYFUNCTION("""COMPUTED_VALUE"""),"")</f>
        <v/>
      </c>
      <c r="F192" s="11" t="str">
        <f>IFERROR(__xludf.DUMMYFUNCTION("""COMPUTED_VALUE"""),"")</f>
        <v/>
      </c>
      <c r="G192" s="11" t="str">
        <f>IFERROR(__xludf.DUMMYFUNCTION("""COMPUTED_VALUE"""),"")</f>
        <v/>
      </c>
      <c r="H192" s="12" t="str">
        <f>IFERROR(__xludf.DUMMYFUNCTION("""COMPUTED_VALUE"""),"")</f>
        <v/>
      </c>
      <c r="I192" s="12" t="str">
        <f>IFERROR(__xludf.DUMMYFUNCTION("""COMPUTED_VALUE"""),"")</f>
        <v/>
      </c>
      <c r="J192" s="13" t="str">
        <f t="shared" si="1"/>
        <v/>
      </c>
      <c r="K192" s="12" t="str">
        <f>IFERROR(IF(A192="","",if($G192="",Reference!$J$2, VLOOKUP($G192,Reference!$I$2:$J$1000,2,false))),"")</f>
        <v/>
      </c>
      <c r="L192" s="12" t="str">
        <f>IF(A192="","", IF(F192="",Reference!$M$2,F192))</f>
        <v/>
      </c>
      <c r="M192" s="14" t="str">
        <f t="shared" si="2"/>
        <v/>
      </c>
      <c r="N192" s="15" t="str">
        <f t="shared" si="3"/>
        <v/>
      </c>
      <c r="O192" s="14" t="str">
        <f t="shared" si="4"/>
        <v/>
      </c>
      <c r="P192" s="16" t="str">
        <f t="array" ref="P192">IF($A192="","", IFERROR(INDEX('BM Data'!$N:$N,MATCH($J192&amp; "-" &amp; $N192,'BM Data'!$O:$O,0),1),""))</f>
        <v/>
      </c>
      <c r="Q192" s="16" t="str">
        <f t="array" ref="Q192">IF($A192="","", IFERROR(INDEX('BM Data'!$J:$J,MATCH($J192&amp; "-" &amp; $N192,'BM Data'!$O:$O,0),1),""))</f>
        <v/>
      </c>
    </row>
    <row r="193">
      <c r="A193" s="10" t="str">
        <f>IFERROR(__xludf.DUMMYFUNCTION("""COMPUTED_VALUE"""),"")</f>
        <v/>
      </c>
      <c r="B193" s="3" t="str">
        <f>IFERROR(__xludf.DUMMYFUNCTION("""COMPUTED_VALUE"""),"")</f>
        <v/>
      </c>
      <c r="C193" s="11" t="str">
        <f>IFERROR(__xludf.DUMMYFUNCTION("""COMPUTED_VALUE"""),"")</f>
        <v/>
      </c>
      <c r="D193" s="11" t="str">
        <f>IFERROR(__xludf.DUMMYFUNCTION("""COMPUTED_VALUE"""),"")</f>
        <v/>
      </c>
      <c r="E193" s="11" t="str">
        <f>IFERROR(__xludf.DUMMYFUNCTION("""COMPUTED_VALUE"""),"")</f>
        <v/>
      </c>
      <c r="F193" s="11" t="str">
        <f>IFERROR(__xludf.DUMMYFUNCTION("""COMPUTED_VALUE"""),"")</f>
        <v/>
      </c>
      <c r="G193" s="11" t="str">
        <f>IFERROR(__xludf.DUMMYFUNCTION("""COMPUTED_VALUE"""),"")</f>
        <v/>
      </c>
      <c r="H193" s="12" t="str">
        <f>IFERROR(__xludf.DUMMYFUNCTION("""COMPUTED_VALUE"""),"")</f>
        <v/>
      </c>
      <c r="I193" s="12" t="str">
        <f>IFERROR(__xludf.DUMMYFUNCTION("""COMPUTED_VALUE"""),"")</f>
        <v/>
      </c>
      <c r="J193" s="13" t="str">
        <f t="shared" si="1"/>
        <v/>
      </c>
      <c r="K193" s="12" t="str">
        <f>IFERROR(IF(A193="","",if($G193="",Reference!$J$2, VLOOKUP($G193,Reference!$I$2:$J$1000,2,false))),"")</f>
        <v/>
      </c>
      <c r="L193" s="12" t="str">
        <f>IF(A193="","", IF(F193="",Reference!$M$2,F193))</f>
        <v/>
      </c>
      <c r="M193" s="14" t="str">
        <f t="shared" si="2"/>
        <v/>
      </c>
      <c r="N193" s="15" t="str">
        <f t="shared" si="3"/>
        <v/>
      </c>
      <c r="O193" s="14" t="str">
        <f t="shared" si="4"/>
        <v/>
      </c>
      <c r="P193" s="16" t="str">
        <f t="array" ref="P193">IF($A193="","", IFERROR(INDEX('BM Data'!$N:$N,MATCH($J193&amp; "-" &amp; $N193,'BM Data'!$O:$O,0),1),""))</f>
        <v/>
      </c>
      <c r="Q193" s="16" t="str">
        <f t="array" ref="Q193">IF($A193="","", IFERROR(INDEX('BM Data'!$J:$J,MATCH($J193&amp; "-" &amp; $N193,'BM Data'!$O:$O,0),1),""))</f>
        <v/>
      </c>
    </row>
    <row r="194">
      <c r="A194" s="10" t="str">
        <f>IFERROR(__xludf.DUMMYFUNCTION("""COMPUTED_VALUE"""),"")</f>
        <v/>
      </c>
      <c r="B194" s="3" t="str">
        <f>IFERROR(__xludf.DUMMYFUNCTION("""COMPUTED_VALUE"""),"")</f>
        <v/>
      </c>
      <c r="C194" s="11" t="str">
        <f>IFERROR(__xludf.DUMMYFUNCTION("""COMPUTED_VALUE"""),"")</f>
        <v/>
      </c>
      <c r="D194" s="11" t="str">
        <f>IFERROR(__xludf.DUMMYFUNCTION("""COMPUTED_VALUE"""),"")</f>
        <v/>
      </c>
      <c r="E194" s="11" t="str">
        <f>IFERROR(__xludf.DUMMYFUNCTION("""COMPUTED_VALUE"""),"")</f>
        <v/>
      </c>
      <c r="F194" s="11" t="str">
        <f>IFERROR(__xludf.DUMMYFUNCTION("""COMPUTED_VALUE"""),"")</f>
        <v/>
      </c>
      <c r="G194" s="11" t="str">
        <f>IFERROR(__xludf.DUMMYFUNCTION("""COMPUTED_VALUE"""),"")</f>
        <v/>
      </c>
      <c r="H194" s="12" t="str">
        <f>IFERROR(__xludf.DUMMYFUNCTION("""COMPUTED_VALUE"""),"")</f>
        <v/>
      </c>
      <c r="I194" s="12" t="str">
        <f>IFERROR(__xludf.DUMMYFUNCTION("""COMPUTED_VALUE"""),"")</f>
        <v/>
      </c>
      <c r="J194" s="13" t="str">
        <f t="shared" si="1"/>
        <v/>
      </c>
      <c r="K194" s="12" t="str">
        <f>IFERROR(IF(A194="","",if($G194="",Reference!$J$2, VLOOKUP($G194,Reference!$I$2:$J$1000,2,false))),"")</f>
        <v/>
      </c>
      <c r="L194" s="12" t="str">
        <f>IF(A194="","", IF(F194="",Reference!$M$2,F194))</f>
        <v/>
      </c>
      <c r="M194" s="14" t="str">
        <f t="shared" si="2"/>
        <v/>
      </c>
      <c r="N194" s="15" t="str">
        <f t="shared" si="3"/>
        <v/>
      </c>
      <c r="O194" s="14" t="str">
        <f t="shared" si="4"/>
        <v/>
      </c>
      <c r="P194" s="16" t="str">
        <f t="array" ref="P194">IF($A194="","", IFERROR(INDEX('BM Data'!$N:$N,MATCH($J194&amp; "-" &amp; $N194,'BM Data'!$O:$O,0),1),""))</f>
        <v/>
      </c>
      <c r="Q194" s="16" t="str">
        <f t="array" ref="Q194">IF($A194="","", IFERROR(INDEX('BM Data'!$J:$J,MATCH($J194&amp; "-" &amp; $N194,'BM Data'!$O:$O,0),1),""))</f>
        <v/>
      </c>
    </row>
    <row r="195">
      <c r="A195" s="10" t="str">
        <f>IFERROR(__xludf.DUMMYFUNCTION("""COMPUTED_VALUE"""),"")</f>
        <v/>
      </c>
      <c r="B195" s="3" t="str">
        <f>IFERROR(__xludf.DUMMYFUNCTION("""COMPUTED_VALUE"""),"")</f>
        <v/>
      </c>
      <c r="C195" s="11" t="str">
        <f>IFERROR(__xludf.DUMMYFUNCTION("""COMPUTED_VALUE"""),"")</f>
        <v/>
      </c>
      <c r="D195" s="11" t="str">
        <f>IFERROR(__xludf.DUMMYFUNCTION("""COMPUTED_VALUE"""),"")</f>
        <v/>
      </c>
      <c r="E195" s="11" t="str">
        <f>IFERROR(__xludf.DUMMYFUNCTION("""COMPUTED_VALUE"""),"")</f>
        <v/>
      </c>
      <c r="F195" s="11" t="str">
        <f>IFERROR(__xludf.DUMMYFUNCTION("""COMPUTED_VALUE"""),"")</f>
        <v/>
      </c>
      <c r="G195" s="11" t="str">
        <f>IFERROR(__xludf.DUMMYFUNCTION("""COMPUTED_VALUE"""),"")</f>
        <v/>
      </c>
      <c r="H195" s="12" t="str">
        <f>IFERROR(__xludf.DUMMYFUNCTION("""COMPUTED_VALUE"""),"")</f>
        <v/>
      </c>
      <c r="I195" s="12" t="str">
        <f>IFERROR(__xludf.DUMMYFUNCTION("""COMPUTED_VALUE"""),"")</f>
        <v/>
      </c>
      <c r="J195" s="13" t="str">
        <f t="shared" si="1"/>
        <v/>
      </c>
      <c r="K195" s="12" t="str">
        <f>IFERROR(IF(A195="","",if($G195="",Reference!$J$2, VLOOKUP($G195,Reference!$I$2:$J$1000,2,false))),"")</f>
        <v/>
      </c>
      <c r="L195" s="12" t="str">
        <f>IF(A195="","", IF(F195="",Reference!$M$2,F195))</f>
        <v/>
      </c>
      <c r="M195" s="14" t="str">
        <f t="shared" si="2"/>
        <v/>
      </c>
      <c r="N195" s="15" t="str">
        <f t="shared" si="3"/>
        <v/>
      </c>
      <c r="O195" s="14" t="str">
        <f t="shared" si="4"/>
        <v/>
      </c>
      <c r="P195" s="16" t="str">
        <f t="array" ref="P195">IF($A195="","", IFERROR(INDEX('BM Data'!$N:$N,MATCH($J195&amp; "-" &amp; $N195,'BM Data'!$O:$O,0),1),""))</f>
        <v/>
      </c>
      <c r="Q195" s="16" t="str">
        <f t="array" ref="Q195">IF($A195="","", IFERROR(INDEX('BM Data'!$J:$J,MATCH($J195&amp; "-" &amp; $N195,'BM Data'!$O:$O,0),1),""))</f>
        <v/>
      </c>
    </row>
    <row r="196">
      <c r="A196" s="10" t="str">
        <f>IFERROR(__xludf.DUMMYFUNCTION("""COMPUTED_VALUE"""),"")</f>
        <v/>
      </c>
      <c r="B196" s="3" t="str">
        <f>IFERROR(__xludf.DUMMYFUNCTION("""COMPUTED_VALUE"""),"")</f>
        <v/>
      </c>
      <c r="C196" s="11" t="str">
        <f>IFERROR(__xludf.DUMMYFUNCTION("""COMPUTED_VALUE"""),"")</f>
        <v/>
      </c>
      <c r="D196" s="11" t="str">
        <f>IFERROR(__xludf.DUMMYFUNCTION("""COMPUTED_VALUE"""),"")</f>
        <v/>
      </c>
      <c r="E196" s="11" t="str">
        <f>IFERROR(__xludf.DUMMYFUNCTION("""COMPUTED_VALUE"""),"")</f>
        <v/>
      </c>
      <c r="F196" s="11" t="str">
        <f>IFERROR(__xludf.DUMMYFUNCTION("""COMPUTED_VALUE"""),"")</f>
        <v/>
      </c>
      <c r="G196" s="11" t="str">
        <f>IFERROR(__xludf.DUMMYFUNCTION("""COMPUTED_VALUE"""),"")</f>
        <v/>
      </c>
      <c r="H196" s="12" t="str">
        <f>IFERROR(__xludf.DUMMYFUNCTION("""COMPUTED_VALUE"""),"")</f>
        <v/>
      </c>
      <c r="I196" s="12" t="str">
        <f>IFERROR(__xludf.DUMMYFUNCTION("""COMPUTED_VALUE"""),"")</f>
        <v/>
      </c>
      <c r="J196" s="13" t="str">
        <f t="shared" si="1"/>
        <v/>
      </c>
      <c r="K196" s="12" t="str">
        <f>IFERROR(IF(A196="","",if($G196="",Reference!$J$2, VLOOKUP($G196,Reference!$I$2:$J$1000,2,false))),"")</f>
        <v/>
      </c>
      <c r="L196" s="12" t="str">
        <f>IF(A196="","", IF(F196="",Reference!$M$2,F196))</f>
        <v/>
      </c>
      <c r="M196" s="14" t="str">
        <f t="shared" si="2"/>
        <v/>
      </c>
      <c r="N196" s="15" t="str">
        <f t="shared" si="3"/>
        <v/>
      </c>
      <c r="O196" s="14" t="str">
        <f t="shared" si="4"/>
        <v/>
      </c>
      <c r="P196" s="16" t="str">
        <f t="array" ref="P196">IF($A196="","", IFERROR(INDEX('BM Data'!$N:$N,MATCH($J196&amp; "-" &amp; $N196,'BM Data'!$O:$O,0),1),""))</f>
        <v/>
      </c>
      <c r="Q196" s="16" t="str">
        <f t="array" ref="Q196">IF($A196="","", IFERROR(INDEX('BM Data'!$J:$J,MATCH($J196&amp; "-" &amp; $N196,'BM Data'!$O:$O,0),1),""))</f>
        <v/>
      </c>
    </row>
    <row r="197">
      <c r="A197" s="10" t="str">
        <f>IFERROR(__xludf.DUMMYFUNCTION("""COMPUTED_VALUE"""),"")</f>
        <v/>
      </c>
      <c r="B197" s="3" t="str">
        <f>IFERROR(__xludf.DUMMYFUNCTION("""COMPUTED_VALUE"""),"")</f>
        <v/>
      </c>
      <c r="C197" s="11" t="str">
        <f>IFERROR(__xludf.DUMMYFUNCTION("""COMPUTED_VALUE"""),"")</f>
        <v/>
      </c>
      <c r="D197" s="11" t="str">
        <f>IFERROR(__xludf.DUMMYFUNCTION("""COMPUTED_VALUE"""),"")</f>
        <v/>
      </c>
      <c r="E197" s="11" t="str">
        <f>IFERROR(__xludf.DUMMYFUNCTION("""COMPUTED_VALUE"""),"")</f>
        <v/>
      </c>
      <c r="F197" s="11" t="str">
        <f>IFERROR(__xludf.DUMMYFUNCTION("""COMPUTED_VALUE"""),"")</f>
        <v/>
      </c>
      <c r="G197" s="11" t="str">
        <f>IFERROR(__xludf.DUMMYFUNCTION("""COMPUTED_VALUE"""),"")</f>
        <v/>
      </c>
      <c r="H197" s="12" t="str">
        <f>IFERROR(__xludf.DUMMYFUNCTION("""COMPUTED_VALUE"""),"")</f>
        <v/>
      </c>
      <c r="I197" s="12" t="str">
        <f>IFERROR(__xludf.DUMMYFUNCTION("""COMPUTED_VALUE"""),"")</f>
        <v/>
      </c>
      <c r="J197" s="13" t="str">
        <f t="shared" si="1"/>
        <v/>
      </c>
      <c r="K197" s="12" t="str">
        <f>IFERROR(IF(A197="","",if($G197="",Reference!$J$2, VLOOKUP($G197,Reference!$I$2:$J$1000,2,false))),"")</f>
        <v/>
      </c>
      <c r="L197" s="12" t="str">
        <f>IF(A197="","", IF(F197="",Reference!$M$2,F197))</f>
        <v/>
      </c>
      <c r="M197" s="14" t="str">
        <f t="shared" si="2"/>
        <v/>
      </c>
      <c r="N197" s="15" t="str">
        <f t="shared" si="3"/>
        <v/>
      </c>
      <c r="O197" s="14" t="str">
        <f t="shared" si="4"/>
        <v/>
      </c>
      <c r="P197" s="16" t="str">
        <f t="array" ref="P197">IF($A197="","", IFERROR(INDEX('BM Data'!$N:$N,MATCH($J197&amp; "-" &amp; $N197,'BM Data'!$O:$O,0),1),""))</f>
        <v/>
      </c>
      <c r="Q197" s="16" t="str">
        <f t="array" ref="Q197">IF($A197="","", IFERROR(INDEX('BM Data'!$J:$J,MATCH($J197&amp; "-" &amp; $N197,'BM Data'!$O:$O,0),1),""))</f>
        <v/>
      </c>
    </row>
    <row r="198">
      <c r="A198" s="10" t="str">
        <f>IFERROR(__xludf.DUMMYFUNCTION("""COMPUTED_VALUE"""),"")</f>
        <v/>
      </c>
      <c r="B198" s="3" t="str">
        <f>IFERROR(__xludf.DUMMYFUNCTION("""COMPUTED_VALUE"""),"")</f>
        <v/>
      </c>
      <c r="C198" s="11" t="str">
        <f>IFERROR(__xludf.DUMMYFUNCTION("""COMPUTED_VALUE"""),"")</f>
        <v/>
      </c>
      <c r="D198" s="11" t="str">
        <f>IFERROR(__xludf.DUMMYFUNCTION("""COMPUTED_VALUE"""),"")</f>
        <v/>
      </c>
      <c r="E198" s="11" t="str">
        <f>IFERROR(__xludf.DUMMYFUNCTION("""COMPUTED_VALUE"""),"")</f>
        <v/>
      </c>
      <c r="F198" s="11" t="str">
        <f>IFERROR(__xludf.DUMMYFUNCTION("""COMPUTED_VALUE"""),"")</f>
        <v/>
      </c>
      <c r="G198" s="11" t="str">
        <f>IFERROR(__xludf.DUMMYFUNCTION("""COMPUTED_VALUE"""),"")</f>
        <v/>
      </c>
      <c r="H198" s="12" t="str">
        <f>IFERROR(__xludf.DUMMYFUNCTION("""COMPUTED_VALUE"""),"")</f>
        <v/>
      </c>
      <c r="I198" s="12" t="str">
        <f>IFERROR(__xludf.DUMMYFUNCTION("""COMPUTED_VALUE"""),"")</f>
        <v/>
      </c>
      <c r="J198" s="13" t="str">
        <f t="shared" si="1"/>
        <v/>
      </c>
      <c r="K198" s="12" t="str">
        <f>IFERROR(IF(A198="","",if($G198="",Reference!$J$2, VLOOKUP($G198,Reference!$I$2:$J$1000,2,false))),"")</f>
        <v/>
      </c>
      <c r="L198" s="12" t="str">
        <f>IF(A198="","", IF(F198="",Reference!$M$2,F198))</f>
        <v/>
      </c>
      <c r="M198" s="14" t="str">
        <f t="shared" si="2"/>
        <v/>
      </c>
      <c r="N198" s="15" t="str">
        <f t="shared" si="3"/>
        <v/>
      </c>
      <c r="O198" s="14" t="str">
        <f t="shared" si="4"/>
        <v/>
      </c>
      <c r="P198" s="16" t="str">
        <f t="array" ref="P198">IF($A198="","", IFERROR(INDEX('BM Data'!$N:$N,MATCH($J198&amp; "-" &amp; $N198,'BM Data'!$O:$O,0),1),""))</f>
        <v/>
      </c>
      <c r="Q198" s="16" t="str">
        <f t="array" ref="Q198">IF($A198="","", IFERROR(INDEX('BM Data'!$J:$J,MATCH($J198&amp; "-" &amp; $N198,'BM Data'!$O:$O,0),1),""))</f>
        <v/>
      </c>
    </row>
    <row r="199">
      <c r="A199" s="10" t="str">
        <f>IFERROR(__xludf.DUMMYFUNCTION("""COMPUTED_VALUE"""),"")</f>
        <v/>
      </c>
      <c r="B199" s="3" t="str">
        <f>IFERROR(__xludf.DUMMYFUNCTION("""COMPUTED_VALUE"""),"")</f>
        <v/>
      </c>
      <c r="C199" s="11" t="str">
        <f>IFERROR(__xludf.DUMMYFUNCTION("""COMPUTED_VALUE"""),"")</f>
        <v/>
      </c>
      <c r="D199" s="11" t="str">
        <f>IFERROR(__xludf.DUMMYFUNCTION("""COMPUTED_VALUE"""),"")</f>
        <v/>
      </c>
      <c r="E199" s="11" t="str">
        <f>IFERROR(__xludf.DUMMYFUNCTION("""COMPUTED_VALUE"""),"")</f>
        <v/>
      </c>
      <c r="F199" s="11" t="str">
        <f>IFERROR(__xludf.DUMMYFUNCTION("""COMPUTED_VALUE"""),"")</f>
        <v/>
      </c>
      <c r="G199" s="11" t="str">
        <f>IFERROR(__xludf.DUMMYFUNCTION("""COMPUTED_VALUE"""),"")</f>
        <v/>
      </c>
      <c r="H199" s="12" t="str">
        <f>IFERROR(__xludf.DUMMYFUNCTION("""COMPUTED_VALUE"""),"")</f>
        <v/>
      </c>
      <c r="I199" s="12" t="str">
        <f>IFERROR(__xludf.DUMMYFUNCTION("""COMPUTED_VALUE"""),"")</f>
        <v/>
      </c>
      <c r="J199" s="13" t="str">
        <f t="shared" si="1"/>
        <v/>
      </c>
      <c r="K199" s="12" t="str">
        <f>IFERROR(IF(A199="","",if($G199="",Reference!$J$2, VLOOKUP($G199,Reference!$I$2:$J$1000,2,false))),"")</f>
        <v/>
      </c>
      <c r="L199" s="12" t="str">
        <f>IF(A199="","", IF(F199="",Reference!$M$2,F199))</f>
        <v/>
      </c>
      <c r="M199" s="14" t="str">
        <f t="shared" si="2"/>
        <v/>
      </c>
      <c r="N199" s="15" t="str">
        <f t="shared" si="3"/>
        <v/>
      </c>
      <c r="O199" s="14" t="str">
        <f t="shared" si="4"/>
        <v/>
      </c>
      <c r="P199" s="16" t="str">
        <f t="array" ref="P199">IF($A199="","", IFERROR(INDEX('BM Data'!$N:$N,MATCH($J199&amp; "-" &amp; $N199,'BM Data'!$O:$O,0),1),""))</f>
        <v/>
      </c>
      <c r="Q199" s="16" t="str">
        <f t="array" ref="Q199">IF($A199="","", IFERROR(INDEX('BM Data'!$J:$J,MATCH($J199&amp; "-" &amp; $N199,'BM Data'!$O:$O,0),1),""))</f>
        <v/>
      </c>
    </row>
    <row r="200">
      <c r="A200" s="10" t="str">
        <f>IFERROR(__xludf.DUMMYFUNCTION("""COMPUTED_VALUE"""),"")</f>
        <v/>
      </c>
      <c r="B200" s="3" t="str">
        <f>IFERROR(__xludf.DUMMYFUNCTION("""COMPUTED_VALUE"""),"")</f>
        <v/>
      </c>
      <c r="C200" s="11" t="str">
        <f>IFERROR(__xludf.DUMMYFUNCTION("""COMPUTED_VALUE"""),"")</f>
        <v/>
      </c>
      <c r="D200" s="11" t="str">
        <f>IFERROR(__xludf.DUMMYFUNCTION("""COMPUTED_VALUE"""),"")</f>
        <v/>
      </c>
      <c r="E200" s="11" t="str">
        <f>IFERROR(__xludf.DUMMYFUNCTION("""COMPUTED_VALUE"""),"")</f>
        <v/>
      </c>
      <c r="F200" s="11" t="str">
        <f>IFERROR(__xludf.DUMMYFUNCTION("""COMPUTED_VALUE"""),"")</f>
        <v/>
      </c>
      <c r="G200" s="11" t="str">
        <f>IFERROR(__xludf.DUMMYFUNCTION("""COMPUTED_VALUE"""),"")</f>
        <v/>
      </c>
      <c r="H200" s="12" t="str">
        <f>IFERROR(__xludf.DUMMYFUNCTION("""COMPUTED_VALUE"""),"")</f>
        <v/>
      </c>
      <c r="I200" s="12" t="str">
        <f>IFERROR(__xludf.DUMMYFUNCTION("""COMPUTED_VALUE"""),"")</f>
        <v/>
      </c>
      <c r="J200" s="13" t="str">
        <f t="shared" si="1"/>
        <v/>
      </c>
      <c r="K200" s="12" t="str">
        <f>IFERROR(IF(A200="","",if($G200="",Reference!$J$2, VLOOKUP($G200,Reference!$I$2:$J$1000,2,false))),"")</f>
        <v/>
      </c>
      <c r="L200" s="12" t="str">
        <f>IF(A200="","", IF(F200="",Reference!$M$2,F200))</f>
        <v/>
      </c>
      <c r="M200" s="14" t="str">
        <f t="shared" si="2"/>
        <v/>
      </c>
      <c r="N200" s="15" t="str">
        <f t="shared" si="3"/>
        <v/>
      </c>
      <c r="O200" s="14" t="str">
        <f t="shared" si="4"/>
        <v/>
      </c>
      <c r="P200" s="16" t="str">
        <f t="array" ref="P200">IF($A200="","", IFERROR(INDEX('BM Data'!$N:$N,MATCH($J200&amp; "-" &amp; $N200,'BM Data'!$O:$O,0),1),""))</f>
        <v/>
      </c>
      <c r="Q200" s="16" t="str">
        <f t="array" ref="Q200">IF($A200="","", IFERROR(INDEX('BM Data'!$J:$J,MATCH($J200&amp; "-" &amp; $N200,'BM Data'!$O:$O,0),1),""))</f>
        <v/>
      </c>
    </row>
    <row r="201">
      <c r="A201" s="10" t="str">
        <f>IFERROR(__xludf.DUMMYFUNCTION("""COMPUTED_VALUE"""),"")</f>
        <v/>
      </c>
      <c r="B201" s="3" t="str">
        <f>IFERROR(__xludf.DUMMYFUNCTION("""COMPUTED_VALUE"""),"")</f>
        <v/>
      </c>
      <c r="C201" s="11" t="str">
        <f>IFERROR(__xludf.DUMMYFUNCTION("""COMPUTED_VALUE"""),"")</f>
        <v/>
      </c>
      <c r="D201" s="11" t="str">
        <f>IFERROR(__xludf.DUMMYFUNCTION("""COMPUTED_VALUE"""),"")</f>
        <v/>
      </c>
      <c r="E201" s="11" t="str">
        <f>IFERROR(__xludf.DUMMYFUNCTION("""COMPUTED_VALUE"""),"")</f>
        <v/>
      </c>
      <c r="F201" s="11" t="str">
        <f>IFERROR(__xludf.DUMMYFUNCTION("""COMPUTED_VALUE"""),"")</f>
        <v/>
      </c>
      <c r="G201" s="11" t="str">
        <f>IFERROR(__xludf.DUMMYFUNCTION("""COMPUTED_VALUE"""),"")</f>
        <v/>
      </c>
      <c r="H201" s="12" t="str">
        <f>IFERROR(__xludf.DUMMYFUNCTION("""COMPUTED_VALUE"""),"")</f>
        <v/>
      </c>
      <c r="I201" s="12" t="str">
        <f>IFERROR(__xludf.DUMMYFUNCTION("""COMPUTED_VALUE"""),"")</f>
        <v/>
      </c>
      <c r="J201" s="13" t="str">
        <f t="shared" si="1"/>
        <v/>
      </c>
      <c r="K201" s="12" t="str">
        <f>IFERROR(IF(A201="","",if($G201="",Reference!$J$2, VLOOKUP($G201,Reference!$I$2:$J$1000,2,false))),"")</f>
        <v/>
      </c>
      <c r="L201" s="12" t="str">
        <f>IF(A201="","", IF(F201="",Reference!$M$2,F201))</f>
        <v/>
      </c>
      <c r="M201" s="14" t="str">
        <f t="shared" si="2"/>
        <v/>
      </c>
      <c r="N201" s="15" t="str">
        <f t="shared" si="3"/>
        <v/>
      </c>
      <c r="O201" s="14" t="str">
        <f t="shared" si="4"/>
        <v/>
      </c>
      <c r="P201" s="16" t="str">
        <f t="array" ref="P201">IF($A201="","", IFERROR(INDEX('BM Data'!$N:$N,MATCH($J201&amp; "-" &amp; $N201,'BM Data'!$O:$O,0),1),""))</f>
        <v/>
      </c>
      <c r="Q201" s="16" t="str">
        <f t="array" ref="Q201">IF($A201="","", IFERROR(INDEX('BM Data'!$J:$J,MATCH($J201&amp; "-" &amp; $N201,'BM Data'!$O:$O,0),1),""))</f>
        <v/>
      </c>
    </row>
    <row r="202">
      <c r="A202" s="10" t="str">
        <f>IFERROR(__xludf.DUMMYFUNCTION("""COMPUTED_VALUE"""),"")</f>
        <v/>
      </c>
      <c r="B202" s="3" t="str">
        <f>IFERROR(__xludf.DUMMYFUNCTION("""COMPUTED_VALUE"""),"")</f>
        <v/>
      </c>
      <c r="C202" s="11" t="str">
        <f>IFERROR(__xludf.DUMMYFUNCTION("""COMPUTED_VALUE"""),"")</f>
        <v/>
      </c>
      <c r="D202" s="11" t="str">
        <f>IFERROR(__xludf.DUMMYFUNCTION("""COMPUTED_VALUE"""),"")</f>
        <v/>
      </c>
      <c r="E202" s="11" t="str">
        <f>IFERROR(__xludf.DUMMYFUNCTION("""COMPUTED_VALUE"""),"")</f>
        <v/>
      </c>
      <c r="F202" s="11" t="str">
        <f>IFERROR(__xludf.DUMMYFUNCTION("""COMPUTED_VALUE"""),"")</f>
        <v/>
      </c>
      <c r="G202" s="11" t="str">
        <f>IFERROR(__xludf.DUMMYFUNCTION("""COMPUTED_VALUE"""),"")</f>
        <v/>
      </c>
      <c r="H202" s="12" t="str">
        <f>IFERROR(__xludf.DUMMYFUNCTION("""COMPUTED_VALUE"""),"")</f>
        <v/>
      </c>
      <c r="I202" s="12" t="str">
        <f>IFERROR(__xludf.DUMMYFUNCTION("""COMPUTED_VALUE"""),"")</f>
        <v/>
      </c>
      <c r="J202" s="13" t="str">
        <f t="shared" si="1"/>
        <v/>
      </c>
      <c r="K202" s="12" t="str">
        <f>IFERROR(IF(A202="","",if($G202="",Reference!$J$2, VLOOKUP($G202,Reference!$I$2:$J$1000,2,false))),"")</f>
        <v/>
      </c>
      <c r="L202" s="12" t="str">
        <f>IF(A202="","", IF(F202="",Reference!$M$2,F202))</f>
        <v/>
      </c>
      <c r="M202" s="14" t="str">
        <f t="shared" si="2"/>
        <v/>
      </c>
      <c r="N202" s="15" t="str">
        <f t="shared" si="3"/>
        <v/>
      </c>
      <c r="O202" s="14" t="str">
        <f t="shared" si="4"/>
        <v/>
      </c>
      <c r="P202" s="16" t="str">
        <f t="array" ref="P202">IF($A202="","", IFERROR(INDEX('BM Data'!$N:$N,MATCH($J202&amp; "-" &amp; $N202,'BM Data'!$O:$O,0),1),""))</f>
        <v/>
      </c>
      <c r="Q202" s="16" t="str">
        <f t="array" ref="Q202">IF($A202="","", IFERROR(INDEX('BM Data'!$J:$J,MATCH($J202&amp; "-" &amp; $N202,'BM Data'!$O:$O,0),1),""))</f>
        <v/>
      </c>
    </row>
    <row r="203">
      <c r="A203" s="10" t="str">
        <f>IFERROR(__xludf.DUMMYFUNCTION("""COMPUTED_VALUE"""),"")</f>
        <v/>
      </c>
      <c r="B203" s="3" t="str">
        <f>IFERROR(__xludf.DUMMYFUNCTION("""COMPUTED_VALUE"""),"")</f>
        <v/>
      </c>
      <c r="C203" s="11" t="str">
        <f>IFERROR(__xludf.DUMMYFUNCTION("""COMPUTED_VALUE"""),"")</f>
        <v/>
      </c>
      <c r="D203" s="11" t="str">
        <f>IFERROR(__xludf.DUMMYFUNCTION("""COMPUTED_VALUE"""),"")</f>
        <v/>
      </c>
      <c r="E203" s="11" t="str">
        <f>IFERROR(__xludf.DUMMYFUNCTION("""COMPUTED_VALUE"""),"")</f>
        <v/>
      </c>
      <c r="F203" s="11" t="str">
        <f>IFERROR(__xludf.DUMMYFUNCTION("""COMPUTED_VALUE"""),"")</f>
        <v/>
      </c>
      <c r="G203" s="11" t="str">
        <f>IFERROR(__xludf.DUMMYFUNCTION("""COMPUTED_VALUE"""),"")</f>
        <v/>
      </c>
      <c r="H203" s="12" t="str">
        <f>IFERROR(__xludf.DUMMYFUNCTION("""COMPUTED_VALUE"""),"")</f>
        <v/>
      </c>
      <c r="I203" s="12" t="str">
        <f>IFERROR(__xludf.DUMMYFUNCTION("""COMPUTED_VALUE"""),"")</f>
        <v/>
      </c>
      <c r="J203" s="13" t="str">
        <f t="shared" si="1"/>
        <v/>
      </c>
      <c r="K203" s="12" t="str">
        <f>IFERROR(IF(A203="","",if($G203="",Reference!$J$2, VLOOKUP($G203,Reference!$I$2:$J$1000,2,false))),"")</f>
        <v/>
      </c>
      <c r="L203" s="12" t="str">
        <f>IF(A203="","", IF(F203="",Reference!$M$2,F203))</f>
        <v/>
      </c>
      <c r="M203" s="14" t="str">
        <f t="shared" si="2"/>
        <v/>
      </c>
      <c r="N203" s="15" t="str">
        <f t="shared" si="3"/>
        <v/>
      </c>
      <c r="O203" s="14" t="str">
        <f t="shared" si="4"/>
        <v/>
      </c>
      <c r="P203" s="16" t="str">
        <f t="array" ref="P203">IF($A203="","", IFERROR(INDEX('BM Data'!$N:$N,MATCH($J203&amp; "-" &amp; $N203,'BM Data'!$O:$O,0),1),""))</f>
        <v/>
      </c>
      <c r="Q203" s="16" t="str">
        <f t="array" ref="Q203">IF($A203="","", IFERROR(INDEX('BM Data'!$J:$J,MATCH($J203&amp; "-" &amp; $N203,'BM Data'!$O:$O,0),1),""))</f>
        <v/>
      </c>
    </row>
    <row r="204">
      <c r="A204" s="10" t="str">
        <f>IFERROR(__xludf.DUMMYFUNCTION("""COMPUTED_VALUE"""),"")</f>
        <v/>
      </c>
      <c r="B204" s="3" t="str">
        <f>IFERROR(__xludf.DUMMYFUNCTION("""COMPUTED_VALUE"""),"")</f>
        <v/>
      </c>
      <c r="C204" s="11" t="str">
        <f>IFERROR(__xludf.DUMMYFUNCTION("""COMPUTED_VALUE"""),"")</f>
        <v/>
      </c>
      <c r="D204" s="11" t="str">
        <f>IFERROR(__xludf.DUMMYFUNCTION("""COMPUTED_VALUE"""),"")</f>
        <v/>
      </c>
      <c r="E204" s="11" t="str">
        <f>IFERROR(__xludf.DUMMYFUNCTION("""COMPUTED_VALUE"""),"")</f>
        <v/>
      </c>
      <c r="F204" s="11" t="str">
        <f>IFERROR(__xludf.DUMMYFUNCTION("""COMPUTED_VALUE"""),"")</f>
        <v/>
      </c>
      <c r="G204" s="11" t="str">
        <f>IFERROR(__xludf.DUMMYFUNCTION("""COMPUTED_VALUE"""),"")</f>
        <v/>
      </c>
      <c r="H204" s="12" t="str">
        <f>IFERROR(__xludf.DUMMYFUNCTION("""COMPUTED_VALUE"""),"")</f>
        <v/>
      </c>
      <c r="I204" s="12" t="str">
        <f>IFERROR(__xludf.DUMMYFUNCTION("""COMPUTED_VALUE"""),"")</f>
        <v/>
      </c>
      <c r="J204" s="13" t="str">
        <f t="shared" si="1"/>
        <v/>
      </c>
      <c r="K204" s="12" t="str">
        <f>IFERROR(IF(A204="","",if($G204="",Reference!$J$2, VLOOKUP($G204,Reference!$I$2:$J$1000,2,false))),"")</f>
        <v/>
      </c>
      <c r="L204" s="12" t="str">
        <f>IF(A204="","", IF(F204="",Reference!$M$2,F204))</f>
        <v/>
      </c>
      <c r="M204" s="14" t="str">
        <f t="shared" si="2"/>
        <v/>
      </c>
      <c r="N204" s="15" t="str">
        <f t="shared" si="3"/>
        <v/>
      </c>
      <c r="O204" s="14" t="str">
        <f t="shared" si="4"/>
        <v/>
      </c>
      <c r="P204" s="16" t="str">
        <f t="array" ref="P204">IF($A204="","", IFERROR(INDEX('BM Data'!$N:$N,MATCH($J204&amp; "-" &amp; $N204,'BM Data'!$O:$O,0),1),""))</f>
        <v/>
      </c>
      <c r="Q204" s="16" t="str">
        <f t="array" ref="Q204">IF($A204="","", IFERROR(INDEX('BM Data'!$J:$J,MATCH($J204&amp; "-" &amp; $N204,'BM Data'!$O:$O,0),1),""))</f>
        <v/>
      </c>
    </row>
    <row r="205">
      <c r="A205" s="10" t="str">
        <f>IFERROR(__xludf.DUMMYFUNCTION("""COMPUTED_VALUE"""),"")</f>
        <v/>
      </c>
      <c r="B205" s="3" t="str">
        <f>IFERROR(__xludf.DUMMYFUNCTION("""COMPUTED_VALUE"""),"")</f>
        <v/>
      </c>
      <c r="C205" s="11" t="str">
        <f>IFERROR(__xludf.DUMMYFUNCTION("""COMPUTED_VALUE"""),"")</f>
        <v/>
      </c>
      <c r="D205" s="11" t="str">
        <f>IFERROR(__xludf.DUMMYFUNCTION("""COMPUTED_VALUE"""),"")</f>
        <v/>
      </c>
      <c r="E205" s="11" t="str">
        <f>IFERROR(__xludf.DUMMYFUNCTION("""COMPUTED_VALUE"""),"")</f>
        <v/>
      </c>
      <c r="F205" s="11" t="str">
        <f>IFERROR(__xludf.DUMMYFUNCTION("""COMPUTED_VALUE"""),"")</f>
        <v/>
      </c>
      <c r="G205" s="11" t="str">
        <f>IFERROR(__xludf.DUMMYFUNCTION("""COMPUTED_VALUE"""),"")</f>
        <v/>
      </c>
      <c r="H205" s="12" t="str">
        <f>IFERROR(__xludf.DUMMYFUNCTION("""COMPUTED_VALUE"""),"")</f>
        <v/>
      </c>
      <c r="I205" s="12" t="str">
        <f>IFERROR(__xludf.DUMMYFUNCTION("""COMPUTED_VALUE"""),"")</f>
        <v/>
      </c>
      <c r="J205" s="13" t="str">
        <f t="shared" si="1"/>
        <v/>
      </c>
      <c r="K205" s="12" t="str">
        <f>IFERROR(IF(A205="","",if($G205="",Reference!$J$2, VLOOKUP($G205,Reference!$I$2:$J$1000,2,false))),"")</f>
        <v/>
      </c>
      <c r="L205" s="12" t="str">
        <f>IF(A205="","", IF(F205="",Reference!$M$2,F205))</f>
        <v/>
      </c>
      <c r="M205" s="14" t="str">
        <f t="shared" si="2"/>
        <v/>
      </c>
      <c r="N205" s="15" t="str">
        <f t="shared" si="3"/>
        <v/>
      </c>
      <c r="O205" s="14" t="str">
        <f t="shared" si="4"/>
        <v/>
      </c>
      <c r="P205" s="16" t="str">
        <f t="array" ref="P205">IF($A205="","", IFERROR(INDEX('BM Data'!$N:$N,MATCH($J205&amp; "-" &amp; $N205,'BM Data'!$O:$O,0),1),""))</f>
        <v/>
      </c>
      <c r="Q205" s="16" t="str">
        <f t="array" ref="Q205">IF($A205="","", IFERROR(INDEX('BM Data'!$J:$J,MATCH($J205&amp; "-" &amp; $N205,'BM Data'!$O:$O,0),1),""))</f>
        <v/>
      </c>
    </row>
    <row r="206">
      <c r="A206" s="10" t="str">
        <f>IFERROR(__xludf.DUMMYFUNCTION("""COMPUTED_VALUE"""),"")</f>
        <v/>
      </c>
      <c r="B206" s="3" t="str">
        <f>IFERROR(__xludf.DUMMYFUNCTION("""COMPUTED_VALUE"""),"")</f>
        <v/>
      </c>
      <c r="C206" s="11" t="str">
        <f>IFERROR(__xludf.DUMMYFUNCTION("""COMPUTED_VALUE"""),"")</f>
        <v/>
      </c>
      <c r="D206" s="11" t="str">
        <f>IFERROR(__xludf.DUMMYFUNCTION("""COMPUTED_VALUE"""),"")</f>
        <v/>
      </c>
      <c r="E206" s="11" t="str">
        <f>IFERROR(__xludf.DUMMYFUNCTION("""COMPUTED_VALUE"""),"")</f>
        <v/>
      </c>
      <c r="F206" s="11" t="str">
        <f>IFERROR(__xludf.DUMMYFUNCTION("""COMPUTED_VALUE"""),"")</f>
        <v/>
      </c>
      <c r="G206" s="11" t="str">
        <f>IFERROR(__xludf.DUMMYFUNCTION("""COMPUTED_VALUE"""),"")</f>
        <v/>
      </c>
      <c r="H206" s="12" t="str">
        <f>IFERROR(__xludf.DUMMYFUNCTION("""COMPUTED_VALUE"""),"")</f>
        <v/>
      </c>
      <c r="I206" s="12" t="str">
        <f>IFERROR(__xludf.DUMMYFUNCTION("""COMPUTED_VALUE"""),"")</f>
        <v/>
      </c>
      <c r="J206" s="13" t="str">
        <f t="shared" si="1"/>
        <v/>
      </c>
      <c r="K206" s="12" t="str">
        <f>IFERROR(IF(A206="","",if($G206="",Reference!$J$2, VLOOKUP($G206,Reference!$I$2:$J$1000,2,false))),"")</f>
        <v/>
      </c>
      <c r="L206" s="12" t="str">
        <f>IF(A206="","", IF(F206="",Reference!$M$2,F206))</f>
        <v/>
      </c>
      <c r="M206" s="14" t="str">
        <f t="shared" si="2"/>
        <v/>
      </c>
      <c r="N206" s="15" t="str">
        <f t="shared" si="3"/>
        <v/>
      </c>
      <c r="O206" s="14" t="str">
        <f t="shared" si="4"/>
        <v/>
      </c>
      <c r="P206" s="16" t="str">
        <f t="array" ref="P206">IF($A206="","", IFERROR(INDEX('BM Data'!$N:$N,MATCH($J206&amp; "-" &amp; $N206,'BM Data'!$O:$O,0),1),""))</f>
        <v/>
      </c>
      <c r="Q206" s="16" t="str">
        <f t="array" ref="Q206">IF($A206="","", IFERROR(INDEX('BM Data'!$J:$J,MATCH($J206&amp; "-" &amp; $N206,'BM Data'!$O:$O,0),1),""))</f>
        <v/>
      </c>
    </row>
    <row r="207">
      <c r="A207" s="10" t="str">
        <f>IFERROR(__xludf.DUMMYFUNCTION("""COMPUTED_VALUE"""),"")</f>
        <v/>
      </c>
      <c r="B207" s="3" t="str">
        <f>IFERROR(__xludf.DUMMYFUNCTION("""COMPUTED_VALUE"""),"")</f>
        <v/>
      </c>
      <c r="C207" s="11" t="str">
        <f>IFERROR(__xludf.DUMMYFUNCTION("""COMPUTED_VALUE"""),"")</f>
        <v/>
      </c>
      <c r="D207" s="11" t="str">
        <f>IFERROR(__xludf.DUMMYFUNCTION("""COMPUTED_VALUE"""),"")</f>
        <v/>
      </c>
      <c r="E207" s="11" t="str">
        <f>IFERROR(__xludf.DUMMYFUNCTION("""COMPUTED_VALUE"""),"")</f>
        <v/>
      </c>
      <c r="F207" s="11" t="str">
        <f>IFERROR(__xludf.DUMMYFUNCTION("""COMPUTED_VALUE"""),"")</f>
        <v/>
      </c>
      <c r="G207" s="11" t="str">
        <f>IFERROR(__xludf.DUMMYFUNCTION("""COMPUTED_VALUE"""),"")</f>
        <v/>
      </c>
      <c r="H207" s="12" t="str">
        <f>IFERROR(__xludf.DUMMYFUNCTION("""COMPUTED_VALUE"""),"")</f>
        <v/>
      </c>
      <c r="I207" s="12" t="str">
        <f>IFERROR(__xludf.DUMMYFUNCTION("""COMPUTED_VALUE"""),"")</f>
        <v/>
      </c>
      <c r="J207" s="13" t="str">
        <f t="shared" si="1"/>
        <v/>
      </c>
      <c r="K207" s="12" t="str">
        <f>IFERROR(IF(A207="","",if($G207="",Reference!$J$2, VLOOKUP($G207,Reference!$I$2:$J$1000,2,false))),"")</f>
        <v/>
      </c>
      <c r="L207" s="12" t="str">
        <f>IF(A207="","", IF(F207="",Reference!$M$2,F207))</f>
        <v/>
      </c>
      <c r="M207" s="14" t="str">
        <f t="shared" si="2"/>
        <v/>
      </c>
      <c r="N207" s="15" t="str">
        <f t="shared" si="3"/>
        <v/>
      </c>
      <c r="O207" s="14" t="str">
        <f t="shared" si="4"/>
        <v/>
      </c>
      <c r="P207" s="16" t="str">
        <f t="array" ref="P207">IF($A207="","", IFERROR(INDEX('BM Data'!$N:$N,MATCH($J207&amp; "-" &amp; $N207,'BM Data'!$O:$O,0),1),""))</f>
        <v/>
      </c>
      <c r="Q207" s="16" t="str">
        <f t="array" ref="Q207">IF($A207="","", IFERROR(INDEX('BM Data'!$J:$J,MATCH($J207&amp; "-" &amp; $N207,'BM Data'!$O:$O,0),1),""))</f>
        <v/>
      </c>
    </row>
    <row r="208">
      <c r="A208" s="10" t="str">
        <f>IFERROR(__xludf.DUMMYFUNCTION("""COMPUTED_VALUE"""),"")</f>
        <v/>
      </c>
      <c r="B208" s="3" t="str">
        <f>IFERROR(__xludf.DUMMYFUNCTION("""COMPUTED_VALUE"""),"")</f>
        <v/>
      </c>
      <c r="C208" s="11" t="str">
        <f>IFERROR(__xludf.DUMMYFUNCTION("""COMPUTED_VALUE"""),"")</f>
        <v/>
      </c>
      <c r="D208" s="11" t="str">
        <f>IFERROR(__xludf.DUMMYFUNCTION("""COMPUTED_VALUE"""),"")</f>
        <v/>
      </c>
      <c r="E208" s="11" t="str">
        <f>IFERROR(__xludf.DUMMYFUNCTION("""COMPUTED_VALUE"""),"")</f>
        <v/>
      </c>
      <c r="F208" s="11" t="str">
        <f>IFERROR(__xludf.DUMMYFUNCTION("""COMPUTED_VALUE"""),"")</f>
        <v/>
      </c>
      <c r="G208" s="11" t="str">
        <f>IFERROR(__xludf.DUMMYFUNCTION("""COMPUTED_VALUE"""),"")</f>
        <v/>
      </c>
      <c r="H208" s="12" t="str">
        <f>IFERROR(__xludf.DUMMYFUNCTION("""COMPUTED_VALUE"""),"")</f>
        <v/>
      </c>
      <c r="I208" s="12" t="str">
        <f>IFERROR(__xludf.DUMMYFUNCTION("""COMPUTED_VALUE"""),"")</f>
        <v/>
      </c>
      <c r="J208" s="13" t="str">
        <f t="shared" si="1"/>
        <v/>
      </c>
      <c r="K208" s="12" t="str">
        <f>IFERROR(IF(A208="","",if($G208="",Reference!$J$2, VLOOKUP($G208,Reference!$I$2:$J$1000,2,false))),"")</f>
        <v/>
      </c>
      <c r="L208" s="12" t="str">
        <f>IF(A208="","", IF(F208="",Reference!$M$2,F208))</f>
        <v/>
      </c>
      <c r="M208" s="14" t="str">
        <f t="shared" si="2"/>
        <v/>
      </c>
      <c r="N208" s="15" t="str">
        <f t="shared" si="3"/>
        <v/>
      </c>
      <c r="O208" s="14" t="str">
        <f t="shared" si="4"/>
        <v/>
      </c>
      <c r="P208" s="16" t="str">
        <f t="array" ref="P208">IF($A208="","", IFERROR(INDEX('BM Data'!$N:$N,MATCH($J208&amp; "-" &amp; $N208,'BM Data'!$O:$O,0),1),""))</f>
        <v/>
      </c>
      <c r="Q208" s="16" t="str">
        <f t="array" ref="Q208">IF($A208="","", IFERROR(INDEX('BM Data'!$J:$J,MATCH($J208&amp; "-" &amp; $N208,'BM Data'!$O:$O,0),1),""))</f>
        <v/>
      </c>
    </row>
    <row r="209">
      <c r="A209" s="10" t="str">
        <f>IFERROR(__xludf.DUMMYFUNCTION("""COMPUTED_VALUE"""),"")</f>
        <v/>
      </c>
      <c r="B209" s="3" t="str">
        <f>IFERROR(__xludf.DUMMYFUNCTION("""COMPUTED_VALUE"""),"")</f>
        <v/>
      </c>
      <c r="C209" s="11" t="str">
        <f>IFERROR(__xludf.DUMMYFUNCTION("""COMPUTED_VALUE"""),"")</f>
        <v/>
      </c>
      <c r="D209" s="11" t="str">
        <f>IFERROR(__xludf.DUMMYFUNCTION("""COMPUTED_VALUE"""),"")</f>
        <v/>
      </c>
      <c r="E209" s="11" t="str">
        <f>IFERROR(__xludf.DUMMYFUNCTION("""COMPUTED_VALUE"""),"")</f>
        <v/>
      </c>
      <c r="F209" s="11" t="str">
        <f>IFERROR(__xludf.DUMMYFUNCTION("""COMPUTED_VALUE"""),"")</f>
        <v/>
      </c>
      <c r="G209" s="11" t="str">
        <f>IFERROR(__xludf.DUMMYFUNCTION("""COMPUTED_VALUE"""),"")</f>
        <v/>
      </c>
      <c r="H209" s="12" t="str">
        <f>IFERROR(__xludf.DUMMYFUNCTION("""COMPUTED_VALUE"""),"")</f>
        <v/>
      </c>
      <c r="I209" s="12" t="str">
        <f>IFERROR(__xludf.DUMMYFUNCTION("""COMPUTED_VALUE"""),"")</f>
        <v/>
      </c>
      <c r="J209" s="13" t="str">
        <f t="shared" si="1"/>
        <v/>
      </c>
      <c r="K209" s="12" t="str">
        <f>IFERROR(IF(A209="","",if($G209="",Reference!$J$2, VLOOKUP($G209,Reference!$I$2:$J$1000,2,false))),"")</f>
        <v/>
      </c>
      <c r="L209" s="12" t="str">
        <f>IF(A209="","", IF(F209="",Reference!$M$2,F209))</f>
        <v/>
      </c>
      <c r="M209" s="14" t="str">
        <f t="shared" si="2"/>
        <v/>
      </c>
      <c r="N209" s="15" t="str">
        <f t="shared" si="3"/>
        <v/>
      </c>
      <c r="O209" s="14" t="str">
        <f t="shared" si="4"/>
        <v/>
      </c>
      <c r="P209" s="16" t="str">
        <f t="array" ref="P209">IF($A209="","", IFERROR(INDEX('BM Data'!$N:$N,MATCH($J209&amp; "-" &amp; $N209,'BM Data'!$O:$O,0),1),""))</f>
        <v/>
      </c>
      <c r="Q209" s="16" t="str">
        <f t="array" ref="Q209">IF($A209="","", IFERROR(INDEX('BM Data'!$J:$J,MATCH($J209&amp; "-" &amp; $N209,'BM Data'!$O:$O,0),1),""))</f>
        <v/>
      </c>
    </row>
    <row r="210">
      <c r="A210" s="10" t="str">
        <f>IFERROR(__xludf.DUMMYFUNCTION("""COMPUTED_VALUE"""),"")</f>
        <v/>
      </c>
      <c r="B210" s="3" t="str">
        <f>IFERROR(__xludf.DUMMYFUNCTION("""COMPUTED_VALUE"""),"")</f>
        <v/>
      </c>
      <c r="C210" s="11" t="str">
        <f>IFERROR(__xludf.DUMMYFUNCTION("""COMPUTED_VALUE"""),"")</f>
        <v/>
      </c>
      <c r="D210" s="11" t="str">
        <f>IFERROR(__xludf.DUMMYFUNCTION("""COMPUTED_VALUE"""),"")</f>
        <v/>
      </c>
      <c r="E210" s="11" t="str">
        <f>IFERROR(__xludf.DUMMYFUNCTION("""COMPUTED_VALUE"""),"")</f>
        <v/>
      </c>
      <c r="F210" s="11" t="str">
        <f>IFERROR(__xludf.DUMMYFUNCTION("""COMPUTED_VALUE"""),"")</f>
        <v/>
      </c>
      <c r="G210" s="11" t="str">
        <f>IFERROR(__xludf.DUMMYFUNCTION("""COMPUTED_VALUE"""),"")</f>
        <v/>
      </c>
      <c r="H210" s="12" t="str">
        <f>IFERROR(__xludf.DUMMYFUNCTION("""COMPUTED_VALUE"""),"")</f>
        <v/>
      </c>
      <c r="I210" s="12" t="str">
        <f>IFERROR(__xludf.DUMMYFUNCTION("""COMPUTED_VALUE"""),"")</f>
        <v/>
      </c>
      <c r="J210" s="13" t="str">
        <f t="shared" si="1"/>
        <v/>
      </c>
      <c r="K210" s="12" t="str">
        <f>IFERROR(IF(A210="","",if($G210="",Reference!$J$2, VLOOKUP($G210,Reference!$I$2:$J$1000,2,false))),"")</f>
        <v/>
      </c>
      <c r="L210" s="12" t="str">
        <f>IF(A210="","", IF(F210="",Reference!$M$2,F210))</f>
        <v/>
      </c>
      <c r="M210" s="14" t="str">
        <f t="shared" si="2"/>
        <v/>
      </c>
      <c r="N210" s="15" t="str">
        <f t="shared" si="3"/>
        <v/>
      </c>
      <c r="O210" s="14" t="str">
        <f t="shared" si="4"/>
        <v/>
      </c>
      <c r="P210" s="16" t="str">
        <f t="array" ref="P210">IF($A210="","", IFERROR(INDEX('BM Data'!$N:$N,MATCH($J210&amp; "-" &amp; $N210,'BM Data'!$O:$O,0),1),""))</f>
        <v/>
      </c>
      <c r="Q210" s="16" t="str">
        <f t="array" ref="Q210">IF($A210="","", IFERROR(INDEX('BM Data'!$J:$J,MATCH($J210&amp; "-" &amp; $N210,'BM Data'!$O:$O,0),1),""))</f>
        <v/>
      </c>
    </row>
    <row r="211">
      <c r="A211" s="10" t="str">
        <f>IFERROR(__xludf.DUMMYFUNCTION("""COMPUTED_VALUE"""),"")</f>
        <v/>
      </c>
      <c r="B211" s="3" t="str">
        <f>IFERROR(__xludf.DUMMYFUNCTION("""COMPUTED_VALUE"""),"")</f>
        <v/>
      </c>
      <c r="C211" s="11" t="str">
        <f>IFERROR(__xludf.DUMMYFUNCTION("""COMPUTED_VALUE"""),"")</f>
        <v/>
      </c>
      <c r="D211" s="11" t="str">
        <f>IFERROR(__xludf.DUMMYFUNCTION("""COMPUTED_VALUE"""),"")</f>
        <v/>
      </c>
      <c r="E211" s="11" t="str">
        <f>IFERROR(__xludf.DUMMYFUNCTION("""COMPUTED_VALUE"""),"")</f>
        <v/>
      </c>
      <c r="F211" s="11" t="str">
        <f>IFERROR(__xludf.DUMMYFUNCTION("""COMPUTED_VALUE"""),"")</f>
        <v/>
      </c>
      <c r="G211" s="11" t="str">
        <f>IFERROR(__xludf.DUMMYFUNCTION("""COMPUTED_VALUE"""),"")</f>
        <v/>
      </c>
      <c r="H211" s="12" t="str">
        <f>IFERROR(__xludf.DUMMYFUNCTION("""COMPUTED_VALUE"""),"")</f>
        <v/>
      </c>
      <c r="I211" s="12" t="str">
        <f>IFERROR(__xludf.DUMMYFUNCTION("""COMPUTED_VALUE"""),"")</f>
        <v/>
      </c>
      <c r="J211" s="13" t="str">
        <f t="shared" si="1"/>
        <v/>
      </c>
      <c r="K211" s="12" t="str">
        <f>IFERROR(IF(A211="","",if($G211="",Reference!$J$2, VLOOKUP($G211,Reference!$I$2:$J$1000,2,false))),"")</f>
        <v/>
      </c>
      <c r="L211" s="12" t="str">
        <f>IF(A211="","", IF(F211="",Reference!$M$2,F211))</f>
        <v/>
      </c>
      <c r="M211" s="14" t="str">
        <f t="shared" si="2"/>
        <v/>
      </c>
      <c r="N211" s="15" t="str">
        <f t="shared" si="3"/>
        <v/>
      </c>
      <c r="O211" s="14" t="str">
        <f t="shared" si="4"/>
        <v/>
      </c>
      <c r="P211" s="16" t="str">
        <f t="array" ref="P211">IF($A211="","", IFERROR(INDEX('BM Data'!$N:$N,MATCH($J211&amp; "-" &amp; $N211,'BM Data'!$O:$O,0),1),""))</f>
        <v/>
      </c>
      <c r="Q211" s="16" t="str">
        <f t="array" ref="Q211">IF($A211="","", IFERROR(INDEX('BM Data'!$J:$J,MATCH($J211&amp; "-" &amp; $N211,'BM Data'!$O:$O,0),1),""))</f>
        <v/>
      </c>
    </row>
    <row r="212">
      <c r="A212" s="10" t="str">
        <f>IFERROR(__xludf.DUMMYFUNCTION("""COMPUTED_VALUE"""),"")</f>
        <v/>
      </c>
      <c r="B212" s="3" t="str">
        <f>IFERROR(__xludf.DUMMYFUNCTION("""COMPUTED_VALUE"""),"")</f>
        <v/>
      </c>
      <c r="C212" s="11" t="str">
        <f>IFERROR(__xludf.DUMMYFUNCTION("""COMPUTED_VALUE"""),"")</f>
        <v/>
      </c>
      <c r="D212" s="11" t="str">
        <f>IFERROR(__xludf.DUMMYFUNCTION("""COMPUTED_VALUE"""),"")</f>
        <v/>
      </c>
      <c r="E212" s="11" t="str">
        <f>IFERROR(__xludf.DUMMYFUNCTION("""COMPUTED_VALUE"""),"")</f>
        <v/>
      </c>
      <c r="F212" s="11" t="str">
        <f>IFERROR(__xludf.DUMMYFUNCTION("""COMPUTED_VALUE"""),"")</f>
        <v/>
      </c>
      <c r="G212" s="11" t="str">
        <f>IFERROR(__xludf.DUMMYFUNCTION("""COMPUTED_VALUE"""),"")</f>
        <v/>
      </c>
      <c r="H212" s="12" t="str">
        <f>IFERROR(__xludf.DUMMYFUNCTION("""COMPUTED_VALUE"""),"")</f>
        <v/>
      </c>
      <c r="I212" s="12" t="str">
        <f>IFERROR(__xludf.DUMMYFUNCTION("""COMPUTED_VALUE"""),"")</f>
        <v/>
      </c>
      <c r="J212" s="13" t="str">
        <f t="shared" si="1"/>
        <v/>
      </c>
      <c r="K212" s="12" t="str">
        <f>IFERROR(IF(A212="","",if($G212="",Reference!$J$2, VLOOKUP($G212,Reference!$I$2:$J$1000,2,false))),"")</f>
        <v/>
      </c>
      <c r="L212" s="12" t="str">
        <f>IF(A212="","", IF(F212="",Reference!$M$2,F212))</f>
        <v/>
      </c>
      <c r="M212" s="14" t="str">
        <f t="shared" si="2"/>
        <v/>
      </c>
      <c r="N212" s="15" t="str">
        <f t="shared" si="3"/>
        <v/>
      </c>
      <c r="O212" s="14" t="str">
        <f t="shared" si="4"/>
        <v/>
      </c>
      <c r="P212" s="16" t="str">
        <f t="array" ref="P212">IF($A212="","", IFERROR(INDEX('BM Data'!$N:$N,MATCH($J212&amp; "-" &amp; $N212,'BM Data'!$O:$O,0),1),""))</f>
        <v/>
      </c>
      <c r="Q212" s="16" t="str">
        <f t="array" ref="Q212">IF($A212="","", IFERROR(INDEX('BM Data'!$J:$J,MATCH($J212&amp; "-" &amp; $N212,'BM Data'!$O:$O,0),1),""))</f>
        <v/>
      </c>
    </row>
    <row r="213">
      <c r="A213" s="10" t="str">
        <f>IFERROR(__xludf.DUMMYFUNCTION("""COMPUTED_VALUE"""),"")</f>
        <v/>
      </c>
      <c r="B213" s="3" t="str">
        <f>IFERROR(__xludf.DUMMYFUNCTION("""COMPUTED_VALUE"""),"")</f>
        <v/>
      </c>
      <c r="C213" s="11" t="str">
        <f>IFERROR(__xludf.DUMMYFUNCTION("""COMPUTED_VALUE"""),"")</f>
        <v/>
      </c>
      <c r="D213" s="11" t="str">
        <f>IFERROR(__xludf.DUMMYFUNCTION("""COMPUTED_VALUE"""),"")</f>
        <v/>
      </c>
      <c r="E213" s="11" t="str">
        <f>IFERROR(__xludf.DUMMYFUNCTION("""COMPUTED_VALUE"""),"")</f>
        <v/>
      </c>
      <c r="F213" s="11" t="str">
        <f>IFERROR(__xludf.DUMMYFUNCTION("""COMPUTED_VALUE"""),"")</f>
        <v/>
      </c>
      <c r="G213" s="11" t="str">
        <f>IFERROR(__xludf.DUMMYFUNCTION("""COMPUTED_VALUE"""),"")</f>
        <v/>
      </c>
      <c r="H213" s="12" t="str">
        <f>IFERROR(__xludf.DUMMYFUNCTION("""COMPUTED_VALUE"""),"")</f>
        <v/>
      </c>
      <c r="I213" s="12" t="str">
        <f>IFERROR(__xludf.DUMMYFUNCTION("""COMPUTED_VALUE"""),"")</f>
        <v/>
      </c>
      <c r="J213" s="13" t="str">
        <f t="shared" si="1"/>
        <v/>
      </c>
      <c r="K213" s="12" t="str">
        <f>IFERROR(IF(A213="","",if($G213="",Reference!$J$2, VLOOKUP($G213,Reference!$I$2:$J$1000,2,false))),"")</f>
        <v/>
      </c>
      <c r="L213" s="12" t="str">
        <f>IF(A213="","", IF(F213="",Reference!$M$2,F213))</f>
        <v/>
      </c>
      <c r="M213" s="14" t="str">
        <f t="shared" si="2"/>
        <v/>
      </c>
      <c r="N213" s="15" t="str">
        <f t="shared" si="3"/>
        <v/>
      </c>
      <c r="O213" s="14" t="str">
        <f t="shared" si="4"/>
        <v/>
      </c>
      <c r="P213" s="16" t="str">
        <f t="array" ref="P213">IF($A213="","", IFERROR(INDEX('BM Data'!$N:$N,MATCH($J213&amp; "-" &amp; $N213,'BM Data'!$O:$O,0),1),""))</f>
        <v/>
      </c>
      <c r="Q213" s="16" t="str">
        <f t="array" ref="Q213">IF($A213="","", IFERROR(INDEX('BM Data'!$J:$J,MATCH($J213&amp; "-" &amp; $N213,'BM Data'!$O:$O,0),1),""))</f>
        <v/>
      </c>
    </row>
    <row r="214">
      <c r="A214" s="10" t="str">
        <f>IFERROR(__xludf.DUMMYFUNCTION("""COMPUTED_VALUE"""),"")</f>
        <v/>
      </c>
      <c r="B214" s="3" t="str">
        <f>IFERROR(__xludf.DUMMYFUNCTION("""COMPUTED_VALUE"""),"")</f>
        <v/>
      </c>
      <c r="C214" s="11" t="str">
        <f>IFERROR(__xludf.DUMMYFUNCTION("""COMPUTED_VALUE"""),"")</f>
        <v/>
      </c>
      <c r="D214" s="11" t="str">
        <f>IFERROR(__xludf.DUMMYFUNCTION("""COMPUTED_VALUE"""),"")</f>
        <v/>
      </c>
      <c r="E214" s="11" t="str">
        <f>IFERROR(__xludf.DUMMYFUNCTION("""COMPUTED_VALUE"""),"")</f>
        <v/>
      </c>
      <c r="F214" s="11" t="str">
        <f>IFERROR(__xludf.DUMMYFUNCTION("""COMPUTED_VALUE"""),"")</f>
        <v/>
      </c>
      <c r="G214" s="11" t="str">
        <f>IFERROR(__xludf.DUMMYFUNCTION("""COMPUTED_VALUE"""),"")</f>
        <v/>
      </c>
      <c r="H214" s="12" t="str">
        <f>IFERROR(__xludf.DUMMYFUNCTION("""COMPUTED_VALUE"""),"")</f>
        <v/>
      </c>
      <c r="I214" s="12" t="str">
        <f>IFERROR(__xludf.DUMMYFUNCTION("""COMPUTED_VALUE"""),"")</f>
        <v/>
      </c>
      <c r="J214" s="13" t="str">
        <f t="shared" si="1"/>
        <v/>
      </c>
      <c r="K214" s="12" t="str">
        <f>IFERROR(IF(A214="","",if($G214="",Reference!$J$2, VLOOKUP($G214,Reference!$I$2:$J$1000,2,false))),"")</f>
        <v/>
      </c>
      <c r="L214" s="12" t="str">
        <f>IF(A214="","", IF(F214="",Reference!$M$2,F214))</f>
        <v/>
      </c>
      <c r="M214" s="14" t="str">
        <f t="shared" si="2"/>
        <v/>
      </c>
      <c r="N214" s="15" t="str">
        <f t="shared" si="3"/>
        <v/>
      </c>
      <c r="O214" s="14" t="str">
        <f t="shared" si="4"/>
        <v/>
      </c>
      <c r="P214" s="16" t="str">
        <f t="array" ref="P214">IF($A214="","", IFERROR(INDEX('BM Data'!$N:$N,MATCH($J214&amp; "-" &amp; $N214,'BM Data'!$O:$O,0),1),""))</f>
        <v/>
      </c>
      <c r="Q214" s="16" t="str">
        <f t="array" ref="Q214">IF($A214="","", IFERROR(INDEX('BM Data'!$J:$J,MATCH($J214&amp; "-" &amp; $N214,'BM Data'!$O:$O,0),1),""))</f>
        <v/>
      </c>
    </row>
    <row r="215">
      <c r="A215" s="10" t="str">
        <f>IFERROR(__xludf.DUMMYFUNCTION("""COMPUTED_VALUE"""),"")</f>
        <v/>
      </c>
      <c r="B215" s="3" t="str">
        <f>IFERROR(__xludf.DUMMYFUNCTION("""COMPUTED_VALUE"""),"")</f>
        <v/>
      </c>
      <c r="C215" s="11" t="str">
        <f>IFERROR(__xludf.DUMMYFUNCTION("""COMPUTED_VALUE"""),"")</f>
        <v/>
      </c>
      <c r="D215" s="11" t="str">
        <f>IFERROR(__xludf.DUMMYFUNCTION("""COMPUTED_VALUE"""),"")</f>
        <v/>
      </c>
      <c r="E215" s="11" t="str">
        <f>IFERROR(__xludf.DUMMYFUNCTION("""COMPUTED_VALUE"""),"")</f>
        <v/>
      </c>
      <c r="F215" s="11" t="str">
        <f>IFERROR(__xludf.DUMMYFUNCTION("""COMPUTED_VALUE"""),"")</f>
        <v/>
      </c>
      <c r="G215" s="11" t="str">
        <f>IFERROR(__xludf.DUMMYFUNCTION("""COMPUTED_VALUE"""),"")</f>
        <v/>
      </c>
      <c r="H215" s="12" t="str">
        <f>IFERROR(__xludf.DUMMYFUNCTION("""COMPUTED_VALUE"""),"")</f>
        <v/>
      </c>
      <c r="I215" s="12" t="str">
        <f>IFERROR(__xludf.DUMMYFUNCTION("""COMPUTED_VALUE"""),"")</f>
        <v/>
      </c>
      <c r="J215" s="13" t="str">
        <f t="shared" si="1"/>
        <v/>
      </c>
      <c r="K215" s="12" t="str">
        <f>IFERROR(IF(A215="","",if($G215="",Reference!$J$2, VLOOKUP($G215,Reference!$I$2:$J$1000,2,false))),"")</f>
        <v/>
      </c>
      <c r="L215" s="12" t="str">
        <f>IF(A215="","", IF(F215="",Reference!$M$2,F215))</f>
        <v/>
      </c>
      <c r="M215" s="14" t="str">
        <f t="shared" si="2"/>
        <v/>
      </c>
      <c r="N215" s="15" t="str">
        <f t="shared" si="3"/>
        <v/>
      </c>
      <c r="O215" s="14" t="str">
        <f t="shared" si="4"/>
        <v/>
      </c>
      <c r="P215" s="16" t="str">
        <f t="array" ref="P215">IF($A215="","", IFERROR(INDEX('BM Data'!$N:$N,MATCH($J215&amp; "-" &amp; $N215,'BM Data'!$O:$O,0),1),""))</f>
        <v/>
      </c>
      <c r="Q215" s="16" t="str">
        <f t="array" ref="Q215">IF($A215="","", IFERROR(INDEX('BM Data'!$J:$J,MATCH($J215&amp; "-" &amp; $N215,'BM Data'!$O:$O,0),1),""))</f>
        <v/>
      </c>
    </row>
    <row r="216">
      <c r="A216" s="10" t="str">
        <f>IFERROR(__xludf.DUMMYFUNCTION("""COMPUTED_VALUE"""),"")</f>
        <v/>
      </c>
      <c r="B216" s="3" t="str">
        <f>IFERROR(__xludf.DUMMYFUNCTION("""COMPUTED_VALUE"""),"")</f>
        <v/>
      </c>
      <c r="C216" s="11" t="str">
        <f>IFERROR(__xludf.DUMMYFUNCTION("""COMPUTED_VALUE"""),"")</f>
        <v/>
      </c>
      <c r="D216" s="11" t="str">
        <f>IFERROR(__xludf.DUMMYFUNCTION("""COMPUTED_VALUE"""),"")</f>
        <v/>
      </c>
      <c r="E216" s="11" t="str">
        <f>IFERROR(__xludf.DUMMYFUNCTION("""COMPUTED_VALUE"""),"")</f>
        <v/>
      </c>
      <c r="F216" s="11" t="str">
        <f>IFERROR(__xludf.DUMMYFUNCTION("""COMPUTED_VALUE"""),"")</f>
        <v/>
      </c>
      <c r="G216" s="11" t="str">
        <f>IFERROR(__xludf.DUMMYFUNCTION("""COMPUTED_VALUE"""),"")</f>
        <v/>
      </c>
      <c r="H216" s="12" t="str">
        <f>IFERROR(__xludf.DUMMYFUNCTION("""COMPUTED_VALUE"""),"")</f>
        <v/>
      </c>
      <c r="I216" s="12" t="str">
        <f>IFERROR(__xludf.DUMMYFUNCTION("""COMPUTED_VALUE"""),"")</f>
        <v/>
      </c>
      <c r="J216" s="13" t="str">
        <f t="shared" si="1"/>
        <v/>
      </c>
      <c r="K216" s="12" t="str">
        <f>IFERROR(IF(A216="","",if($G216="",Reference!$J$2, VLOOKUP($G216,Reference!$I$2:$J$1000,2,false))),"")</f>
        <v/>
      </c>
      <c r="L216" s="12" t="str">
        <f>IF(A216="","", IF(F216="",Reference!$M$2,F216))</f>
        <v/>
      </c>
      <c r="M216" s="14" t="str">
        <f t="shared" si="2"/>
        <v/>
      </c>
      <c r="N216" s="15" t="str">
        <f t="shared" si="3"/>
        <v/>
      </c>
      <c r="O216" s="14" t="str">
        <f t="shared" si="4"/>
        <v/>
      </c>
      <c r="P216" s="16" t="str">
        <f t="array" ref="P216">IF($A216="","", IFERROR(INDEX('BM Data'!$N:$N,MATCH($J216&amp; "-" &amp; $N216,'BM Data'!$O:$O,0),1),""))</f>
        <v/>
      </c>
      <c r="Q216" s="16" t="str">
        <f t="array" ref="Q216">IF($A216="","", IFERROR(INDEX('BM Data'!$J:$J,MATCH($J216&amp; "-" &amp; $N216,'BM Data'!$O:$O,0),1),""))</f>
        <v/>
      </c>
    </row>
    <row r="217">
      <c r="A217" s="10" t="str">
        <f>IFERROR(__xludf.DUMMYFUNCTION("""COMPUTED_VALUE"""),"")</f>
        <v/>
      </c>
      <c r="B217" s="3" t="str">
        <f>IFERROR(__xludf.DUMMYFUNCTION("""COMPUTED_VALUE"""),"")</f>
        <v/>
      </c>
      <c r="C217" s="11" t="str">
        <f>IFERROR(__xludf.DUMMYFUNCTION("""COMPUTED_VALUE"""),"")</f>
        <v/>
      </c>
      <c r="D217" s="11" t="str">
        <f>IFERROR(__xludf.DUMMYFUNCTION("""COMPUTED_VALUE"""),"")</f>
        <v/>
      </c>
      <c r="E217" s="11" t="str">
        <f>IFERROR(__xludf.DUMMYFUNCTION("""COMPUTED_VALUE"""),"")</f>
        <v/>
      </c>
      <c r="F217" s="11" t="str">
        <f>IFERROR(__xludf.DUMMYFUNCTION("""COMPUTED_VALUE"""),"")</f>
        <v/>
      </c>
      <c r="G217" s="11" t="str">
        <f>IFERROR(__xludf.DUMMYFUNCTION("""COMPUTED_VALUE"""),"")</f>
        <v/>
      </c>
      <c r="H217" s="12" t="str">
        <f>IFERROR(__xludf.DUMMYFUNCTION("""COMPUTED_VALUE"""),"")</f>
        <v/>
      </c>
      <c r="I217" s="12" t="str">
        <f>IFERROR(__xludf.DUMMYFUNCTION("""COMPUTED_VALUE"""),"")</f>
        <v/>
      </c>
      <c r="J217" s="13" t="str">
        <f t="shared" si="1"/>
        <v/>
      </c>
      <c r="K217" s="12" t="str">
        <f>IFERROR(IF(A217="","",if($G217="",Reference!$J$2, VLOOKUP($G217,Reference!$I$2:$J$1000,2,false))),"")</f>
        <v/>
      </c>
      <c r="L217" s="12" t="str">
        <f>IF(A217="","", IF(F217="",Reference!$M$2,F217))</f>
        <v/>
      </c>
      <c r="M217" s="14" t="str">
        <f t="shared" si="2"/>
        <v/>
      </c>
      <c r="N217" s="15" t="str">
        <f t="shared" si="3"/>
        <v/>
      </c>
      <c r="O217" s="14" t="str">
        <f t="shared" si="4"/>
        <v/>
      </c>
      <c r="P217" s="16" t="str">
        <f t="array" ref="P217">IF($A217="","", IFERROR(INDEX('BM Data'!$N:$N,MATCH($J217&amp; "-" &amp; $N217,'BM Data'!$O:$O,0),1),""))</f>
        <v/>
      </c>
      <c r="Q217" s="16" t="str">
        <f t="array" ref="Q217">IF($A217="","", IFERROR(INDEX('BM Data'!$J:$J,MATCH($J217&amp; "-" &amp; $N217,'BM Data'!$O:$O,0),1),""))</f>
        <v/>
      </c>
    </row>
    <row r="218">
      <c r="A218" s="10" t="str">
        <f>IFERROR(__xludf.DUMMYFUNCTION("""COMPUTED_VALUE"""),"")</f>
        <v/>
      </c>
      <c r="B218" s="3" t="str">
        <f>IFERROR(__xludf.DUMMYFUNCTION("""COMPUTED_VALUE"""),"")</f>
        <v/>
      </c>
      <c r="C218" s="11" t="str">
        <f>IFERROR(__xludf.DUMMYFUNCTION("""COMPUTED_VALUE"""),"")</f>
        <v/>
      </c>
      <c r="D218" s="11" t="str">
        <f>IFERROR(__xludf.DUMMYFUNCTION("""COMPUTED_VALUE"""),"")</f>
        <v/>
      </c>
      <c r="E218" s="11" t="str">
        <f>IFERROR(__xludf.DUMMYFUNCTION("""COMPUTED_VALUE"""),"")</f>
        <v/>
      </c>
      <c r="F218" s="11" t="str">
        <f>IFERROR(__xludf.DUMMYFUNCTION("""COMPUTED_VALUE"""),"")</f>
        <v/>
      </c>
      <c r="G218" s="11" t="str">
        <f>IFERROR(__xludf.DUMMYFUNCTION("""COMPUTED_VALUE"""),"")</f>
        <v/>
      </c>
      <c r="H218" s="12" t="str">
        <f>IFERROR(__xludf.DUMMYFUNCTION("""COMPUTED_VALUE"""),"")</f>
        <v/>
      </c>
      <c r="I218" s="12" t="str">
        <f>IFERROR(__xludf.DUMMYFUNCTION("""COMPUTED_VALUE"""),"")</f>
        <v/>
      </c>
      <c r="J218" s="13" t="str">
        <f t="shared" si="1"/>
        <v/>
      </c>
      <c r="K218" s="12" t="str">
        <f>IFERROR(IF(A218="","",if($G218="",Reference!$J$2, VLOOKUP($G218,Reference!$I$2:$J$1000,2,false))),"")</f>
        <v/>
      </c>
      <c r="L218" s="12" t="str">
        <f>IF(A218="","", IF(F218="",Reference!$M$2,F218))</f>
        <v/>
      </c>
      <c r="M218" s="14" t="str">
        <f t="shared" si="2"/>
        <v/>
      </c>
      <c r="N218" s="15" t="str">
        <f t="shared" si="3"/>
        <v/>
      </c>
      <c r="O218" s="14" t="str">
        <f t="shared" si="4"/>
        <v/>
      </c>
      <c r="P218" s="16" t="str">
        <f t="array" ref="P218">IF($A218="","", IFERROR(INDEX('BM Data'!$N:$N,MATCH($J218&amp; "-" &amp; $N218,'BM Data'!$O:$O,0),1),""))</f>
        <v/>
      </c>
      <c r="Q218" s="16" t="str">
        <f t="array" ref="Q218">IF($A218="","", IFERROR(INDEX('BM Data'!$J:$J,MATCH($J218&amp; "-" &amp; $N218,'BM Data'!$O:$O,0),1),""))</f>
        <v/>
      </c>
    </row>
    <row r="219">
      <c r="A219" s="10" t="str">
        <f>IFERROR(__xludf.DUMMYFUNCTION("""COMPUTED_VALUE"""),"")</f>
        <v/>
      </c>
      <c r="B219" s="3" t="str">
        <f>IFERROR(__xludf.DUMMYFUNCTION("""COMPUTED_VALUE"""),"")</f>
        <v/>
      </c>
      <c r="C219" s="11" t="str">
        <f>IFERROR(__xludf.DUMMYFUNCTION("""COMPUTED_VALUE"""),"")</f>
        <v/>
      </c>
      <c r="D219" s="11" t="str">
        <f>IFERROR(__xludf.DUMMYFUNCTION("""COMPUTED_VALUE"""),"")</f>
        <v/>
      </c>
      <c r="E219" s="11" t="str">
        <f>IFERROR(__xludf.DUMMYFUNCTION("""COMPUTED_VALUE"""),"")</f>
        <v/>
      </c>
      <c r="F219" s="11" t="str">
        <f>IFERROR(__xludf.DUMMYFUNCTION("""COMPUTED_VALUE"""),"")</f>
        <v/>
      </c>
      <c r="G219" s="11" t="str">
        <f>IFERROR(__xludf.DUMMYFUNCTION("""COMPUTED_VALUE"""),"")</f>
        <v/>
      </c>
      <c r="H219" s="12" t="str">
        <f>IFERROR(__xludf.DUMMYFUNCTION("""COMPUTED_VALUE"""),"")</f>
        <v/>
      </c>
      <c r="I219" s="12" t="str">
        <f>IFERROR(__xludf.DUMMYFUNCTION("""COMPUTED_VALUE"""),"")</f>
        <v/>
      </c>
      <c r="J219" s="13" t="str">
        <f t="shared" si="1"/>
        <v/>
      </c>
      <c r="K219" s="12" t="str">
        <f>IFERROR(IF(A219="","",if($G219="",Reference!$J$2, VLOOKUP($G219,Reference!$I$2:$J$1000,2,false))),"")</f>
        <v/>
      </c>
      <c r="L219" s="12" t="str">
        <f>IF(A219="","", IF(F219="",Reference!$M$2,F219))</f>
        <v/>
      </c>
      <c r="M219" s="14" t="str">
        <f t="shared" si="2"/>
        <v/>
      </c>
      <c r="N219" s="15" t="str">
        <f t="shared" si="3"/>
        <v/>
      </c>
      <c r="O219" s="14" t="str">
        <f t="shared" si="4"/>
        <v/>
      </c>
      <c r="P219" s="16" t="str">
        <f t="array" ref="P219">IF($A219="","", IFERROR(INDEX('BM Data'!$N:$N,MATCH($J219&amp; "-" &amp; $N219,'BM Data'!$O:$O,0),1),""))</f>
        <v/>
      </c>
      <c r="Q219" s="16" t="str">
        <f t="array" ref="Q219">IF($A219="","", IFERROR(INDEX('BM Data'!$J:$J,MATCH($J219&amp; "-" &amp; $N219,'BM Data'!$O:$O,0),1),""))</f>
        <v/>
      </c>
    </row>
    <row r="220">
      <c r="A220" s="10" t="str">
        <f>IFERROR(__xludf.DUMMYFUNCTION("""COMPUTED_VALUE"""),"")</f>
        <v/>
      </c>
      <c r="B220" s="3" t="str">
        <f>IFERROR(__xludf.DUMMYFUNCTION("""COMPUTED_VALUE"""),"")</f>
        <v/>
      </c>
      <c r="C220" s="11" t="str">
        <f>IFERROR(__xludf.DUMMYFUNCTION("""COMPUTED_VALUE"""),"")</f>
        <v/>
      </c>
      <c r="D220" s="11" t="str">
        <f>IFERROR(__xludf.DUMMYFUNCTION("""COMPUTED_VALUE"""),"")</f>
        <v/>
      </c>
      <c r="E220" s="11" t="str">
        <f>IFERROR(__xludf.DUMMYFUNCTION("""COMPUTED_VALUE"""),"")</f>
        <v/>
      </c>
      <c r="F220" s="11" t="str">
        <f>IFERROR(__xludf.DUMMYFUNCTION("""COMPUTED_VALUE"""),"")</f>
        <v/>
      </c>
      <c r="G220" s="11" t="str">
        <f>IFERROR(__xludf.DUMMYFUNCTION("""COMPUTED_VALUE"""),"")</f>
        <v/>
      </c>
      <c r="H220" s="12" t="str">
        <f>IFERROR(__xludf.DUMMYFUNCTION("""COMPUTED_VALUE"""),"")</f>
        <v/>
      </c>
      <c r="I220" s="12" t="str">
        <f>IFERROR(__xludf.DUMMYFUNCTION("""COMPUTED_VALUE"""),"")</f>
        <v/>
      </c>
      <c r="J220" s="13" t="str">
        <f t="shared" si="1"/>
        <v/>
      </c>
      <c r="K220" s="12" t="str">
        <f>IFERROR(IF(A220="","",if($G220="",Reference!$J$2, VLOOKUP($G220,Reference!$I$2:$J$1000,2,false))),"")</f>
        <v/>
      </c>
      <c r="L220" s="12" t="str">
        <f>IF(A220="","", IF(F220="",Reference!$M$2,F220))</f>
        <v/>
      </c>
      <c r="M220" s="14" t="str">
        <f t="shared" si="2"/>
        <v/>
      </c>
      <c r="N220" s="15" t="str">
        <f t="shared" si="3"/>
        <v/>
      </c>
      <c r="O220" s="14" t="str">
        <f t="shared" si="4"/>
        <v/>
      </c>
      <c r="P220" s="16" t="str">
        <f t="array" ref="P220">IF($A220="","", IFERROR(INDEX('BM Data'!$N:$N,MATCH($J220&amp; "-" &amp; $N220,'BM Data'!$O:$O,0),1),""))</f>
        <v/>
      </c>
      <c r="Q220" s="16" t="str">
        <f t="array" ref="Q220">IF($A220="","", IFERROR(INDEX('BM Data'!$J:$J,MATCH($J220&amp; "-" &amp; $N220,'BM Data'!$O:$O,0),1),""))</f>
        <v/>
      </c>
    </row>
    <row r="221">
      <c r="A221" s="10" t="str">
        <f>IFERROR(__xludf.DUMMYFUNCTION("""COMPUTED_VALUE"""),"")</f>
        <v/>
      </c>
      <c r="B221" s="3" t="str">
        <f>IFERROR(__xludf.DUMMYFUNCTION("""COMPUTED_VALUE"""),"")</f>
        <v/>
      </c>
      <c r="C221" s="11" t="str">
        <f>IFERROR(__xludf.DUMMYFUNCTION("""COMPUTED_VALUE"""),"")</f>
        <v/>
      </c>
      <c r="D221" s="11" t="str">
        <f>IFERROR(__xludf.DUMMYFUNCTION("""COMPUTED_VALUE"""),"")</f>
        <v/>
      </c>
      <c r="E221" s="11" t="str">
        <f>IFERROR(__xludf.DUMMYFUNCTION("""COMPUTED_VALUE"""),"")</f>
        <v/>
      </c>
      <c r="F221" s="11" t="str">
        <f>IFERROR(__xludf.DUMMYFUNCTION("""COMPUTED_VALUE"""),"")</f>
        <v/>
      </c>
      <c r="G221" s="11" t="str">
        <f>IFERROR(__xludf.DUMMYFUNCTION("""COMPUTED_VALUE"""),"")</f>
        <v/>
      </c>
      <c r="H221" s="12" t="str">
        <f>IFERROR(__xludf.DUMMYFUNCTION("""COMPUTED_VALUE"""),"")</f>
        <v/>
      </c>
      <c r="I221" s="12" t="str">
        <f>IFERROR(__xludf.DUMMYFUNCTION("""COMPUTED_VALUE"""),"")</f>
        <v/>
      </c>
      <c r="J221" s="13" t="str">
        <f t="shared" si="1"/>
        <v/>
      </c>
      <c r="K221" s="12" t="str">
        <f>IFERROR(IF(A221="","",if($G221="",Reference!$J$2, VLOOKUP($G221,Reference!$I$2:$J$1000,2,false))),"")</f>
        <v/>
      </c>
      <c r="L221" s="12" t="str">
        <f>IF(A221="","", IF(F221="",Reference!$M$2,F221))</f>
        <v/>
      </c>
      <c r="M221" s="14" t="str">
        <f t="shared" si="2"/>
        <v/>
      </c>
      <c r="N221" s="15" t="str">
        <f t="shared" si="3"/>
        <v/>
      </c>
      <c r="O221" s="14" t="str">
        <f t="shared" si="4"/>
        <v/>
      </c>
      <c r="P221" s="16" t="str">
        <f t="array" ref="P221">IF($A221="","", IFERROR(INDEX('BM Data'!$N:$N,MATCH($J221&amp; "-" &amp; $N221,'BM Data'!$O:$O,0),1),""))</f>
        <v/>
      </c>
      <c r="Q221" s="16" t="str">
        <f t="array" ref="Q221">IF($A221="","", IFERROR(INDEX('BM Data'!$J:$J,MATCH($J221&amp; "-" &amp; $N221,'BM Data'!$O:$O,0),1),""))</f>
        <v/>
      </c>
    </row>
    <row r="222">
      <c r="A222" s="10" t="str">
        <f>IFERROR(__xludf.DUMMYFUNCTION("""COMPUTED_VALUE"""),"")</f>
        <v/>
      </c>
      <c r="B222" s="3" t="str">
        <f>IFERROR(__xludf.DUMMYFUNCTION("""COMPUTED_VALUE"""),"")</f>
        <v/>
      </c>
      <c r="C222" s="11" t="str">
        <f>IFERROR(__xludf.DUMMYFUNCTION("""COMPUTED_VALUE"""),"")</f>
        <v/>
      </c>
      <c r="D222" s="11" t="str">
        <f>IFERROR(__xludf.DUMMYFUNCTION("""COMPUTED_VALUE"""),"")</f>
        <v/>
      </c>
      <c r="E222" s="11" t="str">
        <f>IFERROR(__xludf.DUMMYFUNCTION("""COMPUTED_VALUE"""),"")</f>
        <v/>
      </c>
      <c r="F222" s="11" t="str">
        <f>IFERROR(__xludf.DUMMYFUNCTION("""COMPUTED_VALUE"""),"")</f>
        <v/>
      </c>
      <c r="G222" s="11" t="str">
        <f>IFERROR(__xludf.DUMMYFUNCTION("""COMPUTED_VALUE"""),"")</f>
        <v/>
      </c>
      <c r="H222" s="12" t="str">
        <f>IFERROR(__xludf.DUMMYFUNCTION("""COMPUTED_VALUE"""),"")</f>
        <v/>
      </c>
      <c r="I222" s="12" t="str">
        <f>IFERROR(__xludf.DUMMYFUNCTION("""COMPUTED_VALUE"""),"")</f>
        <v/>
      </c>
      <c r="J222" s="13" t="str">
        <f t="shared" si="1"/>
        <v/>
      </c>
      <c r="K222" s="12" t="str">
        <f>IFERROR(IF(A222="","",if($G222="",Reference!$J$2, VLOOKUP($G222,Reference!$I$2:$J$1000,2,false))),"")</f>
        <v/>
      </c>
      <c r="L222" s="12" t="str">
        <f>IF(A222="","", IF(F222="",Reference!$M$2,F222))</f>
        <v/>
      </c>
      <c r="M222" s="14" t="str">
        <f t="shared" si="2"/>
        <v/>
      </c>
      <c r="N222" s="15" t="str">
        <f t="shared" si="3"/>
        <v/>
      </c>
      <c r="O222" s="14" t="str">
        <f t="shared" si="4"/>
        <v/>
      </c>
      <c r="P222" s="16" t="str">
        <f t="array" ref="P222">IF($A222="","", IFERROR(INDEX('BM Data'!$N:$N,MATCH($J222&amp; "-" &amp; $N222,'BM Data'!$O:$O,0),1),""))</f>
        <v/>
      </c>
      <c r="Q222" s="16" t="str">
        <f t="array" ref="Q222">IF($A222="","", IFERROR(INDEX('BM Data'!$J:$J,MATCH($J222&amp; "-" &amp; $N222,'BM Data'!$O:$O,0),1),""))</f>
        <v/>
      </c>
    </row>
    <row r="223">
      <c r="A223" s="10" t="str">
        <f>IFERROR(__xludf.DUMMYFUNCTION("""COMPUTED_VALUE"""),"")</f>
        <v/>
      </c>
      <c r="B223" s="3" t="str">
        <f>IFERROR(__xludf.DUMMYFUNCTION("""COMPUTED_VALUE"""),"")</f>
        <v/>
      </c>
      <c r="C223" s="11" t="str">
        <f>IFERROR(__xludf.DUMMYFUNCTION("""COMPUTED_VALUE"""),"")</f>
        <v/>
      </c>
      <c r="D223" s="11" t="str">
        <f>IFERROR(__xludf.DUMMYFUNCTION("""COMPUTED_VALUE"""),"")</f>
        <v/>
      </c>
      <c r="E223" s="11" t="str">
        <f>IFERROR(__xludf.DUMMYFUNCTION("""COMPUTED_VALUE"""),"")</f>
        <v/>
      </c>
      <c r="F223" s="11" t="str">
        <f>IFERROR(__xludf.DUMMYFUNCTION("""COMPUTED_VALUE"""),"")</f>
        <v/>
      </c>
      <c r="G223" s="11" t="str">
        <f>IFERROR(__xludf.DUMMYFUNCTION("""COMPUTED_VALUE"""),"")</f>
        <v/>
      </c>
      <c r="H223" s="12" t="str">
        <f>IFERROR(__xludf.DUMMYFUNCTION("""COMPUTED_VALUE"""),"")</f>
        <v/>
      </c>
      <c r="I223" s="12" t="str">
        <f>IFERROR(__xludf.DUMMYFUNCTION("""COMPUTED_VALUE"""),"")</f>
        <v/>
      </c>
      <c r="J223" s="13" t="str">
        <f t="shared" si="1"/>
        <v/>
      </c>
      <c r="K223" s="12" t="str">
        <f>IFERROR(IF(A223="","",if($G223="",Reference!$J$2, VLOOKUP($G223,Reference!$I$2:$J$1000,2,false))),"")</f>
        <v/>
      </c>
      <c r="L223" s="12" t="str">
        <f>IF(A223="","", IF(F223="",Reference!$M$2,F223))</f>
        <v/>
      </c>
      <c r="M223" s="14" t="str">
        <f t="shared" si="2"/>
        <v/>
      </c>
      <c r="N223" s="15" t="str">
        <f t="shared" si="3"/>
        <v/>
      </c>
      <c r="O223" s="14" t="str">
        <f t="shared" si="4"/>
        <v/>
      </c>
      <c r="P223" s="16" t="str">
        <f t="array" ref="P223">IF($A223="","", IFERROR(INDEX('BM Data'!$N:$N,MATCH($J223&amp; "-" &amp; $N223,'BM Data'!$O:$O,0),1),""))</f>
        <v/>
      </c>
      <c r="Q223" s="16" t="str">
        <f t="array" ref="Q223">IF($A223="","", IFERROR(INDEX('BM Data'!$J:$J,MATCH($J223&amp; "-" &amp; $N223,'BM Data'!$O:$O,0),1),""))</f>
        <v/>
      </c>
    </row>
    <row r="224">
      <c r="A224" s="10" t="str">
        <f>IFERROR(__xludf.DUMMYFUNCTION("""COMPUTED_VALUE"""),"")</f>
        <v/>
      </c>
      <c r="B224" s="3" t="str">
        <f>IFERROR(__xludf.DUMMYFUNCTION("""COMPUTED_VALUE"""),"")</f>
        <v/>
      </c>
      <c r="C224" s="11" t="str">
        <f>IFERROR(__xludf.DUMMYFUNCTION("""COMPUTED_VALUE"""),"")</f>
        <v/>
      </c>
      <c r="D224" s="11" t="str">
        <f>IFERROR(__xludf.DUMMYFUNCTION("""COMPUTED_VALUE"""),"")</f>
        <v/>
      </c>
      <c r="E224" s="11" t="str">
        <f>IFERROR(__xludf.DUMMYFUNCTION("""COMPUTED_VALUE"""),"")</f>
        <v/>
      </c>
      <c r="F224" s="11" t="str">
        <f>IFERROR(__xludf.DUMMYFUNCTION("""COMPUTED_VALUE"""),"")</f>
        <v/>
      </c>
      <c r="G224" s="11" t="str">
        <f>IFERROR(__xludf.DUMMYFUNCTION("""COMPUTED_VALUE"""),"")</f>
        <v/>
      </c>
      <c r="H224" s="12" t="str">
        <f>IFERROR(__xludf.DUMMYFUNCTION("""COMPUTED_VALUE"""),"")</f>
        <v/>
      </c>
      <c r="I224" s="12" t="str">
        <f>IFERROR(__xludf.DUMMYFUNCTION("""COMPUTED_VALUE"""),"")</f>
        <v/>
      </c>
      <c r="J224" s="13" t="str">
        <f t="shared" si="1"/>
        <v/>
      </c>
      <c r="K224" s="12" t="str">
        <f>IFERROR(IF(A224="","",if($G224="",Reference!$J$2, VLOOKUP($G224,Reference!$I$2:$J$1000,2,false))),"")</f>
        <v/>
      </c>
      <c r="L224" s="12" t="str">
        <f>IF(A224="","", IF(F224="",Reference!$M$2,F224))</f>
        <v/>
      </c>
      <c r="M224" s="14" t="str">
        <f t="shared" si="2"/>
        <v/>
      </c>
      <c r="N224" s="15" t="str">
        <f t="shared" si="3"/>
        <v/>
      </c>
      <c r="O224" s="14" t="str">
        <f t="shared" si="4"/>
        <v/>
      </c>
      <c r="P224" s="16" t="str">
        <f t="array" ref="P224">IF($A224="","", IFERROR(INDEX('BM Data'!$N:$N,MATCH($J224&amp; "-" &amp; $N224,'BM Data'!$O:$O,0),1),""))</f>
        <v/>
      </c>
      <c r="Q224" s="16" t="str">
        <f t="array" ref="Q224">IF($A224="","", IFERROR(INDEX('BM Data'!$J:$J,MATCH($J224&amp; "-" &amp; $N224,'BM Data'!$O:$O,0),1),""))</f>
        <v/>
      </c>
    </row>
    <row r="225">
      <c r="A225" s="10" t="str">
        <f>IFERROR(__xludf.DUMMYFUNCTION("""COMPUTED_VALUE"""),"")</f>
        <v/>
      </c>
      <c r="B225" s="3" t="str">
        <f>IFERROR(__xludf.DUMMYFUNCTION("""COMPUTED_VALUE"""),"")</f>
        <v/>
      </c>
      <c r="C225" s="11" t="str">
        <f>IFERROR(__xludf.DUMMYFUNCTION("""COMPUTED_VALUE"""),"")</f>
        <v/>
      </c>
      <c r="D225" s="11" t="str">
        <f>IFERROR(__xludf.DUMMYFUNCTION("""COMPUTED_VALUE"""),"")</f>
        <v/>
      </c>
      <c r="E225" s="11" t="str">
        <f>IFERROR(__xludf.DUMMYFUNCTION("""COMPUTED_VALUE"""),"")</f>
        <v/>
      </c>
      <c r="F225" s="11" t="str">
        <f>IFERROR(__xludf.DUMMYFUNCTION("""COMPUTED_VALUE"""),"")</f>
        <v/>
      </c>
      <c r="G225" s="11" t="str">
        <f>IFERROR(__xludf.DUMMYFUNCTION("""COMPUTED_VALUE"""),"")</f>
        <v/>
      </c>
      <c r="H225" s="12" t="str">
        <f>IFERROR(__xludf.DUMMYFUNCTION("""COMPUTED_VALUE"""),"")</f>
        <v/>
      </c>
      <c r="I225" s="12" t="str">
        <f>IFERROR(__xludf.DUMMYFUNCTION("""COMPUTED_VALUE"""),"")</f>
        <v/>
      </c>
      <c r="J225" s="13" t="str">
        <f t="shared" si="1"/>
        <v/>
      </c>
      <c r="K225" s="12" t="str">
        <f>IFERROR(IF(A225="","",if($G225="",Reference!$J$2, VLOOKUP($G225,Reference!$I$2:$J$1000,2,false))),"")</f>
        <v/>
      </c>
      <c r="L225" s="12" t="str">
        <f>IF(A225="","", IF(F225="",Reference!$M$2,F225))</f>
        <v/>
      </c>
      <c r="M225" s="14" t="str">
        <f t="shared" si="2"/>
        <v/>
      </c>
      <c r="N225" s="15" t="str">
        <f t="shared" si="3"/>
        <v/>
      </c>
      <c r="O225" s="14" t="str">
        <f t="shared" si="4"/>
        <v/>
      </c>
      <c r="P225" s="16" t="str">
        <f t="array" ref="P225">IF($A225="","", IFERROR(INDEX('BM Data'!$N:$N,MATCH($J225&amp; "-" &amp; $N225,'BM Data'!$O:$O,0),1),""))</f>
        <v/>
      </c>
      <c r="Q225" s="16" t="str">
        <f t="array" ref="Q225">IF($A225="","", IFERROR(INDEX('BM Data'!$J:$J,MATCH($J225&amp; "-" &amp; $N225,'BM Data'!$O:$O,0),1),""))</f>
        <v/>
      </c>
    </row>
    <row r="226">
      <c r="A226" s="10" t="str">
        <f>IFERROR(__xludf.DUMMYFUNCTION("""COMPUTED_VALUE"""),"")</f>
        <v/>
      </c>
      <c r="B226" s="3" t="str">
        <f>IFERROR(__xludf.DUMMYFUNCTION("""COMPUTED_VALUE"""),"")</f>
        <v/>
      </c>
      <c r="C226" s="11" t="str">
        <f>IFERROR(__xludf.DUMMYFUNCTION("""COMPUTED_VALUE"""),"")</f>
        <v/>
      </c>
      <c r="D226" s="11" t="str">
        <f>IFERROR(__xludf.DUMMYFUNCTION("""COMPUTED_VALUE"""),"")</f>
        <v/>
      </c>
      <c r="E226" s="11" t="str">
        <f>IFERROR(__xludf.DUMMYFUNCTION("""COMPUTED_VALUE"""),"")</f>
        <v/>
      </c>
      <c r="F226" s="11" t="str">
        <f>IFERROR(__xludf.DUMMYFUNCTION("""COMPUTED_VALUE"""),"")</f>
        <v/>
      </c>
      <c r="G226" s="11" t="str">
        <f>IFERROR(__xludf.DUMMYFUNCTION("""COMPUTED_VALUE"""),"")</f>
        <v/>
      </c>
      <c r="H226" s="12" t="str">
        <f>IFERROR(__xludf.DUMMYFUNCTION("""COMPUTED_VALUE"""),"")</f>
        <v/>
      </c>
      <c r="I226" s="12" t="str">
        <f>IFERROR(__xludf.DUMMYFUNCTION("""COMPUTED_VALUE"""),"")</f>
        <v/>
      </c>
      <c r="J226" s="13" t="str">
        <f t="shared" si="1"/>
        <v/>
      </c>
      <c r="K226" s="12" t="str">
        <f>IFERROR(IF(A226="","",if($G226="",Reference!$J$2, VLOOKUP($G226,Reference!$I$2:$J$1000,2,false))),"")</f>
        <v/>
      </c>
      <c r="L226" s="12" t="str">
        <f>IF(A226="","", IF(F226="",Reference!$M$2,F226))</f>
        <v/>
      </c>
      <c r="M226" s="14" t="str">
        <f t="shared" si="2"/>
        <v/>
      </c>
      <c r="N226" s="15" t="str">
        <f t="shared" si="3"/>
        <v/>
      </c>
      <c r="O226" s="14" t="str">
        <f t="shared" si="4"/>
        <v/>
      </c>
      <c r="P226" s="16" t="str">
        <f t="array" ref="P226">IF($A226="","", IFERROR(INDEX('BM Data'!$N:$N,MATCH($J226&amp; "-" &amp; $N226,'BM Data'!$O:$O,0),1),""))</f>
        <v/>
      </c>
      <c r="Q226" s="16" t="str">
        <f t="array" ref="Q226">IF($A226="","", IFERROR(INDEX('BM Data'!$J:$J,MATCH($J226&amp; "-" &amp; $N226,'BM Data'!$O:$O,0),1),""))</f>
        <v/>
      </c>
    </row>
    <row r="227">
      <c r="A227" s="10" t="str">
        <f>IFERROR(__xludf.DUMMYFUNCTION("""COMPUTED_VALUE"""),"")</f>
        <v/>
      </c>
      <c r="B227" s="3" t="str">
        <f>IFERROR(__xludf.DUMMYFUNCTION("""COMPUTED_VALUE"""),"")</f>
        <v/>
      </c>
      <c r="C227" s="11" t="str">
        <f>IFERROR(__xludf.DUMMYFUNCTION("""COMPUTED_VALUE"""),"")</f>
        <v/>
      </c>
      <c r="D227" s="11" t="str">
        <f>IFERROR(__xludf.DUMMYFUNCTION("""COMPUTED_VALUE"""),"")</f>
        <v/>
      </c>
      <c r="E227" s="11" t="str">
        <f>IFERROR(__xludf.DUMMYFUNCTION("""COMPUTED_VALUE"""),"")</f>
        <v/>
      </c>
      <c r="F227" s="11" t="str">
        <f>IFERROR(__xludf.DUMMYFUNCTION("""COMPUTED_VALUE"""),"")</f>
        <v/>
      </c>
      <c r="G227" s="11" t="str">
        <f>IFERROR(__xludf.DUMMYFUNCTION("""COMPUTED_VALUE"""),"")</f>
        <v/>
      </c>
      <c r="H227" s="12" t="str">
        <f>IFERROR(__xludf.DUMMYFUNCTION("""COMPUTED_VALUE"""),"")</f>
        <v/>
      </c>
      <c r="I227" s="12" t="str">
        <f>IFERROR(__xludf.DUMMYFUNCTION("""COMPUTED_VALUE"""),"")</f>
        <v/>
      </c>
      <c r="J227" s="13" t="str">
        <f t="shared" si="1"/>
        <v/>
      </c>
      <c r="K227" s="12" t="str">
        <f>IFERROR(IF(A227="","",if($G227="",Reference!$J$2, VLOOKUP($G227,Reference!$I$2:$J$1000,2,false))),"")</f>
        <v/>
      </c>
      <c r="L227" s="12" t="str">
        <f>IF(A227="","", IF(F227="",Reference!$M$2,F227))</f>
        <v/>
      </c>
      <c r="M227" s="14" t="str">
        <f t="shared" si="2"/>
        <v/>
      </c>
      <c r="N227" s="15" t="str">
        <f t="shared" si="3"/>
        <v/>
      </c>
      <c r="O227" s="14" t="str">
        <f t="shared" si="4"/>
        <v/>
      </c>
      <c r="P227" s="16" t="str">
        <f t="array" ref="P227">IF($A227="","", IFERROR(INDEX('BM Data'!$N:$N,MATCH($J227&amp; "-" &amp; $N227,'BM Data'!$O:$O,0),1),""))</f>
        <v/>
      </c>
      <c r="Q227" s="16" t="str">
        <f t="array" ref="Q227">IF($A227="","", IFERROR(INDEX('BM Data'!$J:$J,MATCH($J227&amp; "-" &amp; $N227,'BM Data'!$O:$O,0),1),""))</f>
        <v/>
      </c>
    </row>
    <row r="228">
      <c r="A228" s="10" t="str">
        <f>IFERROR(__xludf.DUMMYFUNCTION("""COMPUTED_VALUE"""),"")</f>
        <v/>
      </c>
      <c r="B228" s="3" t="str">
        <f>IFERROR(__xludf.DUMMYFUNCTION("""COMPUTED_VALUE"""),"")</f>
        <v/>
      </c>
      <c r="C228" s="11" t="str">
        <f>IFERROR(__xludf.DUMMYFUNCTION("""COMPUTED_VALUE"""),"")</f>
        <v/>
      </c>
      <c r="D228" s="11" t="str">
        <f>IFERROR(__xludf.DUMMYFUNCTION("""COMPUTED_VALUE"""),"")</f>
        <v/>
      </c>
      <c r="E228" s="11" t="str">
        <f>IFERROR(__xludf.DUMMYFUNCTION("""COMPUTED_VALUE"""),"")</f>
        <v/>
      </c>
      <c r="F228" s="11" t="str">
        <f>IFERROR(__xludf.DUMMYFUNCTION("""COMPUTED_VALUE"""),"")</f>
        <v/>
      </c>
      <c r="G228" s="11" t="str">
        <f>IFERROR(__xludf.DUMMYFUNCTION("""COMPUTED_VALUE"""),"")</f>
        <v/>
      </c>
      <c r="H228" s="12" t="str">
        <f>IFERROR(__xludf.DUMMYFUNCTION("""COMPUTED_VALUE"""),"")</f>
        <v/>
      </c>
      <c r="I228" s="12" t="str">
        <f>IFERROR(__xludf.DUMMYFUNCTION("""COMPUTED_VALUE"""),"")</f>
        <v/>
      </c>
      <c r="J228" s="13" t="str">
        <f t="shared" si="1"/>
        <v/>
      </c>
      <c r="K228" s="12" t="str">
        <f>IFERROR(IF(A228="","",if($G228="",Reference!$J$2, VLOOKUP($G228,Reference!$I$2:$J$1000,2,false))),"")</f>
        <v/>
      </c>
      <c r="L228" s="12" t="str">
        <f>IF(A228="","", IF(F228="",Reference!$M$2,F228))</f>
        <v/>
      </c>
      <c r="M228" s="14" t="str">
        <f t="shared" si="2"/>
        <v/>
      </c>
      <c r="N228" s="15" t="str">
        <f t="shared" si="3"/>
        <v/>
      </c>
      <c r="O228" s="14" t="str">
        <f t="shared" si="4"/>
        <v/>
      </c>
      <c r="P228" s="16" t="str">
        <f t="array" ref="P228">IF($A228="","", IFERROR(INDEX('BM Data'!$N:$N,MATCH($J228&amp; "-" &amp; $N228,'BM Data'!$O:$O,0),1),""))</f>
        <v/>
      </c>
      <c r="Q228" s="16" t="str">
        <f t="array" ref="Q228">IF($A228="","", IFERROR(INDEX('BM Data'!$J:$J,MATCH($J228&amp; "-" &amp; $N228,'BM Data'!$O:$O,0),1),""))</f>
        <v/>
      </c>
    </row>
    <row r="229">
      <c r="A229" s="10" t="str">
        <f>IFERROR(__xludf.DUMMYFUNCTION("""COMPUTED_VALUE"""),"")</f>
        <v/>
      </c>
      <c r="B229" s="3" t="str">
        <f>IFERROR(__xludf.DUMMYFUNCTION("""COMPUTED_VALUE"""),"")</f>
        <v/>
      </c>
      <c r="C229" s="11" t="str">
        <f>IFERROR(__xludf.DUMMYFUNCTION("""COMPUTED_VALUE"""),"")</f>
        <v/>
      </c>
      <c r="D229" s="11" t="str">
        <f>IFERROR(__xludf.DUMMYFUNCTION("""COMPUTED_VALUE"""),"")</f>
        <v/>
      </c>
      <c r="E229" s="11" t="str">
        <f>IFERROR(__xludf.DUMMYFUNCTION("""COMPUTED_VALUE"""),"")</f>
        <v/>
      </c>
      <c r="F229" s="11" t="str">
        <f>IFERROR(__xludf.DUMMYFUNCTION("""COMPUTED_VALUE"""),"")</f>
        <v/>
      </c>
      <c r="G229" s="11" t="str">
        <f>IFERROR(__xludf.DUMMYFUNCTION("""COMPUTED_VALUE"""),"")</f>
        <v/>
      </c>
      <c r="H229" s="12" t="str">
        <f>IFERROR(__xludf.DUMMYFUNCTION("""COMPUTED_VALUE"""),"")</f>
        <v/>
      </c>
      <c r="I229" s="12" t="str">
        <f>IFERROR(__xludf.DUMMYFUNCTION("""COMPUTED_VALUE"""),"")</f>
        <v/>
      </c>
      <c r="J229" s="13" t="str">
        <f t="shared" si="1"/>
        <v/>
      </c>
      <c r="K229" s="12" t="str">
        <f>IFERROR(IF(A229="","",if($G229="",Reference!$J$2, VLOOKUP($G229,Reference!$I$2:$J$1000,2,false))),"")</f>
        <v/>
      </c>
      <c r="L229" s="12" t="str">
        <f>IF(A229="","", IF(F229="",Reference!$M$2,F229))</f>
        <v/>
      </c>
      <c r="M229" s="14" t="str">
        <f t="shared" si="2"/>
        <v/>
      </c>
      <c r="N229" s="15" t="str">
        <f t="shared" si="3"/>
        <v/>
      </c>
      <c r="O229" s="14" t="str">
        <f t="shared" si="4"/>
        <v/>
      </c>
      <c r="P229" s="16" t="str">
        <f t="array" ref="P229">IF($A229="","", IFERROR(INDEX('BM Data'!$N:$N,MATCH($J229&amp; "-" &amp; $N229,'BM Data'!$O:$O,0),1),""))</f>
        <v/>
      </c>
      <c r="Q229" s="16" t="str">
        <f t="array" ref="Q229">IF($A229="","", IFERROR(INDEX('BM Data'!$J:$J,MATCH($J229&amp; "-" &amp; $N229,'BM Data'!$O:$O,0),1),""))</f>
        <v/>
      </c>
    </row>
    <row r="230">
      <c r="A230" s="10" t="str">
        <f>IFERROR(__xludf.DUMMYFUNCTION("""COMPUTED_VALUE"""),"")</f>
        <v/>
      </c>
      <c r="B230" s="3" t="str">
        <f>IFERROR(__xludf.DUMMYFUNCTION("""COMPUTED_VALUE"""),"")</f>
        <v/>
      </c>
      <c r="C230" s="11" t="str">
        <f>IFERROR(__xludf.DUMMYFUNCTION("""COMPUTED_VALUE"""),"")</f>
        <v/>
      </c>
      <c r="D230" s="11" t="str">
        <f>IFERROR(__xludf.DUMMYFUNCTION("""COMPUTED_VALUE"""),"")</f>
        <v/>
      </c>
      <c r="E230" s="11" t="str">
        <f>IFERROR(__xludf.DUMMYFUNCTION("""COMPUTED_VALUE"""),"")</f>
        <v/>
      </c>
      <c r="F230" s="11" t="str">
        <f>IFERROR(__xludf.DUMMYFUNCTION("""COMPUTED_VALUE"""),"")</f>
        <v/>
      </c>
      <c r="G230" s="11" t="str">
        <f>IFERROR(__xludf.DUMMYFUNCTION("""COMPUTED_VALUE"""),"")</f>
        <v/>
      </c>
      <c r="H230" s="12" t="str">
        <f>IFERROR(__xludf.DUMMYFUNCTION("""COMPUTED_VALUE"""),"")</f>
        <v/>
      </c>
      <c r="I230" s="12" t="str">
        <f>IFERROR(__xludf.DUMMYFUNCTION("""COMPUTED_VALUE"""),"")</f>
        <v/>
      </c>
      <c r="J230" s="13" t="str">
        <f t="shared" si="1"/>
        <v/>
      </c>
      <c r="K230" s="12" t="str">
        <f>IFERROR(IF(A230="","",if($G230="",Reference!$J$2, VLOOKUP($G230,Reference!$I$2:$J$1000,2,false))),"")</f>
        <v/>
      </c>
      <c r="L230" s="12" t="str">
        <f>IF(A230="","", IF(F230="",Reference!$M$2,F230))</f>
        <v/>
      </c>
      <c r="M230" s="14" t="str">
        <f t="shared" si="2"/>
        <v/>
      </c>
      <c r="N230" s="15" t="str">
        <f t="shared" si="3"/>
        <v/>
      </c>
      <c r="O230" s="14" t="str">
        <f t="shared" si="4"/>
        <v/>
      </c>
      <c r="P230" s="16" t="str">
        <f t="array" ref="P230">IF($A230="","", IFERROR(INDEX('BM Data'!$N:$N,MATCH($J230&amp; "-" &amp; $N230,'BM Data'!$O:$O,0),1),""))</f>
        <v/>
      </c>
      <c r="Q230" s="16" t="str">
        <f t="array" ref="Q230">IF($A230="","", IFERROR(INDEX('BM Data'!$J:$J,MATCH($J230&amp; "-" &amp; $N230,'BM Data'!$O:$O,0),1),""))</f>
        <v/>
      </c>
    </row>
    <row r="231">
      <c r="A231" s="10" t="str">
        <f>IFERROR(__xludf.DUMMYFUNCTION("""COMPUTED_VALUE"""),"")</f>
        <v/>
      </c>
      <c r="B231" s="3" t="str">
        <f>IFERROR(__xludf.DUMMYFUNCTION("""COMPUTED_VALUE"""),"")</f>
        <v/>
      </c>
      <c r="C231" s="11" t="str">
        <f>IFERROR(__xludf.DUMMYFUNCTION("""COMPUTED_VALUE"""),"")</f>
        <v/>
      </c>
      <c r="D231" s="11" t="str">
        <f>IFERROR(__xludf.DUMMYFUNCTION("""COMPUTED_VALUE"""),"")</f>
        <v/>
      </c>
      <c r="E231" s="11" t="str">
        <f>IFERROR(__xludf.DUMMYFUNCTION("""COMPUTED_VALUE"""),"")</f>
        <v/>
      </c>
      <c r="F231" s="11" t="str">
        <f>IFERROR(__xludf.DUMMYFUNCTION("""COMPUTED_VALUE"""),"")</f>
        <v/>
      </c>
      <c r="G231" s="11" t="str">
        <f>IFERROR(__xludf.DUMMYFUNCTION("""COMPUTED_VALUE"""),"")</f>
        <v/>
      </c>
      <c r="H231" s="12" t="str">
        <f>IFERROR(__xludf.DUMMYFUNCTION("""COMPUTED_VALUE"""),"")</f>
        <v/>
      </c>
      <c r="I231" s="12" t="str">
        <f>IFERROR(__xludf.DUMMYFUNCTION("""COMPUTED_VALUE"""),"")</f>
        <v/>
      </c>
      <c r="J231" s="13" t="str">
        <f t="shared" si="1"/>
        <v/>
      </c>
      <c r="K231" s="12" t="str">
        <f>IFERROR(IF(A231="","",if($G231="",Reference!$J$2, VLOOKUP($G231,Reference!$I$2:$J$1000,2,false))),"")</f>
        <v/>
      </c>
      <c r="L231" s="12" t="str">
        <f>IF(A231="","", IF(F231="",Reference!$M$2,F231))</f>
        <v/>
      </c>
      <c r="M231" s="14" t="str">
        <f t="shared" si="2"/>
        <v/>
      </c>
      <c r="N231" s="15" t="str">
        <f t="shared" si="3"/>
        <v/>
      </c>
      <c r="O231" s="14" t="str">
        <f t="shared" si="4"/>
        <v/>
      </c>
      <c r="P231" s="16" t="str">
        <f t="array" ref="P231">IF($A231="","", IFERROR(INDEX('BM Data'!$N:$N,MATCH($J231&amp; "-" &amp; $N231,'BM Data'!$O:$O,0),1),""))</f>
        <v/>
      </c>
      <c r="Q231" s="16" t="str">
        <f t="array" ref="Q231">IF($A231="","", IFERROR(INDEX('BM Data'!$J:$J,MATCH($J231&amp; "-" &amp; $N231,'BM Data'!$O:$O,0),1),""))</f>
        <v/>
      </c>
    </row>
    <row r="232">
      <c r="A232" s="10" t="str">
        <f>IFERROR(__xludf.DUMMYFUNCTION("""COMPUTED_VALUE"""),"")</f>
        <v/>
      </c>
      <c r="B232" s="3" t="str">
        <f>IFERROR(__xludf.DUMMYFUNCTION("""COMPUTED_VALUE"""),"")</f>
        <v/>
      </c>
      <c r="C232" s="11" t="str">
        <f>IFERROR(__xludf.DUMMYFUNCTION("""COMPUTED_VALUE"""),"")</f>
        <v/>
      </c>
      <c r="D232" s="11" t="str">
        <f>IFERROR(__xludf.DUMMYFUNCTION("""COMPUTED_VALUE"""),"")</f>
        <v/>
      </c>
      <c r="E232" s="11" t="str">
        <f>IFERROR(__xludf.DUMMYFUNCTION("""COMPUTED_VALUE"""),"")</f>
        <v/>
      </c>
      <c r="F232" s="11" t="str">
        <f>IFERROR(__xludf.DUMMYFUNCTION("""COMPUTED_VALUE"""),"")</f>
        <v/>
      </c>
      <c r="G232" s="11" t="str">
        <f>IFERROR(__xludf.DUMMYFUNCTION("""COMPUTED_VALUE"""),"")</f>
        <v/>
      </c>
      <c r="H232" s="12" t="str">
        <f>IFERROR(__xludf.DUMMYFUNCTION("""COMPUTED_VALUE"""),"")</f>
        <v/>
      </c>
      <c r="I232" s="12" t="str">
        <f>IFERROR(__xludf.DUMMYFUNCTION("""COMPUTED_VALUE"""),"")</f>
        <v/>
      </c>
      <c r="J232" s="13" t="str">
        <f t="shared" si="1"/>
        <v/>
      </c>
      <c r="K232" s="12" t="str">
        <f>IFERROR(IF(A232="","",if($G232="",Reference!$J$2, VLOOKUP($G232,Reference!$I$2:$J$1000,2,false))),"")</f>
        <v/>
      </c>
      <c r="L232" s="12" t="str">
        <f>IF(A232="","", IF(F232="",Reference!$M$2,F232))</f>
        <v/>
      </c>
      <c r="M232" s="14" t="str">
        <f t="shared" si="2"/>
        <v/>
      </c>
      <c r="N232" s="15" t="str">
        <f t="shared" si="3"/>
        <v/>
      </c>
      <c r="O232" s="14" t="str">
        <f t="shared" si="4"/>
        <v/>
      </c>
      <c r="P232" s="16" t="str">
        <f t="array" ref="P232">IF($A232="","", IFERROR(INDEX('BM Data'!$N:$N,MATCH($J232&amp; "-" &amp; $N232,'BM Data'!$O:$O,0),1),""))</f>
        <v/>
      </c>
      <c r="Q232" s="16" t="str">
        <f t="array" ref="Q232">IF($A232="","", IFERROR(INDEX('BM Data'!$J:$J,MATCH($J232&amp; "-" &amp; $N232,'BM Data'!$O:$O,0),1),""))</f>
        <v/>
      </c>
    </row>
    <row r="233">
      <c r="A233" s="10" t="str">
        <f>IFERROR(__xludf.DUMMYFUNCTION("""COMPUTED_VALUE"""),"")</f>
        <v/>
      </c>
      <c r="B233" s="3" t="str">
        <f>IFERROR(__xludf.DUMMYFUNCTION("""COMPUTED_VALUE"""),"")</f>
        <v/>
      </c>
      <c r="C233" s="11" t="str">
        <f>IFERROR(__xludf.DUMMYFUNCTION("""COMPUTED_VALUE"""),"")</f>
        <v/>
      </c>
      <c r="D233" s="11" t="str">
        <f>IFERROR(__xludf.DUMMYFUNCTION("""COMPUTED_VALUE"""),"")</f>
        <v/>
      </c>
      <c r="E233" s="11" t="str">
        <f>IFERROR(__xludf.DUMMYFUNCTION("""COMPUTED_VALUE"""),"")</f>
        <v/>
      </c>
      <c r="F233" s="11" t="str">
        <f>IFERROR(__xludf.DUMMYFUNCTION("""COMPUTED_VALUE"""),"")</f>
        <v/>
      </c>
      <c r="G233" s="11" t="str">
        <f>IFERROR(__xludf.DUMMYFUNCTION("""COMPUTED_VALUE"""),"")</f>
        <v/>
      </c>
      <c r="H233" s="12" t="str">
        <f>IFERROR(__xludf.DUMMYFUNCTION("""COMPUTED_VALUE"""),"")</f>
        <v/>
      </c>
      <c r="I233" s="12" t="str">
        <f>IFERROR(__xludf.DUMMYFUNCTION("""COMPUTED_VALUE"""),"")</f>
        <v/>
      </c>
      <c r="J233" s="13" t="str">
        <f t="shared" si="1"/>
        <v/>
      </c>
      <c r="K233" s="12" t="str">
        <f>IFERROR(IF(A233="","",if($G233="",Reference!$J$2, VLOOKUP($G233,Reference!$I$2:$J$1000,2,false))),"")</f>
        <v/>
      </c>
      <c r="L233" s="12" t="str">
        <f>IF(A233="","", IF(F233="",Reference!$M$2,F233))</f>
        <v/>
      </c>
      <c r="M233" s="14" t="str">
        <f t="shared" si="2"/>
        <v/>
      </c>
      <c r="N233" s="15" t="str">
        <f t="shared" si="3"/>
        <v/>
      </c>
      <c r="O233" s="14" t="str">
        <f t="shared" si="4"/>
        <v/>
      </c>
      <c r="P233" s="16" t="str">
        <f t="array" ref="P233">IF($A233="","", IFERROR(INDEX('BM Data'!$N:$N,MATCH($J233&amp; "-" &amp; $N233,'BM Data'!$O:$O,0),1),""))</f>
        <v/>
      </c>
      <c r="Q233" s="16" t="str">
        <f t="array" ref="Q233">IF($A233="","", IFERROR(INDEX('BM Data'!$J:$J,MATCH($J233&amp; "-" &amp; $N233,'BM Data'!$O:$O,0),1),""))</f>
        <v/>
      </c>
    </row>
    <row r="234">
      <c r="A234" s="10" t="str">
        <f>IFERROR(__xludf.DUMMYFUNCTION("""COMPUTED_VALUE"""),"")</f>
        <v/>
      </c>
      <c r="B234" s="3" t="str">
        <f>IFERROR(__xludf.DUMMYFUNCTION("""COMPUTED_VALUE"""),"")</f>
        <v/>
      </c>
      <c r="C234" s="11" t="str">
        <f>IFERROR(__xludf.DUMMYFUNCTION("""COMPUTED_VALUE"""),"")</f>
        <v/>
      </c>
      <c r="D234" s="11" t="str">
        <f>IFERROR(__xludf.DUMMYFUNCTION("""COMPUTED_VALUE"""),"")</f>
        <v/>
      </c>
      <c r="E234" s="11" t="str">
        <f>IFERROR(__xludf.DUMMYFUNCTION("""COMPUTED_VALUE"""),"")</f>
        <v/>
      </c>
      <c r="F234" s="11" t="str">
        <f>IFERROR(__xludf.DUMMYFUNCTION("""COMPUTED_VALUE"""),"")</f>
        <v/>
      </c>
      <c r="G234" s="11" t="str">
        <f>IFERROR(__xludf.DUMMYFUNCTION("""COMPUTED_VALUE"""),"")</f>
        <v/>
      </c>
      <c r="H234" s="12" t="str">
        <f>IFERROR(__xludf.DUMMYFUNCTION("""COMPUTED_VALUE"""),"")</f>
        <v/>
      </c>
      <c r="I234" s="12" t="str">
        <f>IFERROR(__xludf.DUMMYFUNCTION("""COMPUTED_VALUE"""),"")</f>
        <v/>
      </c>
      <c r="J234" s="13" t="str">
        <f t="shared" si="1"/>
        <v/>
      </c>
      <c r="K234" s="12" t="str">
        <f>IFERROR(IF(A234="","",if($G234="",Reference!$J$2, VLOOKUP($G234,Reference!$I$2:$J$1000,2,false))),"")</f>
        <v/>
      </c>
      <c r="L234" s="12" t="str">
        <f>IF(A234="","", IF(F234="",Reference!$M$2,F234))</f>
        <v/>
      </c>
      <c r="M234" s="14" t="str">
        <f t="shared" si="2"/>
        <v/>
      </c>
      <c r="N234" s="15" t="str">
        <f t="shared" si="3"/>
        <v/>
      </c>
      <c r="O234" s="14" t="str">
        <f t="shared" si="4"/>
        <v/>
      </c>
      <c r="P234" s="16" t="str">
        <f t="array" ref="P234">IF($A234="","", IFERROR(INDEX('BM Data'!$N:$N,MATCH($J234&amp; "-" &amp; $N234,'BM Data'!$O:$O,0),1),""))</f>
        <v/>
      </c>
      <c r="Q234" s="16" t="str">
        <f t="array" ref="Q234">IF($A234="","", IFERROR(INDEX('BM Data'!$J:$J,MATCH($J234&amp; "-" &amp; $N234,'BM Data'!$O:$O,0),1),""))</f>
        <v/>
      </c>
    </row>
    <row r="235">
      <c r="A235" s="10" t="str">
        <f>IFERROR(__xludf.DUMMYFUNCTION("""COMPUTED_VALUE"""),"")</f>
        <v/>
      </c>
      <c r="B235" s="3" t="str">
        <f>IFERROR(__xludf.DUMMYFUNCTION("""COMPUTED_VALUE"""),"")</f>
        <v/>
      </c>
      <c r="C235" s="11" t="str">
        <f>IFERROR(__xludf.DUMMYFUNCTION("""COMPUTED_VALUE"""),"")</f>
        <v/>
      </c>
      <c r="D235" s="11" t="str">
        <f>IFERROR(__xludf.DUMMYFUNCTION("""COMPUTED_VALUE"""),"")</f>
        <v/>
      </c>
      <c r="E235" s="11" t="str">
        <f>IFERROR(__xludf.DUMMYFUNCTION("""COMPUTED_VALUE"""),"")</f>
        <v/>
      </c>
      <c r="F235" s="11" t="str">
        <f>IFERROR(__xludf.DUMMYFUNCTION("""COMPUTED_VALUE"""),"")</f>
        <v/>
      </c>
      <c r="G235" s="11" t="str">
        <f>IFERROR(__xludf.DUMMYFUNCTION("""COMPUTED_VALUE"""),"")</f>
        <v/>
      </c>
      <c r="H235" s="12" t="str">
        <f>IFERROR(__xludf.DUMMYFUNCTION("""COMPUTED_VALUE"""),"")</f>
        <v/>
      </c>
      <c r="I235" s="12" t="str">
        <f>IFERROR(__xludf.DUMMYFUNCTION("""COMPUTED_VALUE"""),"")</f>
        <v/>
      </c>
      <c r="J235" s="13" t="str">
        <f t="shared" si="1"/>
        <v/>
      </c>
      <c r="K235" s="12" t="str">
        <f>IFERROR(IF(A235="","",if($G235="",Reference!$J$2, VLOOKUP($G235,Reference!$I$2:$J$1000,2,false))),"")</f>
        <v/>
      </c>
      <c r="L235" s="12" t="str">
        <f>IF(A235="","", IF(F235="",Reference!$M$2,F235))</f>
        <v/>
      </c>
      <c r="M235" s="14" t="str">
        <f t="shared" si="2"/>
        <v/>
      </c>
      <c r="N235" s="15" t="str">
        <f t="shared" si="3"/>
        <v/>
      </c>
      <c r="O235" s="14" t="str">
        <f t="shared" si="4"/>
        <v/>
      </c>
      <c r="P235" s="16" t="str">
        <f t="array" ref="P235">IF($A235="","", IFERROR(INDEX('BM Data'!$N:$N,MATCH($J235&amp; "-" &amp; $N235,'BM Data'!$O:$O,0),1),""))</f>
        <v/>
      </c>
      <c r="Q235" s="16" t="str">
        <f t="array" ref="Q235">IF($A235="","", IFERROR(INDEX('BM Data'!$J:$J,MATCH($J235&amp; "-" &amp; $N235,'BM Data'!$O:$O,0),1),""))</f>
        <v/>
      </c>
    </row>
    <row r="236">
      <c r="A236" s="10" t="str">
        <f>IFERROR(__xludf.DUMMYFUNCTION("""COMPUTED_VALUE"""),"")</f>
        <v/>
      </c>
      <c r="B236" s="3" t="str">
        <f>IFERROR(__xludf.DUMMYFUNCTION("""COMPUTED_VALUE"""),"")</f>
        <v/>
      </c>
      <c r="C236" s="11" t="str">
        <f>IFERROR(__xludf.DUMMYFUNCTION("""COMPUTED_VALUE"""),"")</f>
        <v/>
      </c>
      <c r="D236" s="11" t="str">
        <f>IFERROR(__xludf.DUMMYFUNCTION("""COMPUTED_VALUE"""),"")</f>
        <v/>
      </c>
      <c r="E236" s="11" t="str">
        <f>IFERROR(__xludf.DUMMYFUNCTION("""COMPUTED_VALUE"""),"")</f>
        <v/>
      </c>
      <c r="F236" s="11" t="str">
        <f>IFERROR(__xludf.DUMMYFUNCTION("""COMPUTED_VALUE"""),"")</f>
        <v/>
      </c>
      <c r="G236" s="11" t="str">
        <f>IFERROR(__xludf.DUMMYFUNCTION("""COMPUTED_VALUE"""),"")</f>
        <v/>
      </c>
      <c r="H236" s="12" t="str">
        <f>IFERROR(__xludf.DUMMYFUNCTION("""COMPUTED_VALUE"""),"")</f>
        <v/>
      </c>
      <c r="I236" s="12" t="str">
        <f>IFERROR(__xludf.DUMMYFUNCTION("""COMPUTED_VALUE"""),"")</f>
        <v/>
      </c>
      <c r="J236" s="13" t="str">
        <f t="shared" si="1"/>
        <v/>
      </c>
      <c r="K236" s="12" t="str">
        <f>IFERROR(IF(A236="","",if($G236="",Reference!$J$2, VLOOKUP($G236,Reference!$I$2:$J$1000,2,false))),"")</f>
        <v/>
      </c>
      <c r="L236" s="12" t="str">
        <f>IF(A236="","", IF(F236="",Reference!$M$2,F236))</f>
        <v/>
      </c>
      <c r="M236" s="14" t="str">
        <f t="shared" si="2"/>
        <v/>
      </c>
      <c r="N236" s="15" t="str">
        <f t="shared" si="3"/>
        <v/>
      </c>
      <c r="O236" s="14" t="str">
        <f t="shared" si="4"/>
        <v/>
      </c>
      <c r="P236" s="16" t="str">
        <f t="array" ref="P236">IF($A236="","", IFERROR(INDEX('BM Data'!$N:$N,MATCH($J236&amp; "-" &amp; $N236,'BM Data'!$O:$O,0),1),""))</f>
        <v/>
      </c>
      <c r="Q236" s="16" t="str">
        <f t="array" ref="Q236">IF($A236="","", IFERROR(INDEX('BM Data'!$J:$J,MATCH($J236&amp; "-" &amp; $N236,'BM Data'!$O:$O,0),1),""))</f>
        <v/>
      </c>
    </row>
    <row r="237">
      <c r="A237" s="10" t="str">
        <f>IFERROR(__xludf.DUMMYFUNCTION("""COMPUTED_VALUE"""),"")</f>
        <v/>
      </c>
      <c r="B237" s="3" t="str">
        <f>IFERROR(__xludf.DUMMYFUNCTION("""COMPUTED_VALUE"""),"")</f>
        <v/>
      </c>
      <c r="C237" s="11" t="str">
        <f>IFERROR(__xludf.DUMMYFUNCTION("""COMPUTED_VALUE"""),"")</f>
        <v/>
      </c>
      <c r="D237" s="11" t="str">
        <f>IFERROR(__xludf.DUMMYFUNCTION("""COMPUTED_VALUE"""),"")</f>
        <v/>
      </c>
      <c r="E237" s="11" t="str">
        <f>IFERROR(__xludf.DUMMYFUNCTION("""COMPUTED_VALUE"""),"")</f>
        <v/>
      </c>
      <c r="F237" s="11" t="str">
        <f>IFERROR(__xludf.DUMMYFUNCTION("""COMPUTED_VALUE"""),"")</f>
        <v/>
      </c>
      <c r="G237" s="11" t="str">
        <f>IFERROR(__xludf.DUMMYFUNCTION("""COMPUTED_VALUE"""),"")</f>
        <v/>
      </c>
      <c r="H237" s="12" t="str">
        <f>IFERROR(__xludf.DUMMYFUNCTION("""COMPUTED_VALUE"""),"")</f>
        <v/>
      </c>
      <c r="I237" s="12" t="str">
        <f>IFERROR(__xludf.DUMMYFUNCTION("""COMPUTED_VALUE"""),"")</f>
        <v/>
      </c>
      <c r="J237" s="13" t="str">
        <f t="shared" si="1"/>
        <v/>
      </c>
      <c r="K237" s="12" t="str">
        <f>IFERROR(IF(A237="","",if($G237="",Reference!$J$2, VLOOKUP($G237,Reference!$I$2:$J$1000,2,false))),"")</f>
        <v/>
      </c>
      <c r="L237" s="12" t="str">
        <f>IF(A237="","", IF(F237="",Reference!$M$2,F237))</f>
        <v/>
      </c>
      <c r="M237" s="14" t="str">
        <f t="shared" si="2"/>
        <v/>
      </c>
      <c r="N237" s="15" t="str">
        <f t="shared" si="3"/>
        <v/>
      </c>
      <c r="O237" s="14" t="str">
        <f t="shared" si="4"/>
        <v/>
      </c>
      <c r="P237" s="16" t="str">
        <f t="array" ref="P237">IF($A237="","", IFERROR(INDEX('BM Data'!$N:$N,MATCH($J237&amp; "-" &amp; $N237,'BM Data'!$O:$O,0),1),""))</f>
        <v/>
      </c>
      <c r="Q237" s="16" t="str">
        <f t="array" ref="Q237">IF($A237="","", IFERROR(INDEX('BM Data'!$J:$J,MATCH($J237&amp; "-" &amp; $N237,'BM Data'!$O:$O,0),1),""))</f>
        <v/>
      </c>
    </row>
    <row r="238">
      <c r="A238" s="10" t="str">
        <f>IFERROR(__xludf.DUMMYFUNCTION("""COMPUTED_VALUE"""),"")</f>
        <v/>
      </c>
      <c r="B238" s="3" t="str">
        <f>IFERROR(__xludf.DUMMYFUNCTION("""COMPUTED_VALUE"""),"")</f>
        <v/>
      </c>
      <c r="C238" s="11" t="str">
        <f>IFERROR(__xludf.DUMMYFUNCTION("""COMPUTED_VALUE"""),"")</f>
        <v/>
      </c>
      <c r="D238" s="11" t="str">
        <f>IFERROR(__xludf.DUMMYFUNCTION("""COMPUTED_VALUE"""),"")</f>
        <v/>
      </c>
      <c r="E238" s="11" t="str">
        <f>IFERROR(__xludf.DUMMYFUNCTION("""COMPUTED_VALUE"""),"")</f>
        <v/>
      </c>
      <c r="F238" s="11" t="str">
        <f>IFERROR(__xludf.DUMMYFUNCTION("""COMPUTED_VALUE"""),"")</f>
        <v/>
      </c>
      <c r="G238" s="11" t="str">
        <f>IFERROR(__xludf.DUMMYFUNCTION("""COMPUTED_VALUE"""),"")</f>
        <v/>
      </c>
      <c r="H238" s="12" t="str">
        <f>IFERROR(__xludf.DUMMYFUNCTION("""COMPUTED_VALUE"""),"")</f>
        <v/>
      </c>
      <c r="I238" s="12" t="str">
        <f>IFERROR(__xludf.DUMMYFUNCTION("""COMPUTED_VALUE"""),"")</f>
        <v/>
      </c>
      <c r="J238" s="13" t="str">
        <f t="shared" si="1"/>
        <v/>
      </c>
      <c r="K238" s="12" t="str">
        <f>IFERROR(IF(A238="","",if($G238="",Reference!$J$2, VLOOKUP($G238,Reference!$I$2:$J$1000,2,false))),"")</f>
        <v/>
      </c>
      <c r="L238" s="12" t="str">
        <f>IF(A238="","", IF(F238="",Reference!$M$2,F238))</f>
        <v/>
      </c>
      <c r="M238" s="14" t="str">
        <f t="shared" si="2"/>
        <v/>
      </c>
      <c r="N238" s="15" t="str">
        <f t="shared" si="3"/>
        <v/>
      </c>
      <c r="O238" s="14" t="str">
        <f t="shared" si="4"/>
        <v/>
      </c>
      <c r="P238" s="16" t="str">
        <f t="array" ref="P238">IF($A238="","", IFERROR(INDEX('BM Data'!$N:$N,MATCH($J238&amp; "-" &amp; $N238,'BM Data'!$O:$O,0),1),""))</f>
        <v/>
      </c>
      <c r="Q238" s="16" t="str">
        <f t="array" ref="Q238">IF($A238="","", IFERROR(INDEX('BM Data'!$J:$J,MATCH($J238&amp; "-" &amp; $N238,'BM Data'!$O:$O,0),1),""))</f>
        <v/>
      </c>
    </row>
    <row r="239">
      <c r="A239" s="10" t="str">
        <f>IFERROR(__xludf.DUMMYFUNCTION("""COMPUTED_VALUE"""),"")</f>
        <v/>
      </c>
      <c r="B239" s="3" t="str">
        <f>IFERROR(__xludf.DUMMYFUNCTION("""COMPUTED_VALUE"""),"")</f>
        <v/>
      </c>
      <c r="C239" s="11" t="str">
        <f>IFERROR(__xludf.DUMMYFUNCTION("""COMPUTED_VALUE"""),"")</f>
        <v/>
      </c>
      <c r="D239" s="11" t="str">
        <f>IFERROR(__xludf.DUMMYFUNCTION("""COMPUTED_VALUE"""),"")</f>
        <v/>
      </c>
      <c r="E239" s="11" t="str">
        <f>IFERROR(__xludf.DUMMYFUNCTION("""COMPUTED_VALUE"""),"")</f>
        <v/>
      </c>
      <c r="F239" s="11" t="str">
        <f>IFERROR(__xludf.DUMMYFUNCTION("""COMPUTED_VALUE"""),"")</f>
        <v/>
      </c>
      <c r="G239" s="11" t="str">
        <f>IFERROR(__xludf.DUMMYFUNCTION("""COMPUTED_VALUE"""),"")</f>
        <v/>
      </c>
      <c r="H239" s="12" t="str">
        <f>IFERROR(__xludf.DUMMYFUNCTION("""COMPUTED_VALUE"""),"")</f>
        <v/>
      </c>
      <c r="I239" s="12" t="str">
        <f>IFERROR(__xludf.DUMMYFUNCTION("""COMPUTED_VALUE"""),"")</f>
        <v/>
      </c>
      <c r="J239" s="13" t="str">
        <f t="shared" si="1"/>
        <v/>
      </c>
      <c r="K239" s="12" t="str">
        <f>IFERROR(IF(A239="","",if($G239="",Reference!$J$2, VLOOKUP($G239,Reference!$I$2:$J$1000,2,false))),"")</f>
        <v/>
      </c>
      <c r="L239" s="12" t="str">
        <f>IF(A239="","", IF(F239="",Reference!$M$2,F239))</f>
        <v/>
      </c>
      <c r="M239" s="14" t="str">
        <f t="shared" si="2"/>
        <v/>
      </c>
      <c r="N239" s="15" t="str">
        <f t="shared" si="3"/>
        <v/>
      </c>
      <c r="O239" s="14" t="str">
        <f t="shared" si="4"/>
        <v/>
      </c>
      <c r="P239" s="16" t="str">
        <f t="array" ref="P239">IF($A239="","", IFERROR(INDEX('BM Data'!$N:$N,MATCH($J239&amp; "-" &amp; $N239,'BM Data'!$O:$O,0),1),""))</f>
        <v/>
      </c>
      <c r="Q239" s="16" t="str">
        <f t="array" ref="Q239">IF($A239="","", IFERROR(INDEX('BM Data'!$J:$J,MATCH($J239&amp; "-" &amp; $N239,'BM Data'!$O:$O,0),1),""))</f>
        <v/>
      </c>
    </row>
    <row r="240">
      <c r="A240" s="10" t="str">
        <f>IFERROR(__xludf.DUMMYFUNCTION("""COMPUTED_VALUE"""),"")</f>
        <v/>
      </c>
      <c r="B240" s="3" t="str">
        <f>IFERROR(__xludf.DUMMYFUNCTION("""COMPUTED_VALUE"""),"")</f>
        <v/>
      </c>
      <c r="C240" s="11" t="str">
        <f>IFERROR(__xludf.DUMMYFUNCTION("""COMPUTED_VALUE"""),"")</f>
        <v/>
      </c>
      <c r="D240" s="11" t="str">
        <f>IFERROR(__xludf.DUMMYFUNCTION("""COMPUTED_VALUE"""),"")</f>
        <v/>
      </c>
      <c r="E240" s="11" t="str">
        <f>IFERROR(__xludf.DUMMYFUNCTION("""COMPUTED_VALUE"""),"")</f>
        <v/>
      </c>
      <c r="F240" s="11" t="str">
        <f>IFERROR(__xludf.DUMMYFUNCTION("""COMPUTED_VALUE"""),"")</f>
        <v/>
      </c>
      <c r="G240" s="11" t="str">
        <f>IFERROR(__xludf.DUMMYFUNCTION("""COMPUTED_VALUE"""),"")</f>
        <v/>
      </c>
      <c r="H240" s="12" t="str">
        <f>IFERROR(__xludf.DUMMYFUNCTION("""COMPUTED_VALUE"""),"")</f>
        <v/>
      </c>
      <c r="I240" s="12" t="str">
        <f>IFERROR(__xludf.DUMMYFUNCTION("""COMPUTED_VALUE"""),"")</f>
        <v/>
      </c>
      <c r="J240" s="13" t="str">
        <f t="shared" si="1"/>
        <v/>
      </c>
      <c r="K240" s="12" t="str">
        <f>IFERROR(IF(A240="","",if($G240="",Reference!$J$2, VLOOKUP($G240,Reference!$I$2:$J$1000,2,false))),"")</f>
        <v/>
      </c>
      <c r="L240" s="12" t="str">
        <f>IF(A240="","", IF(F240="",Reference!$M$2,F240))</f>
        <v/>
      </c>
      <c r="M240" s="14" t="str">
        <f t="shared" si="2"/>
        <v/>
      </c>
      <c r="N240" s="15" t="str">
        <f t="shared" si="3"/>
        <v/>
      </c>
      <c r="O240" s="14" t="str">
        <f t="shared" si="4"/>
        <v/>
      </c>
      <c r="P240" s="16" t="str">
        <f t="array" ref="P240">IF($A240="","", IFERROR(INDEX('BM Data'!$N:$N,MATCH($J240&amp; "-" &amp; $N240,'BM Data'!$O:$O,0),1),""))</f>
        <v/>
      </c>
      <c r="Q240" s="16" t="str">
        <f t="array" ref="Q240">IF($A240="","", IFERROR(INDEX('BM Data'!$J:$J,MATCH($J240&amp; "-" &amp; $N240,'BM Data'!$O:$O,0),1),""))</f>
        <v/>
      </c>
    </row>
    <row r="241">
      <c r="A241" s="10" t="str">
        <f>IFERROR(__xludf.DUMMYFUNCTION("""COMPUTED_VALUE"""),"")</f>
        <v/>
      </c>
      <c r="B241" s="3" t="str">
        <f>IFERROR(__xludf.DUMMYFUNCTION("""COMPUTED_VALUE"""),"")</f>
        <v/>
      </c>
      <c r="C241" s="11" t="str">
        <f>IFERROR(__xludf.DUMMYFUNCTION("""COMPUTED_VALUE"""),"")</f>
        <v/>
      </c>
      <c r="D241" s="11" t="str">
        <f>IFERROR(__xludf.DUMMYFUNCTION("""COMPUTED_VALUE"""),"")</f>
        <v/>
      </c>
      <c r="E241" s="11" t="str">
        <f>IFERROR(__xludf.DUMMYFUNCTION("""COMPUTED_VALUE"""),"")</f>
        <v/>
      </c>
      <c r="F241" s="11" t="str">
        <f>IFERROR(__xludf.DUMMYFUNCTION("""COMPUTED_VALUE"""),"")</f>
        <v/>
      </c>
      <c r="G241" s="11" t="str">
        <f>IFERROR(__xludf.DUMMYFUNCTION("""COMPUTED_VALUE"""),"")</f>
        <v/>
      </c>
      <c r="H241" s="12" t="str">
        <f>IFERROR(__xludf.DUMMYFUNCTION("""COMPUTED_VALUE"""),"")</f>
        <v/>
      </c>
      <c r="I241" s="12" t="str">
        <f>IFERROR(__xludf.DUMMYFUNCTION("""COMPUTED_VALUE"""),"")</f>
        <v/>
      </c>
      <c r="J241" s="13" t="str">
        <f t="shared" si="1"/>
        <v/>
      </c>
      <c r="K241" s="12" t="str">
        <f>IFERROR(IF(A241="","",if($G241="",Reference!$J$2, VLOOKUP($G241,Reference!$I$2:$J$1000,2,false))),"")</f>
        <v/>
      </c>
      <c r="L241" s="12" t="str">
        <f>IF(A241="","", IF(F241="",Reference!$M$2,F241))</f>
        <v/>
      </c>
      <c r="M241" s="14" t="str">
        <f t="shared" si="2"/>
        <v/>
      </c>
      <c r="N241" s="15" t="str">
        <f t="shared" si="3"/>
        <v/>
      </c>
      <c r="O241" s="14" t="str">
        <f t="shared" si="4"/>
        <v/>
      </c>
      <c r="P241" s="16" t="str">
        <f t="array" ref="P241">IF($A241="","", IFERROR(INDEX('BM Data'!$N:$N,MATCH($J241&amp; "-" &amp; $N241,'BM Data'!$O:$O,0),1),""))</f>
        <v/>
      </c>
      <c r="Q241" s="16" t="str">
        <f t="array" ref="Q241">IF($A241="","", IFERROR(INDEX('BM Data'!$J:$J,MATCH($J241&amp; "-" &amp; $N241,'BM Data'!$O:$O,0),1),""))</f>
        <v/>
      </c>
    </row>
    <row r="242">
      <c r="A242" s="10" t="str">
        <f>IFERROR(__xludf.DUMMYFUNCTION("""COMPUTED_VALUE"""),"")</f>
        <v/>
      </c>
      <c r="B242" s="3" t="str">
        <f>IFERROR(__xludf.DUMMYFUNCTION("""COMPUTED_VALUE"""),"")</f>
        <v/>
      </c>
      <c r="C242" s="11" t="str">
        <f>IFERROR(__xludf.DUMMYFUNCTION("""COMPUTED_VALUE"""),"")</f>
        <v/>
      </c>
      <c r="D242" s="11" t="str">
        <f>IFERROR(__xludf.DUMMYFUNCTION("""COMPUTED_VALUE"""),"")</f>
        <v/>
      </c>
      <c r="E242" s="11" t="str">
        <f>IFERROR(__xludf.DUMMYFUNCTION("""COMPUTED_VALUE"""),"")</f>
        <v/>
      </c>
      <c r="F242" s="11" t="str">
        <f>IFERROR(__xludf.DUMMYFUNCTION("""COMPUTED_VALUE"""),"")</f>
        <v/>
      </c>
      <c r="G242" s="11" t="str">
        <f>IFERROR(__xludf.DUMMYFUNCTION("""COMPUTED_VALUE"""),"")</f>
        <v/>
      </c>
      <c r="H242" s="12" t="str">
        <f>IFERROR(__xludf.DUMMYFUNCTION("""COMPUTED_VALUE"""),"")</f>
        <v/>
      </c>
      <c r="I242" s="12" t="str">
        <f>IFERROR(__xludf.DUMMYFUNCTION("""COMPUTED_VALUE"""),"")</f>
        <v/>
      </c>
      <c r="J242" s="13" t="str">
        <f t="shared" si="1"/>
        <v/>
      </c>
      <c r="K242" s="12" t="str">
        <f>IFERROR(IF(A242="","",if($G242="",Reference!$J$2, VLOOKUP($G242,Reference!$I$2:$J$1000,2,false))),"")</f>
        <v/>
      </c>
      <c r="L242" s="12" t="str">
        <f>IF(A242="","", IF(F242="",Reference!$M$2,F242))</f>
        <v/>
      </c>
      <c r="M242" s="14" t="str">
        <f t="shared" si="2"/>
        <v/>
      </c>
      <c r="N242" s="15" t="str">
        <f t="shared" si="3"/>
        <v/>
      </c>
      <c r="O242" s="14" t="str">
        <f t="shared" si="4"/>
        <v/>
      </c>
      <c r="P242" s="16" t="str">
        <f t="array" ref="P242">IF($A242="","", IFERROR(INDEX('BM Data'!$N:$N,MATCH($J242&amp; "-" &amp; $N242,'BM Data'!$O:$O,0),1),""))</f>
        <v/>
      </c>
      <c r="Q242" s="16" t="str">
        <f t="array" ref="Q242">IF($A242="","", IFERROR(INDEX('BM Data'!$J:$J,MATCH($J242&amp; "-" &amp; $N242,'BM Data'!$O:$O,0),1),""))</f>
        <v/>
      </c>
    </row>
    <row r="243">
      <c r="A243" s="10" t="str">
        <f>IFERROR(__xludf.DUMMYFUNCTION("""COMPUTED_VALUE"""),"")</f>
        <v/>
      </c>
      <c r="B243" s="3" t="str">
        <f>IFERROR(__xludf.DUMMYFUNCTION("""COMPUTED_VALUE"""),"")</f>
        <v/>
      </c>
      <c r="C243" s="11" t="str">
        <f>IFERROR(__xludf.DUMMYFUNCTION("""COMPUTED_VALUE"""),"")</f>
        <v/>
      </c>
      <c r="D243" s="11" t="str">
        <f>IFERROR(__xludf.DUMMYFUNCTION("""COMPUTED_VALUE"""),"")</f>
        <v/>
      </c>
      <c r="E243" s="11" t="str">
        <f>IFERROR(__xludf.DUMMYFUNCTION("""COMPUTED_VALUE"""),"")</f>
        <v/>
      </c>
      <c r="F243" s="11" t="str">
        <f>IFERROR(__xludf.DUMMYFUNCTION("""COMPUTED_VALUE"""),"")</f>
        <v/>
      </c>
      <c r="G243" s="11" t="str">
        <f>IFERROR(__xludf.DUMMYFUNCTION("""COMPUTED_VALUE"""),"")</f>
        <v/>
      </c>
      <c r="H243" s="12" t="str">
        <f>IFERROR(__xludf.DUMMYFUNCTION("""COMPUTED_VALUE"""),"")</f>
        <v/>
      </c>
      <c r="I243" s="12" t="str">
        <f>IFERROR(__xludf.DUMMYFUNCTION("""COMPUTED_VALUE"""),"")</f>
        <v/>
      </c>
      <c r="J243" s="13" t="str">
        <f t="shared" si="1"/>
        <v/>
      </c>
      <c r="K243" s="12" t="str">
        <f>IFERROR(IF(A243="","",if($G243="",Reference!$J$2, VLOOKUP($G243,Reference!$I$2:$J$1000,2,false))),"")</f>
        <v/>
      </c>
      <c r="L243" s="12" t="str">
        <f>IF(A243="","", IF(F243="",Reference!$M$2,F243))</f>
        <v/>
      </c>
      <c r="M243" s="14" t="str">
        <f t="shared" si="2"/>
        <v/>
      </c>
      <c r="N243" s="15" t="str">
        <f t="shared" si="3"/>
        <v/>
      </c>
      <c r="O243" s="14" t="str">
        <f t="shared" si="4"/>
        <v/>
      </c>
      <c r="P243" s="16" t="str">
        <f t="array" ref="P243">IF($A243="","", IFERROR(INDEX('BM Data'!$N:$N,MATCH($J243&amp; "-" &amp; $N243,'BM Data'!$O:$O,0),1),""))</f>
        <v/>
      </c>
      <c r="Q243" s="16" t="str">
        <f t="array" ref="Q243">IF($A243="","", IFERROR(INDEX('BM Data'!$J:$J,MATCH($J243&amp; "-" &amp; $N243,'BM Data'!$O:$O,0),1),""))</f>
        <v/>
      </c>
    </row>
    <row r="244">
      <c r="A244" s="10" t="str">
        <f>IFERROR(__xludf.DUMMYFUNCTION("""COMPUTED_VALUE"""),"")</f>
        <v/>
      </c>
      <c r="B244" s="3" t="str">
        <f>IFERROR(__xludf.DUMMYFUNCTION("""COMPUTED_VALUE"""),"")</f>
        <v/>
      </c>
      <c r="C244" s="11" t="str">
        <f>IFERROR(__xludf.DUMMYFUNCTION("""COMPUTED_VALUE"""),"")</f>
        <v/>
      </c>
      <c r="D244" s="11" t="str">
        <f>IFERROR(__xludf.DUMMYFUNCTION("""COMPUTED_VALUE"""),"")</f>
        <v/>
      </c>
      <c r="E244" s="11" t="str">
        <f>IFERROR(__xludf.DUMMYFUNCTION("""COMPUTED_VALUE"""),"")</f>
        <v/>
      </c>
      <c r="F244" s="11" t="str">
        <f>IFERROR(__xludf.DUMMYFUNCTION("""COMPUTED_VALUE"""),"")</f>
        <v/>
      </c>
      <c r="G244" s="11" t="str">
        <f>IFERROR(__xludf.DUMMYFUNCTION("""COMPUTED_VALUE"""),"")</f>
        <v/>
      </c>
      <c r="H244" s="12" t="str">
        <f>IFERROR(__xludf.DUMMYFUNCTION("""COMPUTED_VALUE"""),"")</f>
        <v/>
      </c>
      <c r="I244" s="12" t="str">
        <f>IFERROR(__xludf.DUMMYFUNCTION("""COMPUTED_VALUE"""),"")</f>
        <v/>
      </c>
      <c r="J244" s="13" t="str">
        <f t="shared" si="1"/>
        <v/>
      </c>
      <c r="K244" s="12" t="str">
        <f>IFERROR(IF(A244="","",if($G244="",Reference!$J$2, VLOOKUP($G244,Reference!$I$2:$J$1000,2,false))),"")</f>
        <v/>
      </c>
      <c r="L244" s="12" t="str">
        <f>IF(A244="","", IF(F244="",Reference!$M$2,F244))</f>
        <v/>
      </c>
      <c r="M244" s="14" t="str">
        <f t="shared" si="2"/>
        <v/>
      </c>
      <c r="N244" s="15" t="str">
        <f t="shared" si="3"/>
        <v/>
      </c>
      <c r="O244" s="14" t="str">
        <f t="shared" si="4"/>
        <v/>
      </c>
      <c r="P244" s="16" t="str">
        <f t="array" ref="P244">IF($A244="","", IFERROR(INDEX('BM Data'!$N:$N,MATCH($J244&amp; "-" &amp; $N244,'BM Data'!$O:$O,0),1),""))</f>
        <v/>
      </c>
      <c r="Q244" s="16" t="str">
        <f t="array" ref="Q244">IF($A244="","", IFERROR(INDEX('BM Data'!$J:$J,MATCH($J244&amp; "-" &amp; $N244,'BM Data'!$O:$O,0),1),""))</f>
        <v/>
      </c>
    </row>
    <row r="245">
      <c r="A245" s="10" t="str">
        <f>IFERROR(__xludf.DUMMYFUNCTION("""COMPUTED_VALUE"""),"")</f>
        <v/>
      </c>
      <c r="B245" s="3" t="str">
        <f>IFERROR(__xludf.DUMMYFUNCTION("""COMPUTED_VALUE"""),"")</f>
        <v/>
      </c>
      <c r="C245" s="11" t="str">
        <f>IFERROR(__xludf.DUMMYFUNCTION("""COMPUTED_VALUE"""),"")</f>
        <v/>
      </c>
      <c r="D245" s="11" t="str">
        <f>IFERROR(__xludf.DUMMYFUNCTION("""COMPUTED_VALUE"""),"")</f>
        <v/>
      </c>
      <c r="E245" s="11" t="str">
        <f>IFERROR(__xludf.DUMMYFUNCTION("""COMPUTED_VALUE"""),"")</f>
        <v/>
      </c>
      <c r="F245" s="11" t="str">
        <f>IFERROR(__xludf.DUMMYFUNCTION("""COMPUTED_VALUE"""),"")</f>
        <v/>
      </c>
      <c r="G245" s="11" t="str">
        <f>IFERROR(__xludf.DUMMYFUNCTION("""COMPUTED_VALUE"""),"")</f>
        <v/>
      </c>
      <c r="H245" s="12" t="str">
        <f>IFERROR(__xludf.DUMMYFUNCTION("""COMPUTED_VALUE"""),"")</f>
        <v/>
      </c>
      <c r="I245" s="12" t="str">
        <f>IFERROR(__xludf.DUMMYFUNCTION("""COMPUTED_VALUE"""),"")</f>
        <v/>
      </c>
      <c r="J245" s="13" t="str">
        <f t="shared" si="1"/>
        <v/>
      </c>
      <c r="K245" s="12" t="str">
        <f>IFERROR(IF(A245="","",if($G245="",Reference!$J$2, VLOOKUP($G245,Reference!$I$2:$J$1000,2,false))),"")</f>
        <v/>
      </c>
      <c r="L245" s="12" t="str">
        <f>IF(A245="","", IF(F245="",Reference!$M$2,F245))</f>
        <v/>
      </c>
      <c r="M245" s="14" t="str">
        <f t="shared" si="2"/>
        <v/>
      </c>
      <c r="N245" s="15" t="str">
        <f t="shared" si="3"/>
        <v/>
      </c>
      <c r="O245" s="14" t="str">
        <f t="shared" si="4"/>
        <v/>
      </c>
      <c r="P245" s="16" t="str">
        <f t="array" ref="P245">IF($A245="","", IFERROR(INDEX('BM Data'!$N:$N,MATCH($J245&amp; "-" &amp; $N245,'BM Data'!$O:$O,0),1),""))</f>
        <v/>
      </c>
      <c r="Q245" s="16" t="str">
        <f t="array" ref="Q245">IF($A245="","", IFERROR(INDEX('BM Data'!$J:$J,MATCH($J245&amp; "-" &amp; $N245,'BM Data'!$O:$O,0),1),""))</f>
        <v/>
      </c>
    </row>
    <row r="246">
      <c r="A246" s="10" t="str">
        <f>IFERROR(__xludf.DUMMYFUNCTION("""COMPUTED_VALUE"""),"")</f>
        <v/>
      </c>
      <c r="B246" s="3" t="str">
        <f>IFERROR(__xludf.DUMMYFUNCTION("""COMPUTED_VALUE"""),"")</f>
        <v/>
      </c>
      <c r="C246" s="11" t="str">
        <f>IFERROR(__xludf.DUMMYFUNCTION("""COMPUTED_VALUE"""),"")</f>
        <v/>
      </c>
      <c r="D246" s="11" t="str">
        <f>IFERROR(__xludf.DUMMYFUNCTION("""COMPUTED_VALUE"""),"")</f>
        <v/>
      </c>
      <c r="E246" s="11" t="str">
        <f>IFERROR(__xludf.DUMMYFUNCTION("""COMPUTED_VALUE"""),"")</f>
        <v/>
      </c>
      <c r="F246" s="11" t="str">
        <f>IFERROR(__xludf.DUMMYFUNCTION("""COMPUTED_VALUE"""),"")</f>
        <v/>
      </c>
      <c r="G246" s="11" t="str">
        <f>IFERROR(__xludf.DUMMYFUNCTION("""COMPUTED_VALUE"""),"")</f>
        <v/>
      </c>
      <c r="H246" s="12" t="str">
        <f>IFERROR(__xludf.DUMMYFUNCTION("""COMPUTED_VALUE"""),"")</f>
        <v/>
      </c>
      <c r="I246" s="12" t="str">
        <f>IFERROR(__xludf.DUMMYFUNCTION("""COMPUTED_VALUE"""),"")</f>
        <v/>
      </c>
      <c r="J246" s="13" t="str">
        <f t="shared" si="1"/>
        <v/>
      </c>
      <c r="K246" s="12" t="str">
        <f>IFERROR(IF(A246="","",if($G246="",Reference!$J$2, VLOOKUP($G246,Reference!$I$2:$J$1000,2,false))),"")</f>
        <v/>
      </c>
      <c r="L246" s="12" t="str">
        <f>IF(A246="","", IF(F246="",Reference!$M$2,F246))</f>
        <v/>
      </c>
      <c r="M246" s="14" t="str">
        <f t="shared" si="2"/>
        <v/>
      </c>
      <c r="N246" s="15" t="str">
        <f t="shared" si="3"/>
        <v/>
      </c>
      <c r="O246" s="14" t="str">
        <f t="shared" si="4"/>
        <v/>
      </c>
      <c r="P246" s="16" t="str">
        <f t="array" ref="P246">IF($A246="","", IFERROR(INDEX('BM Data'!$N:$N,MATCH($J246&amp; "-" &amp; $N246,'BM Data'!$O:$O,0),1),""))</f>
        <v/>
      </c>
      <c r="Q246" s="16" t="str">
        <f t="array" ref="Q246">IF($A246="","", IFERROR(INDEX('BM Data'!$J:$J,MATCH($J246&amp; "-" &amp; $N246,'BM Data'!$O:$O,0),1),""))</f>
        <v/>
      </c>
    </row>
    <row r="247">
      <c r="A247" s="10" t="str">
        <f>IFERROR(__xludf.DUMMYFUNCTION("""COMPUTED_VALUE"""),"")</f>
        <v/>
      </c>
      <c r="B247" s="3" t="str">
        <f>IFERROR(__xludf.DUMMYFUNCTION("""COMPUTED_VALUE"""),"")</f>
        <v/>
      </c>
      <c r="C247" s="11" t="str">
        <f>IFERROR(__xludf.DUMMYFUNCTION("""COMPUTED_VALUE"""),"")</f>
        <v/>
      </c>
      <c r="D247" s="11" t="str">
        <f>IFERROR(__xludf.DUMMYFUNCTION("""COMPUTED_VALUE"""),"")</f>
        <v/>
      </c>
      <c r="E247" s="11" t="str">
        <f>IFERROR(__xludf.DUMMYFUNCTION("""COMPUTED_VALUE"""),"")</f>
        <v/>
      </c>
      <c r="F247" s="11" t="str">
        <f>IFERROR(__xludf.DUMMYFUNCTION("""COMPUTED_VALUE"""),"")</f>
        <v/>
      </c>
      <c r="G247" s="11" t="str">
        <f>IFERROR(__xludf.DUMMYFUNCTION("""COMPUTED_VALUE"""),"")</f>
        <v/>
      </c>
      <c r="H247" s="12" t="str">
        <f>IFERROR(__xludf.DUMMYFUNCTION("""COMPUTED_VALUE"""),"")</f>
        <v/>
      </c>
      <c r="I247" s="12" t="str">
        <f>IFERROR(__xludf.DUMMYFUNCTION("""COMPUTED_VALUE"""),"")</f>
        <v/>
      </c>
      <c r="J247" s="13" t="str">
        <f t="shared" si="1"/>
        <v/>
      </c>
      <c r="K247" s="12" t="str">
        <f>IFERROR(IF(A247="","",if($G247="",Reference!$J$2, VLOOKUP($G247,Reference!$I$2:$J$1000,2,false))),"")</f>
        <v/>
      </c>
      <c r="L247" s="12" t="str">
        <f>IF(A247="","", IF(F247="",Reference!$M$2,F247))</f>
        <v/>
      </c>
      <c r="M247" s="14" t="str">
        <f t="shared" si="2"/>
        <v/>
      </c>
      <c r="N247" s="15" t="str">
        <f t="shared" si="3"/>
        <v/>
      </c>
      <c r="O247" s="14" t="str">
        <f t="shared" si="4"/>
        <v/>
      </c>
      <c r="P247" s="16" t="str">
        <f t="array" ref="P247">IF($A247="","", IFERROR(INDEX('BM Data'!$N:$N,MATCH($J247&amp; "-" &amp; $N247,'BM Data'!$O:$O,0),1),""))</f>
        <v/>
      </c>
      <c r="Q247" s="16" t="str">
        <f t="array" ref="Q247">IF($A247="","", IFERROR(INDEX('BM Data'!$J:$J,MATCH($J247&amp; "-" &amp; $N247,'BM Data'!$O:$O,0),1),""))</f>
        <v/>
      </c>
    </row>
    <row r="248">
      <c r="A248" s="10" t="str">
        <f>IFERROR(__xludf.DUMMYFUNCTION("""COMPUTED_VALUE"""),"")</f>
        <v/>
      </c>
      <c r="B248" s="3" t="str">
        <f>IFERROR(__xludf.DUMMYFUNCTION("""COMPUTED_VALUE"""),"")</f>
        <v/>
      </c>
      <c r="C248" s="11" t="str">
        <f>IFERROR(__xludf.DUMMYFUNCTION("""COMPUTED_VALUE"""),"")</f>
        <v/>
      </c>
      <c r="D248" s="11" t="str">
        <f>IFERROR(__xludf.DUMMYFUNCTION("""COMPUTED_VALUE"""),"")</f>
        <v/>
      </c>
      <c r="E248" s="11" t="str">
        <f>IFERROR(__xludf.DUMMYFUNCTION("""COMPUTED_VALUE"""),"")</f>
        <v/>
      </c>
      <c r="F248" s="11" t="str">
        <f>IFERROR(__xludf.DUMMYFUNCTION("""COMPUTED_VALUE"""),"")</f>
        <v/>
      </c>
      <c r="G248" s="11" t="str">
        <f>IFERROR(__xludf.DUMMYFUNCTION("""COMPUTED_VALUE"""),"")</f>
        <v/>
      </c>
      <c r="H248" s="12" t="str">
        <f>IFERROR(__xludf.DUMMYFUNCTION("""COMPUTED_VALUE"""),"")</f>
        <v/>
      </c>
      <c r="I248" s="12" t="str">
        <f>IFERROR(__xludf.DUMMYFUNCTION("""COMPUTED_VALUE"""),"")</f>
        <v/>
      </c>
      <c r="J248" s="13" t="str">
        <f t="shared" si="1"/>
        <v/>
      </c>
      <c r="K248" s="12" t="str">
        <f>IFERROR(IF(A248="","",if($G248="",Reference!$J$2, VLOOKUP($G248,Reference!$I$2:$J$1000,2,false))),"")</f>
        <v/>
      </c>
      <c r="L248" s="12" t="str">
        <f>IF(A248="","", IF(F248="",Reference!$M$2,F248))</f>
        <v/>
      </c>
      <c r="M248" s="14" t="str">
        <f t="shared" si="2"/>
        <v/>
      </c>
      <c r="N248" s="15" t="str">
        <f t="shared" si="3"/>
        <v/>
      </c>
      <c r="O248" s="14" t="str">
        <f t="shared" si="4"/>
        <v/>
      </c>
      <c r="P248" s="16" t="str">
        <f t="array" ref="P248">IF($A248="","", IFERROR(INDEX('BM Data'!$N:$N,MATCH($J248&amp; "-" &amp; $N248,'BM Data'!$O:$O,0),1),""))</f>
        <v/>
      </c>
      <c r="Q248" s="16" t="str">
        <f t="array" ref="Q248">IF($A248="","", IFERROR(INDEX('BM Data'!$J:$J,MATCH($J248&amp; "-" &amp; $N248,'BM Data'!$O:$O,0),1),""))</f>
        <v/>
      </c>
    </row>
    <row r="249">
      <c r="A249" s="10" t="str">
        <f>IFERROR(__xludf.DUMMYFUNCTION("""COMPUTED_VALUE"""),"")</f>
        <v/>
      </c>
      <c r="B249" s="3" t="str">
        <f>IFERROR(__xludf.DUMMYFUNCTION("""COMPUTED_VALUE"""),"")</f>
        <v/>
      </c>
      <c r="C249" s="11" t="str">
        <f>IFERROR(__xludf.DUMMYFUNCTION("""COMPUTED_VALUE"""),"")</f>
        <v/>
      </c>
      <c r="D249" s="11" t="str">
        <f>IFERROR(__xludf.DUMMYFUNCTION("""COMPUTED_VALUE"""),"")</f>
        <v/>
      </c>
      <c r="E249" s="11" t="str">
        <f>IFERROR(__xludf.DUMMYFUNCTION("""COMPUTED_VALUE"""),"")</f>
        <v/>
      </c>
      <c r="F249" s="11" t="str">
        <f>IFERROR(__xludf.DUMMYFUNCTION("""COMPUTED_VALUE"""),"")</f>
        <v/>
      </c>
      <c r="G249" s="11" t="str">
        <f>IFERROR(__xludf.DUMMYFUNCTION("""COMPUTED_VALUE"""),"")</f>
        <v/>
      </c>
      <c r="H249" s="12" t="str">
        <f>IFERROR(__xludf.DUMMYFUNCTION("""COMPUTED_VALUE"""),"")</f>
        <v/>
      </c>
      <c r="I249" s="12" t="str">
        <f>IFERROR(__xludf.DUMMYFUNCTION("""COMPUTED_VALUE"""),"")</f>
        <v/>
      </c>
      <c r="J249" s="13" t="str">
        <f t="shared" si="1"/>
        <v/>
      </c>
      <c r="K249" s="12" t="str">
        <f>IFERROR(IF(A249="","",if($G249="",Reference!$J$2, VLOOKUP($G249,Reference!$I$2:$J$1000,2,false))),"")</f>
        <v/>
      </c>
      <c r="L249" s="12" t="str">
        <f>IF(A249="","", IF(F249="",Reference!$M$2,F249))</f>
        <v/>
      </c>
      <c r="M249" s="14" t="str">
        <f t="shared" si="2"/>
        <v/>
      </c>
      <c r="N249" s="15" t="str">
        <f t="shared" si="3"/>
        <v/>
      </c>
      <c r="O249" s="14" t="str">
        <f t="shared" si="4"/>
        <v/>
      </c>
      <c r="P249" s="16" t="str">
        <f t="array" ref="P249">IF($A249="","", IFERROR(INDEX('BM Data'!$N:$N,MATCH($J249&amp; "-" &amp; $N249,'BM Data'!$O:$O,0),1),""))</f>
        <v/>
      </c>
      <c r="Q249" s="16" t="str">
        <f t="array" ref="Q249">IF($A249="","", IFERROR(INDEX('BM Data'!$J:$J,MATCH($J249&amp; "-" &amp; $N249,'BM Data'!$O:$O,0),1),""))</f>
        <v/>
      </c>
    </row>
    <row r="250">
      <c r="A250" s="10" t="str">
        <f>IFERROR(__xludf.DUMMYFUNCTION("""COMPUTED_VALUE"""),"")</f>
        <v/>
      </c>
      <c r="B250" s="3" t="str">
        <f>IFERROR(__xludf.DUMMYFUNCTION("""COMPUTED_VALUE"""),"")</f>
        <v/>
      </c>
      <c r="C250" s="11" t="str">
        <f>IFERROR(__xludf.DUMMYFUNCTION("""COMPUTED_VALUE"""),"")</f>
        <v/>
      </c>
      <c r="D250" s="11" t="str">
        <f>IFERROR(__xludf.DUMMYFUNCTION("""COMPUTED_VALUE"""),"")</f>
        <v/>
      </c>
      <c r="E250" s="11" t="str">
        <f>IFERROR(__xludf.DUMMYFUNCTION("""COMPUTED_VALUE"""),"")</f>
        <v/>
      </c>
      <c r="F250" s="11" t="str">
        <f>IFERROR(__xludf.DUMMYFUNCTION("""COMPUTED_VALUE"""),"")</f>
        <v/>
      </c>
      <c r="G250" s="11" t="str">
        <f>IFERROR(__xludf.DUMMYFUNCTION("""COMPUTED_VALUE"""),"")</f>
        <v/>
      </c>
      <c r="H250" s="12" t="str">
        <f>IFERROR(__xludf.DUMMYFUNCTION("""COMPUTED_VALUE"""),"")</f>
        <v/>
      </c>
      <c r="I250" s="12" t="str">
        <f>IFERROR(__xludf.DUMMYFUNCTION("""COMPUTED_VALUE"""),"")</f>
        <v/>
      </c>
      <c r="J250" s="13" t="str">
        <f t="shared" si="1"/>
        <v/>
      </c>
      <c r="K250" s="12" t="str">
        <f>IFERROR(IF(A250="","",if($G250="",Reference!$J$2, VLOOKUP($G250,Reference!$I$2:$J$1000,2,false))),"")</f>
        <v/>
      </c>
      <c r="L250" s="12" t="str">
        <f>IF(A250="","", IF(F250="",Reference!$M$2,F250))</f>
        <v/>
      </c>
      <c r="M250" s="14" t="str">
        <f t="shared" si="2"/>
        <v/>
      </c>
      <c r="N250" s="15" t="str">
        <f t="shared" si="3"/>
        <v/>
      </c>
      <c r="O250" s="14" t="str">
        <f t="shared" si="4"/>
        <v/>
      </c>
      <c r="P250" s="16" t="str">
        <f t="array" ref="P250">IF($A250="","", IFERROR(INDEX('BM Data'!$N:$N,MATCH($J250&amp; "-" &amp; $N250,'BM Data'!$O:$O,0),1),""))</f>
        <v/>
      </c>
      <c r="Q250" s="16" t="str">
        <f t="array" ref="Q250">IF($A250="","", IFERROR(INDEX('BM Data'!$J:$J,MATCH($J250&amp; "-" &amp; $N250,'BM Data'!$O:$O,0),1),""))</f>
        <v/>
      </c>
    </row>
    <row r="251">
      <c r="A251" s="10" t="str">
        <f>IFERROR(__xludf.DUMMYFUNCTION("""COMPUTED_VALUE"""),"")</f>
        <v/>
      </c>
      <c r="B251" s="3" t="str">
        <f>IFERROR(__xludf.DUMMYFUNCTION("""COMPUTED_VALUE"""),"")</f>
        <v/>
      </c>
      <c r="C251" s="11" t="str">
        <f>IFERROR(__xludf.DUMMYFUNCTION("""COMPUTED_VALUE"""),"")</f>
        <v/>
      </c>
      <c r="D251" s="11" t="str">
        <f>IFERROR(__xludf.DUMMYFUNCTION("""COMPUTED_VALUE"""),"")</f>
        <v/>
      </c>
      <c r="E251" s="11" t="str">
        <f>IFERROR(__xludf.DUMMYFUNCTION("""COMPUTED_VALUE"""),"")</f>
        <v/>
      </c>
      <c r="F251" s="11" t="str">
        <f>IFERROR(__xludf.DUMMYFUNCTION("""COMPUTED_VALUE"""),"")</f>
        <v/>
      </c>
      <c r="G251" s="11" t="str">
        <f>IFERROR(__xludf.DUMMYFUNCTION("""COMPUTED_VALUE"""),"")</f>
        <v/>
      </c>
      <c r="H251" s="12" t="str">
        <f>IFERROR(__xludf.DUMMYFUNCTION("""COMPUTED_VALUE"""),"")</f>
        <v/>
      </c>
      <c r="I251" s="12" t="str">
        <f>IFERROR(__xludf.DUMMYFUNCTION("""COMPUTED_VALUE"""),"")</f>
        <v/>
      </c>
      <c r="J251" s="13" t="str">
        <f t="shared" si="1"/>
        <v/>
      </c>
      <c r="K251" s="12" t="str">
        <f>IFERROR(IF(A251="","",if($G251="",Reference!$J$2, VLOOKUP($G251,Reference!$I$2:$J$1000,2,false))),"")</f>
        <v/>
      </c>
      <c r="L251" s="12" t="str">
        <f>IF(A251="","", IF(F251="",Reference!$M$2,F251))</f>
        <v/>
      </c>
      <c r="M251" s="14" t="str">
        <f t="shared" si="2"/>
        <v/>
      </c>
      <c r="N251" s="15" t="str">
        <f t="shared" si="3"/>
        <v/>
      </c>
      <c r="O251" s="14" t="str">
        <f t="shared" si="4"/>
        <v/>
      </c>
      <c r="P251" s="16" t="str">
        <f t="array" ref="P251">IF($A251="","", IFERROR(INDEX('BM Data'!$N:$N,MATCH($J251&amp; "-" &amp; $N251,'BM Data'!$O:$O,0),1),""))</f>
        <v/>
      </c>
      <c r="Q251" s="16" t="str">
        <f t="array" ref="Q251">IF($A251="","", IFERROR(INDEX('BM Data'!$J:$J,MATCH($J251&amp; "-" &amp; $N251,'BM Data'!$O:$O,0),1),""))</f>
        <v/>
      </c>
    </row>
    <row r="252">
      <c r="A252" s="10" t="str">
        <f>IFERROR(__xludf.DUMMYFUNCTION("""COMPUTED_VALUE"""),"")</f>
        <v/>
      </c>
      <c r="B252" s="3" t="str">
        <f>IFERROR(__xludf.DUMMYFUNCTION("""COMPUTED_VALUE"""),"")</f>
        <v/>
      </c>
      <c r="C252" s="11" t="str">
        <f>IFERROR(__xludf.DUMMYFUNCTION("""COMPUTED_VALUE"""),"")</f>
        <v/>
      </c>
      <c r="D252" s="11" t="str">
        <f>IFERROR(__xludf.DUMMYFUNCTION("""COMPUTED_VALUE"""),"")</f>
        <v/>
      </c>
      <c r="E252" s="11" t="str">
        <f>IFERROR(__xludf.DUMMYFUNCTION("""COMPUTED_VALUE"""),"")</f>
        <v/>
      </c>
      <c r="F252" s="11" t="str">
        <f>IFERROR(__xludf.DUMMYFUNCTION("""COMPUTED_VALUE"""),"")</f>
        <v/>
      </c>
      <c r="G252" s="11" t="str">
        <f>IFERROR(__xludf.DUMMYFUNCTION("""COMPUTED_VALUE"""),"")</f>
        <v/>
      </c>
      <c r="H252" s="12" t="str">
        <f>IFERROR(__xludf.DUMMYFUNCTION("""COMPUTED_VALUE"""),"")</f>
        <v/>
      </c>
      <c r="I252" s="12" t="str">
        <f>IFERROR(__xludf.DUMMYFUNCTION("""COMPUTED_VALUE"""),"")</f>
        <v/>
      </c>
      <c r="J252" s="13" t="str">
        <f t="shared" si="1"/>
        <v/>
      </c>
      <c r="K252" s="12" t="str">
        <f>IFERROR(IF(A252="","",if($G252="",Reference!$J$2, VLOOKUP($G252,Reference!$I$2:$J$1000,2,false))),"")</f>
        <v/>
      </c>
      <c r="L252" s="12" t="str">
        <f>IF(A252="","", IF(F252="",Reference!$M$2,F252))</f>
        <v/>
      </c>
      <c r="M252" s="14" t="str">
        <f t="shared" si="2"/>
        <v/>
      </c>
      <c r="N252" s="15" t="str">
        <f t="shared" si="3"/>
        <v/>
      </c>
      <c r="O252" s="14" t="str">
        <f t="shared" si="4"/>
        <v/>
      </c>
      <c r="P252" s="16" t="str">
        <f t="array" ref="P252">IF($A252="","", IFERROR(INDEX('BM Data'!$N:$N,MATCH($J252&amp; "-" &amp; $N252,'BM Data'!$O:$O,0),1),""))</f>
        <v/>
      </c>
      <c r="Q252" s="16" t="str">
        <f t="array" ref="Q252">IF($A252="","", IFERROR(INDEX('BM Data'!$J:$J,MATCH($J252&amp; "-" &amp; $N252,'BM Data'!$O:$O,0),1),""))</f>
        <v/>
      </c>
    </row>
    <row r="253">
      <c r="A253" s="10" t="str">
        <f>IFERROR(__xludf.DUMMYFUNCTION("""COMPUTED_VALUE"""),"")</f>
        <v/>
      </c>
      <c r="B253" s="3" t="str">
        <f>IFERROR(__xludf.DUMMYFUNCTION("""COMPUTED_VALUE"""),"")</f>
        <v/>
      </c>
      <c r="C253" s="11" t="str">
        <f>IFERROR(__xludf.DUMMYFUNCTION("""COMPUTED_VALUE"""),"")</f>
        <v/>
      </c>
      <c r="D253" s="11" t="str">
        <f>IFERROR(__xludf.DUMMYFUNCTION("""COMPUTED_VALUE"""),"")</f>
        <v/>
      </c>
      <c r="E253" s="11" t="str">
        <f>IFERROR(__xludf.DUMMYFUNCTION("""COMPUTED_VALUE"""),"")</f>
        <v/>
      </c>
      <c r="F253" s="11" t="str">
        <f>IFERROR(__xludf.DUMMYFUNCTION("""COMPUTED_VALUE"""),"")</f>
        <v/>
      </c>
      <c r="G253" s="11" t="str">
        <f>IFERROR(__xludf.DUMMYFUNCTION("""COMPUTED_VALUE"""),"")</f>
        <v/>
      </c>
      <c r="H253" s="12" t="str">
        <f>IFERROR(__xludf.DUMMYFUNCTION("""COMPUTED_VALUE"""),"")</f>
        <v/>
      </c>
      <c r="I253" s="12" t="str">
        <f>IFERROR(__xludf.DUMMYFUNCTION("""COMPUTED_VALUE"""),"")</f>
        <v/>
      </c>
      <c r="J253" s="13" t="str">
        <f t="shared" si="1"/>
        <v/>
      </c>
      <c r="K253" s="12" t="str">
        <f>IFERROR(IF(A253="","",if($G253="",Reference!$J$2, VLOOKUP($G253,Reference!$I$2:$J$1000,2,false))),"")</f>
        <v/>
      </c>
      <c r="L253" s="12" t="str">
        <f>IF(A253="","", IF(F253="",Reference!$M$2,F253))</f>
        <v/>
      </c>
      <c r="M253" s="14" t="str">
        <f t="shared" si="2"/>
        <v/>
      </c>
      <c r="N253" s="15" t="str">
        <f t="shared" si="3"/>
        <v/>
      </c>
      <c r="O253" s="14" t="str">
        <f t="shared" si="4"/>
        <v/>
      </c>
      <c r="P253" s="16" t="str">
        <f t="array" ref="P253">IF($A253="","", IFERROR(INDEX('BM Data'!$N:$N,MATCH($J253&amp; "-" &amp; $N253,'BM Data'!$O:$O,0),1),""))</f>
        <v/>
      </c>
      <c r="Q253" s="16" t="str">
        <f t="array" ref="Q253">IF($A253="","", IFERROR(INDEX('BM Data'!$J:$J,MATCH($J253&amp; "-" &amp; $N253,'BM Data'!$O:$O,0),1),""))</f>
        <v/>
      </c>
    </row>
    <row r="254">
      <c r="A254" s="10" t="str">
        <f>IFERROR(__xludf.DUMMYFUNCTION("""COMPUTED_VALUE"""),"")</f>
        <v/>
      </c>
      <c r="B254" s="3" t="str">
        <f>IFERROR(__xludf.DUMMYFUNCTION("""COMPUTED_VALUE"""),"")</f>
        <v/>
      </c>
      <c r="C254" s="11" t="str">
        <f>IFERROR(__xludf.DUMMYFUNCTION("""COMPUTED_VALUE"""),"")</f>
        <v/>
      </c>
      <c r="D254" s="11" t="str">
        <f>IFERROR(__xludf.DUMMYFUNCTION("""COMPUTED_VALUE"""),"")</f>
        <v/>
      </c>
      <c r="E254" s="11" t="str">
        <f>IFERROR(__xludf.DUMMYFUNCTION("""COMPUTED_VALUE"""),"")</f>
        <v/>
      </c>
      <c r="F254" s="11" t="str">
        <f>IFERROR(__xludf.DUMMYFUNCTION("""COMPUTED_VALUE"""),"")</f>
        <v/>
      </c>
      <c r="G254" s="11" t="str">
        <f>IFERROR(__xludf.DUMMYFUNCTION("""COMPUTED_VALUE"""),"")</f>
        <v/>
      </c>
      <c r="H254" s="12" t="str">
        <f>IFERROR(__xludf.DUMMYFUNCTION("""COMPUTED_VALUE"""),"")</f>
        <v/>
      </c>
      <c r="I254" s="12" t="str">
        <f>IFERROR(__xludf.DUMMYFUNCTION("""COMPUTED_VALUE"""),"")</f>
        <v/>
      </c>
      <c r="J254" s="13" t="str">
        <f t="shared" si="1"/>
        <v/>
      </c>
      <c r="K254" s="12" t="str">
        <f>IFERROR(IF(A254="","",if($G254="",Reference!$J$2, VLOOKUP($G254,Reference!$I$2:$J$1000,2,false))),"")</f>
        <v/>
      </c>
      <c r="L254" s="12" t="str">
        <f>IF(A254="","", IF(F254="",Reference!$M$2,F254))</f>
        <v/>
      </c>
      <c r="M254" s="14" t="str">
        <f t="shared" si="2"/>
        <v/>
      </c>
      <c r="N254" s="15" t="str">
        <f t="shared" si="3"/>
        <v/>
      </c>
      <c r="O254" s="14" t="str">
        <f t="shared" si="4"/>
        <v/>
      </c>
      <c r="P254" s="16" t="str">
        <f t="array" ref="P254">IF($A254="","", IFERROR(INDEX('BM Data'!$N:$N,MATCH($J254&amp; "-" &amp; $N254,'BM Data'!$O:$O,0),1),""))</f>
        <v/>
      </c>
      <c r="Q254" s="16" t="str">
        <f t="array" ref="Q254">IF($A254="","", IFERROR(INDEX('BM Data'!$J:$J,MATCH($J254&amp; "-" &amp; $N254,'BM Data'!$O:$O,0),1),""))</f>
        <v/>
      </c>
    </row>
    <row r="255">
      <c r="A255" s="10" t="str">
        <f>IFERROR(__xludf.DUMMYFUNCTION("""COMPUTED_VALUE"""),"")</f>
        <v/>
      </c>
      <c r="B255" s="3" t="str">
        <f>IFERROR(__xludf.DUMMYFUNCTION("""COMPUTED_VALUE"""),"")</f>
        <v/>
      </c>
      <c r="C255" s="11" t="str">
        <f>IFERROR(__xludf.DUMMYFUNCTION("""COMPUTED_VALUE"""),"")</f>
        <v/>
      </c>
      <c r="D255" s="11" t="str">
        <f>IFERROR(__xludf.DUMMYFUNCTION("""COMPUTED_VALUE"""),"")</f>
        <v/>
      </c>
      <c r="E255" s="11" t="str">
        <f>IFERROR(__xludf.DUMMYFUNCTION("""COMPUTED_VALUE"""),"")</f>
        <v/>
      </c>
      <c r="F255" s="11" t="str">
        <f>IFERROR(__xludf.DUMMYFUNCTION("""COMPUTED_VALUE"""),"")</f>
        <v/>
      </c>
      <c r="G255" s="11" t="str">
        <f>IFERROR(__xludf.DUMMYFUNCTION("""COMPUTED_VALUE"""),"")</f>
        <v/>
      </c>
      <c r="H255" s="12" t="str">
        <f>IFERROR(__xludf.DUMMYFUNCTION("""COMPUTED_VALUE"""),"")</f>
        <v/>
      </c>
      <c r="I255" s="12" t="str">
        <f>IFERROR(__xludf.DUMMYFUNCTION("""COMPUTED_VALUE"""),"")</f>
        <v/>
      </c>
      <c r="J255" s="13" t="str">
        <f t="shared" si="1"/>
        <v/>
      </c>
      <c r="K255" s="12" t="str">
        <f>IFERROR(IF(A255="","",if($G255="",Reference!$J$2, VLOOKUP($G255,Reference!$I$2:$J$1000,2,false))),"")</f>
        <v/>
      </c>
      <c r="L255" s="12" t="str">
        <f>IF(A255="","", IF(F255="",Reference!$M$2,F255))</f>
        <v/>
      </c>
      <c r="M255" s="14" t="str">
        <f t="shared" si="2"/>
        <v/>
      </c>
      <c r="N255" s="15" t="str">
        <f t="shared" si="3"/>
        <v/>
      </c>
      <c r="O255" s="14" t="str">
        <f t="shared" si="4"/>
        <v/>
      </c>
      <c r="P255" s="16" t="str">
        <f t="array" ref="P255">IF($A255="","", IFERROR(INDEX('BM Data'!$N:$N,MATCH($J255&amp; "-" &amp; $N255,'BM Data'!$O:$O,0),1),""))</f>
        <v/>
      </c>
      <c r="Q255" s="16" t="str">
        <f t="array" ref="Q255">IF($A255="","", IFERROR(INDEX('BM Data'!$J:$J,MATCH($J255&amp; "-" &amp; $N255,'BM Data'!$O:$O,0),1),""))</f>
        <v/>
      </c>
    </row>
    <row r="256">
      <c r="A256" s="10" t="str">
        <f>IFERROR(__xludf.DUMMYFUNCTION("""COMPUTED_VALUE"""),"")</f>
        <v/>
      </c>
      <c r="B256" s="3" t="str">
        <f>IFERROR(__xludf.DUMMYFUNCTION("""COMPUTED_VALUE"""),"")</f>
        <v/>
      </c>
      <c r="C256" s="11" t="str">
        <f>IFERROR(__xludf.DUMMYFUNCTION("""COMPUTED_VALUE"""),"")</f>
        <v/>
      </c>
      <c r="D256" s="11" t="str">
        <f>IFERROR(__xludf.DUMMYFUNCTION("""COMPUTED_VALUE"""),"")</f>
        <v/>
      </c>
      <c r="E256" s="11" t="str">
        <f>IFERROR(__xludf.DUMMYFUNCTION("""COMPUTED_VALUE"""),"")</f>
        <v/>
      </c>
      <c r="F256" s="11" t="str">
        <f>IFERROR(__xludf.DUMMYFUNCTION("""COMPUTED_VALUE"""),"")</f>
        <v/>
      </c>
      <c r="G256" s="11" t="str">
        <f>IFERROR(__xludf.DUMMYFUNCTION("""COMPUTED_VALUE"""),"")</f>
        <v/>
      </c>
      <c r="H256" s="12" t="str">
        <f>IFERROR(__xludf.DUMMYFUNCTION("""COMPUTED_VALUE"""),"")</f>
        <v/>
      </c>
      <c r="I256" s="12" t="str">
        <f>IFERROR(__xludf.DUMMYFUNCTION("""COMPUTED_VALUE"""),"")</f>
        <v/>
      </c>
      <c r="J256" s="13" t="str">
        <f t="shared" si="1"/>
        <v/>
      </c>
      <c r="K256" s="12" t="str">
        <f>IFERROR(IF(A256="","",if($G256="",Reference!$J$2, VLOOKUP($G256,Reference!$I$2:$J$1000,2,false))),"")</f>
        <v/>
      </c>
      <c r="L256" s="12" t="str">
        <f>IF(A256="","", IF(F256="",Reference!$M$2,F256))</f>
        <v/>
      </c>
      <c r="M256" s="14" t="str">
        <f t="shared" si="2"/>
        <v/>
      </c>
      <c r="N256" s="15" t="str">
        <f t="shared" si="3"/>
        <v/>
      </c>
      <c r="O256" s="14" t="str">
        <f t="shared" si="4"/>
        <v/>
      </c>
      <c r="P256" s="16" t="str">
        <f t="array" ref="P256">IF($A256="","", IFERROR(INDEX('BM Data'!$N:$N,MATCH($J256&amp; "-" &amp; $N256,'BM Data'!$O:$O,0),1),""))</f>
        <v/>
      </c>
      <c r="Q256" s="16" t="str">
        <f t="array" ref="Q256">IF($A256="","", IFERROR(INDEX('BM Data'!$J:$J,MATCH($J256&amp; "-" &amp; $N256,'BM Data'!$O:$O,0),1),""))</f>
        <v/>
      </c>
    </row>
    <row r="257">
      <c r="A257" s="10" t="str">
        <f>IFERROR(__xludf.DUMMYFUNCTION("""COMPUTED_VALUE"""),"")</f>
        <v/>
      </c>
      <c r="B257" s="3" t="str">
        <f>IFERROR(__xludf.DUMMYFUNCTION("""COMPUTED_VALUE"""),"")</f>
        <v/>
      </c>
      <c r="C257" s="11" t="str">
        <f>IFERROR(__xludf.DUMMYFUNCTION("""COMPUTED_VALUE"""),"")</f>
        <v/>
      </c>
      <c r="D257" s="11" t="str">
        <f>IFERROR(__xludf.DUMMYFUNCTION("""COMPUTED_VALUE"""),"")</f>
        <v/>
      </c>
      <c r="E257" s="11" t="str">
        <f>IFERROR(__xludf.DUMMYFUNCTION("""COMPUTED_VALUE"""),"")</f>
        <v/>
      </c>
      <c r="F257" s="11" t="str">
        <f>IFERROR(__xludf.DUMMYFUNCTION("""COMPUTED_VALUE"""),"")</f>
        <v/>
      </c>
      <c r="G257" s="11" t="str">
        <f>IFERROR(__xludf.DUMMYFUNCTION("""COMPUTED_VALUE"""),"")</f>
        <v/>
      </c>
      <c r="H257" s="12" t="str">
        <f>IFERROR(__xludf.DUMMYFUNCTION("""COMPUTED_VALUE"""),"")</f>
        <v/>
      </c>
      <c r="I257" s="12" t="str">
        <f>IFERROR(__xludf.DUMMYFUNCTION("""COMPUTED_VALUE"""),"")</f>
        <v/>
      </c>
      <c r="J257" s="13" t="str">
        <f t="shared" si="1"/>
        <v/>
      </c>
      <c r="K257" s="12" t="str">
        <f>IFERROR(IF(A257="","",if($G257="",Reference!$J$2, VLOOKUP($G257,Reference!$I$2:$J$1000,2,false))),"")</f>
        <v/>
      </c>
      <c r="L257" s="12" t="str">
        <f>IF(A257="","", IF(F257="",Reference!$M$2,F257))</f>
        <v/>
      </c>
      <c r="M257" s="14" t="str">
        <f t="shared" si="2"/>
        <v/>
      </c>
      <c r="N257" s="15" t="str">
        <f t="shared" si="3"/>
        <v/>
      </c>
      <c r="O257" s="14" t="str">
        <f t="shared" si="4"/>
        <v/>
      </c>
      <c r="P257" s="16" t="str">
        <f t="array" ref="P257">IF($A257="","", IFERROR(INDEX('BM Data'!$N:$N,MATCH($J257&amp; "-" &amp; $N257,'BM Data'!$O:$O,0),1),""))</f>
        <v/>
      </c>
      <c r="Q257" s="16" t="str">
        <f t="array" ref="Q257">IF($A257="","", IFERROR(INDEX('BM Data'!$J:$J,MATCH($J257&amp; "-" &amp; $N257,'BM Data'!$O:$O,0),1),""))</f>
        <v/>
      </c>
    </row>
    <row r="258">
      <c r="A258" s="10" t="str">
        <f>IFERROR(__xludf.DUMMYFUNCTION("""COMPUTED_VALUE"""),"")</f>
        <v/>
      </c>
      <c r="B258" s="3" t="str">
        <f>IFERROR(__xludf.DUMMYFUNCTION("""COMPUTED_VALUE"""),"")</f>
        <v/>
      </c>
      <c r="C258" s="11" t="str">
        <f>IFERROR(__xludf.DUMMYFUNCTION("""COMPUTED_VALUE"""),"")</f>
        <v/>
      </c>
      <c r="D258" s="11" t="str">
        <f>IFERROR(__xludf.DUMMYFUNCTION("""COMPUTED_VALUE"""),"")</f>
        <v/>
      </c>
      <c r="E258" s="11" t="str">
        <f>IFERROR(__xludf.DUMMYFUNCTION("""COMPUTED_VALUE"""),"")</f>
        <v/>
      </c>
      <c r="F258" s="11" t="str">
        <f>IFERROR(__xludf.DUMMYFUNCTION("""COMPUTED_VALUE"""),"")</f>
        <v/>
      </c>
      <c r="G258" s="11" t="str">
        <f>IFERROR(__xludf.DUMMYFUNCTION("""COMPUTED_VALUE"""),"")</f>
        <v/>
      </c>
      <c r="H258" s="12" t="str">
        <f>IFERROR(__xludf.DUMMYFUNCTION("""COMPUTED_VALUE"""),"")</f>
        <v/>
      </c>
      <c r="I258" s="12" t="str">
        <f>IFERROR(__xludf.DUMMYFUNCTION("""COMPUTED_VALUE"""),"")</f>
        <v/>
      </c>
      <c r="J258" s="13" t="str">
        <f t="shared" si="1"/>
        <v/>
      </c>
      <c r="K258" s="12" t="str">
        <f>IFERROR(IF(A258="","",if($G258="",Reference!$J$2, VLOOKUP($G258,Reference!$I$2:$J$1000,2,false))),"")</f>
        <v/>
      </c>
      <c r="L258" s="12" t="str">
        <f>IF(A258="","", IF(F258="",Reference!$M$2,F258))</f>
        <v/>
      </c>
      <c r="M258" s="14" t="str">
        <f t="shared" si="2"/>
        <v/>
      </c>
      <c r="N258" s="15" t="str">
        <f t="shared" si="3"/>
        <v/>
      </c>
      <c r="O258" s="14" t="str">
        <f t="shared" si="4"/>
        <v/>
      </c>
      <c r="P258" s="16" t="str">
        <f t="array" ref="P258">IF($A258="","", IFERROR(INDEX('BM Data'!$N:$N,MATCH($J258&amp; "-" &amp; $N258,'BM Data'!$O:$O,0),1),""))</f>
        <v/>
      </c>
      <c r="Q258" s="16" t="str">
        <f t="array" ref="Q258">IF($A258="","", IFERROR(INDEX('BM Data'!$J:$J,MATCH($J258&amp; "-" &amp; $N258,'BM Data'!$O:$O,0),1),""))</f>
        <v/>
      </c>
    </row>
    <row r="259">
      <c r="A259" s="10" t="str">
        <f>IFERROR(__xludf.DUMMYFUNCTION("""COMPUTED_VALUE"""),"")</f>
        <v/>
      </c>
      <c r="B259" s="3" t="str">
        <f>IFERROR(__xludf.DUMMYFUNCTION("""COMPUTED_VALUE"""),"")</f>
        <v/>
      </c>
      <c r="C259" s="11" t="str">
        <f>IFERROR(__xludf.DUMMYFUNCTION("""COMPUTED_VALUE"""),"")</f>
        <v/>
      </c>
      <c r="D259" s="11" t="str">
        <f>IFERROR(__xludf.DUMMYFUNCTION("""COMPUTED_VALUE"""),"")</f>
        <v/>
      </c>
      <c r="E259" s="11" t="str">
        <f>IFERROR(__xludf.DUMMYFUNCTION("""COMPUTED_VALUE"""),"")</f>
        <v/>
      </c>
      <c r="F259" s="11" t="str">
        <f>IFERROR(__xludf.DUMMYFUNCTION("""COMPUTED_VALUE"""),"")</f>
        <v/>
      </c>
      <c r="G259" s="11" t="str">
        <f>IFERROR(__xludf.DUMMYFUNCTION("""COMPUTED_VALUE"""),"")</f>
        <v/>
      </c>
      <c r="H259" s="12" t="str">
        <f>IFERROR(__xludf.DUMMYFUNCTION("""COMPUTED_VALUE"""),"")</f>
        <v/>
      </c>
      <c r="I259" s="12" t="str">
        <f>IFERROR(__xludf.DUMMYFUNCTION("""COMPUTED_VALUE"""),"")</f>
        <v/>
      </c>
      <c r="J259" s="13" t="str">
        <f t="shared" si="1"/>
        <v/>
      </c>
      <c r="K259" s="12" t="str">
        <f>IFERROR(IF(A259="","",if($G259="",Reference!$J$2, VLOOKUP($G259,Reference!$I$2:$J$1000,2,false))),"")</f>
        <v/>
      </c>
      <c r="L259" s="12" t="str">
        <f>IF(A259="","", IF(F259="",Reference!$M$2,F259))</f>
        <v/>
      </c>
      <c r="M259" s="14" t="str">
        <f t="shared" si="2"/>
        <v/>
      </c>
      <c r="N259" s="15" t="str">
        <f t="shared" si="3"/>
        <v/>
      </c>
      <c r="O259" s="14" t="str">
        <f t="shared" si="4"/>
        <v/>
      </c>
      <c r="P259" s="16" t="str">
        <f t="array" ref="P259">IF($A259="","", IFERROR(INDEX('BM Data'!$N:$N,MATCH($J259&amp; "-" &amp; $N259,'BM Data'!$O:$O,0),1),""))</f>
        <v/>
      </c>
      <c r="Q259" s="16" t="str">
        <f t="array" ref="Q259">IF($A259="","", IFERROR(INDEX('BM Data'!$J:$J,MATCH($J259&amp; "-" &amp; $N259,'BM Data'!$O:$O,0),1),""))</f>
        <v/>
      </c>
    </row>
    <row r="260">
      <c r="A260" s="10" t="str">
        <f>IFERROR(__xludf.DUMMYFUNCTION("""COMPUTED_VALUE"""),"")</f>
        <v/>
      </c>
      <c r="B260" s="3" t="str">
        <f>IFERROR(__xludf.DUMMYFUNCTION("""COMPUTED_VALUE"""),"")</f>
        <v/>
      </c>
      <c r="C260" s="11" t="str">
        <f>IFERROR(__xludf.DUMMYFUNCTION("""COMPUTED_VALUE"""),"")</f>
        <v/>
      </c>
      <c r="D260" s="11" t="str">
        <f>IFERROR(__xludf.DUMMYFUNCTION("""COMPUTED_VALUE"""),"")</f>
        <v/>
      </c>
      <c r="E260" s="11" t="str">
        <f>IFERROR(__xludf.DUMMYFUNCTION("""COMPUTED_VALUE"""),"")</f>
        <v/>
      </c>
      <c r="F260" s="11" t="str">
        <f>IFERROR(__xludf.DUMMYFUNCTION("""COMPUTED_VALUE"""),"")</f>
        <v/>
      </c>
      <c r="G260" s="11" t="str">
        <f>IFERROR(__xludf.DUMMYFUNCTION("""COMPUTED_VALUE"""),"")</f>
        <v/>
      </c>
      <c r="H260" s="12" t="str">
        <f>IFERROR(__xludf.DUMMYFUNCTION("""COMPUTED_VALUE"""),"")</f>
        <v/>
      </c>
      <c r="I260" s="12" t="str">
        <f>IFERROR(__xludf.DUMMYFUNCTION("""COMPUTED_VALUE"""),"")</f>
        <v/>
      </c>
      <c r="J260" s="13" t="str">
        <f t="shared" si="1"/>
        <v/>
      </c>
      <c r="K260" s="12" t="str">
        <f>IFERROR(IF(A260="","",if($G260="",Reference!$J$2, VLOOKUP($G260,Reference!$I$2:$J$1000,2,false))),"")</f>
        <v/>
      </c>
      <c r="L260" s="12" t="str">
        <f>IF(A260="","", IF(F260="",Reference!$M$2,F260))</f>
        <v/>
      </c>
      <c r="M260" s="14" t="str">
        <f t="shared" si="2"/>
        <v/>
      </c>
      <c r="N260" s="15" t="str">
        <f t="shared" si="3"/>
        <v/>
      </c>
      <c r="O260" s="14" t="str">
        <f t="shared" si="4"/>
        <v/>
      </c>
      <c r="P260" s="16" t="str">
        <f t="array" ref="P260">IF($A260="","", IFERROR(INDEX('BM Data'!$N:$N,MATCH($J260&amp; "-" &amp; $N260,'BM Data'!$O:$O,0),1),""))</f>
        <v/>
      </c>
      <c r="Q260" s="16" t="str">
        <f t="array" ref="Q260">IF($A260="","", IFERROR(INDEX('BM Data'!$J:$J,MATCH($J260&amp; "-" &amp; $N260,'BM Data'!$O:$O,0),1),""))</f>
        <v/>
      </c>
    </row>
    <row r="261">
      <c r="A261" s="10" t="str">
        <f>IFERROR(__xludf.DUMMYFUNCTION("""COMPUTED_VALUE"""),"")</f>
        <v/>
      </c>
      <c r="B261" s="3" t="str">
        <f>IFERROR(__xludf.DUMMYFUNCTION("""COMPUTED_VALUE"""),"")</f>
        <v/>
      </c>
      <c r="C261" s="11" t="str">
        <f>IFERROR(__xludf.DUMMYFUNCTION("""COMPUTED_VALUE"""),"")</f>
        <v/>
      </c>
      <c r="D261" s="11" t="str">
        <f>IFERROR(__xludf.DUMMYFUNCTION("""COMPUTED_VALUE"""),"")</f>
        <v/>
      </c>
      <c r="E261" s="11" t="str">
        <f>IFERROR(__xludf.DUMMYFUNCTION("""COMPUTED_VALUE"""),"")</f>
        <v/>
      </c>
      <c r="F261" s="11" t="str">
        <f>IFERROR(__xludf.DUMMYFUNCTION("""COMPUTED_VALUE"""),"")</f>
        <v/>
      </c>
      <c r="G261" s="11" t="str">
        <f>IFERROR(__xludf.DUMMYFUNCTION("""COMPUTED_VALUE"""),"")</f>
        <v/>
      </c>
      <c r="H261" s="12" t="str">
        <f>IFERROR(__xludf.DUMMYFUNCTION("""COMPUTED_VALUE"""),"")</f>
        <v/>
      </c>
      <c r="I261" s="12" t="str">
        <f>IFERROR(__xludf.DUMMYFUNCTION("""COMPUTED_VALUE"""),"")</f>
        <v/>
      </c>
      <c r="J261" s="13" t="str">
        <f t="shared" si="1"/>
        <v/>
      </c>
      <c r="K261" s="12" t="str">
        <f>IFERROR(IF(A261="","",if($G261="",Reference!$J$2, VLOOKUP($G261,Reference!$I$2:$J$1000,2,false))),"")</f>
        <v/>
      </c>
      <c r="L261" s="12" t="str">
        <f>IF(A261="","", IF(F261="",Reference!$M$2,F261))</f>
        <v/>
      </c>
      <c r="M261" s="14" t="str">
        <f t="shared" si="2"/>
        <v/>
      </c>
      <c r="N261" s="15" t="str">
        <f t="shared" si="3"/>
        <v/>
      </c>
      <c r="O261" s="14" t="str">
        <f t="shared" si="4"/>
        <v/>
      </c>
      <c r="P261" s="16" t="str">
        <f t="array" ref="P261">IF($A261="","", IFERROR(INDEX('BM Data'!$N:$N,MATCH($J261&amp; "-" &amp; $N261,'BM Data'!$O:$O,0),1),""))</f>
        <v/>
      </c>
      <c r="Q261" s="16" t="str">
        <f t="array" ref="Q261">IF($A261="","", IFERROR(INDEX('BM Data'!$J:$J,MATCH($J261&amp; "-" &amp; $N261,'BM Data'!$O:$O,0),1),""))</f>
        <v/>
      </c>
    </row>
    <row r="262">
      <c r="A262" s="10" t="str">
        <f>IFERROR(__xludf.DUMMYFUNCTION("""COMPUTED_VALUE"""),"")</f>
        <v/>
      </c>
      <c r="B262" s="3" t="str">
        <f>IFERROR(__xludf.DUMMYFUNCTION("""COMPUTED_VALUE"""),"")</f>
        <v/>
      </c>
      <c r="C262" s="11" t="str">
        <f>IFERROR(__xludf.DUMMYFUNCTION("""COMPUTED_VALUE"""),"")</f>
        <v/>
      </c>
      <c r="D262" s="11" t="str">
        <f>IFERROR(__xludf.DUMMYFUNCTION("""COMPUTED_VALUE"""),"")</f>
        <v/>
      </c>
      <c r="E262" s="11" t="str">
        <f>IFERROR(__xludf.DUMMYFUNCTION("""COMPUTED_VALUE"""),"")</f>
        <v/>
      </c>
      <c r="F262" s="11" t="str">
        <f>IFERROR(__xludf.DUMMYFUNCTION("""COMPUTED_VALUE"""),"")</f>
        <v/>
      </c>
      <c r="G262" s="11" t="str">
        <f>IFERROR(__xludf.DUMMYFUNCTION("""COMPUTED_VALUE"""),"")</f>
        <v/>
      </c>
      <c r="H262" s="12" t="str">
        <f>IFERROR(__xludf.DUMMYFUNCTION("""COMPUTED_VALUE"""),"")</f>
        <v/>
      </c>
      <c r="I262" s="12" t="str">
        <f>IFERROR(__xludf.DUMMYFUNCTION("""COMPUTED_VALUE"""),"")</f>
        <v/>
      </c>
      <c r="J262" s="13" t="str">
        <f t="shared" si="1"/>
        <v/>
      </c>
      <c r="K262" s="12" t="str">
        <f>IFERROR(IF(A262="","",if($G262="",Reference!$J$2, VLOOKUP($G262,Reference!$I$2:$J$1000,2,false))),"")</f>
        <v/>
      </c>
      <c r="L262" s="12" t="str">
        <f>IF(A262="","", IF(F262="",Reference!$M$2,F262))</f>
        <v/>
      </c>
      <c r="M262" s="14" t="str">
        <f t="shared" si="2"/>
        <v/>
      </c>
      <c r="N262" s="15" t="str">
        <f t="shared" si="3"/>
        <v/>
      </c>
      <c r="O262" s="14" t="str">
        <f t="shared" si="4"/>
        <v/>
      </c>
      <c r="P262" s="16" t="str">
        <f t="array" ref="P262">IF($A262="","", IFERROR(INDEX('BM Data'!$N:$N,MATCH($J262&amp; "-" &amp; $N262,'BM Data'!$O:$O,0),1),""))</f>
        <v/>
      </c>
      <c r="Q262" s="16" t="str">
        <f t="array" ref="Q262">IF($A262="","", IFERROR(INDEX('BM Data'!$J:$J,MATCH($J262&amp; "-" &amp; $N262,'BM Data'!$O:$O,0),1),""))</f>
        <v/>
      </c>
    </row>
    <row r="263">
      <c r="A263" s="10" t="str">
        <f>IFERROR(__xludf.DUMMYFUNCTION("""COMPUTED_VALUE"""),"")</f>
        <v/>
      </c>
      <c r="B263" s="3" t="str">
        <f>IFERROR(__xludf.DUMMYFUNCTION("""COMPUTED_VALUE"""),"")</f>
        <v/>
      </c>
      <c r="C263" s="11" t="str">
        <f>IFERROR(__xludf.DUMMYFUNCTION("""COMPUTED_VALUE"""),"")</f>
        <v/>
      </c>
      <c r="D263" s="11" t="str">
        <f>IFERROR(__xludf.DUMMYFUNCTION("""COMPUTED_VALUE"""),"")</f>
        <v/>
      </c>
      <c r="E263" s="11" t="str">
        <f>IFERROR(__xludf.DUMMYFUNCTION("""COMPUTED_VALUE"""),"")</f>
        <v/>
      </c>
      <c r="F263" s="11" t="str">
        <f>IFERROR(__xludf.DUMMYFUNCTION("""COMPUTED_VALUE"""),"")</f>
        <v/>
      </c>
      <c r="G263" s="11" t="str">
        <f>IFERROR(__xludf.DUMMYFUNCTION("""COMPUTED_VALUE"""),"")</f>
        <v/>
      </c>
      <c r="H263" s="12" t="str">
        <f>IFERROR(__xludf.DUMMYFUNCTION("""COMPUTED_VALUE"""),"")</f>
        <v/>
      </c>
      <c r="I263" s="12" t="str">
        <f>IFERROR(__xludf.DUMMYFUNCTION("""COMPUTED_VALUE"""),"")</f>
        <v/>
      </c>
      <c r="J263" s="13" t="str">
        <f t="shared" si="1"/>
        <v/>
      </c>
      <c r="K263" s="12" t="str">
        <f>IFERROR(IF(A263="","",if($G263="",Reference!$J$2, VLOOKUP($G263,Reference!$I$2:$J$1000,2,false))),"")</f>
        <v/>
      </c>
      <c r="L263" s="12" t="str">
        <f>IF(A263="","", IF(F263="",Reference!$M$2,F263))</f>
        <v/>
      </c>
      <c r="M263" s="14" t="str">
        <f t="shared" si="2"/>
        <v/>
      </c>
      <c r="N263" s="15" t="str">
        <f t="shared" si="3"/>
        <v/>
      </c>
      <c r="O263" s="14" t="str">
        <f t="shared" si="4"/>
        <v/>
      </c>
      <c r="P263" s="16" t="str">
        <f t="array" ref="P263">IF($A263="","", IFERROR(INDEX('BM Data'!$N:$N,MATCH($J263&amp; "-" &amp; $N263,'BM Data'!$O:$O,0),1),""))</f>
        <v/>
      </c>
      <c r="Q263" s="16" t="str">
        <f t="array" ref="Q263">IF($A263="","", IFERROR(INDEX('BM Data'!$J:$J,MATCH($J263&amp; "-" &amp; $N263,'BM Data'!$O:$O,0),1),""))</f>
        <v/>
      </c>
    </row>
    <row r="264">
      <c r="A264" s="10" t="str">
        <f>IFERROR(__xludf.DUMMYFUNCTION("""COMPUTED_VALUE"""),"")</f>
        <v/>
      </c>
      <c r="B264" s="3" t="str">
        <f>IFERROR(__xludf.DUMMYFUNCTION("""COMPUTED_VALUE"""),"")</f>
        <v/>
      </c>
      <c r="C264" s="11" t="str">
        <f>IFERROR(__xludf.DUMMYFUNCTION("""COMPUTED_VALUE"""),"")</f>
        <v/>
      </c>
      <c r="D264" s="11" t="str">
        <f>IFERROR(__xludf.DUMMYFUNCTION("""COMPUTED_VALUE"""),"")</f>
        <v/>
      </c>
      <c r="E264" s="11" t="str">
        <f>IFERROR(__xludf.DUMMYFUNCTION("""COMPUTED_VALUE"""),"")</f>
        <v/>
      </c>
      <c r="F264" s="11" t="str">
        <f>IFERROR(__xludf.DUMMYFUNCTION("""COMPUTED_VALUE"""),"")</f>
        <v/>
      </c>
      <c r="G264" s="11" t="str">
        <f>IFERROR(__xludf.DUMMYFUNCTION("""COMPUTED_VALUE"""),"")</f>
        <v/>
      </c>
      <c r="H264" s="12" t="str">
        <f>IFERROR(__xludf.DUMMYFUNCTION("""COMPUTED_VALUE"""),"")</f>
        <v/>
      </c>
      <c r="I264" s="12" t="str">
        <f>IFERROR(__xludf.DUMMYFUNCTION("""COMPUTED_VALUE"""),"")</f>
        <v/>
      </c>
      <c r="J264" s="13" t="str">
        <f t="shared" si="1"/>
        <v/>
      </c>
      <c r="K264" s="12" t="str">
        <f>IFERROR(IF(A264="","",if($G264="",Reference!$J$2, VLOOKUP($G264,Reference!$I$2:$J$1000,2,false))),"")</f>
        <v/>
      </c>
      <c r="L264" s="12" t="str">
        <f>IF(A264="","", IF(F264="",Reference!$M$2,F264))</f>
        <v/>
      </c>
      <c r="M264" s="14" t="str">
        <f t="shared" si="2"/>
        <v/>
      </c>
      <c r="N264" s="15" t="str">
        <f t="shared" si="3"/>
        <v/>
      </c>
      <c r="O264" s="14" t="str">
        <f t="shared" si="4"/>
        <v/>
      </c>
      <c r="P264" s="16" t="str">
        <f t="array" ref="P264">IF($A264="","", IFERROR(INDEX('BM Data'!$N:$N,MATCH($J264&amp; "-" &amp; $N264,'BM Data'!$O:$O,0),1),""))</f>
        <v/>
      </c>
      <c r="Q264" s="16" t="str">
        <f t="array" ref="Q264">IF($A264="","", IFERROR(INDEX('BM Data'!$J:$J,MATCH($J264&amp; "-" &amp; $N264,'BM Data'!$O:$O,0),1),""))</f>
        <v/>
      </c>
    </row>
    <row r="265">
      <c r="A265" s="10" t="str">
        <f>IFERROR(__xludf.DUMMYFUNCTION("""COMPUTED_VALUE"""),"")</f>
        <v/>
      </c>
      <c r="B265" s="3" t="str">
        <f>IFERROR(__xludf.DUMMYFUNCTION("""COMPUTED_VALUE"""),"")</f>
        <v/>
      </c>
      <c r="C265" s="11" t="str">
        <f>IFERROR(__xludf.DUMMYFUNCTION("""COMPUTED_VALUE"""),"")</f>
        <v/>
      </c>
      <c r="D265" s="11" t="str">
        <f>IFERROR(__xludf.DUMMYFUNCTION("""COMPUTED_VALUE"""),"")</f>
        <v/>
      </c>
      <c r="E265" s="11" t="str">
        <f>IFERROR(__xludf.DUMMYFUNCTION("""COMPUTED_VALUE"""),"")</f>
        <v/>
      </c>
      <c r="F265" s="11" t="str">
        <f>IFERROR(__xludf.DUMMYFUNCTION("""COMPUTED_VALUE"""),"")</f>
        <v/>
      </c>
      <c r="G265" s="11" t="str">
        <f>IFERROR(__xludf.DUMMYFUNCTION("""COMPUTED_VALUE"""),"")</f>
        <v/>
      </c>
      <c r="H265" s="12" t="str">
        <f>IFERROR(__xludf.DUMMYFUNCTION("""COMPUTED_VALUE"""),"")</f>
        <v/>
      </c>
      <c r="I265" s="12" t="str">
        <f>IFERROR(__xludf.DUMMYFUNCTION("""COMPUTED_VALUE"""),"")</f>
        <v/>
      </c>
      <c r="J265" s="13" t="str">
        <f t="shared" si="1"/>
        <v/>
      </c>
      <c r="K265" s="12" t="str">
        <f>IFERROR(IF(A265="","",if($G265="",Reference!$J$2, VLOOKUP($G265,Reference!$I$2:$J$1000,2,false))),"")</f>
        <v/>
      </c>
      <c r="L265" s="12" t="str">
        <f>IF(A265="","", IF(F265="",Reference!$M$2,F265))</f>
        <v/>
      </c>
      <c r="M265" s="14" t="str">
        <f t="shared" si="2"/>
        <v/>
      </c>
      <c r="N265" s="15" t="str">
        <f t="shared" si="3"/>
        <v/>
      </c>
      <c r="O265" s="14" t="str">
        <f t="shared" si="4"/>
        <v/>
      </c>
      <c r="P265" s="16" t="str">
        <f t="array" ref="P265">IF($A265="","", IFERROR(INDEX('BM Data'!$N:$N,MATCH($J265&amp; "-" &amp; $N265,'BM Data'!$O:$O,0),1),""))</f>
        <v/>
      </c>
      <c r="Q265" s="16" t="str">
        <f t="array" ref="Q265">IF($A265="","", IFERROR(INDEX('BM Data'!$J:$J,MATCH($J265&amp; "-" &amp; $N265,'BM Data'!$O:$O,0),1),""))</f>
        <v/>
      </c>
    </row>
    <row r="266">
      <c r="A266" s="10" t="str">
        <f>IFERROR(__xludf.DUMMYFUNCTION("""COMPUTED_VALUE"""),"")</f>
        <v/>
      </c>
      <c r="B266" s="3" t="str">
        <f>IFERROR(__xludf.DUMMYFUNCTION("""COMPUTED_VALUE"""),"")</f>
        <v/>
      </c>
      <c r="C266" s="11" t="str">
        <f>IFERROR(__xludf.DUMMYFUNCTION("""COMPUTED_VALUE"""),"")</f>
        <v/>
      </c>
      <c r="D266" s="11" t="str">
        <f>IFERROR(__xludf.DUMMYFUNCTION("""COMPUTED_VALUE"""),"")</f>
        <v/>
      </c>
      <c r="E266" s="11" t="str">
        <f>IFERROR(__xludf.DUMMYFUNCTION("""COMPUTED_VALUE"""),"")</f>
        <v/>
      </c>
      <c r="F266" s="11" t="str">
        <f>IFERROR(__xludf.DUMMYFUNCTION("""COMPUTED_VALUE"""),"")</f>
        <v/>
      </c>
      <c r="G266" s="11" t="str">
        <f>IFERROR(__xludf.DUMMYFUNCTION("""COMPUTED_VALUE"""),"")</f>
        <v/>
      </c>
      <c r="H266" s="12" t="str">
        <f>IFERROR(__xludf.DUMMYFUNCTION("""COMPUTED_VALUE"""),"")</f>
        <v/>
      </c>
      <c r="I266" s="12" t="str">
        <f>IFERROR(__xludf.DUMMYFUNCTION("""COMPUTED_VALUE"""),"")</f>
        <v/>
      </c>
      <c r="J266" s="13" t="str">
        <f t="shared" si="1"/>
        <v/>
      </c>
      <c r="K266" s="12" t="str">
        <f>IFERROR(IF(A266="","",if($G266="",Reference!$J$2, VLOOKUP($G266,Reference!$I$2:$J$1000,2,false))),"")</f>
        <v/>
      </c>
      <c r="L266" s="12" t="str">
        <f>IF(A266="","", IF(F266="",Reference!$M$2,F266))</f>
        <v/>
      </c>
      <c r="M266" s="14" t="str">
        <f t="shared" si="2"/>
        <v/>
      </c>
      <c r="N266" s="15" t="str">
        <f t="shared" si="3"/>
        <v/>
      </c>
      <c r="O266" s="14" t="str">
        <f t="shared" si="4"/>
        <v/>
      </c>
      <c r="P266" s="16" t="str">
        <f t="array" ref="P266">IF($A266="","", IFERROR(INDEX('BM Data'!$N:$N,MATCH($J266&amp; "-" &amp; $N266,'BM Data'!$O:$O,0),1),""))</f>
        <v/>
      </c>
      <c r="Q266" s="16" t="str">
        <f t="array" ref="Q266">IF($A266="","", IFERROR(INDEX('BM Data'!$J:$J,MATCH($J266&amp; "-" &amp; $N266,'BM Data'!$O:$O,0),1),""))</f>
        <v/>
      </c>
    </row>
    <row r="267">
      <c r="A267" s="10" t="str">
        <f>IFERROR(__xludf.DUMMYFUNCTION("""COMPUTED_VALUE"""),"")</f>
        <v/>
      </c>
      <c r="B267" s="3" t="str">
        <f>IFERROR(__xludf.DUMMYFUNCTION("""COMPUTED_VALUE"""),"")</f>
        <v/>
      </c>
      <c r="C267" s="11" t="str">
        <f>IFERROR(__xludf.DUMMYFUNCTION("""COMPUTED_VALUE"""),"")</f>
        <v/>
      </c>
      <c r="D267" s="11" t="str">
        <f>IFERROR(__xludf.DUMMYFUNCTION("""COMPUTED_VALUE"""),"")</f>
        <v/>
      </c>
      <c r="E267" s="11" t="str">
        <f>IFERROR(__xludf.DUMMYFUNCTION("""COMPUTED_VALUE"""),"")</f>
        <v/>
      </c>
      <c r="F267" s="11" t="str">
        <f>IFERROR(__xludf.DUMMYFUNCTION("""COMPUTED_VALUE"""),"")</f>
        <v/>
      </c>
      <c r="G267" s="11" t="str">
        <f>IFERROR(__xludf.DUMMYFUNCTION("""COMPUTED_VALUE"""),"")</f>
        <v/>
      </c>
      <c r="H267" s="12" t="str">
        <f>IFERROR(__xludf.DUMMYFUNCTION("""COMPUTED_VALUE"""),"")</f>
        <v/>
      </c>
      <c r="I267" s="12" t="str">
        <f>IFERROR(__xludf.DUMMYFUNCTION("""COMPUTED_VALUE"""),"")</f>
        <v/>
      </c>
      <c r="J267" s="13" t="str">
        <f t="shared" si="1"/>
        <v/>
      </c>
      <c r="K267" s="12" t="str">
        <f>IFERROR(IF(A267="","",if($G267="",Reference!$J$2, VLOOKUP($G267,Reference!$I$2:$J$1000,2,false))),"")</f>
        <v/>
      </c>
      <c r="L267" s="12" t="str">
        <f>IF(A267="","", IF(F267="",Reference!$M$2,F267))</f>
        <v/>
      </c>
      <c r="M267" s="14" t="str">
        <f t="shared" si="2"/>
        <v/>
      </c>
      <c r="N267" s="15" t="str">
        <f t="shared" si="3"/>
        <v/>
      </c>
      <c r="O267" s="14" t="str">
        <f t="shared" si="4"/>
        <v/>
      </c>
      <c r="P267" s="16" t="str">
        <f t="array" ref="P267">IF($A267="","", IFERROR(INDEX('BM Data'!$N:$N,MATCH($J267&amp; "-" &amp; $N267,'BM Data'!$O:$O,0),1),""))</f>
        <v/>
      </c>
      <c r="Q267" s="16" t="str">
        <f t="array" ref="Q267">IF($A267="","", IFERROR(INDEX('BM Data'!$J:$J,MATCH($J267&amp; "-" &amp; $N267,'BM Data'!$O:$O,0),1),""))</f>
        <v/>
      </c>
    </row>
    <row r="268">
      <c r="A268" s="10" t="str">
        <f>IFERROR(__xludf.DUMMYFUNCTION("""COMPUTED_VALUE"""),"")</f>
        <v/>
      </c>
      <c r="B268" s="3" t="str">
        <f>IFERROR(__xludf.DUMMYFUNCTION("""COMPUTED_VALUE"""),"")</f>
        <v/>
      </c>
      <c r="C268" s="11" t="str">
        <f>IFERROR(__xludf.DUMMYFUNCTION("""COMPUTED_VALUE"""),"")</f>
        <v/>
      </c>
      <c r="D268" s="11" t="str">
        <f>IFERROR(__xludf.DUMMYFUNCTION("""COMPUTED_VALUE"""),"")</f>
        <v/>
      </c>
      <c r="E268" s="11" t="str">
        <f>IFERROR(__xludf.DUMMYFUNCTION("""COMPUTED_VALUE"""),"")</f>
        <v/>
      </c>
      <c r="F268" s="11" t="str">
        <f>IFERROR(__xludf.DUMMYFUNCTION("""COMPUTED_VALUE"""),"")</f>
        <v/>
      </c>
      <c r="G268" s="11" t="str">
        <f>IFERROR(__xludf.DUMMYFUNCTION("""COMPUTED_VALUE"""),"")</f>
        <v/>
      </c>
      <c r="H268" s="12" t="str">
        <f>IFERROR(__xludf.DUMMYFUNCTION("""COMPUTED_VALUE"""),"")</f>
        <v/>
      </c>
      <c r="I268" s="12" t="str">
        <f>IFERROR(__xludf.DUMMYFUNCTION("""COMPUTED_VALUE"""),"")</f>
        <v/>
      </c>
      <c r="J268" s="13" t="str">
        <f t="shared" si="1"/>
        <v/>
      </c>
      <c r="K268" s="12" t="str">
        <f>IFERROR(IF(A268="","",if($G268="",Reference!$J$2, VLOOKUP($G268,Reference!$I$2:$J$1000,2,false))),"")</f>
        <v/>
      </c>
      <c r="L268" s="12" t="str">
        <f>IF(A268="","", IF(F268="",Reference!$M$2,F268))</f>
        <v/>
      </c>
      <c r="M268" s="14" t="str">
        <f t="shared" si="2"/>
        <v/>
      </c>
      <c r="N268" s="15" t="str">
        <f t="shared" si="3"/>
        <v/>
      </c>
      <c r="O268" s="14" t="str">
        <f t="shared" si="4"/>
        <v/>
      </c>
      <c r="P268" s="16" t="str">
        <f t="array" ref="P268">IF($A268="","", IFERROR(INDEX('BM Data'!$N:$N,MATCH($J268&amp; "-" &amp; $N268,'BM Data'!$O:$O,0),1),""))</f>
        <v/>
      </c>
      <c r="Q268" s="16" t="str">
        <f t="array" ref="Q268">IF($A268="","", IFERROR(INDEX('BM Data'!$J:$J,MATCH($J268&amp; "-" &amp; $N268,'BM Data'!$O:$O,0),1),""))</f>
        <v/>
      </c>
    </row>
    <row r="269">
      <c r="A269" s="10" t="str">
        <f>IFERROR(__xludf.DUMMYFUNCTION("""COMPUTED_VALUE"""),"")</f>
        <v/>
      </c>
      <c r="B269" s="3" t="str">
        <f>IFERROR(__xludf.DUMMYFUNCTION("""COMPUTED_VALUE"""),"")</f>
        <v/>
      </c>
      <c r="C269" s="11" t="str">
        <f>IFERROR(__xludf.DUMMYFUNCTION("""COMPUTED_VALUE"""),"")</f>
        <v/>
      </c>
      <c r="D269" s="11" t="str">
        <f>IFERROR(__xludf.DUMMYFUNCTION("""COMPUTED_VALUE"""),"")</f>
        <v/>
      </c>
      <c r="E269" s="11" t="str">
        <f>IFERROR(__xludf.DUMMYFUNCTION("""COMPUTED_VALUE"""),"")</f>
        <v/>
      </c>
      <c r="F269" s="11" t="str">
        <f>IFERROR(__xludf.DUMMYFUNCTION("""COMPUTED_VALUE"""),"")</f>
        <v/>
      </c>
      <c r="G269" s="11" t="str">
        <f>IFERROR(__xludf.DUMMYFUNCTION("""COMPUTED_VALUE"""),"")</f>
        <v/>
      </c>
      <c r="H269" s="12" t="str">
        <f>IFERROR(__xludf.DUMMYFUNCTION("""COMPUTED_VALUE"""),"")</f>
        <v/>
      </c>
      <c r="I269" s="12" t="str">
        <f>IFERROR(__xludf.DUMMYFUNCTION("""COMPUTED_VALUE"""),"")</f>
        <v/>
      </c>
      <c r="J269" s="13" t="str">
        <f t="shared" si="1"/>
        <v/>
      </c>
      <c r="K269" s="12" t="str">
        <f>IFERROR(IF(A269="","",if($G269="",Reference!$J$2, VLOOKUP($G269,Reference!$I$2:$J$1000,2,false))),"")</f>
        <v/>
      </c>
      <c r="L269" s="12" t="str">
        <f>IF(A269="","", IF(F269="",Reference!$M$2,F269))</f>
        <v/>
      </c>
      <c r="M269" s="14" t="str">
        <f t="shared" si="2"/>
        <v/>
      </c>
      <c r="N269" s="15" t="str">
        <f t="shared" si="3"/>
        <v/>
      </c>
      <c r="O269" s="14" t="str">
        <f t="shared" si="4"/>
        <v/>
      </c>
      <c r="P269" s="16" t="str">
        <f t="array" ref="P269">IF($A269="","", IFERROR(INDEX('BM Data'!$N:$N,MATCH($J269&amp; "-" &amp; $N269,'BM Data'!$O:$O,0),1),""))</f>
        <v/>
      </c>
      <c r="Q269" s="16" t="str">
        <f t="array" ref="Q269">IF($A269="","", IFERROR(INDEX('BM Data'!$J:$J,MATCH($J269&amp; "-" &amp; $N269,'BM Data'!$O:$O,0),1),""))</f>
        <v/>
      </c>
    </row>
    <row r="270">
      <c r="A270" s="10" t="str">
        <f>IFERROR(__xludf.DUMMYFUNCTION("""COMPUTED_VALUE"""),"")</f>
        <v/>
      </c>
      <c r="B270" s="3" t="str">
        <f>IFERROR(__xludf.DUMMYFUNCTION("""COMPUTED_VALUE"""),"")</f>
        <v/>
      </c>
      <c r="C270" s="11" t="str">
        <f>IFERROR(__xludf.DUMMYFUNCTION("""COMPUTED_VALUE"""),"")</f>
        <v/>
      </c>
      <c r="D270" s="11" t="str">
        <f>IFERROR(__xludf.DUMMYFUNCTION("""COMPUTED_VALUE"""),"")</f>
        <v/>
      </c>
      <c r="E270" s="11" t="str">
        <f>IFERROR(__xludf.DUMMYFUNCTION("""COMPUTED_VALUE"""),"")</f>
        <v/>
      </c>
      <c r="F270" s="11" t="str">
        <f>IFERROR(__xludf.DUMMYFUNCTION("""COMPUTED_VALUE"""),"")</f>
        <v/>
      </c>
      <c r="G270" s="11" t="str">
        <f>IFERROR(__xludf.DUMMYFUNCTION("""COMPUTED_VALUE"""),"")</f>
        <v/>
      </c>
      <c r="H270" s="12" t="str">
        <f>IFERROR(__xludf.DUMMYFUNCTION("""COMPUTED_VALUE"""),"")</f>
        <v/>
      </c>
      <c r="I270" s="12" t="str">
        <f>IFERROR(__xludf.DUMMYFUNCTION("""COMPUTED_VALUE"""),"")</f>
        <v/>
      </c>
      <c r="J270" s="13" t="str">
        <f t="shared" si="1"/>
        <v/>
      </c>
      <c r="K270" s="12" t="str">
        <f>IFERROR(IF(A270="","",if($G270="",Reference!$J$2, VLOOKUP($G270,Reference!$I$2:$J$1000,2,false))),"")</f>
        <v/>
      </c>
      <c r="L270" s="12" t="str">
        <f>IF(A270="","", IF(F270="",Reference!$M$2,F270))</f>
        <v/>
      </c>
      <c r="M270" s="14" t="str">
        <f t="shared" si="2"/>
        <v/>
      </c>
      <c r="N270" s="15" t="str">
        <f t="shared" si="3"/>
        <v/>
      </c>
      <c r="O270" s="14" t="str">
        <f t="shared" si="4"/>
        <v/>
      </c>
      <c r="P270" s="16" t="str">
        <f t="array" ref="P270">IF($A270="","", IFERROR(INDEX('BM Data'!$N:$N,MATCH($J270&amp; "-" &amp; $N270,'BM Data'!$O:$O,0),1),""))</f>
        <v/>
      </c>
      <c r="Q270" s="16" t="str">
        <f t="array" ref="Q270">IF($A270="","", IFERROR(INDEX('BM Data'!$J:$J,MATCH($J270&amp; "-" &amp; $N270,'BM Data'!$O:$O,0),1),""))</f>
        <v/>
      </c>
    </row>
    <row r="271">
      <c r="A271" s="10" t="str">
        <f>IFERROR(__xludf.DUMMYFUNCTION("""COMPUTED_VALUE"""),"")</f>
        <v/>
      </c>
      <c r="B271" s="3" t="str">
        <f>IFERROR(__xludf.DUMMYFUNCTION("""COMPUTED_VALUE"""),"")</f>
        <v/>
      </c>
      <c r="C271" s="11" t="str">
        <f>IFERROR(__xludf.DUMMYFUNCTION("""COMPUTED_VALUE"""),"")</f>
        <v/>
      </c>
      <c r="D271" s="11" t="str">
        <f>IFERROR(__xludf.DUMMYFUNCTION("""COMPUTED_VALUE"""),"")</f>
        <v/>
      </c>
      <c r="E271" s="11" t="str">
        <f>IFERROR(__xludf.DUMMYFUNCTION("""COMPUTED_VALUE"""),"")</f>
        <v/>
      </c>
      <c r="F271" s="11" t="str">
        <f>IFERROR(__xludf.DUMMYFUNCTION("""COMPUTED_VALUE"""),"")</f>
        <v/>
      </c>
      <c r="G271" s="11" t="str">
        <f>IFERROR(__xludf.DUMMYFUNCTION("""COMPUTED_VALUE"""),"")</f>
        <v/>
      </c>
      <c r="H271" s="12" t="str">
        <f>IFERROR(__xludf.DUMMYFUNCTION("""COMPUTED_VALUE"""),"")</f>
        <v/>
      </c>
      <c r="I271" s="12" t="str">
        <f>IFERROR(__xludf.DUMMYFUNCTION("""COMPUTED_VALUE"""),"")</f>
        <v/>
      </c>
      <c r="J271" s="13" t="str">
        <f t="shared" si="1"/>
        <v/>
      </c>
      <c r="K271" s="12" t="str">
        <f>IFERROR(IF(A271="","",if($G271="",Reference!$J$2, VLOOKUP($G271,Reference!$I$2:$J$1000,2,false))),"")</f>
        <v/>
      </c>
      <c r="L271" s="12" t="str">
        <f>IF(A271="","", IF(F271="",Reference!$M$2,F271))</f>
        <v/>
      </c>
      <c r="M271" s="14" t="str">
        <f t="shared" si="2"/>
        <v/>
      </c>
      <c r="N271" s="15" t="str">
        <f t="shared" si="3"/>
        <v/>
      </c>
      <c r="O271" s="14" t="str">
        <f t="shared" si="4"/>
        <v/>
      </c>
      <c r="P271" s="16" t="str">
        <f t="array" ref="P271">IF($A271="","", IFERROR(INDEX('BM Data'!$N:$N,MATCH($J271&amp; "-" &amp; $N271,'BM Data'!$O:$O,0),1),""))</f>
        <v/>
      </c>
      <c r="Q271" s="16" t="str">
        <f t="array" ref="Q271">IF($A271="","", IFERROR(INDEX('BM Data'!$J:$J,MATCH($J271&amp; "-" &amp; $N271,'BM Data'!$O:$O,0),1),""))</f>
        <v/>
      </c>
    </row>
    <row r="272">
      <c r="A272" s="10" t="str">
        <f>IFERROR(__xludf.DUMMYFUNCTION("""COMPUTED_VALUE"""),"")</f>
        <v/>
      </c>
      <c r="B272" s="3" t="str">
        <f>IFERROR(__xludf.DUMMYFUNCTION("""COMPUTED_VALUE"""),"")</f>
        <v/>
      </c>
      <c r="C272" s="11" t="str">
        <f>IFERROR(__xludf.DUMMYFUNCTION("""COMPUTED_VALUE"""),"")</f>
        <v/>
      </c>
      <c r="D272" s="11" t="str">
        <f>IFERROR(__xludf.DUMMYFUNCTION("""COMPUTED_VALUE"""),"")</f>
        <v/>
      </c>
      <c r="E272" s="11" t="str">
        <f>IFERROR(__xludf.DUMMYFUNCTION("""COMPUTED_VALUE"""),"")</f>
        <v/>
      </c>
      <c r="F272" s="11" t="str">
        <f>IFERROR(__xludf.DUMMYFUNCTION("""COMPUTED_VALUE"""),"")</f>
        <v/>
      </c>
      <c r="G272" s="11" t="str">
        <f>IFERROR(__xludf.DUMMYFUNCTION("""COMPUTED_VALUE"""),"")</f>
        <v/>
      </c>
      <c r="H272" s="12" t="str">
        <f>IFERROR(__xludf.DUMMYFUNCTION("""COMPUTED_VALUE"""),"")</f>
        <v/>
      </c>
      <c r="I272" s="12" t="str">
        <f>IFERROR(__xludf.DUMMYFUNCTION("""COMPUTED_VALUE"""),"")</f>
        <v/>
      </c>
      <c r="J272" s="13" t="str">
        <f t="shared" si="1"/>
        <v/>
      </c>
      <c r="K272" s="12" t="str">
        <f>IFERROR(IF(A272="","",if($G272="",Reference!$J$2, VLOOKUP($G272,Reference!$I$2:$J$1000,2,false))),"")</f>
        <v/>
      </c>
      <c r="L272" s="12" t="str">
        <f>IF(A272="","", IF(F272="",Reference!$M$2,F272))</f>
        <v/>
      </c>
      <c r="M272" s="14" t="str">
        <f t="shared" si="2"/>
        <v/>
      </c>
      <c r="N272" s="15" t="str">
        <f t="shared" si="3"/>
        <v/>
      </c>
      <c r="O272" s="14" t="str">
        <f t="shared" si="4"/>
        <v/>
      </c>
      <c r="P272" s="16" t="str">
        <f t="array" ref="P272">IF($A272="","", IFERROR(INDEX('BM Data'!$N:$N,MATCH($J272&amp; "-" &amp; $N272,'BM Data'!$O:$O,0),1),""))</f>
        <v/>
      </c>
      <c r="Q272" s="16" t="str">
        <f t="array" ref="Q272">IF($A272="","", IFERROR(INDEX('BM Data'!$J:$J,MATCH($J272&amp; "-" &amp; $N272,'BM Data'!$O:$O,0),1),""))</f>
        <v/>
      </c>
    </row>
    <row r="273">
      <c r="A273" s="10" t="str">
        <f>IFERROR(__xludf.DUMMYFUNCTION("""COMPUTED_VALUE"""),"")</f>
        <v/>
      </c>
      <c r="B273" s="3" t="str">
        <f>IFERROR(__xludf.DUMMYFUNCTION("""COMPUTED_VALUE"""),"")</f>
        <v/>
      </c>
      <c r="C273" s="11" t="str">
        <f>IFERROR(__xludf.DUMMYFUNCTION("""COMPUTED_VALUE"""),"")</f>
        <v/>
      </c>
      <c r="D273" s="11" t="str">
        <f>IFERROR(__xludf.DUMMYFUNCTION("""COMPUTED_VALUE"""),"")</f>
        <v/>
      </c>
      <c r="E273" s="11" t="str">
        <f>IFERROR(__xludf.DUMMYFUNCTION("""COMPUTED_VALUE"""),"")</f>
        <v/>
      </c>
      <c r="F273" s="11" t="str">
        <f>IFERROR(__xludf.DUMMYFUNCTION("""COMPUTED_VALUE"""),"")</f>
        <v/>
      </c>
      <c r="G273" s="11" t="str">
        <f>IFERROR(__xludf.DUMMYFUNCTION("""COMPUTED_VALUE"""),"")</f>
        <v/>
      </c>
      <c r="H273" s="12" t="str">
        <f>IFERROR(__xludf.DUMMYFUNCTION("""COMPUTED_VALUE"""),"")</f>
        <v/>
      </c>
      <c r="I273" s="12" t="str">
        <f>IFERROR(__xludf.DUMMYFUNCTION("""COMPUTED_VALUE"""),"")</f>
        <v/>
      </c>
      <c r="J273" s="13" t="str">
        <f t="shared" si="1"/>
        <v/>
      </c>
      <c r="K273" s="12" t="str">
        <f>IFERROR(IF(A273="","",if($G273="",Reference!$J$2, VLOOKUP($G273,Reference!$I$2:$J$1000,2,false))),"")</f>
        <v/>
      </c>
      <c r="L273" s="12" t="str">
        <f>IF(A273="","", IF(F273="",Reference!$M$2,F273))</f>
        <v/>
      </c>
      <c r="M273" s="14" t="str">
        <f t="shared" si="2"/>
        <v/>
      </c>
      <c r="N273" s="15" t="str">
        <f t="shared" si="3"/>
        <v/>
      </c>
      <c r="O273" s="14" t="str">
        <f t="shared" si="4"/>
        <v/>
      </c>
      <c r="P273" s="16" t="str">
        <f t="array" ref="P273">IF($A273="","", IFERROR(INDEX('BM Data'!$N:$N,MATCH($J273&amp; "-" &amp; $N273,'BM Data'!$O:$O,0),1),""))</f>
        <v/>
      </c>
      <c r="Q273" s="16" t="str">
        <f t="array" ref="Q273">IF($A273="","", IFERROR(INDEX('BM Data'!$J:$J,MATCH($J273&amp; "-" &amp; $N273,'BM Data'!$O:$O,0),1),""))</f>
        <v/>
      </c>
    </row>
    <row r="274">
      <c r="A274" s="10" t="str">
        <f>IFERROR(__xludf.DUMMYFUNCTION("""COMPUTED_VALUE"""),"")</f>
        <v/>
      </c>
      <c r="B274" s="3" t="str">
        <f>IFERROR(__xludf.DUMMYFUNCTION("""COMPUTED_VALUE"""),"")</f>
        <v/>
      </c>
      <c r="C274" s="11" t="str">
        <f>IFERROR(__xludf.DUMMYFUNCTION("""COMPUTED_VALUE"""),"")</f>
        <v/>
      </c>
      <c r="D274" s="11" t="str">
        <f>IFERROR(__xludf.DUMMYFUNCTION("""COMPUTED_VALUE"""),"")</f>
        <v/>
      </c>
      <c r="E274" s="11" t="str">
        <f>IFERROR(__xludf.DUMMYFUNCTION("""COMPUTED_VALUE"""),"")</f>
        <v/>
      </c>
      <c r="F274" s="11" t="str">
        <f>IFERROR(__xludf.DUMMYFUNCTION("""COMPUTED_VALUE"""),"")</f>
        <v/>
      </c>
      <c r="G274" s="11" t="str">
        <f>IFERROR(__xludf.DUMMYFUNCTION("""COMPUTED_VALUE"""),"")</f>
        <v/>
      </c>
      <c r="H274" s="12" t="str">
        <f>IFERROR(__xludf.DUMMYFUNCTION("""COMPUTED_VALUE"""),"")</f>
        <v/>
      </c>
      <c r="I274" s="12" t="str">
        <f>IFERROR(__xludf.DUMMYFUNCTION("""COMPUTED_VALUE"""),"")</f>
        <v/>
      </c>
      <c r="J274" s="13" t="str">
        <f t="shared" si="1"/>
        <v/>
      </c>
      <c r="K274" s="12" t="str">
        <f>IFERROR(IF(A274="","",if($G274="",Reference!$J$2, VLOOKUP($G274,Reference!$I$2:$J$1000,2,false))),"")</f>
        <v/>
      </c>
      <c r="L274" s="12" t="str">
        <f>IF(A274="","", IF(F274="",Reference!$M$2,F274))</f>
        <v/>
      </c>
      <c r="M274" s="14" t="str">
        <f t="shared" si="2"/>
        <v/>
      </c>
      <c r="N274" s="15" t="str">
        <f t="shared" si="3"/>
        <v/>
      </c>
      <c r="O274" s="14" t="str">
        <f t="shared" si="4"/>
        <v/>
      </c>
      <c r="P274" s="16" t="str">
        <f t="array" ref="P274">IF($A274="","", IFERROR(INDEX('BM Data'!$N:$N,MATCH($J274&amp; "-" &amp; $N274,'BM Data'!$O:$O,0),1),""))</f>
        <v/>
      </c>
      <c r="Q274" s="16" t="str">
        <f t="array" ref="Q274">IF($A274="","", IFERROR(INDEX('BM Data'!$J:$J,MATCH($J274&amp; "-" &amp; $N274,'BM Data'!$O:$O,0),1),""))</f>
        <v/>
      </c>
    </row>
    <row r="275">
      <c r="A275" s="10" t="str">
        <f>IFERROR(__xludf.DUMMYFUNCTION("""COMPUTED_VALUE"""),"")</f>
        <v/>
      </c>
      <c r="B275" s="3" t="str">
        <f>IFERROR(__xludf.DUMMYFUNCTION("""COMPUTED_VALUE"""),"")</f>
        <v/>
      </c>
      <c r="C275" s="11" t="str">
        <f>IFERROR(__xludf.DUMMYFUNCTION("""COMPUTED_VALUE"""),"")</f>
        <v/>
      </c>
      <c r="D275" s="11" t="str">
        <f>IFERROR(__xludf.DUMMYFUNCTION("""COMPUTED_VALUE"""),"")</f>
        <v/>
      </c>
      <c r="E275" s="11" t="str">
        <f>IFERROR(__xludf.DUMMYFUNCTION("""COMPUTED_VALUE"""),"")</f>
        <v/>
      </c>
      <c r="F275" s="11" t="str">
        <f>IFERROR(__xludf.DUMMYFUNCTION("""COMPUTED_VALUE"""),"")</f>
        <v/>
      </c>
      <c r="G275" s="11" t="str">
        <f>IFERROR(__xludf.DUMMYFUNCTION("""COMPUTED_VALUE"""),"")</f>
        <v/>
      </c>
      <c r="H275" s="12" t="str">
        <f>IFERROR(__xludf.DUMMYFUNCTION("""COMPUTED_VALUE"""),"")</f>
        <v/>
      </c>
      <c r="I275" s="12" t="str">
        <f>IFERROR(__xludf.DUMMYFUNCTION("""COMPUTED_VALUE"""),"")</f>
        <v/>
      </c>
      <c r="J275" s="13" t="str">
        <f t="shared" si="1"/>
        <v/>
      </c>
      <c r="K275" s="12" t="str">
        <f>IFERROR(IF(A275="","",if($G275="",Reference!$J$2, VLOOKUP($G275,Reference!$I$2:$J$1000,2,false))),"")</f>
        <v/>
      </c>
      <c r="L275" s="12" t="str">
        <f>IF(A275="","", IF(F275="",Reference!$M$2,F275))</f>
        <v/>
      </c>
      <c r="M275" s="14" t="str">
        <f t="shared" si="2"/>
        <v/>
      </c>
      <c r="N275" s="15" t="str">
        <f t="shared" si="3"/>
        <v/>
      </c>
      <c r="O275" s="14" t="str">
        <f t="shared" si="4"/>
        <v/>
      </c>
      <c r="P275" s="16" t="str">
        <f t="array" ref="P275">IF($A275="","", IFERROR(INDEX('BM Data'!$N:$N,MATCH($J275&amp; "-" &amp; $N275,'BM Data'!$O:$O,0),1),""))</f>
        <v/>
      </c>
      <c r="Q275" s="16" t="str">
        <f t="array" ref="Q275">IF($A275="","", IFERROR(INDEX('BM Data'!$J:$J,MATCH($J275&amp; "-" &amp; $N275,'BM Data'!$O:$O,0),1),""))</f>
        <v/>
      </c>
    </row>
    <row r="276">
      <c r="A276" s="10" t="str">
        <f>IFERROR(__xludf.DUMMYFUNCTION("""COMPUTED_VALUE"""),"")</f>
        <v/>
      </c>
      <c r="B276" s="3" t="str">
        <f>IFERROR(__xludf.DUMMYFUNCTION("""COMPUTED_VALUE"""),"")</f>
        <v/>
      </c>
      <c r="C276" s="11" t="str">
        <f>IFERROR(__xludf.DUMMYFUNCTION("""COMPUTED_VALUE"""),"")</f>
        <v/>
      </c>
      <c r="D276" s="11" t="str">
        <f>IFERROR(__xludf.DUMMYFUNCTION("""COMPUTED_VALUE"""),"")</f>
        <v/>
      </c>
      <c r="E276" s="11" t="str">
        <f>IFERROR(__xludf.DUMMYFUNCTION("""COMPUTED_VALUE"""),"")</f>
        <v/>
      </c>
      <c r="F276" s="11" t="str">
        <f>IFERROR(__xludf.DUMMYFUNCTION("""COMPUTED_VALUE"""),"")</f>
        <v/>
      </c>
      <c r="G276" s="11" t="str">
        <f>IFERROR(__xludf.DUMMYFUNCTION("""COMPUTED_VALUE"""),"")</f>
        <v/>
      </c>
      <c r="H276" s="12" t="str">
        <f>IFERROR(__xludf.DUMMYFUNCTION("""COMPUTED_VALUE"""),"")</f>
        <v/>
      </c>
      <c r="I276" s="12" t="str">
        <f>IFERROR(__xludf.DUMMYFUNCTION("""COMPUTED_VALUE"""),"")</f>
        <v/>
      </c>
      <c r="J276" s="13" t="str">
        <f t="shared" si="1"/>
        <v/>
      </c>
      <c r="K276" s="12" t="str">
        <f>IFERROR(IF(A276="","",if($G276="",Reference!$J$2, VLOOKUP($G276,Reference!$I$2:$J$1000,2,false))),"")</f>
        <v/>
      </c>
      <c r="L276" s="12" t="str">
        <f>IF(A276="","", IF(F276="",Reference!$M$2,F276))</f>
        <v/>
      </c>
      <c r="M276" s="14" t="str">
        <f t="shared" si="2"/>
        <v/>
      </c>
      <c r="N276" s="15" t="str">
        <f t="shared" si="3"/>
        <v/>
      </c>
      <c r="O276" s="14" t="str">
        <f t="shared" si="4"/>
        <v/>
      </c>
      <c r="P276" s="16" t="str">
        <f t="array" ref="P276">IF($A276="","", IFERROR(INDEX('BM Data'!$N:$N,MATCH($J276&amp; "-" &amp; $N276,'BM Data'!$O:$O,0),1),""))</f>
        <v/>
      </c>
      <c r="Q276" s="16" t="str">
        <f t="array" ref="Q276">IF($A276="","", IFERROR(INDEX('BM Data'!$J:$J,MATCH($J276&amp; "-" &amp; $N276,'BM Data'!$O:$O,0),1),""))</f>
        <v/>
      </c>
    </row>
    <row r="277">
      <c r="A277" s="10" t="str">
        <f>IFERROR(__xludf.DUMMYFUNCTION("""COMPUTED_VALUE"""),"")</f>
        <v/>
      </c>
      <c r="B277" s="3" t="str">
        <f>IFERROR(__xludf.DUMMYFUNCTION("""COMPUTED_VALUE"""),"")</f>
        <v/>
      </c>
      <c r="C277" s="11" t="str">
        <f>IFERROR(__xludf.DUMMYFUNCTION("""COMPUTED_VALUE"""),"")</f>
        <v/>
      </c>
      <c r="D277" s="11" t="str">
        <f>IFERROR(__xludf.DUMMYFUNCTION("""COMPUTED_VALUE"""),"")</f>
        <v/>
      </c>
      <c r="E277" s="11" t="str">
        <f>IFERROR(__xludf.DUMMYFUNCTION("""COMPUTED_VALUE"""),"")</f>
        <v/>
      </c>
      <c r="F277" s="11" t="str">
        <f>IFERROR(__xludf.DUMMYFUNCTION("""COMPUTED_VALUE"""),"")</f>
        <v/>
      </c>
      <c r="G277" s="11" t="str">
        <f>IFERROR(__xludf.DUMMYFUNCTION("""COMPUTED_VALUE"""),"")</f>
        <v/>
      </c>
      <c r="H277" s="12" t="str">
        <f>IFERROR(__xludf.DUMMYFUNCTION("""COMPUTED_VALUE"""),"")</f>
        <v/>
      </c>
      <c r="I277" s="12" t="str">
        <f>IFERROR(__xludf.DUMMYFUNCTION("""COMPUTED_VALUE"""),"")</f>
        <v/>
      </c>
      <c r="J277" s="13" t="str">
        <f t="shared" si="1"/>
        <v/>
      </c>
      <c r="K277" s="12" t="str">
        <f>IFERROR(IF(A277="","",if($G277="",Reference!$J$2, VLOOKUP($G277,Reference!$I$2:$J$1000,2,false))),"")</f>
        <v/>
      </c>
      <c r="L277" s="12" t="str">
        <f>IF(A277="","", IF(F277="",Reference!$M$2,F277))</f>
        <v/>
      </c>
      <c r="M277" s="14" t="str">
        <f t="shared" si="2"/>
        <v/>
      </c>
      <c r="N277" s="15" t="str">
        <f t="shared" si="3"/>
        <v/>
      </c>
      <c r="O277" s="14" t="str">
        <f t="shared" si="4"/>
        <v/>
      </c>
      <c r="P277" s="16" t="str">
        <f t="array" ref="P277">IF($A277="","", IFERROR(INDEX('BM Data'!$N:$N,MATCH($J277&amp; "-" &amp; $N277,'BM Data'!$O:$O,0),1),""))</f>
        <v/>
      </c>
      <c r="Q277" s="16" t="str">
        <f t="array" ref="Q277">IF($A277="","", IFERROR(INDEX('BM Data'!$J:$J,MATCH($J277&amp; "-" &amp; $N277,'BM Data'!$O:$O,0),1),""))</f>
        <v/>
      </c>
    </row>
    <row r="278">
      <c r="A278" s="10" t="str">
        <f>IFERROR(__xludf.DUMMYFUNCTION("""COMPUTED_VALUE"""),"")</f>
        <v/>
      </c>
      <c r="B278" s="3" t="str">
        <f>IFERROR(__xludf.DUMMYFUNCTION("""COMPUTED_VALUE"""),"")</f>
        <v/>
      </c>
      <c r="C278" s="11" t="str">
        <f>IFERROR(__xludf.DUMMYFUNCTION("""COMPUTED_VALUE"""),"")</f>
        <v/>
      </c>
      <c r="D278" s="11" t="str">
        <f>IFERROR(__xludf.DUMMYFUNCTION("""COMPUTED_VALUE"""),"")</f>
        <v/>
      </c>
      <c r="E278" s="11" t="str">
        <f>IFERROR(__xludf.DUMMYFUNCTION("""COMPUTED_VALUE"""),"")</f>
        <v/>
      </c>
      <c r="F278" s="11" t="str">
        <f>IFERROR(__xludf.DUMMYFUNCTION("""COMPUTED_VALUE"""),"")</f>
        <v/>
      </c>
      <c r="G278" s="11" t="str">
        <f>IFERROR(__xludf.DUMMYFUNCTION("""COMPUTED_VALUE"""),"")</f>
        <v/>
      </c>
      <c r="H278" s="12" t="str">
        <f>IFERROR(__xludf.DUMMYFUNCTION("""COMPUTED_VALUE"""),"")</f>
        <v/>
      </c>
      <c r="I278" s="12" t="str">
        <f>IFERROR(__xludf.DUMMYFUNCTION("""COMPUTED_VALUE"""),"")</f>
        <v/>
      </c>
      <c r="J278" s="13" t="str">
        <f t="shared" si="1"/>
        <v/>
      </c>
      <c r="K278" s="12" t="str">
        <f>IFERROR(IF(A278="","",if($G278="",Reference!$J$2, VLOOKUP($G278,Reference!$I$2:$J$1000,2,false))),"")</f>
        <v/>
      </c>
      <c r="L278" s="12" t="str">
        <f>IF(A278="","", IF(F278="",Reference!$M$2,F278))</f>
        <v/>
      </c>
      <c r="M278" s="14" t="str">
        <f t="shared" si="2"/>
        <v/>
      </c>
      <c r="N278" s="15" t="str">
        <f t="shared" si="3"/>
        <v/>
      </c>
      <c r="O278" s="14" t="str">
        <f t="shared" si="4"/>
        <v/>
      </c>
      <c r="P278" s="16" t="str">
        <f t="array" ref="P278">IF($A278="","", IFERROR(INDEX('BM Data'!$N:$N,MATCH($J278&amp; "-" &amp; $N278,'BM Data'!$O:$O,0),1),""))</f>
        <v/>
      </c>
      <c r="Q278" s="16" t="str">
        <f t="array" ref="Q278">IF($A278="","", IFERROR(INDEX('BM Data'!$J:$J,MATCH($J278&amp; "-" &amp; $N278,'BM Data'!$O:$O,0),1),""))</f>
        <v/>
      </c>
    </row>
    <row r="279">
      <c r="A279" s="10" t="str">
        <f>IFERROR(__xludf.DUMMYFUNCTION("""COMPUTED_VALUE"""),"")</f>
        <v/>
      </c>
      <c r="B279" s="3" t="str">
        <f>IFERROR(__xludf.DUMMYFUNCTION("""COMPUTED_VALUE"""),"")</f>
        <v/>
      </c>
      <c r="C279" s="11" t="str">
        <f>IFERROR(__xludf.DUMMYFUNCTION("""COMPUTED_VALUE"""),"")</f>
        <v/>
      </c>
      <c r="D279" s="11" t="str">
        <f>IFERROR(__xludf.DUMMYFUNCTION("""COMPUTED_VALUE"""),"")</f>
        <v/>
      </c>
      <c r="E279" s="11" t="str">
        <f>IFERROR(__xludf.DUMMYFUNCTION("""COMPUTED_VALUE"""),"")</f>
        <v/>
      </c>
      <c r="F279" s="11" t="str">
        <f>IFERROR(__xludf.DUMMYFUNCTION("""COMPUTED_VALUE"""),"")</f>
        <v/>
      </c>
      <c r="G279" s="11" t="str">
        <f>IFERROR(__xludf.DUMMYFUNCTION("""COMPUTED_VALUE"""),"")</f>
        <v/>
      </c>
      <c r="H279" s="12" t="str">
        <f>IFERROR(__xludf.DUMMYFUNCTION("""COMPUTED_VALUE"""),"")</f>
        <v/>
      </c>
      <c r="I279" s="12" t="str">
        <f>IFERROR(__xludf.DUMMYFUNCTION("""COMPUTED_VALUE"""),"")</f>
        <v/>
      </c>
      <c r="J279" s="13" t="str">
        <f t="shared" si="1"/>
        <v/>
      </c>
      <c r="K279" s="12" t="str">
        <f>IFERROR(IF(A279="","",if($G279="",Reference!$J$2, VLOOKUP($G279,Reference!$I$2:$J$1000,2,false))),"")</f>
        <v/>
      </c>
      <c r="L279" s="12" t="str">
        <f>IF(A279="","", IF(F279="",Reference!$M$2,F279))</f>
        <v/>
      </c>
      <c r="M279" s="14" t="str">
        <f t="shared" si="2"/>
        <v/>
      </c>
      <c r="N279" s="15" t="str">
        <f t="shared" si="3"/>
        <v/>
      </c>
      <c r="O279" s="14" t="str">
        <f t="shared" si="4"/>
        <v/>
      </c>
      <c r="P279" s="16" t="str">
        <f t="array" ref="P279">IF($A279="","", IFERROR(INDEX('BM Data'!$N:$N,MATCH($J279&amp; "-" &amp; $N279,'BM Data'!$O:$O,0),1),""))</f>
        <v/>
      </c>
      <c r="Q279" s="16" t="str">
        <f t="array" ref="Q279">IF($A279="","", IFERROR(INDEX('BM Data'!$J:$J,MATCH($J279&amp; "-" &amp; $N279,'BM Data'!$O:$O,0),1),""))</f>
        <v/>
      </c>
    </row>
    <row r="280">
      <c r="A280" s="10" t="str">
        <f>IFERROR(__xludf.DUMMYFUNCTION("""COMPUTED_VALUE"""),"")</f>
        <v/>
      </c>
      <c r="B280" s="3" t="str">
        <f>IFERROR(__xludf.DUMMYFUNCTION("""COMPUTED_VALUE"""),"")</f>
        <v/>
      </c>
      <c r="C280" s="11" t="str">
        <f>IFERROR(__xludf.DUMMYFUNCTION("""COMPUTED_VALUE"""),"")</f>
        <v/>
      </c>
      <c r="D280" s="11" t="str">
        <f>IFERROR(__xludf.DUMMYFUNCTION("""COMPUTED_VALUE"""),"")</f>
        <v/>
      </c>
      <c r="E280" s="11" t="str">
        <f>IFERROR(__xludf.DUMMYFUNCTION("""COMPUTED_VALUE"""),"")</f>
        <v/>
      </c>
      <c r="F280" s="11" t="str">
        <f>IFERROR(__xludf.DUMMYFUNCTION("""COMPUTED_VALUE"""),"")</f>
        <v/>
      </c>
      <c r="G280" s="11" t="str">
        <f>IFERROR(__xludf.DUMMYFUNCTION("""COMPUTED_VALUE"""),"")</f>
        <v/>
      </c>
      <c r="H280" s="12" t="str">
        <f>IFERROR(__xludf.DUMMYFUNCTION("""COMPUTED_VALUE"""),"")</f>
        <v/>
      </c>
      <c r="I280" s="12" t="str">
        <f>IFERROR(__xludf.DUMMYFUNCTION("""COMPUTED_VALUE"""),"")</f>
        <v/>
      </c>
      <c r="J280" s="13" t="str">
        <f t="shared" si="1"/>
        <v/>
      </c>
      <c r="K280" s="12" t="str">
        <f>IFERROR(IF(A280="","",if($G280="",Reference!$J$2, VLOOKUP($G280,Reference!$I$2:$J$1000,2,false))),"")</f>
        <v/>
      </c>
      <c r="L280" s="12" t="str">
        <f>IF(A280="","", IF(F280="",Reference!$M$2,F280))</f>
        <v/>
      </c>
      <c r="M280" s="14" t="str">
        <f t="shared" si="2"/>
        <v/>
      </c>
      <c r="N280" s="15" t="str">
        <f t="shared" si="3"/>
        <v/>
      </c>
      <c r="O280" s="14" t="str">
        <f t="shared" si="4"/>
        <v/>
      </c>
      <c r="P280" s="16" t="str">
        <f t="array" ref="P280">IF($A280="","", IFERROR(INDEX('BM Data'!$N:$N,MATCH($J280&amp; "-" &amp; $N280,'BM Data'!$O:$O,0),1),""))</f>
        <v/>
      </c>
      <c r="Q280" s="16" t="str">
        <f t="array" ref="Q280">IF($A280="","", IFERROR(INDEX('BM Data'!$J:$J,MATCH($J280&amp; "-" &amp; $N280,'BM Data'!$O:$O,0),1),""))</f>
        <v/>
      </c>
    </row>
    <row r="281">
      <c r="A281" s="10" t="str">
        <f>IFERROR(__xludf.DUMMYFUNCTION("""COMPUTED_VALUE"""),"")</f>
        <v/>
      </c>
      <c r="B281" s="3" t="str">
        <f>IFERROR(__xludf.DUMMYFUNCTION("""COMPUTED_VALUE"""),"")</f>
        <v/>
      </c>
      <c r="C281" s="11" t="str">
        <f>IFERROR(__xludf.DUMMYFUNCTION("""COMPUTED_VALUE"""),"")</f>
        <v/>
      </c>
      <c r="D281" s="11" t="str">
        <f>IFERROR(__xludf.DUMMYFUNCTION("""COMPUTED_VALUE"""),"")</f>
        <v/>
      </c>
      <c r="E281" s="11" t="str">
        <f>IFERROR(__xludf.DUMMYFUNCTION("""COMPUTED_VALUE"""),"")</f>
        <v/>
      </c>
      <c r="F281" s="11" t="str">
        <f>IFERROR(__xludf.DUMMYFUNCTION("""COMPUTED_VALUE"""),"")</f>
        <v/>
      </c>
      <c r="G281" s="11" t="str">
        <f>IFERROR(__xludf.DUMMYFUNCTION("""COMPUTED_VALUE"""),"")</f>
        <v/>
      </c>
      <c r="H281" s="12" t="str">
        <f>IFERROR(__xludf.DUMMYFUNCTION("""COMPUTED_VALUE"""),"")</f>
        <v/>
      </c>
      <c r="I281" s="12" t="str">
        <f>IFERROR(__xludf.DUMMYFUNCTION("""COMPUTED_VALUE"""),"")</f>
        <v/>
      </c>
      <c r="J281" s="13" t="str">
        <f t="shared" si="1"/>
        <v/>
      </c>
      <c r="K281" s="12" t="str">
        <f>IFERROR(IF(A281="","",if($G281="",Reference!$J$2, VLOOKUP($G281,Reference!$I$2:$J$1000,2,false))),"")</f>
        <v/>
      </c>
      <c r="L281" s="12" t="str">
        <f>IF(A281="","", IF(F281="",Reference!$M$2,F281))</f>
        <v/>
      </c>
      <c r="M281" s="14" t="str">
        <f t="shared" si="2"/>
        <v/>
      </c>
      <c r="N281" s="15" t="str">
        <f t="shared" si="3"/>
        <v/>
      </c>
      <c r="O281" s="14" t="str">
        <f t="shared" si="4"/>
        <v/>
      </c>
      <c r="P281" s="16" t="str">
        <f t="array" ref="P281">IF($A281="","", IFERROR(INDEX('BM Data'!$N:$N,MATCH($J281&amp; "-" &amp; $N281,'BM Data'!$O:$O,0),1),""))</f>
        <v/>
      </c>
      <c r="Q281" s="16" t="str">
        <f t="array" ref="Q281">IF($A281="","", IFERROR(INDEX('BM Data'!$J:$J,MATCH($J281&amp; "-" &amp; $N281,'BM Data'!$O:$O,0),1),""))</f>
        <v/>
      </c>
    </row>
    <row r="282">
      <c r="A282" s="10" t="str">
        <f>IFERROR(__xludf.DUMMYFUNCTION("""COMPUTED_VALUE"""),"")</f>
        <v/>
      </c>
      <c r="B282" s="3" t="str">
        <f>IFERROR(__xludf.DUMMYFUNCTION("""COMPUTED_VALUE"""),"")</f>
        <v/>
      </c>
      <c r="C282" s="11" t="str">
        <f>IFERROR(__xludf.DUMMYFUNCTION("""COMPUTED_VALUE"""),"")</f>
        <v/>
      </c>
      <c r="D282" s="11" t="str">
        <f>IFERROR(__xludf.DUMMYFUNCTION("""COMPUTED_VALUE"""),"")</f>
        <v/>
      </c>
      <c r="E282" s="11" t="str">
        <f>IFERROR(__xludf.DUMMYFUNCTION("""COMPUTED_VALUE"""),"")</f>
        <v/>
      </c>
      <c r="F282" s="11" t="str">
        <f>IFERROR(__xludf.DUMMYFUNCTION("""COMPUTED_VALUE"""),"")</f>
        <v/>
      </c>
      <c r="G282" s="11" t="str">
        <f>IFERROR(__xludf.DUMMYFUNCTION("""COMPUTED_VALUE"""),"")</f>
        <v/>
      </c>
      <c r="H282" s="12" t="str">
        <f>IFERROR(__xludf.DUMMYFUNCTION("""COMPUTED_VALUE"""),"")</f>
        <v/>
      </c>
      <c r="I282" s="12" t="str">
        <f>IFERROR(__xludf.DUMMYFUNCTION("""COMPUTED_VALUE"""),"")</f>
        <v/>
      </c>
      <c r="J282" s="13" t="str">
        <f t="shared" si="1"/>
        <v/>
      </c>
      <c r="K282" s="12" t="str">
        <f>IFERROR(IF(A282="","",if($G282="",Reference!$J$2, VLOOKUP($G282,Reference!$I$2:$J$1000,2,false))),"")</f>
        <v/>
      </c>
      <c r="L282" s="12" t="str">
        <f>IF(A282="","", IF(F282="",Reference!$M$2,F282))</f>
        <v/>
      </c>
      <c r="M282" s="14" t="str">
        <f t="shared" si="2"/>
        <v/>
      </c>
      <c r="N282" s="15" t="str">
        <f t="shared" si="3"/>
        <v/>
      </c>
      <c r="O282" s="14" t="str">
        <f t="shared" si="4"/>
        <v/>
      </c>
      <c r="P282" s="16" t="str">
        <f t="array" ref="P282">IF($A282="","", IFERROR(INDEX('BM Data'!$N:$N,MATCH($J282&amp; "-" &amp; $N282,'BM Data'!$O:$O,0),1),""))</f>
        <v/>
      </c>
      <c r="Q282" s="16" t="str">
        <f t="array" ref="Q282">IF($A282="","", IFERROR(INDEX('BM Data'!$J:$J,MATCH($J282&amp; "-" &amp; $N282,'BM Data'!$O:$O,0),1),""))</f>
        <v/>
      </c>
    </row>
    <row r="283">
      <c r="A283" s="10" t="str">
        <f>IFERROR(__xludf.DUMMYFUNCTION("""COMPUTED_VALUE"""),"")</f>
        <v/>
      </c>
      <c r="B283" s="3" t="str">
        <f>IFERROR(__xludf.DUMMYFUNCTION("""COMPUTED_VALUE"""),"")</f>
        <v/>
      </c>
      <c r="C283" s="11" t="str">
        <f>IFERROR(__xludf.DUMMYFUNCTION("""COMPUTED_VALUE"""),"")</f>
        <v/>
      </c>
      <c r="D283" s="11" t="str">
        <f>IFERROR(__xludf.DUMMYFUNCTION("""COMPUTED_VALUE"""),"")</f>
        <v/>
      </c>
      <c r="E283" s="11" t="str">
        <f>IFERROR(__xludf.DUMMYFUNCTION("""COMPUTED_VALUE"""),"")</f>
        <v/>
      </c>
      <c r="F283" s="11" t="str">
        <f>IFERROR(__xludf.DUMMYFUNCTION("""COMPUTED_VALUE"""),"")</f>
        <v/>
      </c>
      <c r="G283" s="11" t="str">
        <f>IFERROR(__xludf.DUMMYFUNCTION("""COMPUTED_VALUE"""),"")</f>
        <v/>
      </c>
      <c r="H283" s="12" t="str">
        <f>IFERROR(__xludf.DUMMYFUNCTION("""COMPUTED_VALUE"""),"")</f>
        <v/>
      </c>
      <c r="I283" s="12" t="str">
        <f>IFERROR(__xludf.DUMMYFUNCTION("""COMPUTED_VALUE"""),"")</f>
        <v/>
      </c>
      <c r="J283" s="13" t="str">
        <f t="shared" si="1"/>
        <v/>
      </c>
      <c r="K283" s="12" t="str">
        <f>IFERROR(IF(A283="","",if($G283="",Reference!$J$2, VLOOKUP($G283,Reference!$I$2:$J$1000,2,false))),"")</f>
        <v/>
      </c>
      <c r="L283" s="12" t="str">
        <f>IF(A283="","", IF(F283="",Reference!$M$2,F283))</f>
        <v/>
      </c>
      <c r="M283" s="14" t="str">
        <f t="shared" si="2"/>
        <v/>
      </c>
      <c r="N283" s="15" t="str">
        <f t="shared" si="3"/>
        <v/>
      </c>
      <c r="O283" s="14" t="str">
        <f t="shared" si="4"/>
        <v/>
      </c>
      <c r="P283" s="16" t="str">
        <f t="array" ref="P283">IF($A283="","", IFERROR(INDEX('BM Data'!$N:$N,MATCH($J283&amp; "-" &amp; $N283,'BM Data'!$O:$O,0),1),""))</f>
        <v/>
      </c>
      <c r="Q283" s="16" t="str">
        <f t="array" ref="Q283">IF($A283="","", IFERROR(INDEX('BM Data'!$J:$J,MATCH($J283&amp; "-" &amp; $N283,'BM Data'!$O:$O,0),1),""))</f>
        <v/>
      </c>
    </row>
    <row r="284">
      <c r="A284" s="10" t="str">
        <f>IFERROR(__xludf.DUMMYFUNCTION("""COMPUTED_VALUE"""),"")</f>
        <v/>
      </c>
      <c r="B284" s="3" t="str">
        <f>IFERROR(__xludf.DUMMYFUNCTION("""COMPUTED_VALUE"""),"")</f>
        <v/>
      </c>
      <c r="C284" s="11" t="str">
        <f>IFERROR(__xludf.DUMMYFUNCTION("""COMPUTED_VALUE"""),"")</f>
        <v/>
      </c>
      <c r="D284" s="11" t="str">
        <f>IFERROR(__xludf.DUMMYFUNCTION("""COMPUTED_VALUE"""),"")</f>
        <v/>
      </c>
      <c r="E284" s="11" t="str">
        <f>IFERROR(__xludf.DUMMYFUNCTION("""COMPUTED_VALUE"""),"")</f>
        <v/>
      </c>
      <c r="F284" s="11" t="str">
        <f>IFERROR(__xludf.DUMMYFUNCTION("""COMPUTED_VALUE"""),"")</f>
        <v/>
      </c>
      <c r="G284" s="11" t="str">
        <f>IFERROR(__xludf.DUMMYFUNCTION("""COMPUTED_VALUE"""),"")</f>
        <v/>
      </c>
      <c r="H284" s="12" t="str">
        <f>IFERROR(__xludf.DUMMYFUNCTION("""COMPUTED_VALUE"""),"")</f>
        <v/>
      </c>
      <c r="I284" s="12" t="str">
        <f>IFERROR(__xludf.DUMMYFUNCTION("""COMPUTED_VALUE"""),"")</f>
        <v/>
      </c>
      <c r="J284" s="13" t="str">
        <f t="shared" si="1"/>
        <v/>
      </c>
      <c r="K284" s="12" t="str">
        <f>IFERROR(IF(A284="","",if($G284="",Reference!$J$2, VLOOKUP($G284,Reference!$I$2:$J$1000,2,false))),"")</f>
        <v/>
      </c>
      <c r="L284" s="12" t="str">
        <f>IF(A284="","", IF(F284="",Reference!$M$2,F284))</f>
        <v/>
      </c>
      <c r="M284" s="14" t="str">
        <f t="shared" si="2"/>
        <v/>
      </c>
      <c r="N284" s="15" t="str">
        <f t="shared" si="3"/>
        <v/>
      </c>
      <c r="O284" s="14" t="str">
        <f t="shared" si="4"/>
        <v/>
      </c>
      <c r="P284" s="16" t="str">
        <f t="array" ref="P284">IF($A284="","", IFERROR(INDEX('BM Data'!$N:$N,MATCH($J284&amp; "-" &amp; $N284,'BM Data'!$O:$O,0),1),""))</f>
        <v/>
      </c>
      <c r="Q284" s="16" t="str">
        <f t="array" ref="Q284">IF($A284="","", IFERROR(INDEX('BM Data'!$J:$J,MATCH($J284&amp; "-" &amp; $N284,'BM Data'!$O:$O,0),1),""))</f>
        <v/>
      </c>
    </row>
    <row r="285">
      <c r="A285" s="10" t="str">
        <f>IFERROR(__xludf.DUMMYFUNCTION("""COMPUTED_VALUE"""),"")</f>
        <v/>
      </c>
      <c r="B285" s="3" t="str">
        <f>IFERROR(__xludf.DUMMYFUNCTION("""COMPUTED_VALUE"""),"")</f>
        <v/>
      </c>
      <c r="C285" s="11" t="str">
        <f>IFERROR(__xludf.DUMMYFUNCTION("""COMPUTED_VALUE"""),"")</f>
        <v/>
      </c>
      <c r="D285" s="11" t="str">
        <f>IFERROR(__xludf.DUMMYFUNCTION("""COMPUTED_VALUE"""),"")</f>
        <v/>
      </c>
      <c r="E285" s="11" t="str">
        <f>IFERROR(__xludf.DUMMYFUNCTION("""COMPUTED_VALUE"""),"")</f>
        <v/>
      </c>
      <c r="F285" s="11" t="str">
        <f>IFERROR(__xludf.DUMMYFUNCTION("""COMPUTED_VALUE"""),"")</f>
        <v/>
      </c>
      <c r="G285" s="11" t="str">
        <f>IFERROR(__xludf.DUMMYFUNCTION("""COMPUTED_VALUE"""),"")</f>
        <v/>
      </c>
      <c r="H285" s="12" t="str">
        <f>IFERROR(__xludf.DUMMYFUNCTION("""COMPUTED_VALUE"""),"")</f>
        <v/>
      </c>
      <c r="I285" s="12" t="str">
        <f>IFERROR(__xludf.DUMMYFUNCTION("""COMPUTED_VALUE"""),"")</f>
        <v/>
      </c>
      <c r="J285" s="13" t="str">
        <f t="shared" si="1"/>
        <v/>
      </c>
      <c r="K285" s="12" t="str">
        <f>IFERROR(IF(A285="","",if($G285="",Reference!$J$2, VLOOKUP($G285,Reference!$I$2:$J$1000,2,false))),"")</f>
        <v/>
      </c>
      <c r="L285" s="12" t="str">
        <f>IF(A285="","", IF(F285="",Reference!$M$2,F285))</f>
        <v/>
      </c>
      <c r="M285" s="14" t="str">
        <f t="shared" si="2"/>
        <v/>
      </c>
      <c r="N285" s="15" t="str">
        <f t="shared" si="3"/>
        <v/>
      </c>
      <c r="O285" s="14" t="str">
        <f t="shared" si="4"/>
        <v/>
      </c>
      <c r="P285" s="16" t="str">
        <f t="array" ref="P285">IF($A285="","", IFERROR(INDEX('BM Data'!$N:$N,MATCH($J285&amp; "-" &amp; $N285,'BM Data'!$O:$O,0),1),""))</f>
        <v/>
      </c>
      <c r="Q285" s="16" t="str">
        <f t="array" ref="Q285">IF($A285="","", IFERROR(INDEX('BM Data'!$J:$J,MATCH($J285&amp; "-" &amp; $N285,'BM Data'!$O:$O,0),1),""))</f>
        <v/>
      </c>
    </row>
    <row r="286">
      <c r="A286" s="10" t="str">
        <f>IFERROR(__xludf.DUMMYFUNCTION("""COMPUTED_VALUE"""),"")</f>
        <v/>
      </c>
      <c r="B286" s="3" t="str">
        <f>IFERROR(__xludf.DUMMYFUNCTION("""COMPUTED_VALUE"""),"")</f>
        <v/>
      </c>
      <c r="C286" s="11" t="str">
        <f>IFERROR(__xludf.DUMMYFUNCTION("""COMPUTED_VALUE"""),"")</f>
        <v/>
      </c>
      <c r="D286" s="11" t="str">
        <f>IFERROR(__xludf.DUMMYFUNCTION("""COMPUTED_VALUE"""),"")</f>
        <v/>
      </c>
      <c r="E286" s="11" t="str">
        <f>IFERROR(__xludf.DUMMYFUNCTION("""COMPUTED_VALUE"""),"")</f>
        <v/>
      </c>
      <c r="F286" s="11" t="str">
        <f>IFERROR(__xludf.DUMMYFUNCTION("""COMPUTED_VALUE"""),"")</f>
        <v/>
      </c>
      <c r="G286" s="11" t="str">
        <f>IFERROR(__xludf.DUMMYFUNCTION("""COMPUTED_VALUE"""),"")</f>
        <v/>
      </c>
      <c r="H286" s="12" t="str">
        <f>IFERROR(__xludf.DUMMYFUNCTION("""COMPUTED_VALUE"""),"")</f>
        <v/>
      </c>
      <c r="I286" s="12" t="str">
        <f>IFERROR(__xludf.DUMMYFUNCTION("""COMPUTED_VALUE"""),"")</f>
        <v/>
      </c>
      <c r="J286" s="13" t="str">
        <f t="shared" si="1"/>
        <v/>
      </c>
      <c r="K286" s="12" t="str">
        <f>IFERROR(IF(A286="","",if($G286="",Reference!$J$2, VLOOKUP($G286,Reference!$I$2:$J$1000,2,false))),"")</f>
        <v/>
      </c>
      <c r="L286" s="12" t="str">
        <f>IF(A286="","", IF(F286="",Reference!$M$2,F286))</f>
        <v/>
      </c>
      <c r="M286" s="14" t="str">
        <f t="shared" si="2"/>
        <v/>
      </c>
      <c r="N286" s="15" t="str">
        <f t="shared" si="3"/>
        <v/>
      </c>
      <c r="O286" s="14" t="str">
        <f t="shared" si="4"/>
        <v/>
      </c>
      <c r="P286" s="16" t="str">
        <f t="array" ref="P286">IF($A286="","", IFERROR(INDEX('BM Data'!$N:$N,MATCH($J286&amp; "-" &amp; $N286,'BM Data'!$O:$O,0),1),""))</f>
        <v/>
      </c>
      <c r="Q286" s="16" t="str">
        <f t="array" ref="Q286">IF($A286="","", IFERROR(INDEX('BM Data'!$J:$J,MATCH($J286&amp; "-" &amp; $N286,'BM Data'!$O:$O,0),1),""))</f>
        <v/>
      </c>
    </row>
    <row r="287">
      <c r="A287" s="10" t="str">
        <f>IFERROR(__xludf.DUMMYFUNCTION("""COMPUTED_VALUE"""),"")</f>
        <v/>
      </c>
      <c r="B287" s="3" t="str">
        <f>IFERROR(__xludf.DUMMYFUNCTION("""COMPUTED_VALUE"""),"")</f>
        <v/>
      </c>
      <c r="C287" s="11" t="str">
        <f>IFERROR(__xludf.DUMMYFUNCTION("""COMPUTED_VALUE"""),"")</f>
        <v/>
      </c>
      <c r="D287" s="11" t="str">
        <f>IFERROR(__xludf.DUMMYFUNCTION("""COMPUTED_VALUE"""),"")</f>
        <v/>
      </c>
      <c r="E287" s="11" t="str">
        <f>IFERROR(__xludf.DUMMYFUNCTION("""COMPUTED_VALUE"""),"")</f>
        <v/>
      </c>
      <c r="F287" s="11" t="str">
        <f>IFERROR(__xludf.DUMMYFUNCTION("""COMPUTED_VALUE"""),"")</f>
        <v/>
      </c>
      <c r="G287" s="11" t="str">
        <f>IFERROR(__xludf.DUMMYFUNCTION("""COMPUTED_VALUE"""),"")</f>
        <v/>
      </c>
      <c r="H287" s="12" t="str">
        <f>IFERROR(__xludf.DUMMYFUNCTION("""COMPUTED_VALUE"""),"")</f>
        <v/>
      </c>
      <c r="I287" s="12" t="str">
        <f>IFERROR(__xludf.DUMMYFUNCTION("""COMPUTED_VALUE"""),"")</f>
        <v/>
      </c>
      <c r="J287" s="13" t="str">
        <f t="shared" si="1"/>
        <v/>
      </c>
      <c r="K287" s="12" t="str">
        <f>IFERROR(IF(A287="","",if($G287="",Reference!$J$2, VLOOKUP($G287,Reference!$I$2:$J$1000,2,false))),"")</f>
        <v/>
      </c>
      <c r="L287" s="12" t="str">
        <f>IF(A287="","", IF(F287="",Reference!$M$2,F287))</f>
        <v/>
      </c>
      <c r="M287" s="14" t="str">
        <f t="shared" si="2"/>
        <v/>
      </c>
      <c r="N287" s="15" t="str">
        <f t="shared" si="3"/>
        <v/>
      </c>
      <c r="O287" s="14" t="str">
        <f t="shared" si="4"/>
        <v/>
      </c>
      <c r="P287" s="16" t="str">
        <f t="array" ref="P287">IF($A287="","", IFERROR(INDEX('BM Data'!$N:$N,MATCH($J287&amp; "-" &amp; $N287,'BM Data'!$O:$O,0),1),""))</f>
        <v/>
      </c>
      <c r="Q287" s="16" t="str">
        <f t="array" ref="Q287">IF($A287="","", IFERROR(INDEX('BM Data'!$J:$J,MATCH($J287&amp; "-" &amp; $N287,'BM Data'!$O:$O,0),1),""))</f>
        <v/>
      </c>
    </row>
    <row r="288">
      <c r="A288" s="10" t="str">
        <f>IFERROR(__xludf.DUMMYFUNCTION("""COMPUTED_VALUE"""),"")</f>
        <v/>
      </c>
      <c r="B288" s="3" t="str">
        <f>IFERROR(__xludf.DUMMYFUNCTION("""COMPUTED_VALUE"""),"")</f>
        <v/>
      </c>
      <c r="C288" s="11" t="str">
        <f>IFERROR(__xludf.DUMMYFUNCTION("""COMPUTED_VALUE"""),"")</f>
        <v/>
      </c>
      <c r="D288" s="11" t="str">
        <f>IFERROR(__xludf.DUMMYFUNCTION("""COMPUTED_VALUE"""),"")</f>
        <v/>
      </c>
      <c r="E288" s="11" t="str">
        <f>IFERROR(__xludf.DUMMYFUNCTION("""COMPUTED_VALUE"""),"")</f>
        <v/>
      </c>
      <c r="F288" s="11" t="str">
        <f>IFERROR(__xludf.DUMMYFUNCTION("""COMPUTED_VALUE"""),"")</f>
        <v/>
      </c>
      <c r="G288" s="11" t="str">
        <f>IFERROR(__xludf.DUMMYFUNCTION("""COMPUTED_VALUE"""),"")</f>
        <v/>
      </c>
      <c r="H288" s="12" t="str">
        <f>IFERROR(__xludf.DUMMYFUNCTION("""COMPUTED_VALUE"""),"")</f>
        <v/>
      </c>
      <c r="I288" s="12" t="str">
        <f>IFERROR(__xludf.DUMMYFUNCTION("""COMPUTED_VALUE"""),"")</f>
        <v/>
      </c>
      <c r="J288" s="13" t="str">
        <f t="shared" si="1"/>
        <v/>
      </c>
      <c r="K288" s="12" t="str">
        <f>IFERROR(IF(A288="","",if($G288="",Reference!$J$2, VLOOKUP($G288,Reference!$I$2:$J$1000,2,false))),"")</f>
        <v/>
      </c>
      <c r="L288" s="12" t="str">
        <f>IF(A288="","", IF(F288="",Reference!$M$2,F288))</f>
        <v/>
      </c>
      <c r="M288" s="14" t="str">
        <f t="shared" si="2"/>
        <v/>
      </c>
      <c r="N288" s="15" t="str">
        <f t="shared" si="3"/>
        <v/>
      </c>
      <c r="O288" s="14" t="str">
        <f t="shared" si="4"/>
        <v/>
      </c>
      <c r="P288" s="16" t="str">
        <f t="array" ref="P288">IF($A288="","", IFERROR(INDEX('BM Data'!$N:$N,MATCH($J288&amp; "-" &amp; $N288,'BM Data'!$O:$O,0),1),""))</f>
        <v/>
      </c>
      <c r="Q288" s="16" t="str">
        <f t="array" ref="Q288">IF($A288="","", IFERROR(INDEX('BM Data'!$J:$J,MATCH($J288&amp; "-" &amp; $N288,'BM Data'!$O:$O,0),1),""))</f>
        <v/>
      </c>
    </row>
    <row r="289">
      <c r="A289" s="10" t="str">
        <f>IFERROR(__xludf.DUMMYFUNCTION("""COMPUTED_VALUE"""),"")</f>
        <v/>
      </c>
      <c r="B289" s="3" t="str">
        <f>IFERROR(__xludf.DUMMYFUNCTION("""COMPUTED_VALUE"""),"")</f>
        <v/>
      </c>
      <c r="C289" s="11" t="str">
        <f>IFERROR(__xludf.DUMMYFUNCTION("""COMPUTED_VALUE"""),"")</f>
        <v/>
      </c>
      <c r="D289" s="11" t="str">
        <f>IFERROR(__xludf.DUMMYFUNCTION("""COMPUTED_VALUE"""),"")</f>
        <v/>
      </c>
      <c r="E289" s="11" t="str">
        <f>IFERROR(__xludf.DUMMYFUNCTION("""COMPUTED_VALUE"""),"")</f>
        <v/>
      </c>
      <c r="F289" s="11" t="str">
        <f>IFERROR(__xludf.DUMMYFUNCTION("""COMPUTED_VALUE"""),"")</f>
        <v/>
      </c>
      <c r="G289" s="11" t="str">
        <f>IFERROR(__xludf.DUMMYFUNCTION("""COMPUTED_VALUE"""),"")</f>
        <v/>
      </c>
      <c r="H289" s="12" t="str">
        <f>IFERROR(__xludf.DUMMYFUNCTION("""COMPUTED_VALUE"""),"")</f>
        <v/>
      </c>
      <c r="I289" s="12" t="str">
        <f>IFERROR(__xludf.DUMMYFUNCTION("""COMPUTED_VALUE"""),"")</f>
        <v/>
      </c>
      <c r="J289" s="13" t="str">
        <f t="shared" si="1"/>
        <v/>
      </c>
      <c r="K289" s="12" t="str">
        <f>IFERROR(IF(A289="","",if($G289="",Reference!$J$2, VLOOKUP($G289,Reference!$I$2:$J$1000,2,false))),"")</f>
        <v/>
      </c>
      <c r="L289" s="12" t="str">
        <f>IF(A289="","", IF(F289="",Reference!$M$2,F289))</f>
        <v/>
      </c>
      <c r="M289" s="14" t="str">
        <f t="shared" si="2"/>
        <v/>
      </c>
      <c r="N289" s="15" t="str">
        <f t="shared" si="3"/>
        <v/>
      </c>
      <c r="O289" s="14" t="str">
        <f t="shared" si="4"/>
        <v/>
      </c>
      <c r="P289" s="16" t="str">
        <f t="array" ref="P289">IF($A289="","", IFERROR(INDEX('BM Data'!$N:$N,MATCH($J289&amp; "-" &amp; $N289,'BM Data'!$O:$O,0),1),""))</f>
        <v/>
      </c>
      <c r="Q289" s="16" t="str">
        <f t="array" ref="Q289">IF($A289="","", IFERROR(INDEX('BM Data'!$J:$J,MATCH($J289&amp; "-" &amp; $N289,'BM Data'!$O:$O,0),1),""))</f>
        <v/>
      </c>
    </row>
    <row r="290">
      <c r="A290" s="10" t="str">
        <f>IFERROR(__xludf.DUMMYFUNCTION("""COMPUTED_VALUE"""),"")</f>
        <v/>
      </c>
      <c r="B290" s="3" t="str">
        <f>IFERROR(__xludf.DUMMYFUNCTION("""COMPUTED_VALUE"""),"")</f>
        <v/>
      </c>
      <c r="C290" s="11" t="str">
        <f>IFERROR(__xludf.DUMMYFUNCTION("""COMPUTED_VALUE"""),"")</f>
        <v/>
      </c>
      <c r="D290" s="11" t="str">
        <f>IFERROR(__xludf.DUMMYFUNCTION("""COMPUTED_VALUE"""),"")</f>
        <v/>
      </c>
      <c r="E290" s="11" t="str">
        <f>IFERROR(__xludf.DUMMYFUNCTION("""COMPUTED_VALUE"""),"")</f>
        <v/>
      </c>
      <c r="F290" s="11" t="str">
        <f>IFERROR(__xludf.DUMMYFUNCTION("""COMPUTED_VALUE"""),"")</f>
        <v/>
      </c>
      <c r="G290" s="11" t="str">
        <f>IFERROR(__xludf.DUMMYFUNCTION("""COMPUTED_VALUE"""),"")</f>
        <v/>
      </c>
      <c r="H290" s="12" t="str">
        <f>IFERROR(__xludf.DUMMYFUNCTION("""COMPUTED_VALUE"""),"")</f>
        <v/>
      </c>
      <c r="I290" s="12" t="str">
        <f>IFERROR(__xludf.DUMMYFUNCTION("""COMPUTED_VALUE"""),"")</f>
        <v/>
      </c>
      <c r="J290" s="13" t="str">
        <f t="shared" si="1"/>
        <v/>
      </c>
      <c r="K290" s="12" t="str">
        <f>IFERROR(IF(A290="","",if($G290="",Reference!$J$2, VLOOKUP($G290,Reference!$I$2:$J$1000,2,false))),"")</f>
        <v/>
      </c>
      <c r="L290" s="12" t="str">
        <f>IF(A290="","", IF(F290="",Reference!$M$2,F290))</f>
        <v/>
      </c>
      <c r="M290" s="14" t="str">
        <f t="shared" si="2"/>
        <v/>
      </c>
      <c r="N290" s="15" t="str">
        <f t="shared" si="3"/>
        <v/>
      </c>
      <c r="O290" s="14" t="str">
        <f t="shared" si="4"/>
        <v/>
      </c>
      <c r="P290" s="16" t="str">
        <f t="array" ref="P290">IF($A290="","", IFERROR(INDEX('BM Data'!$N:$N,MATCH($J290&amp; "-" &amp; $N290,'BM Data'!$O:$O,0),1),""))</f>
        <v/>
      </c>
      <c r="Q290" s="16" t="str">
        <f t="array" ref="Q290">IF($A290="","", IFERROR(INDEX('BM Data'!$J:$J,MATCH($J290&amp; "-" &amp; $N290,'BM Data'!$O:$O,0),1),""))</f>
        <v/>
      </c>
    </row>
    <row r="291">
      <c r="A291" s="10" t="str">
        <f>IFERROR(__xludf.DUMMYFUNCTION("""COMPUTED_VALUE"""),"")</f>
        <v/>
      </c>
      <c r="B291" s="3" t="str">
        <f>IFERROR(__xludf.DUMMYFUNCTION("""COMPUTED_VALUE"""),"")</f>
        <v/>
      </c>
      <c r="C291" s="11" t="str">
        <f>IFERROR(__xludf.DUMMYFUNCTION("""COMPUTED_VALUE"""),"")</f>
        <v/>
      </c>
      <c r="D291" s="11" t="str">
        <f>IFERROR(__xludf.DUMMYFUNCTION("""COMPUTED_VALUE"""),"")</f>
        <v/>
      </c>
      <c r="E291" s="11" t="str">
        <f>IFERROR(__xludf.DUMMYFUNCTION("""COMPUTED_VALUE"""),"")</f>
        <v/>
      </c>
      <c r="F291" s="11" t="str">
        <f>IFERROR(__xludf.DUMMYFUNCTION("""COMPUTED_VALUE"""),"")</f>
        <v/>
      </c>
      <c r="G291" s="11" t="str">
        <f>IFERROR(__xludf.DUMMYFUNCTION("""COMPUTED_VALUE"""),"")</f>
        <v/>
      </c>
      <c r="H291" s="12" t="str">
        <f>IFERROR(__xludf.DUMMYFUNCTION("""COMPUTED_VALUE"""),"")</f>
        <v/>
      </c>
      <c r="I291" s="12" t="str">
        <f>IFERROR(__xludf.DUMMYFUNCTION("""COMPUTED_VALUE"""),"")</f>
        <v/>
      </c>
      <c r="J291" s="13" t="str">
        <f t="shared" si="1"/>
        <v/>
      </c>
      <c r="K291" s="12" t="str">
        <f>IFERROR(IF(A291="","",if($G291="",Reference!$J$2, VLOOKUP($G291,Reference!$I$2:$J$1000,2,false))),"")</f>
        <v/>
      </c>
      <c r="L291" s="12" t="str">
        <f>IF(A291="","", IF(F291="",Reference!$M$2,F291))</f>
        <v/>
      </c>
      <c r="M291" s="14" t="str">
        <f t="shared" si="2"/>
        <v/>
      </c>
      <c r="N291" s="15" t="str">
        <f t="shared" si="3"/>
        <v/>
      </c>
      <c r="O291" s="14" t="str">
        <f t="shared" si="4"/>
        <v/>
      </c>
      <c r="P291" s="16" t="str">
        <f t="array" ref="P291">IF($A291="","", IFERROR(INDEX('BM Data'!$N:$N,MATCH($J291&amp; "-" &amp; $N291,'BM Data'!$O:$O,0),1),""))</f>
        <v/>
      </c>
      <c r="Q291" s="16" t="str">
        <f t="array" ref="Q291">IF($A291="","", IFERROR(INDEX('BM Data'!$J:$J,MATCH($J291&amp; "-" &amp; $N291,'BM Data'!$O:$O,0),1),""))</f>
        <v/>
      </c>
    </row>
    <row r="292">
      <c r="A292" s="10" t="str">
        <f>IFERROR(__xludf.DUMMYFUNCTION("""COMPUTED_VALUE"""),"")</f>
        <v/>
      </c>
      <c r="B292" s="3" t="str">
        <f>IFERROR(__xludf.DUMMYFUNCTION("""COMPUTED_VALUE"""),"")</f>
        <v/>
      </c>
      <c r="C292" s="11" t="str">
        <f>IFERROR(__xludf.DUMMYFUNCTION("""COMPUTED_VALUE"""),"")</f>
        <v/>
      </c>
      <c r="D292" s="11" t="str">
        <f>IFERROR(__xludf.DUMMYFUNCTION("""COMPUTED_VALUE"""),"")</f>
        <v/>
      </c>
      <c r="E292" s="11" t="str">
        <f>IFERROR(__xludf.DUMMYFUNCTION("""COMPUTED_VALUE"""),"")</f>
        <v/>
      </c>
      <c r="F292" s="11" t="str">
        <f>IFERROR(__xludf.DUMMYFUNCTION("""COMPUTED_VALUE"""),"")</f>
        <v/>
      </c>
      <c r="G292" s="11" t="str">
        <f>IFERROR(__xludf.DUMMYFUNCTION("""COMPUTED_VALUE"""),"")</f>
        <v/>
      </c>
      <c r="H292" s="12" t="str">
        <f>IFERROR(__xludf.DUMMYFUNCTION("""COMPUTED_VALUE"""),"")</f>
        <v/>
      </c>
      <c r="I292" s="12" t="str">
        <f>IFERROR(__xludf.DUMMYFUNCTION("""COMPUTED_VALUE"""),"")</f>
        <v/>
      </c>
      <c r="J292" s="13" t="str">
        <f t="shared" si="1"/>
        <v/>
      </c>
      <c r="K292" s="12" t="str">
        <f>IFERROR(IF(A292="","",if($G292="",Reference!$J$2, VLOOKUP($G292,Reference!$I$2:$J$1000,2,false))),"")</f>
        <v/>
      </c>
      <c r="L292" s="12" t="str">
        <f>IF(A292="","", IF(F292="",Reference!$M$2,F292))</f>
        <v/>
      </c>
      <c r="M292" s="14" t="str">
        <f t="shared" si="2"/>
        <v/>
      </c>
      <c r="N292" s="15" t="str">
        <f t="shared" si="3"/>
        <v/>
      </c>
      <c r="O292" s="14" t="str">
        <f t="shared" si="4"/>
        <v/>
      </c>
      <c r="P292" s="16" t="str">
        <f t="array" ref="P292">IF($A292="","", IFERROR(INDEX('BM Data'!$N:$N,MATCH($J292&amp; "-" &amp; $N292,'BM Data'!$O:$O,0),1),""))</f>
        <v/>
      </c>
      <c r="Q292" s="16" t="str">
        <f t="array" ref="Q292">IF($A292="","", IFERROR(INDEX('BM Data'!$J:$J,MATCH($J292&amp; "-" &amp; $N292,'BM Data'!$O:$O,0),1),""))</f>
        <v/>
      </c>
    </row>
    <row r="293">
      <c r="A293" s="10" t="str">
        <f>IFERROR(__xludf.DUMMYFUNCTION("""COMPUTED_VALUE"""),"")</f>
        <v/>
      </c>
      <c r="B293" s="3" t="str">
        <f>IFERROR(__xludf.DUMMYFUNCTION("""COMPUTED_VALUE"""),"")</f>
        <v/>
      </c>
      <c r="C293" s="11" t="str">
        <f>IFERROR(__xludf.DUMMYFUNCTION("""COMPUTED_VALUE"""),"")</f>
        <v/>
      </c>
      <c r="D293" s="11" t="str">
        <f>IFERROR(__xludf.DUMMYFUNCTION("""COMPUTED_VALUE"""),"")</f>
        <v/>
      </c>
      <c r="E293" s="11" t="str">
        <f>IFERROR(__xludf.DUMMYFUNCTION("""COMPUTED_VALUE"""),"")</f>
        <v/>
      </c>
      <c r="F293" s="11" t="str">
        <f>IFERROR(__xludf.DUMMYFUNCTION("""COMPUTED_VALUE"""),"")</f>
        <v/>
      </c>
      <c r="G293" s="11" t="str">
        <f>IFERROR(__xludf.DUMMYFUNCTION("""COMPUTED_VALUE"""),"")</f>
        <v/>
      </c>
      <c r="H293" s="12" t="str">
        <f>IFERROR(__xludf.DUMMYFUNCTION("""COMPUTED_VALUE"""),"")</f>
        <v/>
      </c>
      <c r="I293" s="12" t="str">
        <f>IFERROR(__xludf.DUMMYFUNCTION("""COMPUTED_VALUE"""),"")</f>
        <v/>
      </c>
      <c r="J293" s="13" t="str">
        <f t="shared" si="1"/>
        <v/>
      </c>
      <c r="K293" s="12" t="str">
        <f>IFERROR(IF(A293="","",if($G293="",Reference!$J$2, VLOOKUP($G293,Reference!$I$2:$J$1000,2,false))),"")</f>
        <v/>
      </c>
      <c r="L293" s="12" t="str">
        <f>IF(A293="","", IF(F293="",Reference!$M$2,F293))</f>
        <v/>
      </c>
      <c r="M293" s="14" t="str">
        <f t="shared" si="2"/>
        <v/>
      </c>
      <c r="N293" s="15" t="str">
        <f t="shared" si="3"/>
        <v/>
      </c>
      <c r="O293" s="14" t="str">
        <f t="shared" si="4"/>
        <v/>
      </c>
      <c r="P293" s="16" t="str">
        <f t="array" ref="P293">IF($A293="","", IFERROR(INDEX('BM Data'!$N:$N,MATCH($J293&amp; "-" &amp; $N293,'BM Data'!$O:$O,0),1),""))</f>
        <v/>
      </c>
      <c r="Q293" s="16" t="str">
        <f t="array" ref="Q293">IF($A293="","", IFERROR(INDEX('BM Data'!$J:$J,MATCH($J293&amp; "-" &amp; $N293,'BM Data'!$O:$O,0),1),""))</f>
        <v/>
      </c>
    </row>
    <row r="294">
      <c r="A294" s="10" t="str">
        <f>IFERROR(__xludf.DUMMYFUNCTION("""COMPUTED_VALUE"""),"")</f>
        <v/>
      </c>
      <c r="B294" s="3" t="str">
        <f>IFERROR(__xludf.DUMMYFUNCTION("""COMPUTED_VALUE"""),"")</f>
        <v/>
      </c>
      <c r="C294" s="11" t="str">
        <f>IFERROR(__xludf.DUMMYFUNCTION("""COMPUTED_VALUE"""),"")</f>
        <v/>
      </c>
      <c r="D294" s="11" t="str">
        <f>IFERROR(__xludf.DUMMYFUNCTION("""COMPUTED_VALUE"""),"")</f>
        <v/>
      </c>
      <c r="E294" s="11" t="str">
        <f>IFERROR(__xludf.DUMMYFUNCTION("""COMPUTED_VALUE"""),"")</f>
        <v/>
      </c>
      <c r="F294" s="11" t="str">
        <f>IFERROR(__xludf.DUMMYFUNCTION("""COMPUTED_VALUE"""),"")</f>
        <v/>
      </c>
      <c r="G294" s="11" t="str">
        <f>IFERROR(__xludf.DUMMYFUNCTION("""COMPUTED_VALUE"""),"")</f>
        <v/>
      </c>
      <c r="H294" s="12" t="str">
        <f>IFERROR(__xludf.DUMMYFUNCTION("""COMPUTED_VALUE"""),"")</f>
        <v/>
      </c>
      <c r="I294" s="12" t="str">
        <f>IFERROR(__xludf.DUMMYFUNCTION("""COMPUTED_VALUE"""),"")</f>
        <v/>
      </c>
      <c r="J294" s="13" t="str">
        <f t="shared" si="1"/>
        <v/>
      </c>
      <c r="K294" s="12" t="str">
        <f>IFERROR(IF(A294="","",if($G294="",Reference!$J$2, VLOOKUP($G294,Reference!$I$2:$J$1000,2,false))),"")</f>
        <v/>
      </c>
      <c r="L294" s="12" t="str">
        <f>IF(A294="","", IF(F294="",Reference!$M$2,F294))</f>
        <v/>
      </c>
      <c r="M294" s="14" t="str">
        <f t="shared" si="2"/>
        <v/>
      </c>
      <c r="N294" s="15" t="str">
        <f t="shared" si="3"/>
        <v/>
      </c>
      <c r="O294" s="14" t="str">
        <f t="shared" si="4"/>
        <v/>
      </c>
      <c r="P294" s="16" t="str">
        <f t="array" ref="P294">IF($A294="","", IFERROR(INDEX('BM Data'!$N:$N,MATCH($J294&amp; "-" &amp; $N294,'BM Data'!$O:$O,0),1),""))</f>
        <v/>
      </c>
      <c r="Q294" s="16" t="str">
        <f t="array" ref="Q294">IF($A294="","", IFERROR(INDEX('BM Data'!$J:$J,MATCH($J294&amp; "-" &amp; $N294,'BM Data'!$O:$O,0),1),""))</f>
        <v/>
      </c>
    </row>
    <row r="295">
      <c r="A295" s="10" t="str">
        <f>IFERROR(__xludf.DUMMYFUNCTION("""COMPUTED_VALUE"""),"")</f>
        <v/>
      </c>
      <c r="B295" s="3" t="str">
        <f>IFERROR(__xludf.DUMMYFUNCTION("""COMPUTED_VALUE"""),"")</f>
        <v/>
      </c>
      <c r="C295" s="11" t="str">
        <f>IFERROR(__xludf.DUMMYFUNCTION("""COMPUTED_VALUE"""),"")</f>
        <v/>
      </c>
      <c r="D295" s="11" t="str">
        <f>IFERROR(__xludf.DUMMYFUNCTION("""COMPUTED_VALUE"""),"")</f>
        <v/>
      </c>
      <c r="E295" s="11" t="str">
        <f>IFERROR(__xludf.DUMMYFUNCTION("""COMPUTED_VALUE"""),"")</f>
        <v/>
      </c>
      <c r="F295" s="11" t="str">
        <f>IFERROR(__xludf.DUMMYFUNCTION("""COMPUTED_VALUE"""),"")</f>
        <v/>
      </c>
      <c r="G295" s="11" t="str">
        <f>IFERROR(__xludf.DUMMYFUNCTION("""COMPUTED_VALUE"""),"")</f>
        <v/>
      </c>
      <c r="H295" s="12" t="str">
        <f>IFERROR(__xludf.DUMMYFUNCTION("""COMPUTED_VALUE"""),"")</f>
        <v/>
      </c>
      <c r="I295" s="12" t="str">
        <f>IFERROR(__xludf.DUMMYFUNCTION("""COMPUTED_VALUE"""),"")</f>
        <v/>
      </c>
      <c r="J295" s="13" t="str">
        <f t="shared" si="1"/>
        <v/>
      </c>
      <c r="K295" s="12" t="str">
        <f>IFERROR(IF(A295="","",if($G295="",Reference!$J$2, VLOOKUP($G295,Reference!$I$2:$J$1000,2,false))),"")</f>
        <v/>
      </c>
      <c r="L295" s="12" t="str">
        <f>IF(A295="","", IF(F295="",Reference!$M$2,F295))</f>
        <v/>
      </c>
      <c r="M295" s="14" t="str">
        <f t="shared" si="2"/>
        <v/>
      </c>
      <c r="N295" s="15" t="str">
        <f t="shared" si="3"/>
        <v/>
      </c>
      <c r="O295" s="14" t="str">
        <f t="shared" si="4"/>
        <v/>
      </c>
      <c r="P295" s="16" t="str">
        <f t="array" ref="P295">IF($A295="","", IFERROR(INDEX('BM Data'!$N:$N,MATCH($J295&amp; "-" &amp; $N295,'BM Data'!$O:$O,0),1),""))</f>
        <v/>
      </c>
      <c r="Q295" s="16" t="str">
        <f t="array" ref="Q295">IF($A295="","", IFERROR(INDEX('BM Data'!$J:$J,MATCH($J295&amp; "-" &amp; $N295,'BM Data'!$O:$O,0),1),""))</f>
        <v/>
      </c>
    </row>
    <row r="296">
      <c r="A296" s="10" t="str">
        <f>IFERROR(__xludf.DUMMYFUNCTION("""COMPUTED_VALUE"""),"")</f>
        <v/>
      </c>
      <c r="B296" s="3" t="str">
        <f>IFERROR(__xludf.DUMMYFUNCTION("""COMPUTED_VALUE"""),"")</f>
        <v/>
      </c>
      <c r="C296" s="11" t="str">
        <f>IFERROR(__xludf.DUMMYFUNCTION("""COMPUTED_VALUE"""),"")</f>
        <v/>
      </c>
      <c r="D296" s="11" t="str">
        <f>IFERROR(__xludf.DUMMYFUNCTION("""COMPUTED_VALUE"""),"")</f>
        <v/>
      </c>
      <c r="E296" s="11" t="str">
        <f>IFERROR(__xludf.DUMMYFUNCTION("""COMPUTED_VALUE"""),"")</f>
        <v/>
      </c>
      <c r="F296" s="11" t="str">
        <f>IFERROR(__xludf.DUMMYFUNCTION("""COMPUTED_VALUE"""),"")</f>
        <v/>
      </c>
      <c r="G296" s="11" t="str">
        <f>IFERROR(__xludf.DUMMYFUNCTION("""COMPUTED_VALUE"""),"")</f>
        <v/>
      </c>
      <c r="H296" s="12" t="str">
        <f>IFERROR(__xludf.DUMMYFUNCTION("""COMPUTED_VALUE"""),"")</f>
        <v/>
      </c>
      <c r="I296" s="12" t="str">
        <f>IFERROR(__xludf.DUMMYFUNCTION("""COMPUTED_VALUE"""),"")</f>
        <v/>
      </c>
      <c r="J296" s="13" t="str">
        <f t="shared" si="1"/>
        <v/>
      </c>
      <c r="K296" s="12" t="str">
        <f>IFERROR(IF(A296="","",if($G296="",Reference!$J$2, VLOOKUP($G296,Reference!$I$2:$J$1000,2,false))),"")</f>
        <v/>
      </c>
      <c r="L296" s="12" t="str">
        <f>IF(A296="","", IF(F296="",Reference!$M$2,F296))</f>
        <v/>
      </c>
      <c r="M296" s="14" t="str">
        <f t="shared" si="2"/>
        <v/>
      </c>
      <c r="N296" s="15" t="str">
        <f t="shared" si="3"/>
        <v/>
      </c>
      <c r="O296" s="14" t="str">
        <f t="shared" si="4"/>
        <v/>
      </c>
      <c r="P296" s="16" t="str">
        <f t="array" ref="P296">IF($A296="","", IFERROR(INDEX('BM Data'!$N:$N,MATCH($J296&amp; "-" &amp; $N296,'BM Data'!$O:$O,0),1),""))</f>
        <v/>
      </c>
      <c r="Q296" s="16" t="str">
        <f t="array" ref="Q296">IF($A296="","", IFERROR(INDEX('BM Data'!$J:$J,MATCH($J296&amp; "-" &amp; $N296,'BM Data'!$O:$O,0),1),""))</f>
        <v/>
      </c>
    </row>
    <row r="297">
      <c r="A297" s="10" t="str">
        <f>IFERROR(__xludf.DUMMYFUNCTION("""COMPUTED_VALUE"""),"")</f>
        <v/>
      </c>
      <c r="B297" s="3" t="str">
        <f>IFERROR(__xludf.DUMMYFUNCTION("""COMPUTED_VALUE"""),"")</f>
        <v/>
      </c>
      <c r="C297" s="11" t="str">
        <f>IFERROR(__xludf.DUMMYFUNCTION("""COMPUTED_VALUE"""),"")</f>
        <v/>
      </c>
      <c r="D297" s="11" t="str">
        <f>IFERROR(__xludf.DUMMYFUNCTION("""COMPUTED_VALUE"""),"")</f>
        <v/>
      </c>
      <c r="E297" s="11" t="str">
        <f>IFERROR(__xludf.DUMMYFUNCTION("""COMPUTED_VALUE"""),"")</f>
        <v/>
      </c>
      <c r="F297" s="11" t="str">
        <f>IFERROR(__xludf.DUMMYFUNCTION("""COMPUTED_VALUE"""),"")</f>
        <v/>
      </c>
      <c r="G297" s="11" t="str">
        <f>IFERROR(__xludf.DUMMYFUNCTION("""COMPUTED_VALUE"""),"")</f>
        <v/>
      </c>
      <c r="H297" s="12" t="str">
        <f>IFERROR(__xludf.DUMMYFUNCTION("""COMPUTED_VALUE"""),"")</f>
        <v/>
      </c>
      <c r="I297" s="12" t="str">
        <f>IFERROR(__xludf.DUMMYFUNCTION("""COMPUTED_VALUE"""),"")</f>
        <v/>
      </c>
      <c r="J297" s="13" t="str">
        <f t="shared" si="1"/>
        <v/>
      </c>
      <c r="K297" s="12" t="str">
        <f>IFERROR(IF(A297="","",if($G297="",Reference!$J$2, VLOOKUP($G297,Reference!$I$2:$J$1000,2,false))),"")</f>
        <v/>
      </c>
      <c r="L297" s="12" t="str">
        <f>IF(A297="","", IF(F297="",Reference!$M$2,F297))</f>
        <v/>
      </c>
      <c r="M297" s="14" t="str">
        <f t="shared" si="2"/>
        <v/>
      </c>
      <c r="N297" s="15" t="str">
        <f t="shared" si="3"/>
        <v/>
      </c>
      <c r="O297" s="14" t="str">
        <f t="shared" si="4"/>
        <v/>
      </c>
      <c r="P297" s="16" t="str">
        <f t="array" ref="P297">IF($A297="","", IFERROR(INDEX('BM Data'!$N:$N,MATCH($J297&amp; "-" &amp; $N297,'BM Data'!$O:$O,0),1),""))</f>
        <v/>
      </c>
      <c r="Q297" s="16" t="str">
        <f t="array" ref="Q297">IF($A297="","", IFERROR(INDEX('BM Data'!$J:$J,MATCH($J297&amp; "-" &amp; $N297,'BM Data'!$O:$O,0),1),""))</f>
        <v/>
      </c>
    </row>
    <row r="298">
      <c r="A298" s="10" t="str">
        <f>IFERROR(__xludf.DUMMYFUNCTION("""COMPUTED_VALUE"""),"")</f>
        <v/>
      </c>
      <c r="B298" s="3" t="str">
        <f>IFERROR(__xludf.DUMMYFUNCTION("""COMPUTED_VALUE"""),"")</f>
        <v/>
      </c>
      <c r="C298" s="11" t="str">
        <f>IFERROR(__xludf.DUMMYFUNCTION("""COMPUTED_VALUE"""),"")</f>
        <v/>
      </c>
      <c r="D298" s="11" t="str">
        <f>IFERROR(__xludf.DUMMYFUNCTION("""COMPUTED_VALUE"""),"")</f>
        <v/>
      </c>
      <c r="E298" s="11" t="str">
        <f>IFERROR(__xludf.DUMMYFUNCTION("""COMPUTED_VALUE"""),"")</f>
        <v/>
      </c>
      <c r="F298" s="11" t="str">
        <f>IFERROR(__xludf.DUMMYFUNCTION("""COMPUTED_VALUE"""),"")</f>
        <v/>
      </c>
      <c r="G298" s="11" t="str">
        <f>IFERROR(__xludf.DUMMYFUNCTION("""COMPUTED_VALUE"""),"")</f>
        <v/>
      </c>
      <c r="H298" s="12" t="str">
        <f>IFERROR(__xludf.DUMMYFUNCTION("""COMPUTED_VALUE"""),"")</f>
        <v/>
      </c>
      <c r="I298" s="12" t="str">
        <f>IFERROR(__xludf.DUMMYFUNCTION("""COMPUTED_VALUE"""),"")</f>
        <v/>
      </c>
      <c r="J298" s="13" t="str">
        <f t="shared" si="1"/>
        <v/>
      </c>
      <c r="K298" s="12" t="str">
        <f>IFERROR(IF(A298="","",if($G298="",Reference!$J$2, VLOOKUP($G298,Reference!$I$2:$J$1000,2,false))),"")</f>
        <v/>
      </c>
      <c r="L298" s="12" t="str">
        <f>IF(A298="","", IF(F298="",Reference!$M$2,F298))</f>
        <v/>
      </c>
      <c r="M298" s="14" t="str">
        <f t="shared" si="2"/>
        <v/>
      </c>
      <c r="N298" s="15" t="str">
        <f t="shared" si="3"/>
        <v/>
      </c>
      <c r="O298" s="14" t="str">
        <f t="shared" si="4"/>
        <v/>
      </c>
      <c r="P298" s="16" t="str">
        <f t="array" ref="P298">IF($A298="","", IFERROR(INDEX('BM Data'!$N:$N,MATCH($J298&amp; "-" &amp; $N298,'BM Data'!$O:$O,0),1),""))</f>
        <v/>
      </c>
      <c r="Q298" s="16" t="str">
        <f t="array" ref="Q298">IF($A298="","", IFERROR(INDEX('BM Data'!$J:$J,MATCH($J298&amp; "-" &amp; $N298,'BM Data'!$O:$O,0),1),""))</f>
        <v/>
      </c>
    </row>
    <row r="299">
      <c r="A299" s="10" t="str">
        <f>IFERROR(__xludf.DUMMYFUNCTION("""COMPUTED_VALUE"""),"")</f>
        <v/>
      </c>
      <c r="B299" s="3" t="str">
        <f>IFERROR(__xludf.DUMMYFUNCTION("""COMPUTED_VALUE"""),"")</f>
        <v/>
      </c>
      <c r="C299" s="11" t="str">
        <f>IFERROR(__xludf.DUMMYFUNCTION("""COMPUTED_VALUE"""),"")</f>
        <v/>
      </c>
      <c r="D299" s="11" t="str">
        <f>IFERROR(__xludf.DUMMYFUNCTION("""COMPUTED_VALUE"""),"")</f>
        <v/>
      </c>
      <c r="E299" s="11" t="str">
        <f>IFERROR(__xludf.DUMMYFUNCTION("""COMPUTED_VALUE"""),"")</f>
        <v/>
      </c>
      <c r="F299" s="11" t="str">
        <f>IFERROR(__xludf.DUMMYFUNCTION("""COMPUTED_VALUE"""),"")</f>
        <v/>
      </c>
      <c r="G299" s="11" t="str">
        <f>IFERROR(__xludf.DUMMYFUNCTION("""COMPUTED_VALUE"""),"")</f>
        <v/>
      </c>
      <c r="H299" s="12" t="str">
        <f>IFERROR(__xludf.DUMMYFUNCTION("""COMPUTED_VALUE"""),"")</f>
        <v/>
      </c>
      <c r="I299" s="12" t="str">
        <f>IFERROR(__xludf.DUMMYFUNCTION("""COMPUTED_VALUE"""),"")</f>
        <v/>
      </c>
      <c r="J299" s="13" t="str">
        <f t="shared" si="1"/>
        <v/>
      </c>
      <c r="K299" s="12" t="str">
        <f>IFERROR(IF(A299="","",if($G299="",Reference!$J$2, VLOOKUP($G299,Reference!$I$2:$J$1000,2,false))),"")</f>
        <v/>
      </c>
      <c r="L299" s="12" t="str">
        <f>IF(A299="","", IF(F299="",Reference!$M$2,F299))</f>
        <v/>
      </c>
      <c r="M299" s="14" t="str">
        <f t="shared" si="2"/>
        <v/>
      </c>
      <c r="N299" s="15" t="str">
        <f t="shared" si="3"/>
        <v/>
      </c>
      <c r="O299" s="14" t="str">
        <f t="shared" si="4"/>
        <v/>
      </c>
      <c r="P299" s="16" t="str">
        <f t="array" ref="P299">IF($A299="","", IFERROR(INDEX('BM Data'!$N:$N,MATCH($J299&amp; "-" &amp; $N299,'BM Data'!$O:$O,0),1),""))</f>
        <v/>
      </c>
      <c r="Q299" s="16" t="str">
        <f t="array" ref="Q299">IF($A299="","", IFERROR(INDEX('BM Data'!$J:$J,MATCH($J299&amp; "-" &amp; $N299,'BM Data'!$O:$O,0),1),""))</f>
        <v/>
      </c>
    </row>
    <row r="300">
      <c r="A300" s="10" t="str">
        <f>IFERROR(__xludf.DUMMYFUNCTION("""COMPUTED_VALUE"""),"")</f>
        <v/>
      </c>
      <c r="B300" s="3" t="str">
        <f>IFERROR(__xludf.DUMMYFUNCTION("""COMPUTED_VALUE"""),"")</f>
        <v/>
      </c>
      <c r="C300" s="11" t="str">
        <f>IFERROR(__xludf.DUMMYFUNCTION("""COMPUTED_VALUE"""),"")</f>
        <v/>
      </c>
      <c r="D300" s="11" t="str">
        <f>IFERROR(__xludf.DUMMYFUNCTION("""COMPUTED_VALUE"""),"")</f>
        <v/>
      </c>
      <c r="E300" s="11" t="str">
        <f>IFERROR(__xludf.DUMMYFUNCTION("""COMPUTED_VALUE"""),"")</f>
        <v/>
      </c>
      <c r="F300" s="11" t="str">
        <f>IFERROR(__xludf.DUMMYFUNCTION("""COMPUTED_VALUE"""),"")</f>
        <v/>
      </c>
      <c r="G300" s="11" t="str">
        <f>IFERROR(__xludf.DUMMYFUNCTION("""COMPUTED_VALUE"""),"")</f>
        <v/>
      </c>
      <c r="H300" s="12" t="str">
        <f>IFERROR(__xludf.DUMMYFUNCTION("""COMPUTED_VALUE"""),"")</f>
        <v/>
      </c>
      <c r="I300" s="12" t="str">
        <f>IFERROR(__xludf.DUMMYFUNCTION("""COMPUTED_VALUE"""),"")</f>
        <v/>
      </c>
      <c r="J300" s="13" t="str">
        <f t="shared" si="1"/>
        <v/>
      </c>
      <c r="K300" s="12" t="str">
        <f>IFERROR(IF(A300="","",if($G300="",Reference!$J$2, VLOOKUP($G300,Reference!$I$2:$J$1000,2,false))),"")</f>
        <v/>
      </c>
      <c r="L300" s="12" t="str">
        <f>IF(A300="","", IF(F300="",Reference!$M$2,F300))</f>
        <v/>
      </c>
      <c r="M300" s="14" t="str">
        <f t="shared" si="2"/>
        <v/>
      </c>
      <c r="N300" s="15" t="str">
        <f t="shared" si="3"/>
        <v/>
      </c>
      <c r="O300" s="14" t="str">
        <f t="shared" si="4"/>
        <v/>
      </c>
      <c r="P300" s="16" t="str">
        <f t="array" ref="P300">IF($A300="","", IFERROR(INDEX('BM Data'!$N:$N,MATCH($J300&amp; "-" &amp; $N300,'BM Data'!$O:$O,0),1),""))</f>
        <v/>
      </c>
      <c r="Q300" s="16" t="str">
        <f t="array" ref="Q300">IF($A300="","", IFERROR(INDEX('BM Data'!$J:$J,MATCH($J300&amp; "-" &amp; $N300,'BM Data'!$O:$O,0),1),""))</f>
        <v/>
      </c>
    </row>
    <row r="301">
      <c r="A301" s="10" t="str">
        <f>IFERROR(__xludf.DUMMYFUNCTION("""COMPUTED_VALUE"""),"")</f>
        <v/>
      </c>
      <c r="B301" s="3" t="str">
        <f>IFERROR(__xludf.DUMMYFUNCTION("""COMPUTED_VALUE"""),"")</f>
        <v/>
      </c>
      <c r="C301" s="11" t="str">
        <f>IFERROR(__xludf.DUMMYFUNCTION("""COMPUTED_VALUE"""),"")</f>
        <v/>
      </c>
      <c r="D301" s="11" t="str">
        <f>IFERROR(__xludf.DUMMYFUNCTION("""COMPUTED_VALUE"""),"")</f>
        <v/>
      </c>
      <c r="E301" s="11" t="str">
        <f>IFERROR(__xludf.DUMMYFUNCTION("""COMPUTED_VALUE"""),"")</f>
        <v/>
      </c>
      <c r="F301" s="11" t="str">
        <f>IFERROR(__xludf.DUMMYFUNCTION("""COMPUTED_VALUE"""),"")</f>
        <v/>
      </c>
      <c r="G301" s="11" t="str">
        <f>IFERROR(__xludf.DUMMYFUNCTION("""COMPUTED_VALUE"""),"")</f>
        <v/>
      </c>
      <c r="H301" s="12" t="str">
        <f>IFERROR(__xludf.DUMMYFUNCTION("""COMPUTED_VALUE"""),"")</f>
        <v/>
      </c>
      <c r="I301" s="12" t="str">
        <f>IFERROR(__xludf.DUMMYFUNCTION("""COMPUTED_VALUE"""),"")</f>
        <v/>
      </c>
      <c r="J301" s="13" t="str">
        <f t="shared" si="1"/>
        <v/>
      </c>
      <c r="K301" s="12" t="str">
        <f>IFERROR(IF(A301="","",if($G301="",Reference!$J$2, VLOOKUP($G301,Reference!$I$2:$J$1000,2,false))),"")</f>
        <v/>
      </c>
      <c r="L301" s="12" t="str">
        <f>IF(A301="","", IF(F301="",Reference!$M$2,F301))</f>
        <v/>
      </c>
      <c r="M301" s="14" t="str">
        <f t="shared" si="2"/>
        <v/>
      </c>
      <c r="N301" s="15" t="str">
        <f t="shared" si="3"/>
        <v/>
      </c>
      <c r="O301" s="14" t="str">
        <f t="shared" si="4"/>
        <v/>
      </c>
      <c r="P301" s="16" t="str">
        <f t="array" ref="P301">IF($A301="","", IFERROR(INDEX('BM Data'!$N:$N,MATCH($J301&amp; "-" &amp; $N301,'BM Data'!$O:$O,0),1),""))</f>
        <v/>
      </c>
      <c r="Q301" s="16" t="str">
        <f t="array" ref="Q301">IF($A301="","", IFERROR(INDEX('BM Data'!$J:$J,MATCH($J301&amp; "-" &amp; $N301,'BM Data'!$O:$O,0),1),""))</f>
        <v/>
      </c>
    </row>
    <row r="302">
      <c r="A302" s="10" t="str">
        <f>IFERROR(__xludf.DUMMYFUNCTION("""COMPUTED_VALUE"""),"")</f>
        <v/>
      </c>
      <c r="B302" s="3" t="str">
        <f>IFERROR(__xludf.DUMMYFUNCTION("""COMPUTED_VALUE"""),"")</f>
        <v/>
      </c>
      <c r="C302" s="11" t="str">
        <f>IFERROR(__xludf.DUMMYFUNCTION("""COMPUTED_VALUE"""),"")</f>
        <v/>
      </c>
      <c r="D302" s="11" t="str">
        <f>IFERROR(__xludf.DUMMYFUNCTION("""COMPUTED_VALUE"""),"")</f>
        <v/>
      </c>
      <c r="E302" s="11" t="str">
        <f>IFERROR(__xludf.DUMMYFUNCTION("""COMPUTED_VALUE"""),"")</f>
        <v/>
      </c>
      <c r="F302" s="11" t="str">
        <f>IFERROR(__xludf.DUMMYFUNCTION("""COMPUTED_VALUE"""),"")</f>
        <v/>
      </c>
      <c r="G302" s="11" t="str">
        <f>IFERROR(__xludf.DUMMYFUNCTION("""COMPUTED_VALUE"""),"")</f>
        <v/>
      </c>
      <c r="H302" s="12" t="str">
        <f>IFERROR(__xludf.DUMMYFUNCTION("""COMPUTED_VALUE"""),"")</f>
        <v/>
      </c>
      <c r="I302" s="12" t="str">
        <f>IFERROR(__xludf.DUMMYFUNCTION("""COMPUTED_VALUE"""),"")</f>
        <v/>
      </c>
      <c r="J302" s="13" t="str">
        <f t="shared" si="1"/>
        <v/>
      </c>
      <c r="K302" s="12" t="str">
        <f>IFERROR(IF(A302="","",if($G302="",Reference!$J$2, VLOOKUP($G302,Reference!$I$2:$J$1000,2,false))),"")</f>
        <v/>
      </c>
      <c r="L302" s="12" t="str">
        <f>IF(A302="","", IF(F302="",Reference!$M$2,F302))</f>
        <v/>
      </c>
      <c r="M302" s="14" t="str">
        <f t="shared" si="2"/>
        <v/>
      </c>
      <c r="N302" s="15" t="str">
        <f t="shared" si="3"/>
        <v/>
      </c>
      <c r="O302" s="14" t="str">
        <f t="shared" si="4"/>
        <v/>
      </c>
      <c r="P302" s="16" t="str">
        <f t="array" ref="P302">IF($A302="","", IFERROR(INDEX('BM Data'!$N:$N,MATCH($J302&amp; "-" &amp; $N302,'BM Data'!$O:$O,0),1),""))</f>
        <v/>
      </c>
      <c r="Q302" s="16" t="str">
        <f t="array" ref="Q302">IF($A302="","", IFERROR(INDEX('BM Data'!$J:$J,MATCH($J302&amp; "-" &amp; $N302,'BM Data'!$O:$O,0),1),""))</f>
        <v/>
      </c>
    </row>
    <row r="303">
      <c r="A303" s="10" t="str">
        <f>IFERROR(__xludf.DUMMYFUNCTION("""COMPUTED_VALUE"""),"")</f>
        <v/>
      </c>
      <c r="B303" s="3" t="str">
        <f>IFERROR(__xludf.DUMMYFUNCTION("""COMPUTED_VALUE"""),"")</f>
        <v/>
      </c>
      <c r="C303" s="11" t="str">
        <f>IFERROR(__xludf.DUMMYFUNCTION("""COMPUTED_VALUE"""),"")</f>
        <v/>
      </c>
      <c r="D303" s="11" t="str">
        <f>IFERROR(__xludf.DUMMYFUNCTION("""COMPUTED_VALUE"""),"")</f>
        <v/>
      </c>
      <c r="E303" s="11" t="str">
        <f>IFERROR(__xludf.DUMMYFUNCTION("""COMPUTED_VALUE"""),"")</f>
        <v/>
      </c>
      <c r="F303" s="11" t="str">
        <f>IFERROR(__xludf.DUMMYFUNCTION("""COMPUTED_VALUE"""),"")</f>
        <v/>
      </c>
      <c r="G303" s="11" t="str">
        <f>IFERROR(__xludf.DUMMYFUNCTION("""COMPUTED_VALUE"""),"")</f>
        <v/>
      </c>
      <c r="H303" s="12" t="str">
        <f>IFERROR(__xludf.DUMMYFUNCTION("""COMPUTED_VALUE"""),"")</f>
        <v/>
      </c>
      <c r="I303" s="12" t="str">
        <f>IFERROR(__xludf.DUMMYFUNCTION("""COMPUTED_VALUE"""),"")</f>
        <v/>
      </c>
      <c r="J303" s="13" t="str">
        <f t="shared" si="1"/>
        <v/>
      </c>
      <c r="K303" s="12" t="str">
        <f>IFERROR(IF(A303="","",if($G303="",Reference!$J$2, VLOOKUP($G303,Reference!$I$2:$J$1000,2,false))),"")</f>
        <v/>
      </c>
      <c r="L303" s="12" t="str">
        <f>IF(A303="","", IF(F303="",Reference!$M$2,F303))</f>
        <v/>
      </c>
      <c r="M303" s="14" t="str">
        <f t="shared" si="2"/>
        <v/>
      </c>
      <c r="N303" s="15" t="str">
        <f t="shared" si="3"/>
        <v/>
      </c>
      <c r="O303" s="14" t="str">
        <f t="shared" si="4"/>
        <v/>
      </c>
      <c r="P303" s="16" t="str">
        <f t="array" ref="P303">IF($A303="","", IFERROR(INDEX('BM Data'!$N:$N,MATCH($J303&amp; "-" &amp; $N303,'BM Data'!$O:$O,0),1),""))</f>
        <v/>
      </c>
      <c r="Q303" s="16" t="str">
        <f t="array" ref="Q303">IF($A303="","", IFERROR(INDEX('BM Data'!$J:$J,MATCH($J303&amp; "-" &amp; $N303,'BM Data'!$O:$O,0),1),""))</f>
        <v/>
      </c>
    </row>
    <row r="304">
      <c r="A304" s="10" t="str">
        <f>IFERROR(__xludf.DUMMYFUNCTION("""COMPUTED_VALUE"""),"")</f>
        <v/>
      </c>
      <c r="B304" s="3" t="str">
        <f>IFERROR(__xludf.DUMMYFUNCTION("""COMPUTED_VALUE"""),"")</f>
        <v/>
      </c>
      <c r="C304" s="11" t="str">
        <f>IFERROR(__xludf.DUMMYFUNCTION("""COMPUTED_VALUE"""),"")</f>
        <v/>
      </c>
      <c r="D304" s="11" t="str">
        <f>IFERROR(__xludf.DUMMYFUNCTION("""COMPUTED_VALUE"""),"")</f>
        <v/>
      </c>
      <c r="E304" s="11" t="str">
        <f>IFERROR(__xludf.DUMMYFUNCTION("""COMPUTED_VALUE"""),"")</f>
        <v/>
      </c>
      <c r="F304" s="11" t="str">
        <f>IFERROR(__xludf.DUMMYFUNCTION("""COMPUTED_VALUE"""),"")</f>
        <v/>
      </c>
      <c r="G304" s="11" t="str">
        <f>IFERROR(__xludf.DUMMYFUNCTION("""COMPUTED_VALUE"""),"")</f>
        <v/>
      </c>
      <c r="H304" s="12" t="str">
        <f>IFERROR(__xludf.DUMMYFUNCTION("""COMPUTED_VALUE"""),"")</f>
        <v/>
      </c>
      <c r="I304" s="12" t="str">
        <f>IFERROR(__xludf.DUMMYFUNCTION("""COMPUTED_VALUE"""),"")</f>
        <v/>
      </c>
      <c r="J304" s="13" t="str">
        <f t="shared" si="1"/>
        <v/>
      </c>
      <c r="K304" s="12" t="str">
        <f>IFERROR(IF(A304="","",if($G304="",Reference!$J$2, VLOOKUP($G304,Reference!$I$2:$J$1000,2,false))),"")</f>
        <v/>
      </c>
      <c r="L304" s="12" t="str">
        <f>IF(A304="","", IF(F304="",Reference!$M$2,F304))</f>
        <v/>
      </c>
      <c r="M304" s="14" t="str">
        <f t="shared" si="2"/>
        <v/>
      </c>
      <c r="N304" s="15" t="str">
        <f t="shared" si="3"/>
        <v/>
      </c>
      <c r="O304" s="14" t="str">
        <f t="shared" si="4"/>
        <v/>
      </c>
      <c r="P304" s="16" t="str">
        <f t="array" ref="P304">IF($A304="","", IFERROR(INDEX('BM Data'!$N:$N,MATCH($J304&amp; "-" &amp; $N304,'BM Data'!$O:$O,0),1),""))</f>
        <v/>
      </c>
      <c r="Q304" s="16" t="str">
        <f t="array" ref="Q304">IF($A304="","", IFERROR(INDEX('BM Data'!$J:$J,MATCH($J304&amp; "-" &amp; $N304,'BM Data'!$O:$O,0),1),""))</f>
        <v/>
      </c>
    </row>
    <row r="305">
      <c r="A305" s="10" t="str">
        <f>IFERROR(__xludf.DUMMYFUNCTION("""COMPUTED_VALUE"""),"")</f>
        <v/>
      </c>
      <c r="B305" s="3" t="str">
        <f>IFERROR(__xludf.DUMMYFUNCTION("""COMPUTED_VALUE"""),"")</f>
        <v/>
      </c>
      <c r="C305" s="11" t="str">
        <f>IFERROR(__xludf.DUMMYFUNCTION("""COMPUTED_VALUE"""),"")</f>
        <v/>
      </c>
      <c r="D305" s="11" t="str">
        <f>IFERROR(__xludf.DUMMYFUNCTION("""COMPUTED_VALUE"""),"")</f>
        <v/>
      </c>
      <c r="E305" s="11" t="str">
        <f>IFERROR(__xludf.DUMMYFUNCTION("""COMPUTED_VALUE"""),"")</f>
        <v/>
      </c>
      <c r="F305" s="11" t="str">
        <f>IFERROR(__xludf.DUMMYFUNCTION("""COMPUTED_VALUE"""),"")</f>
        <v/>
      </c>
      <c r="G305" s="11" t="str">
        <f>IFERROR(__xludf.DUMMYFUNCTION("""COMPUTED_VALUE"""),"")</f>
        <v/>
      </c>
      <c r="H305" s="12" t="str">
        <f>IFERROR(__xludf.DUMMYFUNCTION("""COMPUTED_VALUE"""),"")</f>
        <v/>
      </c>
      <c r="I305" s="12" t="str">
        <f>IFERROR(__xludf.DUMMYFUNCTION("""COMPUTED_VALUE"""),"")</f>
        <v/>
      </c>
      <c r="J305" s="13" t="str">
        <f t="shared" si="1"/>
        <v/>
      </c>
      <c r="K305" s="12" t="str">
        <f>IFERROR(IF(A305="","",if($G305="",Reference!$J$2, VLOOKUP($G305,Reference!$I$2:$J$1000,2,false))),"")</f>
        <v/>
      </c>
      <c r="L305" s="12" t="str">
        <f>IF(A305="","", IF(F305="",Reference!$M$2,F305))</f>
        <v/>
      </c>
      <c r="M305" s="14" t="str">
        <f t="shared" si="2"/>
        <v/>
      </c>
      <c r="N305" s="15" t="str">
        <f t="shared" si="3"/>
        <v/>
      </c>
      <c r="O305" s="14" t="str">
        <f t="shared" si="4"/>
        <v/>
      </c>
      <c r="P305" s="16" t="str">
        <f t="array" ref="P305">IF($A305="","", IFERROR(INDEX('BM Data'!$N:$N,MATCH($J305&amp; "-" &amp; $N305,'BM Data'!$O:$O,0),1),""))</f>
        <v/>
      </c>
      <c r="Q305" s="16" t="str">
        <f t="array" ref="Q305">IF($A305="","", IFERROR(INDEX('BM Data'!$J:$J,MATCH($J305&amp; "-" &amp; $N305,'BM Data'!$O:$O,0),1),""))</f>
        <v/>
      </c>
    </row>
    <row r="306">
      <c r="A306" s="10" t="str">
        <f>IFERROR(__xludf.DUMMYFUNCTION("""COMPUTED_VALUE"""),"")</f>
        <v/>
      </c>
      <c r="B306" s="3" t="str">
        <f>IFERROR(__xludf.DUMMYFUNCTION("""COMPUTED_VALUE"""),"")</f>
        <v/>
      </c>
      <c r="C306" s="11" t="str">
        <f>IFERROR(__xludf.DUMMYFUNCTION("""COMPUTED_VALUE"""),"")</f>
        <v/>
      </c>
      <c r="D306" s="11" t="str">
        <f>IFERROR(__xludf.DUMMYFUNCTION("""COMPUTED_VALUE"""),"")</f>
        <v/>
      </c>
      <c r="E306" s="11" t="str">
        <f>IFERROR(__xludf.DUMMYFUNCTION("""COMPUTED_VALUE"""),"")</f>
        <v/>
      </c>
      <c r="F306" s="11" t="str">
        <f>IFERROR(__xludf.DUMMYFUNCTION("""COMPUTED_VALUE"""),"")</f>
        <v/>
      </c>
      <c r="G306" s="11" t="str">
        <f>IFERROR(__xludf.DUMMYFUNCTION("""COMPUTED_VALUE"""),"")</f>
        <v/>
      </c>
      <c r="H306" s="12" t="str">
        <f>IFERROR(__xludf.DUMMYFUNCTION("""COMPUTED_VALUE"""),"")</f>
        <v/>
      </c>
      <c r="I306" s="12" t="str">
        <f>IFERROR(__xludf.DUMMYFUNCTION("""COMPUTED_VALUE"""),"")</f>
        <v/>
      </c>
      <c r="J306" s="13" t="str">
        <f t="shared" si="1"/>
        <v/>
      </c>
      <c r="K306" s="12" t="str">
        <f>IFERROR(IF(A306="","",if($G306="",Reference!$J$2, VLOOKUP($G306,Reference!$I$2:$J$1000,2,false))),"")</f>
        <v/>
      </c>
      <c r="L306" s="12" t="str">
        <f>IF(A306="","", IF(F306="",Reference!$M$2,F306))</f>
        <v/>
      </c>
      <c r="M306" s="14" t="str">
        <f t="shared" si="2"/>
        <v/>
      </c>
      <c r="N306" s="15" t="str">
        <f t="shared" si="3"/>
        <v/>
      </c>
      <c r="O306" s="14" t="str">
        <f t="shared" si="4"/>
        <v/>
      </c>
      <c r="P306" s="16" t="str">
        <f t="array" ref="P306">IF($A306="","", IFERROR(INDEX('BM Data'!$N:$N,MATCH($J306&amp; "-" &amp; $N306,'BM Data'!$O:$O,0),1),""))</f>
        <v/>
      </c>
      <c r="Q306" s="16" t="str">
        <f t="array" ref="Q306">IF($A306="","", IFERROR(INDEX('BM Data'!$J:$J,MATCH($J306&amp; "-" &amp; $N306,'BM Data'!$O:$O,0),1),""))</f>
        <v/>
      </c>
    </row>
    <row r="307">
      <c r="A307" s="10" t="str">
        <f>IFERROR(__xludf.DUMMYFUNCTION("""COMPUTED_VALUE"""),"")</f>
        <v/>
      </c>
      <c r="B307" s="3" t="str">
        <f>IFERROR(__xludf.DUMMYFUNCTION("""COMPUTED_VALUE"""),"")</f>
        <v/>
      </c>
      <c r="C307" s="11" t="str">
        <f>IFERROR(__xludf.DUMMYFUNCTION("""COMPUTED_VALUE"""),"")</f>
        <v/>
      </c>
      <c r="D307" s="11" t="str">
        <f>IFERROR(__xludf.DUMMYFUNCTION("""COMPUTED_VALUE"""),"")</f>
        <v/>
      </c>
      <c r="E307" s="11" t="str">
        <f>IFERROR(__xludf.DUMMYFUNCTION("""COMPUTED_VALUE"""),"")</f>
        <v/>
      </c>
      <c r="F307" s="11" t="str">
        <f>IFERROR(__xludf.DUMMYFUNCTION("""COMPUTED_VALUE"""),"")</f>
        <v/>
      </c>
      <c r="G307" s="11" t="str">
        <f>IFERROR(__xludf.DUMMYFUNCTION("""COMPUTED_VALUE"""),"")</f>
        <v/>
      </c>
      <c r="H307" s="12" t="str">
        <f>IFERROR(__xludf.DUMMYFUNCTION("""COMPUTED_VALUE"""),"")</f>
        <v/>
      </c>
      <c r="I307" s="12" t="str">
        <f>IFERROR(__xludf.DUMMYFUNCTION("""COMPUTED_VALUE"""),"")</f>
        <v/>
      </c>
      <c r="J307" s="13" t="str">
        <f t="shared" si="1"/>
        <v/>
      </c>
      <c r="K307" s="12" t="str">
        <f>IFERROR(IF(A307="","",if($G307="",Reference!$J$2, VLOOKUP($G307,Reference!$I$2:$J$1000,2,false))),"")</f>
        <v/>
      </c>
      <c r="L307" s="12" t="str">
        <f>IF(A307="","", IF(F307="",Reference!$M$2,F307))</f>
        <v/>
      </c>
      <c r="M307" s="14" t="str">
        <f t="shared" si="2"/>
        <v/>
      </c>
      <c r="N307" s="15" t="str">
        <f t="shared" si="3"/>
        <v/>
      </c>
      <c r="O307" s="14" t="str">
        <f t="shared" si="4"/>
        <v/>
      </c>
      <c r="P307" s="16" t="str">
        <f t="array" ref="P307">IF($A307="","", IFERROR(INDEX('BM Data'!$N:$N,MATCH($J307&amp; "-" &amp; $N307,'BM Data'!$O:$O,0),1),""))</f>
        <v/>
      </c>
      <c r="Q307" s="16" t="str">
        <f t="array" ref="Q307">IF($A307="","", IFERROR(INDEX('BM Data'!$J:$J,MATCH($J307&amp; "-" &amp; $N307,'BM Data'!$O:$O,0),1),""))</f>
        <v/>
      </c>
    </row>
    <row r="308">
      <c r="A308" s="10" t="str">
        <f>IFERROR(__xludf.DUMMYFUNCTION("""COMPUTED_VALUE"""),"")</f>
        <v/>
      </c>
      <c r="B308" s="3" t="str">
        <f>IFERROR(__xludf.DUMMYFUNCTION("""COMPUTED_VALUE"""),"")</f>
        <v/>
      </c>
      <c r="C308" s="11" t="str">
        <f>IFERROR(__xludf.DUMMYFUNCTION("""COMPUTED_VALUE"""),"")</f>
        <v/>
      </c>
      <c r="D308" s="11" t="str">
        <f>IFERROR(__xludf.DUMMYFUNCTION("""COMPUTED_VALUE"""),"")</f>
        <v/>
      </c>
      <c r="E308" s="11" t="str">
        <f>IFERROR(__xludf.DUMMYFUNCTION("""COMPUTED_VALUE"""),"")</f>
        <v/>
      </c>
      <c r="F308" s="11" t="str">
        <f>IFERROR(__xludf.DUMMYFUNCTION("""COMPUTED_VALUE"""),"")</f>
        <v/>
      </c>
      <c r="G308" s="11" t="str">
        <f>IFERROR(__xludf.DUMMYFUNCTION("""COMPUTED_VALUE"""),"")</f>
        <v/>
      </c>
      <c r="H308" s="12" t="str">
        <f>IFERROR(__xludf.DUMMYFUNCTION("""COMPUTED_VALUE"""),"")</f>
        <v/>
      </c>
      <c r="I308" s="12" t="str">
        <f>IFERROR(__xludf.DUMMYFUNCTION("""COMPUTED_VALUE"""),"")</f>
        <v/>
      </c>
      <c r="J308" s="13" t="str">
        <f t="shared" si="1"/>
        <v/>
      </c>
      <c r="K308" s="12" t="str">
        <f>IFERROR(IF(A308="","",if($G308="",Reference!$J$2, VLOOKUP($G308,Reference!$I$2:$J$1000,2,false))),"")</f>
        <v/>
      </c>
      <c r="L308" s="12" t="str">
        <f>IF(A308="","", IF(F308="",Reference!$M$2,F308))</f>
        <v/>
      </c>
      <c r="M308" s="14" t="str">
        <f t="shared" si="2"/>
        <v/>
      </c>
      <c r="N308" s="15" t="str">
        <f t="shared" si="3"/>
        <v/>
      </c>
      <c r="O308" s="14" t="str">
        <f t="shared" si="4"/>
        <v/>
      </c>
      <c r="P308" s="16" t="str">
        <f t="array" ref="P308">IF($A308="","", IFERROR(INDEX('BM Data'!$N:$N,MATCH($J308&amp; "-" &amp; $N308,'BM Data'!$O:$O,0),1),""))</f>
        <v/>
      </c>
      <c r="Q308" s="16" t="str">
        <f t="array" ref="Q308">IF($A308="","", IFERROR(INDEX('BM Data'!$J:$J,MATCH($J308&amp; "-" &amp; $N308,'BM Data'!$O:$O,0),1),""))</f>
        <v/>
      </c>
    </row>
    <row r="309">
      <c r="A309" s="10" t="str">
        <f>IFERROR(__xludf.DUMMYFUNCTION("""COMPUTED_VALUE"""),"")</f>
        <v/>
      </c>
      <c r="B309" s="3" t="str">
        <f>IFERROR(__xludf.DUMMYFUNCTION("""COMPUTED_VALUE"""),"")</f>
        <v/>
      </c>
      <c r="C309" s="11" t="str">
        <f>IFERROR(__xludf.DUMMYFUNCTION("""COMPUTED_VALUE"""),"")</f>
        <v/>
      </c>
      <c r="D309" s="11" t="str">
        <f>IFERROR(__xludf.DUMMYFUNCTION("""COMPUTED_VALUE"""),"")</f>
        <v/>
      </c>
      <c r="E309" s="11" t="str">
        <f>IFERROR(__xludf.DUMMYFUNCTION("""COMPUTED_VALUE"""),"")</f>
        <v/>
      </c>
      <c r="F309" s="11" t="str">
        <f>IFERROR(__xludf.DUMMYFUNCTION("""COMPUTED_VALUE"""),"")</f>
        <v/>
      </c>
      <c r="G309" s="11" t="str">
        <f>IFERROR(__xludf.DUMMYFUNCTION("""COMPUTED_VALUE"""),"")</f>
        <v/>
      </c>
      <c r="H309" s="12" t="str">
        <f>IFERROR(__xludf.DUMMYFUNCTION("""COMPUTED_VALUE"""),"")</f>
        <v/>
      </c>
      <c r="I309" s="12" t="str">
        <f>IFERROR(__xludf.DUMMYFUNCTION("""COMPUTED_VALUE"""),"")</f>
        <v/>
      </c>
      <c r="J309" s="13" t="str">
        <f t="shared" si="1"/>
        <v/>
      </c>
      <c r="K309" s="12" t="str">
        <f>IFERROR(IF(A309="","",if($G309="",Reference!$J$2, VLOOKUP($G309,Reference!$I$2:$J$1000,2,false))),"")</f>
        <v/>
      </c>
      <c r="L309" s="12" t="str">
        <f>IF(A309="","", IF(F309="",Reference!$M$2,F309))</f>
        <v/>
      </c>
      <c r="M309" s="14" t="str">
        <f t="shared" si="2"/>
        <v/>
      </c>
      <c r="N309" s="15" t="str">
        <f t="shared" si="3"/>
        <v/>
      </c>
      <c r="O309" s="14" t="str">
        <f t="shared" si="4"/>
        <v/>
      </c>
      <c r="P309" s="16" t="str">
        <f t="array" ref="P309">IF($A309="","", IFERROR(INDEX('BM Data'!$N:$N,MATCH($J309&amp; "-" &amp; $N309,'BM Data'!$O:$O,0),1),""))</f>
        <v/>
      </c>
      <c r="Q309" s="16" t="str">
        <f t="array" ref="Q309">IF($A309="","", IFERROR(INDEX('BM Data'!$J:$J,MATCH($J309&amp; "-" &amp; $N309,'BM Data'!$O:$O,0),1),""))</f>
        <v/>
      </c>
    </row>
    <row r="310">
      <c r="A310" s="10" t="str">
        <f>IFERROR(__xludf.DUMMYFUNCTION("""COMPUTED_VALUE"""),"")</f>
        <v/>
      </c>
      <c r="B310" s="3" t="str">
        <f>IFERROR(__xludf.DUMMYFUNCTION("""COMPUTED_VALUE"""),"")</f>
        <v/>
      </c>
      <c r="C310" s="11" t="str">
        <f>IFERROR(__xludf.DUMMYFUNCTION("""COMPUTED_VALUE"""),"")</f>
        <v/>
      </c>
      <c r="D310" s="11" t="str">
        <f>IFERROR(__xludf.DUMMYFUNCTION("""COMPUTED_VALUE"""),"")</f>
        <v/>
      </c>
      <c r="E310" s="11" t="str">
        <f>IFERROR(__xludf.DUMMYFUNCTION("""COMPUTED_VALUE"""),"")</f>
        <v/>
      </c>
      <c r="F310" s="11" t="str">
        <f>IFERROR(__xludf.DUMMYFUNCTION("""COMPUTED_VALUE"""),"")</f>
        <v/>
      </c>
      <c r="G310" s="11" t="str">
        <f>IFERROR(__xludf.DUMMYFUNCTION("""COMPUTED_VALUE"""),"")</f>
        <v/>
      </c>
      <c r="H310" s="12" t="str">
        <f>IFERROR(__xludf.DUMMYFUNCTION("""COMPUTED_VALUE"""),"")</f>
        <v/>
      </c>
      <c r="I310" s="12" t="str">
        <f>IFERROR(__xludf.DUMMYFUNCTION("""COMPUTED_VALUE"""),"")</f>
        <v/>
      </c>
      <c r="J310" s="13" t="str">
        <f t="shared" si="1"/>
        <v/>
      </c>
      <c r="K310" s="12" t="str">
        <f>IFERROR(IF(A310="","",if($G310="",Reference!$J$2, VLOOKUP($G310,Reference!$I$2:$J$1000,2,false))),"")</f>
        <v/>
      </c>
      <c r="L310" s="12" t="str">
        <f>IF(A310="","", IF(F310="",Reference!$M$2,F310))</f>
        <v/>
      </c>
      <c r="M310" s="14" t="str">
        <f t="shared" si="2"/>
        <v/>
      </c>
      <c r="N310" s="15" t="str">
        <f t="shared" si="3"/>
        <v/>
      </c>
      <c r="O310" s="14" t="str">
        <f t="shared" si="4"/>
        <v/>
      </c>
      <c r="P310" s="16" t="str">
        <f t="array" ref="P310">IF($A310="","", IFERROR(INDEX('BM Data'!$N:$N,MATCH($J310&amp; "-" &amp; $N310,'BM Data'!$O:$O,0),1),""))</f>
        <v/>
      </c>
      <c r="Q310" s="16" t="str">
        <f t="array" ref="Q310">IF($A310="","", IFERROR(INDEX('BM Data'!$J:$J,MATCH($J310&amp; "-" &amp; $N310,'BM Data'!$O:$O,0),1),""))</f>
        <v/>
      </c>
    </row>
    <row r="311">
      <c r="A311" s="10" t="str">
        <f>IFERROR(__xludf.DUMMYFUNCTION("""COMPUTED_VALUE"""),"")</f>
        <v/>
      </c>
      <c r="B311" s="3" t="str">
        <f>IFERROR(__xludf.DUMMYFUNCTION("""COMPUTED_VALUE"""),"")</f>
        <v/>
      </c>
      <c r="C311" s="11" t="str">
        <f>IFERROR(__xludf.DUMMYFUNCTION("""COMPUTED_VALUE"""),"")</f>
        <v/>
      </c>
      <c r="D311" s="11" t="str">
        <f>IFERROR(__xludf.DUMMYFUNCTION("""COMPUTED_VALUE"""),"")</f>
        <v/>
      </c>
      <c r="E311" s="11" t="str">
        <f>IFERROR(__xludf.DUMMYFUNCTION("""COMPUTED_VALUE"""),"")</f>
        <v/>
      </c>
      <c r="F311" s="11" t="str">
        <f>IFERROR(__xludf.DUMMYFUNCTION("""COMPUTED_VALUE"""),"")</f>
        <v/>
      </c>
      <c r="G311" s="11" t="str">
        <f>IFERROR(__xludf.DUMMYFUNCTION("""COMPUTED_VALUE"""),"")</f>
        <v/>
      </c>
      <c r="H311" s="12" t="str">
        <f>IFERROR(__xludf.DUMMYFUNCTION("""COMPUTED_VALUE"""),"")</f>
        <v/>
      </c>
      <c r="I311" s="12" t="str">
        <f>IFERROR(__xludf.DUMMYFUNCTION("""COMPUTED_VALUE"""),"")</f>
        <v/>
      </c>
      <c r="J311" s="13" t="str">
        <f t="shared" si="1"/>
        <v/>
      </c>
      <c r="K311" s="12" t="str">
        <f>IFERROR(IF(A311="","",if($G311="",Reference!$J$2, VLOOKUP($G311,Reference!$I$2:$J$1000,2,false))),"")</f>
        <v/>
      </c>
      <c r="L311" s="12" t="str">
        <f>IF(A311="","", IF(F311="",Reference!$M$2,F311))</f>
        <v/>
      </c>
      <c r="M311" s="14" t="str">
        <f t="shared" si="2"/>
        <v/>
      </c>
      <c r="N311" s="15" t="str">
        <f t="shared" si="3"/>
        <v/>
      </c>
      <c r="O311" s="14" t="str">
        <f t="shared" si="4"/>
        <v/>
      </c>
      <c r="P311" s="16" t="str">
        <f t="array" ref="P311">IF($A311="","", IFERROR(INDEX('BM Data'!$N:$N,MATCH($J311&amp; "-" &amp; $N311,'BM Data'!$O:$O,0),1),""))</f>
        <v/>
      </c>
      <c r="Q311" s="16" t="str">
        <f t="array" ref="Q311">IF($A311="","", IFERROR(INDEX('BM Data'!$J:$J,MATCH($J311&amp; "-" &amp; $N311,'BM Data'!$O:$O,0),1),""))</f>
        <v/>
      </c>
    </row>
    <row r="312">
      <c r="A312" s="10" t="str">
        <f>IFERROR(__xludf.DUMMYFUNCTION("""COMPUTED_VALUE"""),"")</f>
        <v/>
      </c>
      <c r="B312" s="3" t="str">
        <f>IFERROR(__xludf.DUMMYFUNCTION("""COMPUTED_VALUE"""),"")</f>
        <v/>
      </c>
      <c r="C312" s="11" t="str">
        <f>IFERROR(__xludf.DUMMYFUNCTION("""COMPUTED_VALUE"""),"")</f>
        <v/>
      </c>
      <c r="D312" s="11" t="str">
        <f>IFERROR(__xludf.DUMMYFUNCTION("""COMPUTED_VALUE"""),"")</f>
        <v/>
      </c>
      <c r="E312" s="11" t="str">
        <f>IFERROR(__xludf.DUMMYFUNCTION("""COMPUTED_VALUE"""),"")</f>
        <v/>
      </c>
      <c r="F312" s="11" t="str">
        <f>IFERROR(__xludf.DUMMYFUNCTION("""COMPUTED_VALUE"""),"")</f>
        <v/>
      </c>
      <c r="G312" s="11" t="str">
        <f>IFERROR(__xludf.DUMMYFUNCTION("""COMPUTED_VALUE"""),"")</f>
        <v/>
      </c>
      <c r="H312" s="12" t="str">
        <f>IFERROR(__xludf.DUMMYFUNCTION("""COMPUTED_VALUE"""),"")</f>
        <v/>
      </c>
      <c r="I312" s="12" t="str">
        <f>IFERROR(__xludf.DUMMYFUNCTION("""COMPUTED_VALUE"""),"")</f>
        <v/>
      </c>
      <c r="J312" s="13" t="str">
        <f t="shared" si="1"/>
        <v/>
      </c>
      <c r="K312" s="12" t="str">
        <f>IFERROR(IF(A312="","",if($G312="",Reference!$J$2, VLOOKUP($G312,Reference!$I$2:$J$1000,2,false))),"")</f>
        <v/>
      </c>
      <c r="L312" s="12" t="str">
        <f>IF(A312="","", IF(F312="",Reference!$M$2,F312))</f>
        <v/>
      </c>
      <c r="M312" s="14" t="str">
        <f t="shared" si="2"/>
        <v/>
      </c>
      <c r="N312" s="15" t="str">
        <f t="shared" si="3"/>
        <v/>
      </c>
      <c r="O312" s="14" t="str">
        <f t="shared" si="4"/>
        <v/>
      </c>
      <c r="P312" s="16" t="str">
        <f t="array" ref="P312">IF($A312="","", IFERROR(INDEX('BM Data'!$N:$N,MATCH($J312&amp; "-" &amp; $N312,'BM Data'!$O:$O,0),1),""))</f>
        <v/>
      </c>
      <c r="Q312" s="16" t="str">
        <f t="array" ref="Q312">IF($A312="","", IFERROR(INDEX('BM Data'!$J:$J,MATCH($J312&amp; "-" &amp; $N312,'BM Data'!$O:$O,0),1),""))</f>
        <v/>
      </c>
    </row>
    <row r="313">
      <c r="A313" s="10" t="str">
        <f>IFERROR(__xludf.DUMMYFUNCTION("""COMPUTED_VALUE"""),"")</f>
        <v/>
      </c>
      <c r="B313" s="3" t="str">
        <f>IFERROR(__xludf.DUMMYFUNCTION("""COMPUTED_VALUE"""),"")</f>
        <v/>
      </c>
      <c r="C313" s="11" t="str">
        <f>IFERROR(__xludf.DUMMYFUNCTION("""COMPUTED_VALUE"""),"")</f>
        <v/>
      </c>
      <c r="D313" s="11" t="str">
        <f>IFERROR(__xludf.DUMMYFUNCTION("""COMPUTED_VALUE"""),"")</f>
        <v/>
      </c>
      <c r="E313" s="11" t="str">
        <f>IFERROR(__xludf.DUMMYFUNCTION("""COMPUTED_VALUE"""),"")</f>
        <v/>
      </c>
      <c r="F313" s="11" t="str">
        <f>IFERROR(__xludf.DUMMYFUNCTION("""COMPUTED_VALUE"""),"")</f>
        <v/>
      </c>
      <c r="G313" s="11" t="str">
        <f>IFERROR(__xludf.DUMMYFUNCTION("""COMPUTED_VALUE"""),"")</f>
        <v/>
      </c>
      <c r="H313" s="12" t="str">
        <f>IFERROR(__xludf.DUMMYFUNCTION("""COMPUTED_VALUE"""),"")</f>
        <v/>
      </c>
      <c r="I313" s="12" t="str">
        <f>IFERROR(__xludf.DUMMYFUNCTION("""COMPUTED_VALUE"""),"")</f>
        <v/>
      </c>
      <c r="J313" s="13" t="str">
        <f t="shared" si="1"/>
        <v/>
      </c>
      <c r="K313" s="12" t="str">
        <f>IFERROR(IF(A313="","",if($G313="",Reference!$J$2, VLOOKUP($G313,Reference!$I$2:$J$1000,2,false))),"")</f>
        <v/>
      </c>
      <c r="L313" s="12" t="str">
        <f>IF(A313="","", IF(F313="",Reference!$M$2,F313))</f>
        <v/>
      </c>
      <c r="M313" s="14" t="str">
        <f t="shared" si="2"/>
        <v/>
      </c>
      <c r="N313" s="15" t="str">
        <f t="shared" si="3"/>
        <v/>
      </c>
      <c r="O313" s="14" t="str">
        <f t="shared" si="4"/>
        <v/>
      </c>
      <c r="P313" s="16" t="str">
        <f t="array" ref="P313">IF($A313="","", IFERROR(INDEX('BM Data'!$N:$N,MATCH($J313&amp; "-" &amp; $N313,'BM Data'!$O:$O,0),1),""))</f>
        <v/>
      </c>
      <c r="Q313" s="16" t="str">
        <f t="array" ref="Q313">IF($A313="","", IFERROR(INDEX('BM Data'!$J:$J,MATCH($J313&amp; "-" &amp; $N313,'BM Data'!$O:$O,0),1),""))</f>
        <v/>
      </c>
    </row>
    <row r="314">
      <c r="A314" s="10" t="str">
        <f>IFERROR(__xludf.DUMMYFUNCTION("""COMPUTED_VALUE"""),"")</f>
        <v/>
      </c>
      <c r="B314" s="3" t="str">
        <f>IFERROR(__xludf.DUMMYFUNCTION("""COMPUTED_VALUE"""),"")</f>
        <v/>
      </c>
      <c r="C314" s="11" t="str">
        <f>IFERROR(__xludf.DUMMYFUNCTION("""COMPUTED_VALUE"""),"")</f>
        <v/>
      </c>
      <c r="D314" s="11" t="str">
        <f>IFERROR(__xludf.DUMMYFUNCTION("""COMPUTED_VALUE"""),"")</f>
        <v/>
      </c>
      <c r="E314" s="11" t="str">
        <f>IFERROR(__xludf.DUMMYFUNCTION("""COMPUTED_VALUE"""),"")</f>
        <v/>
      </c>
      <c r="F314" s="11" t="str">
        <f>IFERROR(__xludf.DUMMYFUNCTION("""COMPUTED_VALUE"""),"")</f>
        <v/>
      </c>
      <c r="G314" s="11" t="str">
        <f>IFERROR(__xludf.DUMMYFUNCTION("""COMPUTED_VALUE"""),"")</f>
        <v/>
      </c>
      <c r="H314" s="12" t="str">
        <f>IFERROR(__xludf.DUMMYFUNCTION("""COMPUTED_VALUE"""),"")</f>
        <v/>
      </c>
      <c r="I314" s="12" t="str">
        <f>IFERROR(__xludf.DUMMYFUNCTION("""COMPUTED_VALUE"""),"")</f>
        <v/>
      </c>
      <c r="J314" s="13" t="str">
        <f t="shared" si="1"/>
        <v/>
      </c>
      <c r="K314" s="12" t="str">
        <f>IFERROR(IF(A314="","",if($G314="",Reference!$J$2, VLOOKUP($G314,Reference!$I$2:$J$1000,2,false))),"")</f>
        <v/>
      </c>
      <c r="L314" s="12" t="str">
        <f>IF(A314="","", IF(F314="",Reference!$M$2,F314))</f>
        <v/>
      </c>
      <c r="M314" s="14" t="str">
        <f t="shared" si="2"/>
        <v/>
      </c>
      <c r="N314" s="15" t="str">
        <f t="shared" si="3"/>
        <v/>
      </c>
      <c r="O314" s="14" t="str">
        <f t="shared" si="4"/>
        <v/>
      </c>
      <c r="P314" s="16" t="str">
        <f t="array" ref="P314">IF($A314="","", IFERROR(INDEX('BM Data'!$N:$N,MATCH($J314&amp; "-" &amp; $N314,'BM Data'!$O:$O,0),1),""))</f>
        <v/>
      </c>
      <c r="Q314" s="16" t="str">
        <f t="array" ref="Q314">IF($A314="","", IFERROR(INDEX('BM Data'!$J:$J,MATCH($J314&amp; "-" &amp; $N314,'BM Data'!$O:$O,0),1),""))</f>
        <v/>
      </c>
    </row>
    <row r="315">
      <c r="A315" s="10" t="str">
        <f>IFERROR(__xludf.DUMMYFUNCTION("""COMPUTED_VALUE"""),"")</f>
        <v/>
      </c>
      <c r="B315" s="3" t="str">
        <f>IFERROR(__xludf.DUMMYFUNCTION("""COMPUTED_VALUE"""),"")</f>
        <v/>
      </c>
      <c r="C315" s="11" t="str">
        <f>IFERROR(__xludf.DUMMYFUNCTION("""COMPUTED_VALUE"""),"")</f>
        <v/>
      </c>
      <c r="D315" s="11" t="str">
        <f>IFERROR(__xludf.DUMMYFUNCTION("""COMPUTED_VALUE"""),"")</f>
        <v/>
      </c>
      <c r="E315" s="11" t="str">
        <f>IFERROR(__xludf.DUMMYFUNCTION("""COMPUTED_VALUE"""),"")</f>
        <v/>
      </c>
      <c r="F315" s="11" t="str">
        <f>IFERROR(__xludf.DUMMYFUNCTION("""COMPUTED_VALUE"""),"")</f>
        <v/>
      </c>
      <c r="G315" s="11" t="str">
        <f>IFERROR(__xludf.DUMMYFUNCTION("""COMPUTED_VALUE"""),"")</f>
        <v/>
      </c>
      <c r="H315" s="12" t="str">
        <f>IFERROR(__xludf.DUMMYFUNCTION("""COMPUTED_VALUE"""),"")</f>
        <v/>
      </c>
      <c r="I315" s="12" t="str">
        <f>IFERROR(__xludf.DUMMYFUNCTION("""COMPUTED_VALUE"""),"")</f>
        <v/>
      </c>
      <c r="J315" s="13" t="str">
        <f t="shared" si="1"/>
        <v/>
      </c>
      <c r="K315" s="12" t="str">
        <f>IFERROR(IF(A315="","",if($G315="",Reference!$J$2, VLOOKUP($G315,Reference!$I$2:$J$1000,2,false))),"")</f>
        <v/>
      </c>
      <c r="L315" s="12" t="str">
        <f>IF(A315="","", IF(F315="",Reference!$M$2,F315))</f>
        <v/>
      </c>
      <c r="M315" s="14" t="str">
        <f t="shared" si="2"/>
        <v/>
      </c>
      <c r="N315" s="15" t="str">
        <f t="shared" si="3"/>
        <v/>
      </c>
      <c r="O315" s="14" t="str">
        <f t="shared" si="4"/>
        <v/>
      </c>
      <c r="P315" s="16" t="str">
        <f t="array" ref="P315">IF($A315="","", IFERROR(INDEX('BM Data'!$N:$N,MATCH($J315&amp; "-" &amp; $N315,'BM Data'!$O:$O,0),1),""))</f>
        <v/>
      </c>
      <c r="Q315" s="16" t="str">
        <f t="array" ref="Q315">IF($A315="","", IFERROR(INDEX('BM Data'!$J:$J,MATCH($J315&amp; "-" &amp; $N315,'BM Data'!$O:$O,0),1),""))</f>
        <v/>
      </c>
    </row>
    <row r="316">
      <c r="A316" s="10" t="str">
        <f>IFERROR(__xludf.DUMMYFUNCTION("""COMPUTED_VALUE"""),"")</f>
        <v/>
      </c>
      <c r="B316" s="3" t="str">
        <f>IFERROR(__xludf.DUMMYFUNCTION("""COMPUTED_VALUE"""),"")</f>
        <v/>
      </c>
      <c r="C316" s="11" t="str">
        <f>IFERROR(__xludf.DUMMYFUNCTION("""COMPUTED_VALUE"""),"")</f>
        <v/>
      </c>
      <c r="D316" s="11" t="str">
        <f>IFERROR(__xludf.DUMMYFUNCTION("""COMPUTED_VALUE"""),"")</f>
        <v/>
      </c>
      <c r="E316" s="11" t="str">
        <f>IFERROR(__xludf.DUMMYFUNCTION("""COMPUTED_VALUE"""),"")</f>
        <v/>
      </c>
      <c r="F316" s="11" t="str">
        <f>IFERROR(__xludf.DUMMYFUNCTION("""COMPUTED_VALUE"""),"")</f>
        <v/>
      </c>
      <c r="G316" s="11" t="str">
        <f>IFERROR(__xludf.DUMMYFUNCTION("""COMPUTED_VALUE"""),"")</f>
        <v/>
      </c>
      <c r="H316" s="12" t="str">
        <f>IFERROR(__xludf.DUMMYFUNCTION("""COMPUTED_VALUE"""),"")</f>
        <v/>
      </c>
      <c r="I316" s="12" t="str">
        <f>IFERROR(__xludf.DUMMYFUNCTION("""COMPUTED_VALUE"""),"")</f>
        <v/>
      </c>
      <c r="J316" s="13" t="str">
        <f t="shared" si="1"/>
        <v/>
      </c>
      <c r="K316" s="12" t="str">
        <f>IFERROR(IF(A316="","",if($G316="",Reference!$J$2, VLOOKUP($G316,Reference!$I$2:$J$1000,2,false))),"")</f>
        <v/>
      </c>
      <c r="L316" s="12" t="str">
        <f>IF(A316="","", IF(F316="",Reference!$M$2,F316))</f>
        <v/>
      </c>
      <c r="M316" s="14" t="str">
        <f t="shared" si="2"/>
        <v/>
      </c>
      <c r="N316" s="15" t="str">
        <f t="shared" si="3"/>
        <v/>
      </c>
      <c r="O316" s="14" t="str">
        <f t="shared" si="4"/>
        <v/>
      </c>
      <c r="P316" s="16" t="str">
        <f t="array" ref="P316">IF($A316="","", IFERROR(INDEX('BM Data'!$N:$N,MATCH($J316&amp; "-" &amp; $N316,'BM Data'!$O:$O,0),1),""))</f>
        <v/>
      </c>
      <c r="Q316" s="16" t="str">
        <f t="array" ref="Q316">IF($A316="","", IFERROR(INDEX('BM Data'!$J:$J,MATCH($J316&amp; "-" &amp; $N316,'BM Data'!$O:$O,0),1),""))</f>
        <v/>
      </c>
    </row>
    <row r="317">
      <c r="A317" s="10" t="str">
        <f>IFERROR(__xludf.DUMMYFUNCTION("""COMPUTED_VALUE"""),"")</f>
        <v/>
      </c>
      <c r="B317" s="3" t="str">
        <f>IFERROR(__xludf.DUMMYFUNCTION("""COMPUTED_VALUE"""),"")</f>
        <v/>
      </c>
      <c r="C317" s="11" t="str">
        <f>IFERROR(__xludf.DUMMYFUNCTION("""COMPUTED_VALUE"""),"")</f>
        <v/>
      </c>
      <c r="D317" s="11" t="str">
        <f>IFERROR(__xludf.DUMMYFUNCTION("""COMPUTED_VALUE"""),"")</f>
        <v/>
      </c>
      <c r="E317" s="11" t="str">
        <f>IFERROR(__xludf.DUMMYFUNCTION("""COMPUTED_VALUE"""),"")</f>
        <v/>
      </c>
      <c r="F317" s="11" t="str">
        <f>IFERROR(__xludf.DUMMYFUNCTION("""COMPUTED_VALUE"""),"")</f>
        <v/>
      </c>
      <c r="G317" s="11" t="str">
        <f>IFERROR(__xludf.DUMMYFUNCTION("""COMPUTED_VALUE"""),"")</f>
        <v/>
      </c>
      <c r="H317" s="12" t="str">
        <f>IFERROR(__xludf.DUMMYFUNCTION("""COMPUTED_VALUE"""),"")</f>
        <v/>
      </c>
      <c r="I317" s="12" t="str">
        <f>IFERROR(__xludf.DUMMYFUNCTION("""COMPUTED_VALUE"""),"")</f>
        <v/>
      </c>
      <c r="J317" s="13" t="str">
        <f t="shared" si="1"/>
        <v/>
      </c>
      <c r="K317" s="12" t="str">
        <f>IFERROR(IF(A317="","",if($G317="",Reference!$J$2, VLOOKUP($G317,Reference!$I$2:$J$1000,2,false))),"")</f>
        <v/>
      </c>
      <c r="L317" s="12" t="str">
        <f>IF(A317="","", IF(F317="",Reference!$M$2,F317))</f>
        <v/>
      </c>
      <c r="M317" s="14" t="str">
        <f t="shared" si="2"/>
        <v/>
      </c>
      <c r="N317" s="15" t="str">
        <f t="shared" si="3"/>
        <v/>
      </c>
      <c r="O317" s="14" t="str">
        <f t="shared" si="4"/>
        <v/>
      </c>
      <c r="P317" s="16" t="str">
        <f t="array" ref="P317">IF($A317="","", IFERROR(INDEX('BM Data'!$N:$N,MATCH($J317&amp; "-" &amp; $N317,'BM Data'!$O:$O,0),1),""))</f>
        <v/>
      </c>
      <c r="Q317" s="16" t="str">
        <f t="array" ref="Q317">IF($A317="","", IFERROR(INDEX('BM Data'!$J:$J,MATCH($J317&amp; "-" &amp; $N317,'BM Data'!$O:$O,0),1),""))</f>
        <v/>
      </c>
    </row>
    <row r="318">
      <c r="A318" s="10" t="str">
        <f>IFERROR(__xludf.DUMMYFUNCTION("""COMPUTED_VALUE"""),"")</f>
        <v/>
      </c>
      <c r="B318" s="3" t="str">
        <f>IFERROR(__xludf.DUMMYFUNCTION("""COMPUTED_VALUE"""),"")</f>
        <v/>
      </c>
      <c r="C318" s="11" t="str">
        <f>IFERROR(__xludf.DUMMYFUNCTION("""COMPUTED_VALUE"""),"")</f>
        <v/>
      </c>
      <c r="D318" s="11" t="str">
        <f>IFERROR(__xludf.DUMMYFUNCTION("""COMPUTED_VALUE"""),"")</f>
        <v/>
      </c>
      <c r="E318" s="11" t="str">
        <f>IFERROR(__xludf.DUMMYFUNCTION("""COMPUTED_VALUE"""),"")</f>
        <v/>
      </c>
      <c r="F318" s="11" t="str">
        <f>IFERROR(__xludf.DUMMYFUNCTION("""COMPUTED_VALUE"""),"")</f>
        <v/>
      </c>
      <c r="G318" s="11" t="str">
        <f>IFERROR(__xludf.DUMMYFUNCTION("""COMPUTED_VALUE"""),"")</f>
        <v/>
      </c>
      <c r="H318" s="12" t="str">
        <f>IFERROR(__xludf.DUMMYFUNCTION("""COMPUTED_VALUE"""),"")</f>
        <v/>
      </c>
      <c r="I318" s="12" t="str">
        <f>IFERROR(__xludf.DUMMYFUNCTION("""COMPUTED_VALUE"""),"")</f>
        <v/>
      </c>
      <c r="J318" s="13" t="str">
        <f t="shared" si="1"/>
        <v/>
      </c>
      <c r="K318" s="12" t="str">
        <f>IFERROR(IF(A318="","",if($G318="",Reference!$J$2, VLOOKUP($G318,Reference!$I$2:$J$1000,2,false))),"")</f>
        <v/>
      </c>
      <c r="L318" s="12" t="str">
        <f>IF(A318="","", IF(F318="",Reference!$M$2,F318))</f>
        <v/>
      </c>
      <c r="M318" s="14" t="str">
        <f t="shared" si="2"/>
        <v/>
      </c>
      <c r="N318" s="15" t="str">
        <f t="shared" si="3"/>
        <v/>
      </c>
      <c r="O318" s="14" t="str">
        <f t="shared" si="4"/>
        <v/>
      </c>
      <c r="P318" s="16" t="str">
        <f t="array" ref="P318">IF($A318="","", IFERROR(INDEX('BM Data'!$N:$N,MATCH($J318&amp; "-" &amp; $N318,'BM Data'!$O:$O,0),1),""))</f>
        <v/>
      </c>
      <c r="Q318" s="16" t="str">
        <f t="array" ref="Q318">IF($A318="","", IFERROR(INDEX('BM Data'!$J:$J,MATCH($J318&amp; "-" &amp; $N318,'BM Data'!$O:$O,0),1),""))</f>
        <v/>
      </c>
    </row>
    <row r="319">
      <c r="A319" s="10" t="str">
        <f>IFERROR(__xludf.DUMMYFUNCTION("""COMPUTED_VALUE"""),"")</f>
        <v/>
      </c>
      <c r="B319" s="3" t="str">
        <f>IFERROR(__xludf.DUMMYFUNCTION("""COMPUTED_VALUE"""),"")</f>
        <v/>
      </c>
      <c r="C319" s="11" t="str">
        <f>IFERROR(__xludf.DUMMYFUNCTION("""COMPUTED_VALUE"""),"")</f>
        <v/>
      </c>
      <c r="D319" s="11" t="str">
        <f>IFERROR(__xludf.DUMMYFUNCTION("""COMPUTED_VALUE"""),"")</f>
        <v/>
      </c>
      <c r="E319" s="11" t="str">
        <f>IFERROR(__xludf.DUMMYFUNCTION("""COMPUTED_VALUE"""),"")</f>
        <v/>
      </c>
      <c r="F319" s="11" t="str">
        <f>IFERROR(__xludf.DUMMYFUNCTION("""COMPUTED_VALUE"""),"")</f>
        <v/>
      </c>
      <c r="G319" s="11" t="str">
        <f>IFERROR(__xludf.DUMMYFUNCTION("""COMPUTED_VALUE"""),"")</f>
        <v/>
      </c>
      <c r="H319" s="12" t="str">
        <f>IFERROR(__xludf.DUMMYFUNCTION("""COMPUTED_VALUE"""),"")</f>
        <v/>
      </c>
      <c r="I319" s="12" t="str">
        <f>IFERROR(__xludf.DUMMYFUNCTION("""COMPUTED_VALUE"""),"")</f>
        <v/>
      </c>
      <c r="J319" s="13" t="str">
        <f t="shared" si="1"/>
        <v/>
      </c>
      <c r="K319" s="12" t="str">
        <f>IFERROR(IF(A319="","",if($G319="",Reference!$J$2, VLOOKUP($G319,Reference!$I$2:$J$1000,2,false))),"")</f>
        <v/>
      </c>
      <c r="L319" s="12" t="str">
        <f>IF(A319="","", IF(F319="",Reference!$M$2,F319))</f>
        <v/>
      </c>
      <c r="M319" s="14" t="str">
        <f t="shared" si="2"/>
        <v/>
      </c>
      <c r="N319" s="15" t="str">
        <f t="shared" si="3"/>
        <v/>
      </c>
      <c r="O319" s="14" t="str">
        <f t="shared" si="4"/>
        <v/>
      </c>
      <c r="P319" s="16" t="str">
        <f t="array" ref="P319">IF($A319="","", IFERROR(INDEX('BM Data'!$N:$N,MATCH($J319&amp; "-" &amp; $N319,'BM Data'!$O:$O,0),1),""))</f>
        <v/>
      </c>
      <c r="Q319" s="16" t="str">
        <f t="array" ref="Q319">IF($A319="","", IFERROR(INDEX('BM Data'!$J:$J,MATCH($J319&amp; "-" &amp; $N319,'BM Data'!$O:$O,0),1),""))</f>
        <v/>
      </c>
    </row>
    <row r="320">
      <c r="A320" s="10" t="str">
        <f>IFERROR(__xludf.DUMMYFUNCTION("""COMPUTED_VALUE"""),"")</f>
        <v/>
      </c>
      <c r="B320" s="3" t="str">
        <f>IFERROR(__xludf.DUMMYFUNCTION("""COMPUTED_VALUE"""),"")</f>
        <v/>
      </c>
      <c r="C320" s="11" t="str">
        <f>IFERROR(__xludf.DUMMYFUNCTION("""COMPUTED_VALUE"""),"")</f>
        <v/>
      </c>
      <c r="D320" s="11" t="str">
        <f>IFERROR(__xludf.DUMMYFUNCTION("""COMPUTED_VALUE"""),"")</f>
        <v/>
      </c>
      <c r="E320" s="11" t="str">
        <f>IFERROR(__xludf.DUMMYFUNCTION("""COMPUTED_VALUE"""),"")</f>
        <v/>
      </c>
      <c r="F320" s="11" t="str">
        <f>IFERROR(__xludf.DUMMYFUNCTION("""COMPUTED_VALUE"""),"")</f>
        <v/>
      </c>
      <c r="G320" s="11" t="str">
        <f>IFERROR(__xludf.DUMMYFUNCTION("""COMPUTED_VALUE"""),"")</f>
        <v/>
      </c>
      <c r="H320" s="12" t="str">
        <f>IFERROR(__xludf.DUMMYFUNCTION("""COMPUTED_VALUE"""),"")</f>
        <v/>
      </c>
      <c r="I320" s="12" t="str">
        <f>IFERROR(__xludf.DUMMYFUNCTION("""COMPUTED_VALUE"""),"")</f>
        <v/>
      </c>
      <c r="J320" s="13" t="str">
        <f t="shared" si="1"/>
        <v/>
      </c>
      <c r="K320" s="12" t="str">
        <f>IFERROR(IF(A320="","",if($G320="",Reference!$J$2, VLOOKUP($G320,Reference!$I$2:$J$1000,2,false))),"")</f>
        <v/>
      </c>
      <c r="L320" s="12" t="str">
        <f>IF(A320="","", IF(F320="",Reference!$M$2,F320))</f>
        <v/>
      </c>
      <c r="M320" s="14" t="str">
        <f t="shared" si="2"/>
        <v/>
      </c>
      <c r="N320" s="15" t="str">
        <f t="shared" si="3"/>
        <v/>
      </c>
      <c r="O320" s="14" t="str">
        <f t="shared" si="4"/>
        <v/>
      </c>
      <c r="P320" s="16" t="str">
        <f t="array" ref="P320">IF($A320="","", IFERROR(INDEX('BM Data'!$N:$N,MATCH($J320&amp; "-" &amp; $N320,'BM Data'!$O:$O,0),1),""))</f>
        <v/>
      </c>
      <c r="Q320" s="16" t="str">
        <f t="array" ref="Q320">IF($A320="","", IFERROR(INDEX('BM Data'!$J:$J,MATCH($J320&amp; "-" &amp; $N320,'BM Data'!$O:$O,0),1),""))</f>
        <v/>
      </c>
    </row>
    <row r="321">
      <c r="A321" s="10" t="str">
        <f>IFERROR(__xludf.DUMMYFUNCTION("""COMPUTED_VALUE"""),"")</f>
        <v/>
      </c>
      <c r="B321" s="3" t="str">
        <f>IFERROR(__xludf.DUMMYFUNCTION("""COMPUTED_VALUE"""),"")</f>
        <v/>
      </c>
      <c r="C321" s="11" t="str">
        <f>IFERROR(__xludf.DUMMYFUNCTION("""COMPUTED_VALUE"""),"")</f>
        <v/>
      </c>
      <c r="D321" s="11" t="str">
        <f>IFERROR(__xludf.DUMMYFUNCTION("""COMPUTED_VALUE"""),"")</f>
        <v/>
      </c>
      <c r="E321" s="11" t="str">
        <f>IFERROR(__xludf.DUMMYFUNCTION("""COMPUTED_VALUE"""),"")</f>
        <v/>
      </c>
      <c r="F321" s="11" t="str">
        <f>IFERROR(__xludf.DUMMYFUNCTION("""COMPUTED_VALUE"""),"")</f>
        <v/>
      </c>
      <c r="G321" s="11" t="str">
        <f>IFERROR(__xludf.DUMMYFUNCTION("""COMPUTED_VALUE"""),"")</f>
        <v/>
      </c>
      <c r="H321" s="12" t="str">
        <f>IFERROR(__xludf.DUMMYFUNCTION("""COMPUTED_VALUE"""),"")</f>
        <v/>
      </c>
      <c r="I321" s="12" t="str">
        <f>IFERROR(__xludf.DUMMYFUNCTION("""COMPUTED_VALUE"""),"")</f>
        <v/>
      </c>
      <c r="J321" s="13" t="str">
        <f t="shared" si="1"/>
        <v/>
      </c>
      <c r="K321" s="12" t="str">
        <f>IFERROR(IF(A321="","",if($G321="",Reference!$J$2, VLOOKUP($G321,Reference!$I$2:$J$1000,2,false))),"")</f>
        <v/>
      </c>
      <c r="L321" s="12" t="str">
        <f>IF(A321="","", IF(F321="",Reference!$M$2,F321))</f>
        <v/>
      </c>
      <c r="M321" s="14" t="str">
        <f t="shared" si="2"/>
        <v/>
      </c>
      <c r="N321" s="15" t="str">
        <f t="shared" si="3"/>
        <v/>
      </c>
      <c r="O321" s="14" t="str">
        <f t="shared" si="4"/>
        <v/>
      </c>
      <c r="P321" s="16" t="str">
        <f t="array" ref="P321">IF($A321="","", IFERROR(INDEX('BM Data'!$N:$N,MATCH($J321&amp; "-" &amp; $N321,'BM Data'!$O:$O,0),1),""))</f>
        <v/>
      </c>
      <c r="Q321" s="16" t="str">
        <f t="array" ref="Q321">IF($A321="","", IFERROR(INDEX('BM Data'!$J:$J,MATCH($J321&amp; "-" &amp; $N321,'BM Data'!$O:$O,0),1),""))</f>
        <v/>
      </c>
    </row>
    <row r="322">
      <c r="A322" s="10" t="str">
        <f>IFERROR(__xludf.DUMMYFUNCTION("""COMPUTED_VALUE"""),"")</f>
        <v/>
      </c>
      <c r="B322" s="3" t="str">
        <f>IFERROR(__xludf.DUMMYFUNCTION("""COMPUTED_VALUE"""),"")</f>
        <v/>
      </c>
      <c r="C322" s="11" t="str">
        <f>IFERROR(__xludf.DUMMYFUNCTION("""COMPUTED_VALUE"""),"")</f>
        <v/>
      </c>
      <c r="D322" s="11" t="str">
        <f>IFERROR(__xludf.DUMMYFUNCTION("""COMPUTED_VALUE"""),"")</f>
        <v/>
      </c>
      <c r="E322" s="11" t="str">
        <f>IFERROR(__xludf.DUMMYFUNCTION("""COMPUTED_VALUE"""),"")</f>
        <v/>
      </c>
      <c r="F322" s="11" t="str">
        <f>IFERROR(__xludf.DUMMYFUNCTION("""COMPUTED_VALUE"""),"")</f>
        <v/>
      </c>
      <c r="G322" s="11" t="str">
        <f>IFERROR(__xludf.DUMMYFUNCTION("""COMPUTED_VALUE"""),"")</f>
        <v/>
      </c>
      <c r="H322" s="12" t="str">
        <f>IFERROR(__xludf.DUMMYFUNCTION("""COMPUTED_VALUE"""),"")</f>
        <v/>
      </c>
      <c r="I322" s="12" t="str">
        <f>IFERROR(__xludf.DUMMYFUNCTION("""COMPUTED_VALUE"""),"")</f>
        <v/>
      </c>
      <c r="J322" s="13" t="str">
        <f t="shared" si="1"/>
        <v/>
      </c>
      <c r="K322" s="12" t="str">
        <f>IFERROR(IF(A322="","",if($G322="",Reference!$J$2, VLOOKUP($G322,Reference!$I$2:$J$1000,2,false))),"")</f>
        <v/>
      </c>
      <c r="L322" s="12" t="str">
        <f>IF(A322="","", IF(F322="",Reference!$M$2,F322))</f>
        <v/>
      </c>
      <c r="M322" s="14" t="str">
        <f t="shared" si="2"/>
        <v/>
      </c>
      <c r="N322" s="15" t="str">
        <f t="shared" si="3"/>
        <v/>
      </c>
      <c r="O322" s="14" t="str">
        <f t="shared" si="4"/>
        <v/>
      </c>
      <c r="P322" s="16" t="str">
        <f t="array" ref="P322">IF($A322="","", IFERROR(INDEX('BM Data'!$N:$N,MATCH($J322&amp; "-" &amp; $N322,'BM Data'!$O:$O,0),1),""))</f>
        <v/>
      </c>
      <c r="Q322" s="16" t="str">
        <f t="array" ref="Q322">IF($A322="","", IFERROR(INDEX('BM Data'!$J:$J,MATCH($J322&amp; "-" &amp; $N322,'BM Data'!$O:$O,0),1),""))</f>
        <v/>
      </c>
    </row>
    <row r="323">
      <c r="A323" s="10" t="str">
        <f>IFERROR(__xludf.DUMMYFUNCTION("""COMPUTED_VALUE"""),"")</f>
        <v/>
      </c>
      <c r="B323" s="3" t="str">
        <f>IFERROR(__xludf.DUMMYFUNCTION("""COMPUTED_VALUE"""),"")</f>
        <v/>
      </c>
      <c r="C323" s="11" t="str">
        <f>IFERROR(__xludf.DUMMYFUNCTION("""COMPUTED_VALUE"""),"")</f>
        <v/>
      </c>
      <c r="D323" s="11" t="str">
        <f>IFERROR(__xludf.DUMMYFUNCTION("""COMPUTED_VALUE"""),"")</f>
        <v/>
      </c>
      <c r="E323" s="11" t="str">
        <f>IFERROR(__xludf.DUMMYFUNCTION("""COMPUTED_VALUE"""),"")</f>
        <v/>
      </c>
      <c r="F323" s="11" t="str">
        <f>IFERROR(__xludf.DUMMYFUNCTION("""COMPUTED_VALUE"""),"")</f>
        <v/>
      </c>
      <c r="G323" s="11" t="str">
        <f>IFERROR(__xludf.DUMMYFUNCTION("""COMPUTED_VALUE"""),"")</f>
        <v/>
      </c>
      <c r="H323" s="12" t="str">
        <f>IFERROR(__xludf.DUMMYFUNCTION("""COMPUTED_VALUE"""),"")</f>
        <v/>
      </c>
      <c r="I323" s="12" t="str">
        <f>IFERROR(__xludf.DUMMYFUNCTION("""COMPUTED_VALUE"""),"")</f>
        <v/>
      </c>
      <c r="J323" s="13" t="str">
        <f t="shared" si="1"/>
        <v/>
      </c>
      <c r="K323" s="12" t="str">
        <f>IFERROR(IF(A323="","",if($G323="",Reference!$J$2, VLOOKUP($G323,Reference!$I$2:$J$1000,2,false))),"")</f>
        <v/>
      </c>
      <c r="L323" s="12" t="str">
        <f>IF(A323="","", IF(F323="",Reference!$M$2,F323))</f>
        <v/>
      </c>
      <c r="M323" s="14" t="str">
        <f t="shared" si="2"/>
        <v/>
      </c>
      <c r="N323" s="15" t="str">
        <f t="shared" si="3"/>
        <v/>
      </c>
      <c r="O323" s="14" t="str">
        <f t="shared" si="4"/>
        <v/>
      </c>
      <c r="P323" s="16" t="str">
        <f t="array" ref="P323">IF($A323="","", IFERROR(INDEX('BM Data'!$N:$N,MATCH($J323&amp; "-" &amp; $N323,'BM Data'!$O:$O,0),1),""))</f>
        <v/>
      </c>
      <c r="Q323" s="16" t="str">
        <f t="array" ref="Q323">IF($A323="","", IFERROR(INDEX('BM Data'!$J:$J,MATCH($J323&amp; "-" &amp; $N323,'BM Data'!$O:$O,0),1),""))</f>
        <v/>
      </c>
    </row>
    <row r="324">
      <c r="A324" s="10" t="str">
        <f>IFERROR(__xludf.DUMMYFUNCTION("""COMPUTED_VALUE"""),"")</f>
        <v/>
      </c>
      <c r="B324" s="3" t="str">
        <f>IFERROR(__xludf.DUMMYFUNCTION("""COMPUTED_VALUE"""),"")</f>
        <v/>
      </c>
      <c r="C324" s="11" t="str">
        <f>IFERROR(__xludf.DUMMYFUNCTION("""COMPUTED_VALUE"""),"")</f>
        <v/>
      </c>
      <c r="D324" s="11" t="str">
        <f>IFERROR(__xludf.DUMMYFUNCTION("""COMPUTED_VALUE"""),"")</f>
        <v/>
      </c>
      <c r="E324" s="11" t="str">
        <f>IFERROR(__xludf.DUMMYFUNCTION("""COMPUTED_VALUE"""),"")</f>
        <v/>
      </c>
      <c r="F324" s="11" t="str">
        <f>IFERROR(__xludf.DUMMYFUNCTION("""COMPUTED_VALUE"""),"")</f>
        <v/>
      </c>
      <c r="G324" s="11" t="str">
        <f>IFERROR(__xludf.DUMMYFUNCTION("""COMPUTED_VALUE"""),"")</f>
        <v/>
      </c>
      <c r="H324" s="12" t="str">
        <f>IFERROR(__xludf.DUMMYFUNCTION("""COMPUTED_VALUE"""),"")</f>
        <v/>
      </c>
      <c r="I324" s="12" t="str">
        <f>IFERROR(__xludf.DUMMYFUNCTION("""COMPUTED_VALUE"""),"")</f>
        <v/>
      </c>
      <c r="J324" s="13" t="str">
        <f t="shared" si="1"/>
        <v/>
      </c>
      <c r="K324" s="12" t="str">
        <f>IFERROR(IF(A324="","",if($G324="",Reference!$J$2, VLOOKUP($G324,Reference!$I$2:$J$1000,2,false))),"")</f>
        <v/>
      </c>
      <c r="L324" s="12" t="str">
        <f>IF(A324="","", IF(F324="",Reference!$M$2,F324))</f>
        <v/>
      </c>
      <c r="M324" s="14" t="str">
        <f t="shared" si="2"/>
        <v/>
      </c>
      <c r="N324" s="15" t="str">
        <f t="shared" si="3"/>
        <v/>
      </c>
      <c r="O324" s="14" t="str">
        <f t="shared" si="4"/>
        <v/>
      </c>
      <c r="P324" s="16" t="str">
        <f t="array" ref="P324">IF($A324="","", IFERROR(INDEX('BM Data'!$N:$N,MATCH($J324&amp; "-" &amp; $N324,'BM Data'!$O:$O,0),1),""))</f>
        <v/>
      </c>
      <c r="Q324" s="16" t="str">
        <f t="array" ref="Q324">IF($A324="","", IFERROR(INDEX('BM Data'!$J:$J,MATCH($J324&amp; "-" &amp; $N324,'BM Data'!$O:$O,0),1),""))</f>
        <v/>
      </c>
    </row>
    <row r="325">
      <c r="A325" s="10" t="str">
        <f>IFERROR(__xludf.DUMMYFUNCTION("""COMPUTED_VALUE"""),"")</f>
        <v/>
      </c>
      <c r="B325" s="3" t="str">
        <f>IFERROR(__xludf.DUMMYFUNCTION("""COMPUTED_VALUE"""),"")</f>
        <v/>
      </c>
      <c r="C325" s="11" t="str">
        <f>IFERROR(__xludf.DUMMYFUNCTION("""COMPUTED_VALUE"""),"")</f>
        <v/>
      </c>
      <c r="D325" s="11" t="str">
        <f>IFERROR(__xludf.DUMMYFUNCTION("""COMPUTED_VALUE"""),"")</f>
        <v/>
      </c>
      <c r="E325" s="11" t="str">
        <f>IFERROR(__xludf.DUMMYFUNCTION("""COMPUTED_VALUE"""),"")</f>
        <v/>
      </c>
      <c r="F325" s="11" t="str">
        <f>IFERROR(__xludf.DUMMYFUNCTION("""COMPUTED_VALUE"""),"")</f>
        <v/>
      </c>
      <c r="G325" s="11" t="str">
        <f>IFERROR(__xludf.DUMMYFUNCTION("""COMPUTED_VALUE"""),"")</f>
        <v/>
      </c>
      <c r="H325" s="12" t="str">
        <f>IFERROR(__xludf.DUMMYFUNCTION("""COMPUTED_VALUE"""),"")</f>
        <v/>
      </c>
      <c r="I325" s="12" t="str">
        <f>IFERROR(__xludf.DUMMYFUNCTION("""COMPUTED_VALUE"""),"")</f>
        <v/>
      </c>
      <c r="J325" s="13" t="str">
        <f t="shared" si="1"/>
        <v/>
      </c>
      <c r="K325" s="12" t="str">
        <f>IFERROR(IF(A325="","",if($G325="",Reference!$J$2, VLOOKUP($G325,Reference!$I$2:$J$1000,2,false))),"")</f>
        <v/>
      </c>
      <c r="L325" s="12" t="str">
        <f>IF(A325="","", IF(F325="",Reference!$M$2,F325))</f>
        <v/>
      </c>
      <c r="M325" s="14" t="str">
        <f t="shared" si="2"/>
        <v/>
      </c>
      <c r="N325" s="15" t="str">
        <f t="shared" si="3"/>
        <v/>
      </c>
      <c r="O325" s="14" t="str">
        <f t="shared" si="4"/>
        <v/>
      </c>
      <c r="P325" s="16" t="str">
        <f t="array" ref="P325">IF($A325="","", IFERROR(INDEX('BM Data'!$N:$N,MATCH($J325&amp; "-" &amp; $N325,'BM Data'!$O:$O,0),1),""))</f>
        <v/>
      </c>
      <c r="Q325" s="16" t="str">
        <f t="array" ref="Q325">IF($A325="","", IFERROR(INDEX('BM Data'!$J:$J,MATCH($J325&amp; "-" &amp; $N325,'BM Data'!$O:$O,0),1),""))</f>
        <v/>
      </c>
    </row>
    <row r="326">
      <c r="A326" s="10" t="str">
        <f>IFERROR(__xludf.DUMMYFUNCTION("""COMPUTED_VALUE"""),"")</f>
        <v/>
      </c>
      <c r="B326" s="3" t="str">
        <f>IFERROR(__xludf.DUMMYFUNCTION("""COMPUTED_VALUE"""),"")</f>
        <v/>
      </c>
      <c r="C326" s="11" t="str">
        <f>IFERROR(__xludf.DUMMYFUNCTION("""COMPUTED_VALUE"""),"")</f>
        <v/>
      </c>
      <c r="D326" s="11" t="str">
        <f>IFERROR(__xludf.DUMMYFUNCTION("""COMPUTED_VALUE"""),"")</f>
        <v/>
      </c>
      <c r="E326" s="11" t="str">
        <f>IFERROR(__xludf.DUMMYFUNCTION("""COMPUTED_VALUE"""),"")</f>
        <v/>
      </c>
      <c r="F326" s="11" t="str">
        <f>IFERROR(__xludf.DUMMYFUNCTION("""COMPUTED_VALUE"""),"")</f>
        <v/>
      </c>
      <c r="G326" s="11" t="str">
        <f>IFERROR(__xludf.DUMMYFUNCTION("""COMPUTED_VALUE"""),"")</f>
        <v/>
      </c>
      <c r="H326" s="12" t="str">
        <f>IFERROR(__xludf.DUMMYFUNCTION("""COMPUTED_VALUE"""),"")</f>
        <v/>
      </c>
      <c r="I326" s="12" t="str">
        <f>IFERROR(__xludf.DUMMYFUNCTION("""COMPUTED_VALUE"""),"")</f>
        <v/>
      </c>
      <c r="J326" s="13" t="str">
        <f t="shared" si="1"/>
        <v/>
      </c>
      <c r="K326" s="12" t="str">
        <f>IFERROR(IF(A326="","",if($G326="",Reference!$J$2, VLOOKUP($G326,Reference!$I$2:$J$1000,2,false))),"")</f>
        <v/>
      </c>
      <c r="L326" s="12" t="str">
        <f>IF(A326="","", IF(F326="",Reference!$M$2,F326))</f>
        <v/>
      </c>
      <c r="M326" s="14" t="str">
        <f t="shared" si="2"/>
        <v/>
      </c>
      <c r="N326" s="15" t="str">
        <f t="shared" si="3"/>
        <v/>
      </c>
      <c r="O326" s="14" t="str">
        <f t="shared" si="4"/>
        <v/>
      </c>
      <c r="P326" s="16" t="str">
        <f t="array" ref="P326">IF($A326="","", IFERROR(INDEX('BM Data'!$N:$N,MATCH($J326&amp; "-" &amp; $N326,'BM Data'!$O:$O,0),1),""))</f>
        <v/>
      </c>
      <c r="Q326" s="16" t="str">
        <f t="array" ref="Q326">IF($A326="","", IFERROR(INDEX('BM Data'!$J:$J,MATCH($J326&amp; "-" &amp; $N326,'BM Data'!$O:$O,0),1),""))</f>
        <v/>
      </c>
    </row>
    <row r="327">
      <c r="A327" s="10" t="str">
        <f>IFERROR(__xludf.DUMMYFUNCTION("""COMPUTED_VALUE"""),"")</f>
        <v/>
      </c>
      <c r="B327" s="3" t="str">
        <f>IFERROR(__xludf.DUMMYFUNCTION("""COMPUTED_VALUE"""),"")</f>
        <v/>
      </c>
      <c r="C327" s="11" t="str">
        <f>IFERROR(__xludf.DUMMYFUNCTION("""COMPUTED_VALUE"""),"")</f>
        <v/>
      </c>
      <c r="D327" s="11" t="str">
        <f>IFERROR(__xludf.DUMMYFUNCTION("""COMPUTED_VALUE"""),"")</f>
        <v/>
      </c>
      <c r="E327" s="11" t="str">
        <f>IFERROR(__xludf.DUMMYFUNCTION("""COMPUTED_VALUE"""),"")</f>
        <v/>
      </c>
      <c r="F327" s="11" t="str">
        <f>IFERROR(__xludf.DUMMYFUNCTION("""COMPUTED_VALUE"""),"")</f>
        <v/>
      </c>
      <c r="G327" s="11" t="str">
        <f>IFERROR(__xludf.DUMMYFUNCTION("""COMPUTED_VALUE"""),"")</f>
        <v/>
      </c>
      <c r="H327" s="12" t="str">
        <f>IFERROR(__xludf.DUMMYFUNCTION("""COMPUTED_VALUE"""),"")</f>
        <v/>
      </c>
      <c r="I327" s="12" t="str">
        <f>IFERROR(__xludf.DUMMYFUNCTION("""COMPUTED_VALUE"""),"")</f>
        <v/>
      </c>
      <c r="J327" s="13" t="str">
        <f t="shared" si="1"/>
        <v/>
      </c>
      <c r="K327" s="12" t="str">
        <f>IFERROR(IF(A327="","",if($G327="",Reference!$J$2, VLOOKUP($G327,Reference!$I$2:$J$1000,2,false))),"")</f>
        <v/>
      </c>
      <c r="L327" s="12" t="str">
        <f>IF(A327="","", IF(F327="",Reference!$M$2,F327))</f>
        <v/>
      </c>
      <c r="M327" s="14" t="str">
        <f t="shared" si="2"/>
        <v/>
      </c>
      <c r="N327" s="15" t="str">
        <f t="shared" si="3"/>
        <v/>
      </c>
      <c r="O327" s="14" t="str">
        <f t="shared" si="4"/>
        <v/>
      </c>
      <c r="P327" s="16" t="str">
        <f t="array" ref="P327">IF($A327="","", IFERROR(INDEX('BM Data'!$N:$N,MATCH($J327&amp; "-" &amp; $N327,'BM Data'!$O:$O,0),1),""))</f>
        <v/>
      </c>
      <c r="Q327" s="16" t="str">
        <f t="array" ref="Q327">IF($A327="","", IFERROR(INDEX('BM Data'!$J:$J,MATCH($J327&amp; "-" &amp; $N327,'BM Data'!$O:$O,0),1),""))</f>
        <v/>
      </c>
    </row>
    <row r="328">
      <c r="A328" s="10" t="str">
        <f>IFERROR(__xludf.DUMMYFUNCTION("""COMPUTED_VALUE"""),"")</f>
        <v/>
      </c>
      <c r="B328" s="3" t="str">
        <f>IFERROR(__xludf.DUMMYFUNCTION("""COMPUTED_VALUE"""),"")</f>
        <v/>
      </c>
      <c r="C328" s="11" t="str">
        <f>IFERROR(__xludf.DUMMYFUNCTION("""COMPUTED_VALUE"""),"")</f>
        <v/>
      </c>
      <c r="D328" s="11" t="str">
        <f>IFERROR(__xludf.DUMMYFUNCTION("""COMPUTED_VALUE"""),"")</f>
        <v/>
      </c>
      <c r="E328" s="11" t="str">
        <f>IFERROR(__xludf.DUMMYFUNCTION("""COMPUTED_VALUE"""),"")</f>
        <v/>
      </c>
      <c r="F328" s="11" t="str">
        <f>IFERROR(__xludf.DUMMYFUNCTION("""COMPUTED_VALUE"""),"")</f>
        <v/>
      </c>
      <c r="G328" s="11" t="str">
        <f>IFERROR(__xludf.DUMMYFUNCTION("""COMPUTED_VALUE"""),"")</f>
        <v/>
      </c>
      <c r="H328" s="12" t="str">
        <f>IFERROR(__xludf.DUMMYFUNCTION("""COMPUTED_VALUE"""),"")</f>
        <v/>
      </c>
      <c r="I328" s="12" t="str">
        <f>IFERROR(__xludf.DUMMYFUNCTION("""COMPUTED_VALUE"""),"")</f>
        <v/>
      </c>
      <c r="J328" s="13" t="str">
        <f t="shared" si="1"/>
        <v/>
      </c>
      <c r="K328" s="12" t="str">
        <f>IFERROR(IF(A328="","",if($G328="",Reference!$J$2, VLOOKUP($G328,Reference!$I$2:$J$1000,2,false))),"")</f>
        <v/>
      </c>
      <c r="L328" s="12" t="str">
        <f>IF(A328="","", IF(F328="",Reference!$M$2,F328))</f>
        <v/>
      </c>
      <c r="M328" s="14" t="str">
        <f t="shared" si="2"/>
        <v/>
      </c>
      <c r="N328" s="15" t="str">
        <f t="shared" si="3"/>
        <v/>
      </c>
      <c r="O328" s="14" t="str">
        <f t="shared" si="4"/>
        <v/>
      </c>
      <c r="P328" s="16" t="str">
        <f t="array" ref="P328">IF($A328="","", IFERROR(INDEX('BM Data'!$N:$N,MATCH($J328&amp; "-" &amp; $N328,'BM Data'!$O:$O,0),1),""))</f>
        <v/>
      </c>
      <c r="Q328" s="16" t="str">
        <f t="array" ref="Q328">IF($A328="","", IFERROR(INDEX('BM Data'!$J:$J,MATCH($J328&amp; "-" &amp; $N328,'BM Data'!$O:$O,0),1),""))</f>
        <v/>
      </c>
    </row>
    <row r="329">
      <c r="A329" s="10" t="str">
        <f>IFERROR(__xludf.DUMMYFUNCTION("""COMPUTED_VALUE"""),"")</f>
        <v/>
      </c>
      <c r="B329" s="3" t="str">
        <f>IFERROR(__xludf.DUMMYFUNCTION("""COMPUTED_VALUE"""),"")</f>
        <v/>
      </c>
      <c r="C329" s="11" t="str">
        <f>IFERROR(__xludf.DUMMYFUNCTION("""COMPUTED_VALUE"""),"")</f>
        <v/>
      </c>
      <c r="D329" s="11" t="str">
        <f>IFERROR(__xludf.DUMMYFUNCTION("""COMPUTED_VALUE"""),"")</f>
        <v/>
      </c>
      <c r="E329" s="11" t="str">
        <f>IFERROR(__xludf.DUMMYFUNCTION("""COMPUTED_VALUE"""),"")</f>
        <v/>
      </c>
      <c r="F329" s="11" t="str">
        <f>IFERROR(__xludf.DUMMYFUNCTION("""COMPUTED_VALUE"""),"")</f>
        <v/>
      </c>
      <c r="G329" s="11" t="str">
        <f>IFERROR(__xludf.DUMMYFUNCTION("""COMPUTED_VALUE"""),"")</f>
        <v/>
      </c>
      <c r="H329" s="12" t="str">
        <f>IFERROR(__xludf.DUMMYFUNCTION("""COMPUTED_VALUE"""),"")</f>
        <v/>
      </c>
      <c r="I329" s="12" t="str">
        <f>IFERROR(__xludf.DUMMYFUNCTION("""COMPUTED_VALUE"""),"")</f>
        <v/>
      </c>
      <c r="J329" s="13" t="str">
        <f t="shared" si="1"/>
        <v/>
      </c>
      <c r="K329" s="12" t="str">
        <f>IFERROR(IF(A329="","",if($G329="",Reference!$J$2, VLOOKUP($G329,Reference!$I$2:$J$1000,2,false))),"")</f>
        <v/>
      </c>
      <c r="L329" s="12" t="str">
        <f>IF(A329="","", IF(F329="",Reference!$M$2,F329))</f>
        <v/>
      </c>
      <c r="M329" s="14" t="str">
        <f t="shared" si="2"/>
        <v/>
      </c>
      <c r="N329" s="15" t="str">
        <f t="shared" si="3"/>
        <v/>
      </c>
      <c r="O329" s="14" t="str">
        <f t="shared" si="4"/>
        <v/>
      </c>
      <c r="P329" s="16" t="str">
        <f t="array" ref="P329">IF($A329="","", IFERROR(INDEX('BM Data'!$N:$N,MATCH($J329&amp; "-" &amp; $N329,'BM Data'!$O:$O,0),1),""))</f>
        <v/>
      </c>
      <c r="Q329" s="16" t="str">
        <f t="array" ref="Q329">IF($A329="","", IFERROR(INDEX('BM Data'!$J:$J,MATCH($J329&amp; "-" &amp; $N329,'BM Data'!$O:$O,0),1),""))</f>
        <v/>
      </c>
    </row>
    <row r="330">
      <c r="A330" s="10" t="str">
        <f>IFERROR(__xludf.DUMMYFUNCTION("""COMPUTED_VALUE"""),"")</f>
        <v/>
      </c>
      <c r="B330" s="3" t="str">
        <f>IFERROR(__xludf.DUMMYFUNCTION("""COMPUTED_VALUE"""),"")</f>
        <v/>
      </c>
      <c r="C330" s="11" t="str">
        <f>IFERROR(__xludf.DUMMYFUNCTION("""COMPUTED_VALUE"""),"")</f>
        <v/>
      </c>
      <c r="D330" s="11" t="str">
        <f>IFERROR(__xludf.DUMMYFUNCTION("""COMPUTED_VALUE"""),"")</f>
        <v/>
      </c>
      <c r="E330" s="11" t="str">
        <f>IFERROR(__xludf.DUMMYFUNCTION("""COMPUTED_VALUE"""),"")</f>
        <v/>
      </c>
      <c r="F330" s="11" t="str">
        <f>IFERROR(__xludf.DUMMYFUNCTION("""COMPUTED_VALUE"""),"")</f>
        <v/>
      </c>
      <c r="G330" s="11" t="str">
        <f>IFERROR(__xludf.DUMMYFUNCTION("""COMPUTED_VALUE"""),"")</f>
        <v/>
      </c>
      <c r="H330" s="12" t="str">
        <f>IFERROR(__xludf.DUMMYFUNCTION("""COMPUTED_VALUE"""),"")</f>
        <v/>
      </c>
      <c r="I330" s="12" t="str">
        <f>IFERROR(__xludf.DUMMYFUNCTION("""COMPUTED_VALUE"""),"")</f>
        <v/>
      </c>
      <c r="J330" s="13" t="str">
        <f t="shared" si="1"/>
        <v/>
      </c>
      <c r="K330" s="12" t="str">
        <f>IFERROR(IF(A330="","",if($G330="",Reference!$J$2, VLOOKUP($G330,Reference!$I$2:$J$1000,2,false))),"")</f>
        <v/>
      </c>
      <c r="L330" s="12" t="str">
        <f>IF(A330="","", IF(F330="",Reference!$M$2,F330))</f>
        <v/>
      </c>
      <c r="M330" s="14" t="str">
        <f t="shared" si="2"/>
        <v/>
      </c>
      <c r="N330" s="15" t="str">
        <f t="shared" si="3"/>
        <v/>
      </c>
      <c r="O330" s="14" t="str">
        <f t="shared" si="4"/>
        <v/>
      </c>
      <c r="P330" s="16" t="str">
        <f t="array" ref="P330">IF($A330="","", IFERROR(INDEX('BM Data'!$N:$N,MATCH($J330&amp; "-" &amp; $N330,'BM Data'!$O:$O,0),1),""))</f>
        <v/>
      </c>
      <c r="Q330" s="16" t="str">
        <f t="array" ref="Q330">IF($A330="","", IFERROR(INDEX('BM Data'!$J:$J,MATCH($J330&amp; "-" &amp; $N330,'BM Data'!$O:$O,0),1),""))</f>
        <v/>
      </c>
    </row>
    <row r="331">
      <c r="A331" s="10" t="str">
        <f>IFERROR(__xludf.DUMMYFUNCTION("""COMPUTED_VALUE"""),"")</f>
        <v/>
      </c>
      <c r="B331" s="3" t="str">
        <f>IFERROR(__xludf.DUMMYFUNCTION("""COMPUTED_VALUE"""),"")</f>
        <v/>
      </c>
      <c r="C331" s="11" t="str">
        <f>IFERROR(__xludf.DUMMYFUNCTION("""COMPUTED_VALUE"""),"")</f>
        <v/>
      </c>
      <c r="D331" s="11" t="str">
        <f>IFERROR(__xludf.DUMMYFUNCTION("""COMPUTED_VALUE"""),"")</f>
        <v/>
      </c>
      <c r="E331" s="11" t="str">
        <f>IFERROR(__xludf.DUMMYFUNCTION("""COMPUTED_VALUE"""),"")</f>
        <v/>
      </c>
      <c r="F331" s="11" t="str">
        <f>IFERROR(__xludf.DUMMYFUNCTION("""COMPUTED_VALUE"""),"")</f>
        <v/>
      </c>
      <c r="G331" s="11" t="str">
        <f>IFERROR(__xludf.DUMMYFUNCTION("""COMPUTED_VALUE"""),"")</f>
        <v/>
      </c>
      <c r="H331" s="12" t="str">
        <f>IFERROR(__xludf.DUMMYFUNCTION("""COMPUTED_VALUE"""),"")</f>
        <v/>
      </c>
      <c r="I331" s="12" t="str">
        <f>IFERROR(__xludf.DUMMYFUNCTION("""COMPUTED_VALUE"""),"")</f>
        <v/>
      </c>
      <c r="J331" s="13" t="str">
        <f t="shared" si="1"/>
        <v/>
      </c>
      <c r="K331" s="12" t="str">
        <f>IFERROR(IF(A331="","",if($G331="",Reference!$J$2, VLOOKUP($G331,Reference!$I$2:$J$1000,2,false))),"")</f>
        <v/>
      </c>
      <c r="L331" s="12" t="str">
        <f>IF(A331="","", IF(F331="",Reference!$M$2,F331))</f>
        <v/>
      </c>
      <c r="M331" s="14" t="str">
        <f t="shared" si="2"/>
        <v/>
      </c>
      <c r="N331" s="15" t="str">
        <f t="shared" si="3"/>
        <v/>
      </c>
      <c r="O331" s="14" t="str">
        <f t="shared" si="4"/>
        <v/>
      </c>
      <c r="P331" s="16" t="str">
        <f t="array" ref="P331">IF($A331="","", IFERROR(INDEX('BM Data'!$N:$N,MATCH($J331&amp; "-" &amp; $N331,'BM Data'!$O:$O,0),1),""))</f>
        <v/>
      </c>
      <c r="Q331" s="16" t="str">
        <f t="array" ref="Q331">IF($A331="","", IFERROR(INDEX('BM Data'!$J:$J,MATCH($J331&amp; "-" &amp; $N331,'BM Data'!$O:$O,0),1),""))</f>
        <v/>
      </c>
    </row>
    <row r="332">
      <c r="A332" s="10" t="str">
        <f>IFERROR(__xludf.DUMMYFUNCTION("""COMPUTED_VALUE"""),"")</f>
        <v/>
      </c>
      <c r="B332" s="3" t="str">
        <f>IFERROR(__xludf.DUMMYFUNCTION("""COMPUTED_VALUE"""),"")</f>
        <v/>
      </c>
      <c r="C332" s="11" t="str">
        <f>IFERROR(__xludf.DUMMYFUNCTION("""COMPUTED_VALUE"""),"")</f>
        <v/>
      </c>
      <c r="D332" s="11" t="str">
        <f>IFERROR(__xludf.DUMMYFUNCTION("""COMPUTED_VALUE"""),"")</f>
        <v/>
      </c>
      <c r="E332" s="11" t="str">
        <f>IFERROR(__xludf.DUMMYFUNCTION("""COMPUTED_VALUE"""),"")</f>
        <v/>
      </c>
      <c r="F332" s="11" t="str">
        <f>IFERROR(__xludf.DUMMYFUNCTION("""COMPUTED_VALUE"""),"")</f>
        <v/>
      </c>
      <c r="G332" s="11" t="str">
        <f>IFERROR(__xludf.DUMMYFUNCTION("""COMPUTED_VALUE"""),"")</f>
        <v/>
      </c>
      <c r="H332" s="12" t="str">
        <f>IFERROR(__xludf.DUMMYFUNCTION("""COMPUTED_VALUE"""),"")</f>
        <v/>
      </c>
      <c r="I332" s="12" t="str">
        <f>IFERROR(__xludf.DUMMYFUNCTION("""COMPUTED_VALUE"""),"")</f>
        <v/>
      </c>
      <c r="J332" s="13" t="str">
        <f t="shared" si="1"/>
        <v/>
      </c>
      <c r="K332" s="12" t="str">
        <f>IFERROR(IF(A332="","",if($G332="",Reference!$J$2, VLOOKUP($G332,Reference!$I$2:$J$1000,2,false))),"")</f>
        <v/>
      </c>
      <c r="L332" s="12" t="str">
        <f>IF(A332="","", IF(F332="",Reference!$M$2,F332))</f>
        <v/>
      </c>
      <c r="M332" s="14" t="str">
        <f t="shared" si="2"/>
        <v/>
      </c>
      <c r="N332" s="15" t="str">
        <f t="shared" si="3"/>
        <v/>
      </c>
      <c r="O332" s="14" t="str">
        <f t="shared" si="4"/>
        <v/>
      </c>
      <c r="P332" s="16" t="str">
        <f t="array" ref="P332">IF($A332="","", IFERROR(INDEX('BM Data'!$N:$N,MATCH($J332&amp; "-" &amp; $N332,'BM Data'!$O:$O,0),1),""))</f>
        <v/>
      </c>
      <c r="Q332" s="16" t="str">
        <f t="array" ref="Q332">IF($A332="","", IFERROR(INDEX('BM Data'!$J:$J,MATCH($J332&amp; "-" &amp; $N332,'BM Data'!$O:$O,0),1),""))</f>
        <v/>
      </c>
    </row>
    <row r="333">
      <c r="A333" s="10" t="str">
        <f>IFERROR(__xludf.DUMMYFUNCTION("""COMPUTED_VALUE"""),"")</f>
        <v/>
      </c>
      <c r="B333" s="3" t="str">
        <f>IFERROR(__xludf.DUMMYFUNCTION("""COMPUTED_VALUE"""),"")</f>
        <v/>
      </c>
      <c r="C333" s="11" t="str">
        <f>IFERROR(__xludf.DUMMYFUNCTION("""COMPUTED_VALUE"""),"")</f>
        <v/>
      </c>
      <c r="D333" s="11" t="str">
        <f>IFERROR(__xludf.DUMMYFUNCTION("""COMPUTED_VALUE"""),"")</f>
        <v/>
      </c>
      <c r="E333" s="11" t="str">
        <f>IFERROR(__xludf.DUMMYFUNCTION("""COMPUTED_VALUE"""),"")</f>
        <v/>
      </c>
      <c r="F333" s="11" t="str">
        <f>IFERROR(__xludf.DUMMYFUNCTION("""COMPUTED_VALUE"""),"")</f>
        <v/>
      </c>
      <c r="G333" s="11" t="str">
        <f>IFERROR(__xludf.DUMMYFUNCTION("""COMPUTED_VALUE"""),"")</f>
        <v/>
      </c>
      <c r="H333" s="12" t="str">
        <f>IFERROR(__xludf.DUMMYFUNCTION("""COMPUTED_VALUE"""),"")</f>
        <v/>
      </c>
      <c r="I333" s="12" t="str">
        <f>IFERROR(__xludf.DUMMYFUNCTION("""COMPUTED_VALUE"""),"")</f>
        <v/>
      </c>
      <c r="J333" s="13" t="str">
        <f t="shared" si="1"/>
        <v/>
      </c>
      <c r="K333" s="12" t="str">
        <f>IFERROR(IF(A333="","",if($G333="",Reference!$J$2, VLOOKUP($G333,Reference!$I$2:$J$1000,2,false))),"")</f>
        <v/>
      </c>
      <c r="L333" s="12" t="str">
        <f>IF(A333="","", IF(F333="",Reference!$M$2,F333))</f>
        <v/>
      </c>
      <c r="M333" s="14" t="str">
        <f t="shared" si="2"/>
        <v/>
      </c>
      <c r="N333" s="15" t="str">
        <f t="shared" si="3"/>
        <v/>
      </c>
      <c r="O333" s="14" t="str">
        <f t="shared" si="4"/>
        <v/>
      </c>
      <c r="P333" s="16" t="str">
        <f t="array" ref="P333">IF($A333="","", IFERROR(INDEX('BM Data'!$N:$N,MATCH($J333&amp; "-" &amp; $N333,'BM Data'!$O:$O,0),1),""))</f>
        <v/>
      </c>
      <c r="Q333" s="16" t="str">
        <f t="array" ref="Q333">IF($A333="","", IFERROR(INDEX('BM Data'!$J:$J,MATCH($J333&amp; "-" &amp; $N333,'BM Data'!$O:$O,0),1),""))</f>
        <v/>
      </c>
    </row>
    <row r="334">
      <c r="A334" s="10" t="str">
        <f>IFERROR(__xludf.DUMMYFUNCTION("""COMPUTED_VALUE"""),"")</f>
        <v/>
      </c>
      <c r="B334" s="3" t="str">
        <f>IFERROR(__xludf.DUMMYFUNCTION("""COMPUTED_VALUE"""),"")</f>
        <v/>
      </c>
      <c r="C334" s="11" t="str">
        <f>IFERROR(__xludf.DUMMYFUNCTION("""COMPUTED_VALUE"""),"")</f>
        <v/>
      </c>
      <c r="D334" s="11" t="str">
        <f>IFERROR(__xludf.DUMMYFUNCTION("""COMPUTED_VALUE"""),"")</f>
        <v/>
      </c>
      <c r="E334" s="11" t="str">
        <f>IFERROR(__xludf.DUMMYFUNCTION("""COMPUTED_VALUE"""),"")</f>
        <v/>
      </c>
      <c r="F334" s="11" t="str">
        <f>IFERROR(__xludf.DUMMYFUNCTION("""COMPUTED_VALUE"""),"")</f>
        <v/>
      </c>
      <c r="G334" s="11" t="str">
        <f>IFERROR(__xludf.DUMMYFUNCTION("""COMPUTED_VALUE"""),"")</f>
        <v/>
      </c>
      <c r="H334" s="12" t="str">
        <f>IFERROR(__xludf.DUMMYFUNCTION("""COMPUTED_VALUE"""),"")</f>
        <v/>
      </c>
      <c r="I334" s="12" t="str">
        <f>IFERROR(__xludf.DUMMYFUNCTION("""COMPUTED_VALUE"""),"")</f>
        <v/>
      </c>
      <c r="J334" s="13" t="str">
        <f t="shared" si="1"/>
        <v/>
      </c>
      <c r="K334" s="12" t="str">
        <f>IFERROR(IF(A334="","",if($G334="",Reference!$J$2, VLOOKUP($G334,Reference!$I$2:$J$1000,2,false))),"")</f>
        <v/>
      </c>
      <c r="L334" s="12" t="str">
        <f>IF(A334="","", IF(F334="",Reference!$M$2,F334))</f>
        <v/>
      </c>
      <c r="M334" s="14" t="str">
        <f t="shared" si="2"/>
        <v/>
      </c>
      <c r="N334" s="15" t="str">
        <f t="shared" si="3"/>
        <v/>
      </c>
      <c r="O334" s="14" t="str">
        <f t="shared" si="4"/>
        <v/>
      </c>
      <c r="P334" s="16" t="str">
        <f t="array" ref="P334">IF($A334="","", IFERROR(INDEX('BM Data'!$N:$N,MATCH($J334&amp; "-" &amp; $N334,'BM Data'!$O:$O,0),1),""))</f>
        <v/>
      </c>
      <c r="Q334" s="16" t="str">
        <f t="array" ref="Q334">IF($A334="","", IFERROR(INDEX('BM Data'!$J:$J,MATCH($J334&amp; "-" &amp; $N334,'BM Data'!$O:$O,0),1),""))</f>
        <v/>
      </c>
    </row>
    <row r="335">
      <c r="A335" s="10" t="str">
        <f>IFERROR(__xludf.DUMMYFUNCTION("""COMPUTED_VALUE"""),"")</f>
        <v/>
      </c>
      <c r="B335" s="3" t="str">
        <f>IFERROR(__xludf.DUMMYFUNCTION("""COMPUTED_VALUE"""),"")</f>
        <v/>
      </c>
      <c r="C335" s="11" t="str">
        <f>IFERROR(__xludf.DUMMYFUNCTION("""COMPUTED_VALUE"""),"")</f>
        <v/>
      </c>
      <c r="D335" s="11" t="str">
        <f>IFERROR(__xludf.DUMMYFUNCTION("""COMPUTED_VALUE"""),"")</f>
        <v/>
      </c>
      <c r="E335" s="11" t="str">
        <f>IFERROR(__xludf.DUMMYFUNCTION("""COMPUTED_VALUE"""),"")</f>
        <v/>
      </c>
      <c r="F335" s="11" t="str">
        <f>IFERROR(__xludf.DUMMYFUNCTION("""COMPUTED_VALUE"""),"")</f>
        <v/>
      </c>
      <c r="G335" s="11" t="str">
        <f>IFERROR(__xludf.DUMMYFUNCTION("""COMPUTED_VALUE"""),"")</f>
        <v/>
      </c>
      <c r="H335" s="12" t="str">
        <f>IFERROR(__xludf.DUMMYFUNCTION("""COMPUTED_VALUE"""),"")</f>
        <v/>
      </c>
      <c r="I335" s="12" t="str">
        <f>IFERROR(__xludf.DUMMYFUNCTION("""COMPUTED_VALUE"""),"")</f>
        <v/>
      </c>
      <c r="J335" s="13" t="str">
        <f t="shared" si="1"/>
        <v/>
      </c>
      <c r="K335" s="12" t="str">
        <f>IFERROR(IF(A335="","",if($G335="",Reference!$J$2, VLOOKUP($G335,Reference!$I$2:$J$1000,2,false))),"")</f>
        <v/>
      </c>
      <c r="L335" s="12" t="str">
        <f>IF(A335="","", IF(F335="",Reference!$M$2,F335))</f>
        <v/>
      </c>
      <c r="M335" s="14" t="str">
        <f t="shared" si="2"/>
        <v/>
      </c>
      <c r="N335" s="15" t="str">
        <f t="shared" si="3"/>
        <v/>
      </c>
      <c r="O335" s="14" t="str">
        <f t="shared" si="4"/>
        <v/>
      </c>
      <c r="P335" s="16" t="str">
        <f t="array" ref="P335">IF($A335="","", IFERROR(INDEX('BM Data'!$N:$N,MATCH($J335&amp; "-" &amp; $N335,'BM Data'!$O:$O,0),1),""))</f>
        <v/>
      </c>
      <c r="Q335" s="16" t="str">
        <f t="array" ref="Q335">IF($A335="","", IFERROR(INDEX('BM Data'!$J:$J,MATCH($J335&amp; "-" &amp; $N335,'BM Data'!$O:$O,0),1),""))</f>
        <v/>
      </c>
    </row>
    <row r="336">
      <c r="A336" s="10" t="str">
        <f>IFERROR(__xludf.DUMMYFUNCTION("""COMPUTED_VALUE"""),"")</f>
        <v/>
      </c>
      <c r="B336" s="3" t="str">
        <f>IFERROR(__xludf.DUMMYFUNCTION("""COMPUTED_VALUE"""),"")</f>
        <v/>
      </c>
      <c r="C336" s="11" t="str">
        <f>IFERROR(__xludf.DUMMYFUNCTION("""COMPUTED_VALUE"""),"")</f>
        <v/>
      </c>
      <c r="D336" s="11" t="str">
        <f>IFERROR(__xludf.DUMMYFUNCTION("""COMPUTED_VALUE"""),"")</f>
        <v/>
      </c>
      <c r="E336" s="11" t="str">
        <f>IFERROR(__xludf.DUMMYFUNCTION("""COMPUTED_VALUE"""),"")</f>
        <v/>
      </c>
      <c r="F336" s="11" t="str">
        <f>IFERROR(__xludf.DUMMYFUNCTION("""COMPUTED_VALUE"""),"")</f>
        <v/>
      </c>
      <c r="G336" s="11" t="str">
        <f>IFERROR(__xludf.DUMMYFUNCTION("""COMPUTED_VALUE"""),"")</f>
        <v/>
      </c>
      <c r="H336" s="12" t="str">
        <f>IFERROR(__xludf.DUMMYFUNCTION("""COMPUTED_VALUE"""),"")</f>
        <v/>
      </c>
      <c r="I336" s="12" t="str">
        <f>IFERROR(__xludf.DUMMYFUNCTION("""COMPUTED_VALUE"""),"")</f>
        <v/>
      </c>
      <c r="J336" s="13" t="str">
        <f t="shared" si="1"/>
        <v/>
      </c>
      <c r="K336" s="12" t="str">
        <f>IFERROR(IF(A336="","",if($G336="",Reference!$J$2, VLOOKUP($G336,Reference!$I$2:$J$1000,2,false))),"")</f>
        <v/>
      </c>
      <c r="L336" s="12" t="str">
        <f>IF(A336="","", IF(F336="",Reference!$M$2,F336))</f>
        <v/>
      </c>
      <c r="M336" s="14" t="str">
        <f t="shared" si="2"/>
        <v/>
      </c>
      <c r="N336" s="15" t="str">
        <f t="shared" si="3"/>
        <v/>
      </c>
      <c r="O336" s="14" t="str">
        <f t="shared" si="4"/>
        <v/>
      </c>
      <c r="P336" s="16" t="str">
        <f t="array" ref="P336">IF($A336="","", IFERROR(INDEX('BM Data'!$N:$N,MATCH($J336&amp; "-" &amp; $N336,'BM Data'!$O:$O,0),1),""))</f>
        <v/>
      </c>
      <c r="Q336" s="16" t="str">
        <f t="array" ref="Q336">IF($A336="","", IFERROR(INDEX('BM Data'!$J:$J,MATCH($J336&amp; "-" &amp; $N336,'BM Data'!$O:$O,0),1),""))</f>
        <v/>
      </c>
    </row>
    <row r="337">
      <c r="A337" s="10" t="str">
        <f>IFERROR(__xludf.DUMMYFUNCTION("""COMPUTED_VALUE"""),"")</f>
        <v/>
      </c>
      <c r="B337" s="3" t="str">
        <f>IFERROR(__xludf.DUMMYFUNCTION("""COMPUTED_VALUE"""),"")</f>
        <v/>
      </c>
      <c r="C337" s="11" t="str">
        <f>IFERROR(__xludf.DUMMYFUNCTION("""COMPUTED_VALUE"""),"")</f>
        <v/>
      </c>
      <c r="D337" s="11" t="str">
        <f>IFERROR(__xludf.DUMMYFUNCTION("""COMPUTED_VALUE"""),"")</f>
        <v/>
      </c>
      <c r="E337" s="11" t="str">
        <f>IFERROR(__xludf.DUMMYFUNCTION("""COMPUTED_VALUE"""),"")</f>
        <v/>
      </c>
      <c r="F337" s="11" t="str">
        <f>IFERROR(__xludf.DUMMYFUNCTION("""COMPUTED_VALUE"""),"")</f>
        <v/>
      </c>
      <c r="G337" s="11" t="str">
        <f>IFERROR(__xludf.DUMMYFUNCTION("""COMPUTED_VALUE"""),"")</f>
        <v/>
      </c>
      <c r="H337" s="12" t="str">
        <f>IFERROR(__xludf.DUMMYFUNCTION("""COMPUTED_VALUE"""),"")</f>
        <v/>
      </c>
      <c r="I337" s="12" t="str">
        <f>IFERROR(__xludf.DUMMYFUNCTION("""COMPUTED_VALUE"""),"")</f>
        <v/>
      </c>
      <c r="J337" s="13" t="str">
        <f t="shared" si="1"/>
        <v/>
      </c>
      <c r="K337" s="12" t="str">
        <f>IFERROR(IF(A337="","",if($G337="",Reference!$J$2, VLOOKUP($G337,Reference!$I$2:$J$1000,2,false))),"")</f>
        <v/>
      </c>
      <c r="L337" s="12" t="str">
        <f>IF(A337="","", IF(F337="",Reference!$M$2,F337))</f>
        <v/>
      </c>
      <c r="M337" s="14" t="str">
        <f t="shared" si="2"/>
        <v/>
      </c>
      <c r="N337" s="15" t="str">
        <f t="shared" si="3"/>
        <v/>
      </c>
      <c r="O337" s="14" t="str">
        <f t="shared" si="4"/>
        <v/>
      </c>
      <c r="P337" s="16" t="str">
        <f t="array" ref="P337">IF($A337="","", IFERROR(INDEX('BM Data'!$N:$N,MATCH($J337&amp; "-" &amp; $N337,'BM Data'!$O:$O,0),1),""))</f>
        <v/>
      </c>
      <c r="Q337" s="16" t="str">
        <f t="array" ref="Q337">IF($A337="","", IFERROR(INDEX('BM Data'!$J:$J,MATCH($J337&amp; "-" &amp; $N337,'BM Data'!$O:$O,0),1),""))</f>
        <v/>
      </c>
    </row>
    <row r="338">
      <c r="A338" s="10" t="str">
        <f>IFERROR(__xludf.DUMMYFUNCTION("""COMPUTED_VALUE"""),"")</f>
        <v/>
      </c>
      <c r="B338" s="3" t="str">
        <f>IFERROR(__xludf.DUMMYFUNCTION("""COMPUTED_VALUE"""),"")</f>
        <v/>
      </c>
      <c r="C338" s="11" t="str">
        <f>IFERROR(__xludf.DUMMYFUNCTION("""COMPUTED_VALUE"""),"")</f>
        <v/>
      </c>
      <c r="D338" s="11" t="str">
        <f>IFERROR(__xludf.DUMMYFUNCTION("""COMPUTED_VALUE"""),"")</f>
        <v/>
      </c>
      <c r="E338" s="11" t="str">
        <f>IFERROR(__xludf.DUMMYFUNCTION("""COMPUTED_VALUE"""),"")</f>
        <v/>
      </c>
      <c r="F338" s="11" t="str">
        <f>IFERROR(__xludf.DUMMYFUNCTION("""COMPUTED_VALUE"""),"")</f>
        <v/>
      </c>
      <c r="G338" s="11" t="str">
        <f>IFERROR(__xludf.DUMMYFUNCTION("""COMPUTED_VALUE"""),"")</f>
        <v/>
      </c>
      <c r="H338" s="12" t="str">
        <f>IFERROR(__xludf.DUMMYFUNCTION("""COMPUTED_VALUE"""),"")</f>
        <v/>
      </c>
      <c r="I338" s="12" t="str">
        <f>IFERROR(__xludf.DUMMYFUNCTION("""COMPUTED_VALUE"""),"")</f>
        <v/>
      </c>
      <c r="J338" s="13" t="str">
        <f t="shared" si="1"/>
        <v/>
      </c>
      <c r="K338" s="12" t="str">
        <f>IFERROR(IF(A338="","",if($G338="",Reference!$J$2, VLOOKUP($G338,Reference!$I$2:$J$1000,2,false))),"")</f>
        <v/>
      </c>
      <c r="L338" s="12" t="str">
        <f>IF(A338="","", IF(F338="",Reference!$M$2,F338))</f>
        <v/>
      </c>
      <c r="M338" s="14" t="str">
        <f t="shared" si="2"/>
        <v/>
      </c>
      <c r="N338" s="15" t="str">
        <f t="shared" si="3"/>
        <v/>
      </c>
      <c r="O338" s="14" t="str">
        <f t="shared" si="4"/>
        <v/>
      </c>
      <c r="P338" s="16" t="str">
        <f t="array" ref="P338">IF($A338="","", IFERROR(INDEX('BM Data'!$N:$N,MATCH($J338&amp; "-" &amp; $N338,'BM Data'!$O:$O,0),1),""))</f>
        <v/>
      </c>
      <c r="Q338" s="16" t="str">
        <f t="array" ref="Q338">IF($A338="","", IFERROR(INDEX('BM Data'!$J:$J,MATCH($J338&amp; "-" &amp; $N338,'BM Data'!$O:$O,0),1),""))</f>
        <v/>
      </c>
    </row>
    <row r="339">
      <c r="A339" s="10" t="str">
        <f>IFERROR(__xludf.DUMMYFUNCTION("""COMPUTED_VALUE"""),"")</f>
        <v/>
      </c>
      <c r="B339" s="3" t="str">
        <f>IFERROR(__xludf.DUMMYFUNCTION("""COMPUTED_VALUE"""),"")</f>
        <v/>
      </c>
      <c r="C339" s="11" t="str">
        <f>IFERROR(__xludf.DUMMYFUNCTION("""COMPUTED_VALUE"""),"")</f>
        <v/>
      </c>
      <c r="D339" s="11" t="str">
        <f>IFERROR(__xludf.DUMMYFUNCTION("""COMPUTED_VALUE"""),"")</f>
        <v/>
      </c>
      <c r="E339" s="11" t="str">
        <f>IFERROR(__xludf.DUMMYFUNCTION("""COMPUTED_VALUE"""),"")</f>
        <v/>
      </c>
      <c r="F339" s="11" t="str">
        <f>IFERROR(__xludf.DUMMYFUNCTION("""COMPUTED_VALUE"""),"")</f>
        <v/>
      </c>
      <c r="G339" s="11" t="str">
        <f>IFERROR(__xludf.DUMMYFUNCTION("""COMPUTED_VALUE"""),"")</f>
        <v/>
      </c>
      <c r="H339" s="12" t="str">
        <f>IFERROR(__xludf.DUMMYFUNCTION("""COMPUTED_VALUE"""),"")</f>
        <v/>
      </c>
      <c r="I339" s="12" t="str">
        <f>IFERROR(__xludf.DUMMYFUNCTION("""COMPUTED_VALUE"""),"")</f>
        <v/>
      </c>
      <c r="J339" s="13" t="str">
        <f t="shared" si="1"/>
        <v/>
      </c>
      <c r="K339" s="12" t="str">
        <f>IFERROR(IF(A339="","",if($G339="",Reference!$J$2, VLOOKUP($G339,Reference!$I$2:$J$1000,2,false))),"")</f>
        <v/>
      </c>
      <c r="L339" s="12" t="str">
        <f>IF(A339="","", IF(F339="",Reference!$M$2,F339))</f>
        <v/>
      </c>
      <c r="M339" s="14" t="str">
        <f t="shared" si="2"/>
        <v/>
      </c>
      <c r="N339" s="15" t="str">
        <f t="shared" si="3"/>
        <v/>
      </c>
      <c r="O339" s="14" t="str">
        <f t="shared" si="4"/>
        <v/>
      </c>
      <c r="P339" s="16" t="str">
        <f t="array" ref="P339">IF($A339="","", IFERROR(INDEX('BM Data'!$N:$N,MATCH($J339&amp; "-" &amp; $N339,'BM Data'!$O:$O,0),1),""))</f>
        <v/>
      </c>
      <c r="Q339" s="16" t="str">
        <f t="array" ref="Q339">IF($A339="","", IFERROR(INDEX('BM Data'!$J:$J,MATCH($J339&amp; "-" &amp; $N339,'BM Data'!$O:$O,0),1),""))</f>
        <v/>
      </c>
    </row>
    <row r="340">
      <c r="A340" s="10" t="str">
        <f>IFERROR(__xludf.DUMMYFUNCTION("""COMPUTED_VALUE"""),"")</f>
        <v/>
      </c>
      <c r="B340" s="3" t="str">
        <f>IFERROR(__xludf.DUMMYFUNCTION("""COMPUTED_VALUE"""),"")</f>
        <v/>
      </c>
      <c r="C340" s="11" t="str">
        <f>IFERROR(__xludf.DUMMYFUNCTION("""COMPUTED_VALUE"""),"")</f>
        <v/>
      </c>
      <c r="D340" s="11" t="str">
        <f>IFERROR(__xludf.DUMMYFUNCTION("""COMPUTED_VALUE"""),"")</f>
        <v/>
      </c>
      <c r="E340" s="11" t="str">
        <f>IFERROR(__xludf.DUMMYFUNCTION("""COMPUTED_VALUE"""),"")</f>
        <v/>
      </c>
      <c r="F340" s="11" t="str">
        <f>IFERROR(__xludf.DUMMYFUNCTION("""COMPUTED_VALUE"""),"")</f>
        <v/>
      </c>
      <c r="G340" s="11" t="str">
        <f>IFERROR(__xludf.DUMMYFUNCTION("""COMPUTED_VALUE"""),"")</f>
        <v/>
      </c>
      <c r="H340" s="12" t="str">
        <f>IFERROR(__xludf.DUMMYFUNCTION("""COMPUTED_VALUE"""),"")</f>
        <v/>
      </c>
      <c r="I340" s="12" t="str">
        <f>IFERROR(__xludf.DUMMYFUNCTION("""COMPUTED_VALUE"""),"")</f>
        <v/>
      </c>
      <c r="J340" s="13" t="str">
        <f t="shared" si="1"/>
        <v/>
      </c>
      <c r="K340" s="12" t="str">
        <f>IFERROR(IF(A340="","",if($G340="",Reference!$J$2, VLOOKUP($G340,Reference!$I$2:$J$1000,2,false))),"")</f>
        <v/>
      </c>
      <c r="L340" s="12" t="str">
        <f>IF(A340="","", IF(F340="",Reference!$M$2,F340))</f>
        <v/>
      </c>
      <c r="M340" s="14" t="str">
        <f t="shared" si="2"/>
        <v/>
      </c>
      <c r="N340" s="15" t="str">
        <f t="shared" si="3"/>
        <v/>
      </c>
      <c r="O340" s="14" t="str">
        <f t="shared" si="4"/>
        <v/>
      </c>
      <c r="P340" s="16" t="str">
        <f t="array" ref="P340">IF($A340="","", IFERROR(INDEX('BM Data'!$N:$N,MATCH($J340&amp; "-" &amp; $N340,'BM Data'!$O:$O,0),1),""))</f>
        <v/>
      </c>
      <c r="Q340" s="16" t="str">
        <f t="array" ref="Q340">IF($A340="","", IFERROR(INDEX('BM Data'!$J:$J,MATCH($J340&amp; "-" &amp; $N340,'BM Data'!$O:$O,0),1),""))</f>
        <v/>
      </c>
    </row>
    <row r="341">
      <c r="A341" s="10" t="str">
        <f>IFERROR(__xludf.DUMMYFUNCTION("""COMPUTED_VALUE"""),"")</f>
        <v/>
      </c>
      <c r="B341" s="3" t="str">
        <f>IFERROR(__xludf.DUMMYFUNCTION("""COMPUTED_VALUE"""),"")</f>
        <v/>
      </c>
      <c r="C341" s="11" t="str">
        <f>IFERROR(__xludf.DUMMYFUNCTION("""COMPUTED_VALUE"""),"")</f>
        <v/>
      </c>
      <c r="D341" s="11" t="str">
        <f>IFERROR(__xludf.DUMMYFUNCTION("""COMPUTED_VALUE"""),"")</f>
        <v/>
      </c>
      <c r="E341" s="11" t="str">
        <f>IFERROR(__xludf.DUMMYFUNCTION("""COMPUTED_VALUE"""),"")</f>
        <v/>
      </c>
      <c r="F341" s="11" t="str">
        <f>IFERROR(__xludf.DUMMYFUNCTION("""COMPUTED_VALUE"""),"")</f>
        <v/>
      </c>
      <c r="G341" s="11" t="str">
        <f>IFERROR(__xludf.DUMMYFUNCTION("""COMPUTED_VALUE"""),"")</f>
        <v/>
      </c>
      <c r="H341" s="12" t="str">
        <f>IFERROR(__xludf.DUMMYFUNCTION("""COMPUTED_VALUE"""),"")</f>
        <v/>
      </c>
      <c r="I341" s="12" t="str">
        <f>IFERROR(__xludf.DUMMYFUNCTION("""COMPUTED_VALUE"""),"")</f>
        <v/>
      </c>
      <c r="J341" s="13" t="str">
        <f t="shared" si="1"/>
        <v/>
      </c>
      <c r="K341" s="12" t="str">
        <f>IFERROR(IF(A341="","",if($G341="",Reference!$J$2, VLOOKUP($G341,Reference!$I$2:$J$1000,2,false))),"")</f>
        <v/>
      </c>
      <c r="L341" s="12" t="str">
        <f>IF(A341="","", IF(F341="",Reference!$M$2,F341))</f>
        <v/>
      </c>
      <c r="M341" s="14" t="str">
        <f t="shared" si="2"/>
        <v/>
      </c>
      <c r="N341" s="15" t="str">
        <f t="shared" si="3"/>
        <v/>
      </c>
      <c r="O341" s="14" t="str">
        <f t="shared" si="4"/>
        <v/>
      </c>
      <c r="P341" s="16" t="str">
        <f t="array" ref="P341">IF($A341="","", IFERROR(INDEX('BM Data'!$N:$N,MATCH($J341&amp; "-" &amp; $N341,'BM Data'!$O:$O,0),1),""))</f>
        <v/>
      </c>
      <c r="Q341" s="16" t="str">
        <f t="array" ref="Q341">IF($A341="","", IFERROR(INDEX('BM Data'!$J:$J,MATCH($J341&amp; "-" &amp; $N341,'BM Data'!$O:$O,0),1),""))</f>
        <v/>
      </c>
    </row>
    <row r="342">
      <c r="A342" s="10" t="str">
        <f>IFERROR(__xludf.DUMMYFUNCTION("""COMPUTED_VALUE"""),"")</f>
        <v/>
      </c>
      <c r="B342" s="3" t="str">
        <f>IFERROR(__xludf.DUMMYFUNCTION("""COMPUTED_VALUE"""),"")</f>
        <v/>
      </c>
      <c r="C342" s="11" t="str">
        <f>IFERROR(__xludf.DUMMYFUNCTION("""COMPUTED_VALUE"""),"")</f>
        <v/>
      </c>
      <c r="D342" s="11" t="str">
        <f>IFERROR(__xludf.DUMMYFUNCTION("""COMPUTED_VALUE"""),"")</f>
        <v/>
      </c>
      <c r="E342" s="11" t="str">
        <f>IFERROR(__xludf.DUMMYFUNCTION("""COMPUTED_VALUE"""),"")</f>
        <v/>
      </c>
      <c r="F342" s="11" t="str">
        <f>IFERROR(__xludf.DUMMYFUNCTION("""COMPUTED_VALUE"""),"")</f>
        <v/>
      </c>
      <c r="G342" s="11" t="str">
        <f>IFERROR(__xludf.DUMMYFUNCTION("""COMPUTED_VALUE"""),"")</f>
        <v/>
      </c>
      <c r="H342" s="12" t="str">
        <f>IFERROR(__xludf.DUMMYFUNCTION("""COMPUTED_VALUE"""),"")</f>
        <v/>
      </c>
      <c r="I342" s="12" t="str">
        <f>IFERROR(__xludf.DUMMYFUNCTION("""COMPUTED_VALUE"""),"")</f>
        <v/>
      </c>
      <c r="J342" s="13" t="str">
        <f t="shared" si="1"/>
        <v/>
      </c>
      <c r="K342" s="12" t="str">
        <f>IFERROR(IF(A342="","",if($G342="",Reference!$J$2, VLOOKUP($G342,Reference!$I$2:$J$1000,2,false))),"")</f>
        <v/>
      </c>
      <c r="L342" s="12" t="str">
        <f>IF(A342="","", IF(F342="",Reference!$M$2,F342))</f>
        <v/>
      </c>
      <c r="M342" s="14" t="str">
        <f t="shared" si="2"/>
        <v/>
      </c>
      <c r="N342" s="15" t="str">
        <f t="shared" si="3"/>
        <v/>
      </c>
      <c r="O342" s="14" t="str">
        <f t="shared" si="4"/>
        <v/>
      </c>
      <c r="P342" s="16" t="str">
        <f t="array" ref="P342">IF($A342="","", IFERROR(INDEX('BM Data'!$N:$N,MATCH($J342&amp; "-" &amp; $N342,'BM Data'!$O:$O,0),1),""))</f>
        <v/>
      </c>
      <c r="Q342" s="16" t="str">
        <f t="array" ref="Q342">IF($A342="","", IFERROR(INDEX('BM Data'!$J:$J,MATCH($J342&amp; "-" &amp; $N342,'BM Data'!$O:$O,0),1),""))</f>
        <v/>
      </c>
    </row>
    <row r="343">
      <c r="A343" s="10" t="str">
        <f>IFERROR(__xludf.DUMMYFUNCTION("""COMPUTED_VALUE"""),"")</f>
        <v/>
      </c>
      <c r="B343" s="3" t="str">
        <f>IFERROR(__xludf.DUMMYFUNCTION("""COMPUTED_VALUE"""),"")</f>
        <v/>
      </c>
      <c r="C343" s="11" t="str">
        <f>IFERROR(__xludf.DUMMYFUNCTION("""COMPUTED_VALUE"""),"")</f>
        <v/>
      </c>
      <c r="D343" s="11" t="str">
        <f>IFERROR(__xludf.DUMMYFUNCTION("""COMPUTED_VALUE"""),"")</f>
        <v/>
      </c>
      <c r="E343" s="11" t="str">
        <f>IFERROR(__xludf.DUMMYFUNCTION("""COMPUTED_VALUE"""),"")</f>
        <v/>
      </c>
      <c r="F343" s="11" t="str">
        <f>IFERROR(__xludf.DUMMYFUNCTION("""COMPUTED_VALUE"""),"")</f>
        <v/>
      </c>
      <c r="G343" s="11" t="str">
        <f>IFERROR(__xludf.DUMMYFUNCTION("""COMPUTED_VALUE"""),"")</f>
        <v/>
      </c>
      <c r="H343" s="12" t="str">
        <f>IFERROR(__xludf.DUMMYFUNCTION("""COMPUTED_VALUE"""),"")</f>
        <v/>
      </c>
      <c r="I343" s="12" t="str">
        <f>IFERROR(__xludf.DUMMYFUNCTION("""COMPUTED_VALUE"""),"")</f>
        <v/>
      </c>
      <c r="J343" s="13" t="str">
        <f t="shared" si="1"/>
        <v/>
      </c>
      <c r="K343" s="12" t="str">
        <f>IFERROR(IF(A343="","",if($G343="",Reference!$J$2, VLOOKUP($G343,Reference!$I$2:$J$1000,2,false))),"")</f>
        <v/>
      </c>
      <c r="L343" s="12" t="str">
        <f>IF(A343="","", IF(F343="",Reference!$M$2,F343))</f>
        <v/>
      </c>
      <c r="M343" s="14" t="str">
        <f t="shared" si="2"/>
        <v/>
      </c>
      <c r="N343" s="15" t="str">
        <f t="shared" si="3"/>
        <v/>
      </c>
      <c r="O343" s="14" t="str">
        <f t="shared" si="4"/>
        <v/>
      </c>
      <c r="P343" s="16" t="str">
        <f t="array" ref="P343">IF($A343="","", IFERROR(INDEX('BM Data'!$N:$N,MATCH($J343&amp; "-" &amp; $N343,'BM Data'!$O:$O,0),1),""))</f>
        <v/>
      </c>
      <c r="Q343" s="16" t="str">
        <f t="array" ref="Q343">IF($A343="","", IFERROR(INDEX('BM Data'!$J:$J,MATCH($J343&amp; "-" &amp; $N343,'BM Data'!$O:$O,0),1),""))</f>
        <v/>
      </c>
    </row>
    <row r="344">
      <c r="A344" s="10" t="str">
        <f>IFERROR(__xludf.DUMMYFUNCTION("""COMPUTED_VALUE"""),"")</f>
        <v/>
      </c>
      <c r="B344" s="3" t="str">
        <f>IFERROR(__xludf.DUMMYFUNCTION("""COMPUTED_VALUE"""),"")</f>
        <v/>
      </c>
      <c r="C344" s="11" t="str">
        <f>IFERROR(__xludf.DUMMYFUNCTION("""COMPUTED_VALUE"""),"")</f>
        <v/>
      </c>
      <c r="D344" s="11" t="str">
        <f>IFERROR(__xludf.DUMMYFUNCTION("""COMPUTED_VALUE"""),"")</f>
        <v/>
      </c>
      <c r="E344" s="11" t="str">
        <f>IFERROR(__xludf.DUMMYFUNCTION("""COMPUTED_VALUE"""),"")</f>
        <v/>
      </c>
      <c r="F344" s="11" t="str">
        <f>IFERROR(__xludf.DUMMYFUNCTION("""COMPUTED_VALUE"""),"")</f>
        <v/>
      </c>
      <c r="G344" s="11" t="str">
        <f>IFERROR(__xludf.DUMMYFUNCTION("""COMPUTED_VALUE"""),"")</f>
        <v/>
      </c>
      <c r="H344" s="12" t="str">
        <f>IFERROR(__xludf.DUMMYFUNCTION("""COMPUTED_VALUE"""),"")</f>
        <v/>
      </c>
      <c r="I344" s="12" t="str">
        <f>IFERROR(__xludf.DUMMYFUNCTION("""COMPUTED_VALUE"""),"")</f>
        <v/>
      </c>
      <c r="J344" s="13" t="str">
        <f t="shared" si="1"/>
        <v/>
      </c>
      <c r="K344" s="12" t="str">
        <f>IFERROR(IF(A344="","",if($G344="",Reference!$J$2, VLOOKUP($G344,Reference!$I$2:$J$1000,2,false))),"")</f>
        <v/>
      </c>
      <c r="L344" s="12" t="str">
        <f>IF(A344="","", IF(F344="",Reference!$M$2,F344))</f>
        <v/>
      </c>
      <c r="M344" s="14" t="str">
        <f t="shared" si="2"/>
        <v/>
      </c>
      <c r="N344" s="15" t="str">
        <f t="shared" si="3"/>
        <v/>
      </c>
      <c r="O344" s="14" t="str">
        <f t="shared" si="4"/>
        <v/>
      </c>
      <c r="P344" s="16" t="str">
        <f t="array" ref="P344">IF($A344="","", IFERROR(INDEX('BM Data'!$N:$N,MATCH($J344&amp; "-" &amp; $N344,'BM Data'!$O:$O,0),1),""))</f>
        <v/>
      </c>
      <c r="Q344" s="16" t="str">
        <f t="array" ref="Q344">IF($A344="","", IFERROR(INDEX('BM Data'!$J:$J,MATCH($J344&amp; "-" &amp; $N344,'BM Data'!$O:$O,0),1),""))</f>
        <v/>
      </c>
    </row>
    <row r="345">
      <c r="A345" s="10" t="str">
        <f>IFERROR(__xludf.DUMMYFUNCTION("""COMPUTED_VALUE"""),"")</f>
        <v/>
      </c>
      <c r="B345" s="3" t="str">
        <f>IFERROR(__xludf.DUMMYFUNCTION("""COMPUTED_VALUE"""),"")</f>
        <v/>
      </c>
      <c r="C345" s="11" t="str">
        <f>IFERROR(__xludf.DUMMYFUNCTION("""COMPUTED_VALUE"""),"")</f>
        <v/>
      </c>
      <c r="D345" s="11" t="str">
        <f>IFERROR(__xludf.DUMMYFUNCTION("""COMPUTED_VALUE"""),"")</f>
        <v/>
      </c>
      <c r="E345" s="11" t="str">
        <f>IFERROR(__xludf.DUMMYFUNCTION("""COMPUTED_VALUE"""),"")</f>
        <v/>
      </c>
      <c r="F345" s="11" t="str">
        <f>IFERROR(__xludf.DUMMYFUNCTION("""COMPUTED_VALUE"""),"")</f>
        <v/>
      </c>
      <c r="G345" s="11" t="str">
        <f>IFERROR(__xludf.DUMMYFUNCTION("""COMPUTED_VALUE"""),"")</f>
        <v/>
      </c>
      <c r="H345" s="12" t="str">
        <f>IFERROR(__xludf.DUMMYFUNCTION("""COMPUTED_VALUE"""),"")</f>
        <v/>
      </c>
      <c r="I345" s="12" t="str">
        <f>IFERROR(__xludf.DUMMYFUNCTION("""COMPUTED_VALUE"""),"")</f>
        <v/>
      </c>
      <c r="J345" s="13" t="str">
        <f t="shared" si="1"/>
        <v/>
      </c>
      <c r="K345" s="12" t="str">
        <f>IFERROR(IF(A345="","",if($G345="",Reference!$J$2, VLOOKUP($G345,Reference!$I$2:$J$1000,2,false))),"")</f>
        <v/>
      </c>
      <c r="L345" s="12" t="str">
        <f>IF(A345="","", IF(F345="",Reference!$M$2,F345))</f>
        <v/>
      </c>
      <c r="M345" s="14" t="str">
        <f t="shared" si="2"/>
        <v/>
      </c>
      <c r="N345" s="15" t="str">
        <f t="shared" si="3"/>
        <v/>
      </c>
      <c r="O345" s="14" t="str">
        <f t="shared" si="4"/>
        <v/>
      </c>
      <c r="P345" s="16" t="str">
        <f t="array" ref="P345">IF($A345="","", IFERROR(INDEX('BM Data'!$N:$N,MATCH($J345&amp; "-" &amp; $N345,'BM Data'!$O:$O,0),1),""))</f>
        <v/>
      </c>
      <c r="Q345" s="16" t="str">
        <f t="array" ref="Q345">IF($A345="","", IFERROR(INDEX('BM Data'!$J:$J,MATCH($J345&amp; "-" &amp; $N345,'BM Data'!$O:$O,0),1),""))</f>
        <v/>
      </c>
    </row>
    <row r="346">
      <c r="A346" s="10" t="str">
        <f>IFERROR(__xludf.DUMMYFUNCTION("""COMPUTED_VALUE"""),"")</f>
        <v/>
      </c>
      <c r="B346" s="3" t="str">
        <f>IFERROR(__xludf.DUMMYFUNCTION("""COMPUTED_VALUE"""),"")</f>
        <v/>
      </c>
      <c r="C346" s="11" t="str">
        <f>IFERROR(__xludf.DUMMYFUNCTION("""COMPUTED_VALUE"""),"")</f>
        <v/>
      </c>
      <c r="D346" s="11" t="str">
        <f>IFERROR(__xludf.DUMMYFUNCTION("""COMPUTED_VALUE"""),"")</f>
        <v/>
      </c>
      <c r="E346" s="11" t="str">
        <f>IFERROR(__xludf.DUMMYFUNCTION("""COMPUTED_VALUE"""),"")</f>
        <v/>
      </c>
      <c r="F346" s="11" t="str">
        <f>IFERROR(__xludf.DUMMYFUNCTION("""COMPUTED_VALUE"""),"")</f>
        <v/>
      </c>
      <c r="G346" s="11" t="str">
        <f>IFERROR(__xludf.DUMMYFUNCTION("""COMPUTED_VALUE"""),"")</f>
        <v/>
      </c>
      <c r="H346" s="12" t="str">
        <f>IFERROR(__xludf.DUMMYFUNCTION("""COMPUTED_VALUE"""),"")</f>
        <v/>
      </c>
      <c r="I346" s="12" t="str">
        <f>IFERROR(__xludf.DUMMYFUNCTION("""COMPUTED_VALUE"""),"")</f>
        <v/>
      </c>
      <c r="J346" s="13" t="str">
        <f t="shared" si="1"/>
        <v/>
      </c>
      <c r="K346" s="12" t="str">
        <f>IFERROR(IF(A346="","",if($G346="",Reference!$J$2, VLOOKUP($G346,Reference!$I$2:$J$1000,2,false))),"")</f>
        <v/>
      </c>
      <c r="L346" s="12" t="str">
        <f>IF(A346="","", IF(F346="",Reference!$M$2,F346))</f>
        <v/>
      </c>
      <c r="M346" s="14" t="str">
        <f t="shared" si="2"/>
        <v/>
      </c>
      <c r="N346" s="15" t="str">
        <f t="shared" si="3"/>
        <v/>
      </c>
      <c r="O346" s="14" t="str">
        <f t="shared" si="4"/>
        <v/>
      </c>
      <c r="P346" s="16" t="str">
        <f t="array" ref="P346">IF($A346="","", IFERROR(INDEX('BM Data'!$N:$N,MATCH($J346&amp; "-" &amp; $N346,'BM Data'!$O:$O,0),1),""))</f>
        <v/>
      </c>
      <c r="Q346" s="16" t="str">
        <f t="array" ref="Q346">IF($A346="","", IFERROR(INDEX('BM Data'!$J:$J,MATCH($J346&amp; "-" &amp; $N346,'BM Data'!$O:$O,0),1),""))</f>
        <v/>
      </c>
    </row>
    <row r="347">
      <c r="A347" s="10" t="str">
        <f>IFERROR(__xludf.DUMMYFUNCTION("""COMPUTED_VALUE"""),"")</f>
        <v/>
      </c>
      <c r="B347" s="3" t="str">
        <f>IFERROR(__xludf.DUMMYFUNCTION("""COMPUTED_VALUE"""),"")</f>
        <v/>
      </c>
      <c r="C347" s="11" t="str">
        <f>IFERROR(__xludf.DUMMYFUNCTION("""COMPUTED_VALUE"""),"")</f>
        <v/>
      </c>
      <c r="D347" s="11" t="str">
        <f>IFERROR(__xludf.DUMMYFUNCTION("""COMPUTED_VALUE"""),"")</f>
        <v/>
      </c>
      <c r="E347" s="11" t="str">
        <f>IFERROR(__xludf.DUMMYFUNCTION("""COMPUTED_VALUE"""),"")</f>
        <v/>
      </c>
      <c r="F347" s="11" t="str">
        <f>IFERROR(__xludf.DUMMYFUNCTION("""COMPUTED_VALUE"""),"")</f>
        <v/>
      </c>
      <c r="G347" s="11" t="str">
        <f>IFERROR(__xludf.DUMMYFUNCTION("""COMPUTED_VALUE"""),"")</f>
        <v/>
      </c>
      <c r="H347" s="12" t="str">
        <f>IFERROR(__xludf.DUMMYFUNCTION("""COMPUTED_VALUE"""),"")</f>
        <v/>
      </c>
      <c r="I347" s="12" t="str">
        <f>IFERROR(__xludf.DUMMYFUNCTION("""COMPUTED_VALUE"""),"")</f>
        <v/>
      </c>
      <c r="J347" s="13" t="str">
        <f t="shared" si="1"/>
        <v/>
      </c>
      <c r="K347" s="12" t="str">
        <f>IFERROR(IF(A347="","",if($G347="",Reference!$J$2, VLOOKUP($G347,Reference!$I$2:$J$1000,2,false))),"")</f>
        <v/>
      </c>
      <c r="L347" s="12" t="str">
        <f>IF(A347="","", IF(F347="",Reference!$M$2,F347))</f>
        <v/>
      </c>
      <c r="M347" s="14" t="str">
        <f t="shared" si="2"/>
        <v/>
      </c>
      <c r="N347" s="15" t="str">
        <f t="shared" si="3"/>
        <v/>
      </c>
      <c r="O347" s="14" t="str">
        <f t="shared" si="4"/>
        <v/>
      </c>
      <c r="P347" s="16" t="str">
        <f t="array" ref="P347">IF($A347="","", IFERROR(INDEX('BM Data'!$N:$N,MATCH($J347&amp; "-" &amp; $N347,'BM Data'!$O:$O,0),1),""))</f>
        <v/>
      </c>
      <c r="Q347" s="16" t="str">
        <f t="array" ref="Q347">IF($A347="","", IFERROR(INDEX('BM Data'!$J:$J,MATCH($J347&amp; "-" &amp; $N347,'BM Data'!$O:$O,0),1),""))</f>
        <v/>
      </c>
    </row>
    <row r="348">
      <c r="A348" s="10" t="str">
        <f>IFERROR(__xludf.DUMMYFUNCTION("""COMPUTED_VALUE"""),"")</f>
        <v/>
      </c>
      <c r="B348" s="3" t="str">
        <f>IFERROR(__xludf.DUMMYFUNCTION("""COMPUTED_VALUE"""),"")</f>
        <v/>
      </c>
      <c r="C348" s="11" t="str">
        <f>IFERROR(__xludf.DUMMYFUNCTION("""COMPUTED_VALUE"""),"")</f>
        <v/>
      </c>
      <c r="D348" s="11" t="str">
        <f>IFERROR(__xludf.DUMMYFUNCTION("""COMPUTED_VALUE"""),"")</f>
        <v/>
      </c>
      <c r="E348" s="11" t="str">
        <f>IFERROR(__xludf.DUMMYFUNCTION("""COMPUTED_VALUE"""),"")</f>
        <v/>
      </c>
      <c r="F348" s="11" t="str">
        <f>IFERROR(__xludf.DUMMYFUNCTION("""COMPUTED_VALUE"""),"")</f>
        <v/>
      </c>
      <c r="G348" s="11" t="str">
        <f>IFERROR(__xludf.DUMMYFUNCTION("""COMPUTED_VALUE"""),"")</f>
        <v/>
      </c>
      <c r="H348" s="12" t="str">
        <f>IFERROR(__xludf.DUMMYFUNCTION("""COMPUTED_VALUE"""),"")</f>
        <v/>
      </c>
      <c r="I348" s="12" t="str">
        <f>IFERROR(__xludf.DUMMYFUNCTION("""COMPUTED_VALUE"""),"")</f>
        <v/>
      </c>
      <c r="J348" s="13" t="str">
        <f t="shared" si="1"/>
        <v/>
      </c>
      <c r="K348" s="12" t="str">
        <f>IFERROR(IF(A348="","",if($G348="",Reference!$J$2, VLOOKUP($G348,Reference!$I$2:$J$1000,2,false))),"")</f>
        <v/>
      </c>
      <c r="L348" s="12" t="str">
        <f>IF(A348="","", IF(F348="",Reference!$M$2,F348))</f>
        <v/>
      </c>
      <c r="M348" s="14" t="str">
        <f t="shared" si="2"/>
        <v/>
      </c>
      <c r="N348" s="15" t="str">
        <f t="shared" si="3"/>
        <v/>
      </c>
      <c r="O348" s="14" t="str">
        <f t="shared" si="4"/>
        <v/>
      </c>
      <c r="P348" s="16" t="str">
        <f t="array" ref="P348">IF($A348="","", IFERROR(INDEX('BM Data'!$N:$N,MATCH($J348&amp; "-" &amp; $N348,'BM Data'!$O:$O,0),1),""))</f>
        <v/>
      </c>
      <c r="Q348" s="16" t="str">
        <f t="array" ref="Q348">IF($A348="","", IFERROR(INDEX('BM Data'!$J:$J,MATCH($J348&amp; "-" &amp; $N348,'BM Data'!$O:$O,0),1),""))</f>
        <v/>
      </c>
    </row>
    <row r="349">
      <c r="A349" s="10" t="str">
        <f>IFERROR(__xludf.DUMMYFUNCTION("""COMPUTED_VALUE"""),"")</f>
        <v/>
      </c>
      <c r="B349" s="3" t="str">
        <f>IFERROR(__xludf.DUMMYFUNCTION("""COMPUTED_VALUE"""),"")</f>
        <v/>
      </c>
      <c r="C349" s="11" t="str">
        <f>IFERROR(__xludf.DUMMYFUNCTION("""COMPUTED_VALUE"""),"")</f>
        <v/>
      </c>
      <c r="D349" s="11" t="str">
        <f>IFERROR(__xludf.DUMMYFUNCTION("""COMPUTED_VALUE"""),"")</f>
        <v/>
      </c>
      <c r="E349" s="11" t="str">
        <f>IFERROR(__xludf.DUMMYFUNCTION("""COMPUTED_VALUE"""),"")</f>
        <v/>
      </c>
      <c r="F349" s="11" t="str">
        <f>IFERROR(__xludf.DUMMYFUNCTION("""COMPUTED_VALUE"""),"")</f>
        <v/>
      </c>
      <c r="G349" s="11" t="str">
        <f>IFERROR(__xludf.DUMMYFUNCTION("""COMPUTED_VALUE"""),"")</f>
        <v/>
      </c>
      <c r="H349" s="12" t="str">
        <f>IFERROR(__xludf.DUMMYFUNCTION("""COMPUTED_VALUE"""),"")</f>
        <v/>
      </c>
      <c r="I349" s="12" t="str">
        <f>IFERROR(__xludf.DUMMYFUNCTION("""COMPUTED_VALUE"""),"")</f>
        <v/>
      </c>
      <c r="J349" s="13" t="str">
        <f t="shared" si="1"/>
        <v/>
      </c>
      <c r="K349" s="12" t="str">
        <f>IFERROR(IF(A349="","",if($G349="",Reference!$J$2, VLOOKUP($G349,Reference!$I$2:$J$1000,2,false))),"")</f>
        <v/>
      </c>
      <c r="L349" s="12" t="str">
        <f>IF(A349="","", IF(F349="",Reference!$M$2,F349))</f>
        <v/>
      </c>
      <c r="M349" s="14" t="str">
        <f t="shared" si="2"/>
        <v/>
      </c>
      <c r="N349" s="15" t="str">
        <f t="shared" si="3"/>
        <v/>
      </c>
      <c r="O349" s="14" t="str">
        <f t="shared" si="4"/>
        <v/>
      </c>
      <c r="P349" s="16" t="str">
        <f t="array" ref="P349">IF($A349="","", IFERROR(INDEX('BM Data'!$N:$N,MATCH($J349&amp; "-" &amp; $N349,'BM Data'!$O:$O,0),1),""))</f>
        <v/>
      </c>
      <c r="Q349" s="16" t="str">
        <f t="array" ref="Q349">IF($A349="","", IFERROR(INDEX('BM Data'!$J:$J,MATCH($J349&amp; "-" &amp; $N349,'BM Data'!$O:$O,0),1),""))</f>
        <v/>
      </c>
    </row>
    <row r="350">
      <c r="A350" s="10" t="str">
        <f>IFERROR(__xludf.DUMMYFUNCTION("""COMPUTED_VALUE"""),"")</f>
        <v/>
      </c>
      <c r="B350" s="3" t="str">
        <f>IFERROR(__xludf.DUMMYFUNCTION("""COMPUTED_VALUE"""),"")</f>
        <v/>
      </c>
      <c r="C350" s="11" t="str">
        <f>IFERROR(__xludf.DUMMYFUNCTION("""COMPUTED_VALUE"""),"")</f>
        <v/>
      </c>
      <c r="D350" s="11" t="str">
        <f>IFERROR(__xludf.DUMMYFUNCTION("""COMPUTED_VALUE"""),"")</f>
        <v/>
      </c>
      <c r="E350" s="11" t="str">
        <f>IFERROR(__xludf.DUMMYFUNCTION("""COMPUTED_VALUE"""),"")</f>
        <v/>
      </c>
      <c r="F350" s="11" t="str">
        <f>IFERROR(__xludf.DUMMYFUNCTION("""COMPUTED_VALUE"""),"")</f>
        <v/>
      </c>
      <c r="G350" s="11" t="str">
        <f>IFERROR(__xludf.DUMMYFUNCTION("""COMPUTED_VALUE"""),"")</f>
        <v/>
      </c>
      <c r="H350" s="12" t="str">
        <f>IFERROR(__xludf.DUMMYFUNCTION("""COMPUTED_VALUE"""),"")</f>
        <v/>
      </c>
      <c r="I350" s="12" t="str">
        <f>IFERROR(__xludf.DUMMYFUNCTION("""COMPUTED_VALUE"""),"")</f>
        <v/>
      </c>
      <c r="J350" s="13" t="str">
        <f t="shared" si="1"/>
        <v/>
      </c>
      <c r="K350" s="12" t="str">
        <f>IFERROR(IF(A350="","",if($G350="",Reference!$J$2, VLOOKUP($G350,Reference!$I$2:$J$1000,2,false))),"")</f>
        <v/>
      </c>
      <c r="L350" s="12" t="str">
        <f>IF(A350="","", IF(F350="",Reference!$M$2,F350))</f>
        <v/>
      </c>
      <c r="M350" s="14" t="str">
        <f t="shared" si="2"/>
        <v/>
      </c>
      <c r="N350" s="15" t="str">
        <f t="shared" si="3"/>
        <v/>
      </c>
      <c r="O350" s="14" t="str">
        <f t="shared" si="4"/>
        <v/>
      </c>
      <c r="P350" s="16" t="str">
        <f t="array" ref="P350">IF($A350="","", IFERROR(INDEX('BM Data'!$N:$N,MATCH($J350&amp; "-" &amp; $N350,'BM Data'!$O:$O,0),1),""))</f>
        <v/>
      </c>
      <c r="Q350" s="16" t="str">
        <f t="array" ref="Q350">IF($A350="","", IFERROR(INDEX('BM Data'!$J:$J,MATCH($J350&amp; "-" &amp; $N350,'BM Data'!$O:$O,0),1),""))</f>
        <v/>
      </c>
    </row>
    <row r="351">
      <c r="A351" s="10" t="str">
        <f>IFERROR(__xludf.DUMMYFUNCTION("""COMPUTED_VALUE"""),"")</f>
        <v/>
      </c>
      <c r="B351" s="3" t="str">
        <f>IFERROR(__xludf.DUMMYFUNCTION("""COMPUTED_VALUE"""),"")</f>
        <v/>
      </c>
      <c r="C351" s="11" t="str">
        <f>IFERROR(__xludf.DUMMYFUNCTION("""COMPUTED_VALUE"""),"")</f>
        <v/>
      </c>
      <c r="D351" s="11" t="str">
        <f>IFERROR(__xludf.DUMMYFUNCTION("""COMPUTED_VALUE"""),"")</f>
        <v/>
      </c>
      <c r="E351" s="11" t="str">
        <f>IFERROR(__xludf.DUMMYFUNCTION("""COMPUTED_VALUE"""),"")</f>
        <v/>
      </c>
      <c r="F351" s="11" t="str">
        <f>IFERROR(__xludf.DUMMYFUNCTION("""COMPUTED_VALUE"""),"")</f>
        <v/>
      </c>
      <c r="G351" s="11" t="str">
        <f>IFERROR(__xludf.DUMMYFUNCTION("""COMPUTED_VALUE"""),"")</f>
        <v/>
      </c>
      <c r="H351" s="12" t="str">
        <f>IFERROR(__xludf.DUMMYFUNCTION("""COMPUTED_VALUE"""),"")</f>
        <v/>
      </c>
      <c r="I351" s="12" t="str">
        <f>IFERROR(__xludf.DUMMYFUNCTION("""COMPUTED_VALUE"""),"")</f>
        <v/>
      </c>
      <c r="J351" s="13" t="str">
        <f t="shared" si="1"/>
        <v/>
      </c>
      <c r="K351" s="12" t="str">
        <f>IFERROR(IF(A351="","",if($G351="",Reference!$J$2, VLOOKUP($G351,Reference!$I$2:$J$1000,2,false))),"")</f>
        <v/>
      </c>
      <c r="L351" s="12" t="str">
        <f>IF(A351="","", IF(F351="",Reference!$M$2,F351))</f>
        <v/>
      </c>
      <c r="M351" s="14" t="str">
        <f t="shared" si="2"/>
        <v/>
      </c>
      <c r="N351" s="15" t="str">
        <f t="shared" si="3"/>
        <v/>
      </c>
      <c r="O351" s="14" t="str">
        <f t="shared" si="4"/>
        <v/>
      </c>
      <c r="P351" s="16" t="str">
        <f t="array" ref="P351">IF($A351="","", IFERROR(INDEX('BM Data'!$N:$N,MATCH($J351&amp; "-" &amp; $N351,'BM Data'!$O:$O,0),1),""))</f>
        <v/>
      </c>
      <c r="Q351" s="16" t="str">
        <f t="array" ref="Q351">IF($A351="","", IFERROR(INDEX('BM Data'!$J:$J,MATCH($J351&amp; "-" &amp; $N351,'BM Data'!$O:$O,0),1),""))</f>
        <v/>
      </c>
    </row>
    <row r="352">
      <c r="A352" s="10" t="str">
        <f>IFERROR(__xludf.DUMMYFUNCTION("""COMPUTED_VALUE"""),"")</f>
        <v/>
      </c>
      <c r="B352" s="3" t="str">
        <f>IFERROR(__xludf.DUMMYFUNCTION("""COMPUTED_VALUE"""),"")</f>
        <v/>
      </c>
      <c r="C352" s="11" t="str">
        <f>IFERROR(__xludf.DUMMYFUNCTION("""COMPUTED_VALUE"""),"")</f>
        <v/>
      </c>
      <c r="D352" s="11" t="str">
        <f>IFERROR(__xludf.DUMMYFUNCTION("""COMPUTED_VALUE"""),"")</f>
        <v/>
      </c>
      <c r="E352" s="11" t="str">
        <f>IFERROR(__xludf.DUMMYFUNCTION("""COMPUTED_VALUE"""),"")</f>
        <v/>
      </c>
      <c r="F352" s="11" t="str">
        <f>IFERROR(__xludf.DUMMYFUNCTION("""COMPUTED_VALUE"""),"")</f>
        <v/>
      </c>
      <c r="G352" s="11" t="str">
        <f>IFERROR(__xludf.DUMMYFUNCTION("""COMPUTED_VALUE"""),"")</f>
        <v/>
      </c>
      <c r="H352" s="12" t="str">
        <f>IFERROR(__xludf.DUMMYFUNCTION("""COMPUTED_VALUE"""),"")</f>
        <v/>
      </c>
      <c r="I352" s="12" t="str">
        <f>IFERROR(__xludf.DUMMYFUNCTION("""COMPUTED_VALUE"""),"")</f>
        <v/>
      </c>
      <c r="J352" s="13" t="str">
        <f t="shared" si="1"/>
        <v/>
      </c>
      <c r="K352" s="12" t="str">
        <f>IFERROR(IF(A352="","",if($G352="",Reference!$J$2, VLOOKUP($G352,Reference!$I$2:$J$1000,2,false))),"")</f>
        <v/>
      </c>
      <c r="L352" s="12" t="str">
        <f>IF(A352="","", IF(F352="",Reference!$M$2,F352))</f>
        <v/>
      </c>
      <c r="M352" s="14" t="str">
        <f t="shared" si="2"/>
        <v/>
      </c>
      <c r="N352" s="15" t="str">
        <f t="shared" si="3"/>
        <v/>
      </c>
      <c r="O352" s="14" t="str">
        <f t="shared" si="4"/>
        <v/>
      </c>
      <c r="P352" s="16" t="str">
        <f t="array" ref="P352">IF($A352="","", IFERROR(INDEX('BM Data'!$N:$N,MATCH($J352&amp; "-" &amp; $N352,'BM Data'!$O:$O,0),1),""))</f>
        <v/>
      </c>
      <c r="Q352" s="16" t="str">
        <f t="array" ref="Q352">IF($A352="","", IFERROR(INDEX('BM Data'!$J:$J,MATCH($J352&amp; "-" &amp; $N352,'BM Data'!$O:$O,0),1),""))</f>
        <v/>
      </c>
    </row>
    <row r="353">
      <c r="A353" s="10" t="str">
        <f>IFERROR(__xludf.DUMMYFUNCTION("""COMPUTED_VALUE"""),"")</f>
        <v/>
      </c>
      <c r="B353" s="3" t="str">
        <f>IFERROR(__xludf.DUMMYFUNCTION("""COMPUTED_VALUE"""),"")</f>
        <v/>
      </c>
      <c r="C353" s="11" t="str">
        <f>IFERROR(__xludf.DUMMYFUNCTION("""COMPUTED_VALUE"""),"")</f>
        <v/>
      </c>
      <c r="D353" s="11" t="str">
        <f>IFERROR(__xludf.DUMMYFUNCTION("""COMPUTED_VALUE"""),"")</f>
        <v/>
      </c>
      <c r="E353" s="11" t="str">
        <f>IFERROR(__xludf.DUMMYFUNCTION("""COMPUTED_VALUE"""),"")</f>
        <v/>
      </c>
      <c r="F353" s="11" t="str">
        <f>IFERROR(__xludf.DUMMYFUNCTION("""COMPUTED_VALUE"""),"")</f>
        <v/>
      </c>
      <c r="G353" s="11" t="str">
        <f>IFERROR(__xludf.DUMMYFUNCTION("""COMPUTED_VALUE"""),"")</f>
        <v/>
      </c>
      <c r="H353" s="12" t="str">
        <f>IFERROR(__xludf.DUMMYFUNCTION("""COMPUTED_VALUE"""),"")</f>
        <v/>
      </c>
      <c r="I353" s="12" t="str">
        <f>IFERROR(__xludf.DUMMYFUNCTION("""COMPUTED_VALUE"""),"")</f>
        <v/>
      </c>
      <c r="J353" s="13" t="str">
        <f t="shared" si="1"/>
        <v/>
      </c>
      <c r="K353" s="12" t="str">
        <f>IFERROR(IF(A353="","",if($G353="",Reference!$J$2, VLOOKUP($G353,Reference!$I$2:$J$1000,2,false))),"")</f>
        <v/>
      </c>
      <c r="L353" s="12" t="str">
        <f>IF(A353="","", IF(F353="",Reference!$M$2,F353))</f>
        <v/>
      </c>
      <c r="M353" s="14" t="str">
        <f t="shared" si="2"/>
        <v/>
      </c>
      <c r="N353" s="15" t="str">
        <f t="shared" si="3"/>
        <v/>
      </c>
      <c r="O353" s="14" t="str">
        <f t="shared" si="4"/>
        <v/>
      </c>
      <c r="P353" s="16" t="str">
        <f t="array" ref="P353">IF($A353="","", IFERROR(INDEX('BM Data'!$N:$N,MATCH($J353&amp; "-" &amp; $N353,'BM Data'!$O:$O,0),1),""))</f>
        <v/>
      </c>
      <c r="Q353" s="16" t="str">
        <f t="array" ref="Q353">IF($A353="","", IFERROR(INDEX('BM Data'!$J:$J,MATCH($J353&amp; "-" &amp; $N353,'BM Data'!$O:$O,0),1),""))</f>
        <v/>
      </c>
    </row>
    <row r="354">
      <c r="A354" s="10" t="str">
        <f>IFERROR(__xludf.DUMMYFUNCTION("""COMPUTED_VALUE"""),"")</f>
        <v/>
      </c>
      <c r="B354" s="3" t="str">
        <f>IFERROR(__xludf.DUMMYFUNCTION("""COMPUTED_VALUE"""),"")</f>
        <v/>
      </c>
      <c r="C354" s="11" t="str">
        <f>IFERROR(__xludf.DUMMYFUNCTION("""COMPUTED_VALUE"""),"")</f>
        <v/>
      </c>
      <c r="D354" s="11" t="str">
        <f>IFERROR(__xludf.DUMMYFUNCTION("""COMPUTED_VALUE"""),"")</f>
        <v/>
      </c>
      <c r="E354" s="11" t="str">
        <f>IFERROR(__xludf.DUMMYFUNCTION("""COMPUTED_VALUE"""),"")</f>
        <v/>
      </c>
      <c r="F354" s="11" t="str">
        <f>IFERROR(__xludf.DUMMYFUNCTION("""COMPUTED_VALUE"""),"")</f>
        <v/>
      </c>
      <c r="G354" s="11" t="str">
        <f>IFERROR(__xludf.DUMMYFUNCTION("""COMPUTED_VALUE"""),"")</f>
        <v/>
      </c>
      <c r="H354" s="12" t="str">
        <f>IFERROR(__xludf.DUMMYFUNCTION("""COMPUTED_VALUE"""),"")</f>
        <v/>
      </c>
      <c r="I354" s="12" t="str">
        <f>IFERROR(__xludf.DUMMYFUNCTION("""COMPUTED_VALUE"""),"")</f>
        <v/>
      </c>
      <c r="J354" s="13" t="str">
        <f t="shared" si="1"/>
        <v/>
      </c>
      <c r="K354" s="12" t="str">
        <f>IFERROR(IF(A354="","",if($G354="",Reference!$J$2, VLOOKUP($G354,Reference!$I$2:$J$1000,2,false))),"")</f>
        <v/>
      </c>
      <c r="L354" s="12" t="str">
        <f>IF(A354="","", IF(F354="",Reference!$M$2,F354))</f>
        <v/>
      </c>
      <c r="M354" s="14" t="str">
        <f t="shared" si="2"/>
        <v/>
      </c>
      <c r="N354" s="15" t="str">
        <f t="shared" si="3"/>
        <v/>
      </c>
      <c r="O354" s="14" t="str">
        <f t="shared" si="4"/>
        <v/>
      </c>
      <c r="P354" s="16" t="str">
        <f t="array" ref="P354">IF($A354="","", IFERROR(INDEX('BM Data'!$N:$N,MATCH($J354&amp; "-" &amp; $N354,'BM Data'!$O:$O,0),1),""))</f>
        <v/>
      </c>
      <c r="Q354" s="16" t="str">
        <f t="array" ref="Q354">IF($A354="","", IFERROR(INDEX('BM Data'!$J:$J,MATCH($J354&amp; "-" &amp; $N354,'BM Data'!$O:$O,0),1),""))</f>
        <v/>
      </c>
    </row>
    <row r="355">
      <c r="A355" s="10" t="str">
        <f>IFERROR(__xludf.DUMMYFUNCTION("""COMPUTED_VALUE"""),"")</f>
        <v/>
      </c>
      <c r="B355" s="3" t="str">
        <f>IFERROR(__xludf.DUMMYFUNCTION("""COMPUTED_VALUE"""),"")</f>
        <v/>
      </c>
      <c r="C355" s="11" t="str">
        <f>IFERROR(__xludf.DUMMYFUNCTION("""COMPUTED_VALUE"""),"")</f>
        <v/>
      </c>
      <c r="D355" s="11" t="str">
        <f>IFERROR(__xludf.DUMMYFUNCTION("""COMPUTED_VALUE"""),"")</f>
        <v/>
      </c>
      <c r="E355" s="11" t="str">
        <f>IFERROR(__xludf.DUMMYFUNCTION("""COMPUTED_VALUE"""),"")</f>
        <v/>
      </c>
      <c r="F355" s="11" t="str">
        <f>IFERROR(__xludf.DUMMYFUNCTION("""COMPUTED_VALUE"""),"")</f>
        <v/>
      </c>
      <c r="G355" s="11" t="str">
        <f>IFERROR(__xludf.DUMMYFUNCTION("""COMPUTED_VALUE"""),"")</f>
        <v/>
      </c>
      <c r="H355" s="12" t="str">
        <f>IFERROR(__xludf.DUMMYFUNCTION("""COMPUTED_VALUE"""),"")</f>
        <v/>
      </c>
      <c r="I355" s="12" t="str">
        <f>IFERROR(__xludf.DUMMYFUNCTION("""COMPUTED_VALUE"""),"")</f>
        <v/>
      </c>
      <c r="J355" s="13" t="str">
        <f t="shared" si="1"/>
        <v/>
      </c>
      <c r="K355" s="12" t="str">
        <f>IFERROR(IF(A355="","",if($G355="",Reference!$J$2, VLOOKUP($G355,Reference!$I$2:$J$1000,2,false))),"")</f>
        <v/>
      </c>
      <c r="L355" s="12" t="str">
        <f>IF(A355="","", IF(F355="",Reference!$M$2,F355))</f>
        <v/>
      </c>
      <c r="M355" s="14" t="str">
        <f t="shared" si="2"/>
        <v/>
      </c>
      <c r="N355" s="15" t="str">
        <f t="shared" si="3"/>
        <v/>
      </c>
      <c r="O355" s="14" t="str">
        <f t="shared" si="4"/>
        <v/>
      </c>
      <c r="P355" s="16" t="str">
        <f t="array" ref="P355">IF($A355="","", IFERROR(INDEX('BM Data'!$N:$N,MATCH($J355&amp; "-" &amp; $N355,'BM Data'!$O:$O,0),1),""))</f>
        <v/>
      </c>
      <c r="Q355" s="16" t="str">
        <f t="array" ref="Q355">IF($A355="","", IFERROR(INDEX('BM Data'!$J:$J,MATCH($J355&amp; "-" &amp; $N355,'BM Data'!$O:$O,0),1),""))</f>
        <v/>
      </c>
    </row>
    <row r="356">
      <c r="A356" s="10" t="str">
        <f>IFERROR(__xludf.DUMMYFUNCTION("""COMPUTED_VALUE"""),"")</f>
        <v/>
      </c>
      <c r="B356" s="3" t="str">
        <f>IFERROR(__xludf.DUMMYFUNCTION("""COMPUTED_VALUE"""),"")</f>
        <v/>
      </c>
      <c r="C356" s="11" t="str">
        <f>IFERROR(__xludf.DUMMYFUNCTION("""COMPUTED_VALUE"""),"")</f>
        <v/>
      </c>
      <c r="D356" s="11" t="str">
        <f>IFERROR(__xludf.DUMMYFUNCTION("""COMPUTED_VALUE"""),"")</f>
        <v/>
      </c>
      <c r="E356" s="11" t="str">
        <f>IFERROR(__xludf.DUMMYFUNCTION("""COMPUTED_VALUE"""),"")</f>
        <v/>
      </c>
      <c r="F356" s="11" t="str">
        <f>IFERROR(__xludf.DUMMYFUNCTION("""COMPUTED_VALUE"""),"")</f>
        <v/>
      </c>
      <c r="G356" s="11" t="str">
        <f>IFERROR(__xludf.DUMMYFUNCTION("""COMPUTED_VALUE"""),"")</f>
        <v/>
      </c>
      <c r="H356" s="12" t="str">
        <f>IFERROR(__xludf.DUMMYFUNCTION("""COMPUTED_VALUE"""),"")</f>
        <v/>
      </c>
      <c r="I356" s="12" t="str">
        <f>IFERROR(__xludf.DUMMYFUNCTION("""COMPUTED_VALUE"""),"")</f>
        <v/>
      </c>
      <c r="J356" s="13" t="str">
        <f t="shared" si="1"/>
        <v/>
      </c>
      <c r="K356" s="12" t="str">
        <f>IFERROR(IF(A356="","",if($G356="",Reference!$J$2, VLOOKUP($G356,Reference!$I$2:$J$1000,2,false))),"")</f>
        <v/>
      </c>
      <c r="L356" s="12" t="str">
        <f>IF(A356="","", IF(F356="",Reference!$M$2,F356))</f>
        <v/>
      </c>
      <c r="M356" s="14" t="str">
        <f t="shared" si="2"/>
        <v/>
      </c>
      <c r="N356" s="15" t="str">
        <f t="shared" si="3"/>
        <v/>
      </c>
      <c r="O356" s="14" t="str">
        <f t="shared" si="4"/>
        <v/>
      </c>
      <c r="P356" s="16" t="str">
        <f t="array" ref="P356">IF($A356="","", IFERROR(INDEX('BM Data'!$N:$N,MATCH($J356&amp; "-" &amp; $N356,'BM Data'!$O:$O,0),1),""))</f>
        <v/>
      </c>
      <c r="Q356" s="16" t="str">
        <f t="array" ref="Q356">IF($A356="","", IFERROR(INDEX('BM Data'!$J:$J,MATCH($J356&amp; "-" &amp; $N356,'BM Data'!$O:$O,0),1),""))</f>
        <v/>
      </c>
    </row>
    <row r="357">
      <c r="A357" s="10" t="str">
        <f>IFERROR(__xludf.DUMMYFUNCTION("""COMPUTED_VALUE"""),"")</f>
        <v/>
      </c>
      <c r="B357" s="3" t="str">
        <f>IFERROR(__xludf.DUMMYFUNCTION("""COMPUTED_VALUE"""),"")</f>
        <v/>
      </c>
      <c r="C357" s="11" t="str">
        <f>IFERROR(__xludf.DUMMYFUNCTION("""COMPUTED_VALUE"""),"")</f>
        <v/>
      </c>
      <c r="D357" s="11" t="str">
        <f>IFERROR(__xludf.DUMMYFUNCTION("""COMPUTED_VALUE"""),"")</f>
        <v/>
      </c>
      <c r="E357" s="11" t="str">
        <f>IFERROR(__xludf.DUMMYFUNCTION("""COMPUTED_VALUE"""),"")</f>
        <v/>
      </c>
      <c r="F357" s="11" t="str">
        <f>IFERROR(__xludf.DUMMYFUNCTION("""COMPUTED_VALUE"""),"")</f>
        <v/>
      </c>
      <c r="G357" s="11" t="str">
        <f>IFERROR(__xludf.DUMMYFUNCTION("""COMPUTED_VALUE"""),"")</f>
        <v/>
      </c>
      <c r="H357" s="12" t="str">
        <f>IFERROR(__xludf.DUMMYFUNCTION("""COMPUTED_VALUE"""),"")</f>
        <v/>
      </c>
      <c r="I357" s="12" t="str">
        <f>IFERROR(__xludf.DUMMYFUNCTION("""COMPUTED_VALUE"""),"")</f>
        <v/>
      </c>
      <c r="J357" s="13" t="str">
        <f t="shared" si="1"/>
        <v/>
      </c>
      <c r="K357" s="12" t="str">
        <f>IFERROR(IF(A357="","",if($G357="",Reference!$J$2, VLOOKUP($G357,Reference!$I$2:$J$1000,2,false))),"")</f>
        <v/>
      </c>
      <c r="L357" s="12" t="str">
        <f>IF(A357="","", IF(F357="",Reference!$M$2,F357))</f>
        <v/>
      </c>
      <c r="M357" s="14" t="str">
        <f t="shared" si="2"/>
        <v/>
      </c>
      <c r="N357" s="15" t="str">
        <f t="shared" si="3"/>
        <v/>
      </c>
      <c r="O357" s="14" t="str">
        <f t="shared" si="4"/>
        <v/>
      </c>
      <c r="P357" s="16" t="str">
        <f t="array" ref="P357">IF($A357="","", IFERROR(INDEX('BM Data'!$N:$N,MATCH($J357&amp; "-" &amp; $N357,'BM Data'!$O:$O,0),1),""))</f>
        <v/>
      </c>
      <c r="Q357" s="16" t="str">
        <f t="array" ref="Q357">IF($A357="","", IFERROR(INDEX('BM Data'!$J:$J,MATCH($J357&amp; "-" &amp; $N357,'BM Data'!$O:$O,0),1),""))</f>
        <v/>
      </c>
    </row>
    <row r="358">
      <c r="A358" s="10" t="str">
        <f>IFERROR(__xludf.DUMMYFUNCTION("""COMPUTED_VALUE"""),"")</f>
        <v/>
      </c>
      <c r="B358" s="3" t="str">
        <f>IFERROR(__xludf.DUMMYFUNCTION("""COMPUTED_VALUE"""),"")</f>
        <v/>
      </c>
      <c r="C358" s="11" t="str">
        <f>IFERROR(__xludf.DUMMYFUNCTION("""COMPUTED_VALUE"""),"")</f>
        <v/>
      </c>
      <c r="D358" s="11" t="str">
        <f>IFERROR(__xludf.DUMMYFUNCTION("""COMPUTED_VALUE"""),"")</f>
        <v/>
      </c>
      <c r="E358" s="11" t="str">
        <f>IFERROR(__xludf.DUMMYFUNCTION("""COMPUTED_VALUE"""),"")</f>
        <v/>
      </c>
      <c r="F358" s="11" t="str">
        <f>IFERROR(__xludf.DUMMYFUNCTION("""COMPUTED_VALUE"""),"")</f>
        <v/>
      </c>
      <c r="G358" s="11" t="str">
        <f>IFERROR(__xludf.DUMMYFUNCTION("""COMPUTED_VALUE"""),"")</f>
        <v/>
      </c>
      <c r="H358" s="12" t="str">
        <f>IFERROR(__xludf.DUMMYFUNCTION("""COMPUTED_VALUE"""),"")</f>
        <v/>
      </c>
      <c r="I358" s="12" t="str">
        <f>IFERROR(__xludf.DUMMYFUNCTION("""COMPUTED_VALUE"""),"")</f>
        <v/>
      </c>
      <c r="J358" s="13" t="str">
        <f t="shared" si="1"/>
        <v/>
      </c>
      <c r="K358" s="12" t="str">
        <f>IFERROR(IF(A358="","",if($G358="",Reference!$J$2, VLOOKUP($G358,Reference!$I$2:$J$1000,2,false))),"")</f>
        <v/>
      </c>
      <c r="L358" s="12" t="str">
        <f>IF(A358="","", IF(F358="",Reference!$M$2,F358))</f>
        <v/>
      </c>
      <c r="M358" s="14" t="str">
        <f t="shared" si="2"/>
        <v/>
      </c>
      <c r="N358" s="15" t="str">
        <f t="shared" si="3"/>
        <v/>
      </c>
      <c r="O358" s="14" t="str">
        <f t="shared" si="4"/>
        <v/>
      </c>
      <c r="P358" s="16" t="str">
        <f t="array" ref="P358">IF($A358="","", IFERROR(INDEX('BM Data'!$N:$N,MATCH($J358&amp; "-" &amp; $N358,'BM Data'!$O:$O,0),1),""))</f>
        <v/>
      </c>
      <c r="Q358" s="16" t="str">
        <f t="array" ref="Q358">IF($A358="","", IFERROR(INDEX('BM Data'!$J:$J,MATCH($J358&amp; "-" &amp; $N358,'BM Data'!$O:$O,0),1),""))</f>
        <v/>
      </c>
    </row>
    <row r="359">
      <c r="A359" s="10" t="str">
        <f>IFERROR(__xludf.DUMMYFUNCTION("""COMPUTED_VALUE"""),"")</f>
        <v/>
      </c>
      <c r="B359" s="3" t="str">
        <f>IFERROR(__xludf.DUMMYFUNCTION("""COMPUTED_VALUE"""),"")</f>
        <v/>
      </c>
      <c r="C359" s="11" t="str">
        <f>IFERROR(__xludf.DUMMYFUNCTION("""COMPUTED_VALUE"""),"")</f>
        <v/>
      </c>
      <c r="D359" s="11" t="str">
        <f>IFERROR(__xludf.DUMMYFUNCTION("""COMPUTED_VALUE"""),"")</f>
        <v/>
      </c>
      <c r="E359" s="11" t="str">
        <f>IFERROR(__xludf.DUMMYFUNCTION("""COMPUTED_VALUE"""),"")</f>
        <v/>
      </c>
      <c r="F359" s="11" t="str">
        <f>IFERROR(__xludf.DUMMYFUNCTION("""COMPUTED_VALUE"""),"")</f>
        <v/>
      </c>
      <c r="G359" s="11" t="str">
        <f>IFERROR(__xludf.DUMMYFUNCTION("""COMPUTED_VALUE"""),"")</f>
        <v/>
      </c>
      <c r="H359" s="12" t="str">
        <f>IFERROR(__xludf.DUMMYFUNCTION("""COMPUTED_VALUE"""),"")</f>
        <v/>
      </c>
      <c r="I359" s="12" t="str">
        <f>IFERROR(__xludf.DUMMYFUNCTION("""COMPUTED_VALUE"""),"")</f>
        <v/>
      </c>
      <c r="J359" s="13" t="str">
        <f t="shared" si="1"/>
        <v/>
      </c>
      <c r="K359" s="12" t="str">
        <f>IFERROR(IF(A359="","",if($G359="",Reference!$J$2, VLOOKUP($G359,Reference!$I$2:$J$1000,2,false))),"")</f>
        <v/>
      </c>
      <c r="L359" s="12" t="str">
        <f>IF(A359="","", IF(F359="",Reference!$M$2,F359))</f>
        <v/>
      </c>
      <c r="M359" s="14" t="str">
        <f t="shared" si="2"/>
        <v/>
      </c>
      <c r="N359" s="15" t="str">
        <f t="shared" si="3"/>
        <v/>
      </c>
      <c r="O359" s="14" t="str">
        <f t="shared" si="4"/>
        <v/>
      </c>
      <c r="P359" s="16" t="str">
        <f t="array" ref="P359">IF($A359="","", IFERROR(INDEX('BM Data'!$N:$N,MATCH($J359&amp; "-" &amp; $N359,'BM Data'!$O:$O,0),1),""))</f>
        <v/>
      </c>
      <c r="Q359" s="16" t="str">
        <f t="array" ref="Q359">IF($A359="","", IFERROR(INDEX('BM Data'!$J:$J,MATCH($J359&amp; "-" &amp; $N359,'BM Data'!$O:$O,0),1),""))</f>
        <v/>
      </c>
    </row>
    <row r="360">
      <c r="A360" s="10" t="str">
        <f>IFERROR(__xludf.DUMMYFUNCTION("""COMPUTED_VALUE"""),"")</f>
        <v/>
      </c>
      <c r="B360" s="3" t="str">
        <f>IFERROR(__xludf.DUMMYFUNCTION("""COMPUTED_VALUE"""),"")</f>
        <v/>
      </c>
      <c r="C360" s="11" t="str">
        <f>IFERROR(__xludf.DUMMYFUNCTION("""COMPUTED_VALUE"""),"")</f>
        <v/>
      </c>
      <c r="D360" s="11" t="str">
        <f>IFERROR(__xludf.DUMMYFUNCTION("""COMPUTED_VALUE"""),"")</f>
        <v/>
      </c>
      <c r="E360" s="11" t="str">
        <f>IFERROR(__xludf.DUMMYFUNCTION("""COMPUTED_VALUE"""),"")</f>
        <v/>
      </c>
      <c r="F360" s="11" t="str">
        <f>IFERROR(__xludf.DUMMYFUNCTION("""COMPUTED_VALUE"""),"")</f>
        <v/>
      </c>
      <c r="G360" s="11" t="str">
        <f>IFERROR(__xludf.DUMMYFUNCTION("""COMPUTED_VALUE"""),"")</f>
        <v/>
      </c>
      <c r="H360" s="12" t="str">
        <f>IFERROR(__xludf.DUMMYFUNCTION("""COMPUTED_VALUE"""),"")</f>
        <v/>
      </c>
      <c r="I360" s="12" t="str">
        <f>IFERROR(__xludf.DUMMYFUNCTION("""COMPUTED_VALUE"""),"")</f>
        <v/>
      </c>
      <c r="J360" s="13" t="str">
        <f t="shared" si="1"/>
        <v/>
      </c>
      <c r="K360" s="12" t="str">
        <f>IFERROR(IF(A360="","",if($G360="",Reference!$J$2, VLOOKUP($G360,Reference!$I$2:$J$1000,2,false))),"")</f>
        <v/>
      </c>
      <c r="L360" s="12" t="str">
        <f>IF(A360="","", IF(F360="",Reference!$M$2,F360))</f>
        <v/>
      </c>
      <c r="M360" s="14" t="str">
        <f t="shared" si="2"/>
        <v/>
      </c>
      <c r="N360" s="15" t="str">
        <f t="shared" si="3"/>
        <v/>
      </c>
      <c r="O360" s="14" t="str">
        <f t="shared" si="4"/>
        <v/>
      </c>
      <c r="P360" s="16" t="str">
        <f t="array" ref="P360">IF($A360="","", IFERROR(INDEX('BM Data'!$N:$N,MATCH($J360&amp; "-" &amp; $N360,'BM Data'!$O:$O,0),1),""))</f>
        <v/>
      </c>
      <c r="Q360" s="16" t="str">
        <f t="array" ref="Q360">IF($A360="","", IFERROR(INDEX('BM Data'!$J:$J,MATCH($J360&amp; "-" &amp; $N360,'BM Data'!$O:$O,0),1),""))</f>
        <v/>
      </c>
    </row>
    <row r="361">
      <c r="A361" s="10" t="str">
        <f>IFERROR(__xludf.DUMMYFUNCTION("""COMPUTED_VALUE"""),"")</f>
        <v/>
      </c>
      <c r="B361" s="3" t="str">
        <f>IFERROR(__xludf.DUMMYFUNCTION("""COMPUTED_VALUE"""),"")</f>
        <v/>
      </c>
      <c r="C361" s="11" t="str">
        <f>IFERROR(__xludf.DUMMYFUNCTION("""COMPUTED_VALUE"""),"")</f>
        <v/>
      </c>
      <c r="D361" s="11" t="str">
        <f>IFERROR(__xludf.DUMMYFUNCTION("""COMPUTED_VALUE"""),"")</f>
        <v/>
      </c>
      <c r="E361" s="11" t="str">
        <f>IFERROR(__xludf.DUMMYFUNCTION("""COMPUTED_VALUE"""),"")</f>
        <v/>
      </c>
      <c r="F361" s="11" t="str">
        <f>IFERROR(__xludf.DUMMYFUNCTION("""COMPUTED_VALUE"""),"")</f>
        <v/>
      </c>
      <c r="G361" s="11" t="str">
        <f>IFERROR(__xludf.DUMMYFUNCTION("""COMPUTED_VALUE"""),"")</f>
        <v/>
      </c>
      <c r="H361" s="12" t="str">
        <f>IFERROR(__xludf.DUMMYFUNCTION("""COMPUTED_VALUE"""),"")</f>
        <v/>
      </c>
      <c r="I361" s="12" t="str">
        <f>IFERROR(__xludf.DUMMYFUNCTION("""COMPUTED_VALUE"""),"")</f>
        <v/>
      </c>
      <c r="J361" s="13" t="str">
        <f t="shared" si="1"/>
        <v/>
      </c>
      <c r="K361" s="12" t="str">
        <f>IFERROR(IF(A361="","",if($G361="",Reference!$J$2, VLOOKUP($G361,Reference!$I$2:$J$1000,2,false))),"")</f>
        <v/>
      </c>
      <c r="L361" s="12" t="str">
        <f>IF(A361="","", IF(F361="",Reference!$M$2,F361))</f>
        <v/>
      </c>
      <c r="M361" s="14" t="str">
        <f t="shared" si="2"/>
        <v/>
      </c>
      <c r="N361" s="15" t="str">
        <f t="shared" si="3"/>
        <v/>
      </c>
      <c r="O361" s="14" t="str">
        <f t="shared" si="4"/>
        <v/>
      </c>
      <c r="P361" s="16" t="str">
        <f t="array" ref="P361">IF($A361="","", IFERROR(INDEX('BM Data'!$N:$N,MATCH($J361&amp; "-" &amp; $N361,'BM Data'!$O:$O,0),1),""))</f>
        <v/>
      </c>
      <c r="Q361" s="16" t="str">
        <f t="array" ref="Q361">IF($A361="","", IFERROR(INDEX('BM Data'!$J:$J,MATCH($J361&amp; "-" &amp; $N361,'BM Data'!$O:$O,0),1),""))</f>
        <v/>
      </c>
    </row>
    <row r="362">
      <c r="A362" s="10" t="str">
        <f>IFERROR(__xludf.DUMMYFUNCTION("""COMPUTED_VALUE"""),"")</f>
        <v/>
      </c>
      <c r="B362" s="3" t="str">
        <f>IFERROR(__xludf.DUMMYFUNCTION("""COMPUTED_VALUE"""),"")</f>
        <v/>
      </c>
      <c r="C362" s="11" t="str">
        <f>IFERROR(__xludf.DUMMYFUNCTION("""COMPUTED_VALUE"""),"")</f>
        <v/>
      </c>
      <c r="D362" s="11" t="str">
        <f>IFERROR(__xludf.DUMMYFUNCTION("""COMPUTED_VALUE"""),"")</f>
        <v/>
      </c>
      <c r="E362" s="11" t="str">
        <f>IFERROR(__xludf.DUMMYFUNCTION("""COMPUTED_VALUE"""),"")</f>
        <v/>
      </c>
      <c r="F362" s="11" t="str">
        <f>IFERROR(__xludf.DUMMYFUNCTION("""COMPUTED_VALUE"""),"")</f>
        <v/>
      </c>
      <c r="G362" s="11" t="str">
        <f>IFERROR(__xludf.DUMMYFUNCTION("""COMPUTED_VALUE"""),"")</f>
        <v/>
      </c>
      <c r="H362" s="12" t="str">
        <f>IFERROR(__xludf.DUMMYFUNCTION("""COMPUTED_VALUE"""),"")</f>
        <v/>
      </c>
      <c r="I362" s="12" t="str">
        <f>IFERROR(__xludf.DUMMYFUNCTION("""COMPUTED_VALUE"""),"")</f>
        <v/>
      </c>
      <c r="J362" s="13" t="str">
        <f t="shared" si="1"/>
        <v/>
      </c>
      <c r="K362" s="12" t="str">
        <f>IFERROR(IF(A362="","",if($G362="",Reference!$J$2, VLOOKUP($G362,Reference!$I$2:$J$1000,2,false))),"")</f>
        <v/>
      </c>
      <c r="L362" s="12" t="str">
        <f>IF(A362="","", IF(F362="",Reference!$M$2,F362))</f>
        <v/>
      </c>
      <c r="M362" s="14" t="str">
        <f t="shared" si="2"/>
        <v/>
      </c>
      <c r="N362" s="15" t="str">
        <f t="shared" si="3"/>
        <v/>
      </c>
      <c r="O362" s="14" t="str">
        <f t="shared" si="4"/>
        <v/>
      </c>
      <c r="P362" s="16" t="str">
        <f t="array" ref="P362">IF($A362="","", IFERROR(INDEX('BM Data'!$N:$N,MATCH($J362&amp; "-" &amp; $N362,'BM Data'!$O:$O,0),1),""))</f>
        <v/>
      </c>
      <c r="Q362" s="16" t="str">
        <f t="array" ref="Q362">IF($A362="","", IFERROR(INDEX('BM Data'!$J:$J,MATCH($J362&amp; "-" &amp; $N362,'BM Data'!$O:$O,0),1),""))</f>
        <v/>
      </c>
    </row>
    <row r="363">
      <c r="A363" s="10" t="str">
        <f>IFERROR(__xludf.DUMMYFUNCTION("""COMPUTED_VALUE"""),"")</f>
        <v/>
      </c>
      <c r="B363" s="3" t="str">
        <f>IFERROR(__xludf.DUMMYFUNCTION("""COMPUTED_VALUE"""),"")</f>
        <v/>
      </c>
      <c r="C363" s="11" t="str">
        <f>IFERROR(__xludf.DUMMYFUNCTION("""COMPUTED_VALUE"""),"")</f>
        <v/>
      </c>
      <c r="D363" s="11" t="str">
        <f>IFERROR(__xludf.DUMMYFUNCTION("""COMPUTED_VALUE"""),"")</f>
        <v/>
      </c>
      <c r="E363" s="11" t="str">
        <f>IFERROR(__xludf.DUMMYFUNCTION("""COMPUTED_VALUE"""),"")</f>
        <v/>
      </c>
      <c r="F363" s="11" t="str">
        <f>IFERROR(__xludf.DUMMYFUNCTION("""COMPUTED_VALUE"""),"")</f>
        <v/>
      </c>
      <c r="G363" s="11" t="str">
        <f>IFERROR(__xludf.DUMMYFUNCTION("""COMPUTED_VALUE"""),"")</f>
        <v/>
      </c>
      <c r="H363" s="12" t="str">
        <f>IFERROR(__xludf.DUMMYFUNCTION("""COMPUTED_VALUE"""),"")</f>
        <v/>
      </c>
      <c r="I363" s="12" t="str">
        <f>IFERROR(__xludf.DUMMYFUNCTION("""COMPUTED_VALUE"""),"")</f>
        <v/>
      </c>
      <c r="J363" s="13" t="str">
        <f t="shared" si="1"/>
        <v/>
      </c>
      <c r="K363" s="12" t="str">
        <f>IFERROR(IF(A363="","",if($G363="",Reference!$J$2, VLOOKUP($G363,Reference!$I$2:$J$1000,2,false))),"")</f>
        <v/>
      </c>
      <c r="L363" s="12" t="str">
        <f>IF(A363="","", IF(F363="",Reference!$M$2,F363))</f>
        <v/>
      </c>
      <c r="M363" s="14" t="str">
        <f t="shared" si="2"/>
        <v/>
      </c>
      <c r="N363" s="15" t="str">
        <f t="shared" si="3"/>
        <v/>
      </c>
      <c r="O363" s="14" t="str">
        <f t="shared" si="4"/>
        <v/>
      </c>
      <c r="P363" s="16" t="str">
        <f t="array" ref="P363">IF($A363="","", IFERROR(INDEX('BM Data'!$N:$N,MATCH($J363&amp; "-" &amp; $N363,'BM Data'!$O:$O,0),1),""))</f>
        <v/>
      </c>
      <c r="Q363" s="16" t="str">
        <f t="array" ref="Q363">IF($A363="","", IFERROR(INDEX('BM Data'!$J:$J,MATCH($J363&amp; "-" &amp; $N363,'BM Data'!$O:$O,0),1),""))</f>
        <v/>
      </c>
    </row>
    <row r="364">
      <c r="A364" s="10" t="str">
        <f>IFERROR(__xludf.DUMMYFUNCTION("""COMPUTED_VALUE"""),"")</f>
        <v/>
      </c>
      <c r="B364" s="3" t="str">
        <f>IFERROR(__xludf.DUMMYFUNCTION("""COMPUTED_VALUE"""),"")</f>
        <v/>
      </c>
      <c r="C364" s="11" t="str">
        <f>IFERROR(__xludf.DUMMYFUNCTION("""COMPUTED_VALUE"""),"")</f>
        <v/>
      </c>
      <c r="D364" s="11" t="str">
        <f>IFERROR(__xludf.DUMMYFUNCTION("""COMPUTED_VALUE"""),"")</f>
        <v/>
      </c>
      <c r="E364" s="11" t="str">
        <f>IFERROR(__xludf.DUMMYFUNCTION("""COMPUTED_VALUE"""),"")</f>
        <v/>
      </c>
      <c r="F364" s="11" t="str">
        <f>IFERROR(__xludf.DUMMYFUNCTION("""COMPUTED_VALUE"""),"")</f>
        <v/>
      </c>
      <c r="G364" s="11" t="str">
        <f>IFERROR(__xludf.DUMMYFUNCTION("""COMPUTED_VALUE"""),"")</f>
        <v/>
      </c>
      <c r="H364" s="12" t="str">
        <f>IFERROR(__xludf.DUMMYFUNCTION("""COMPUTED_VALUE"""),"")</f>
        <v/>
      </c>
      <c r="I364" s="12" t="str">
        <f>IFERROR(__xludf.DUMMYFUNCTION("""COMPUTED_VALUE"""),"")</f>
        <v/>
      </c>
      <c r="J364" s="13" t="str">
        <f t="shared" si="1"/>
        <v/>
      </c>
      <c r="K364" s="12" t="str">
        <f>IFERROR(IF(A364="","",if($G364="",Reference!$J$2, VLOOKUP($G364,Reference!$I$2:$J$1000,2,false))),"")</f>
        <v/>
      </c>
      <c r="L364" s="12" t="str">
        <f>IF(A364="","", IF(F364="",Reference!$M$2,F364))</f>
        <v/>
      </c>
      <c r="M364" s="14" t="str">
        <f t="shared" si="2"/>
        <v/>
      </c>
      <c r="N364" s="15" t="str">
        <f t="shared" si="3"/>
        <v/>
      </c>
      <c r="O364" s="14" t="str">
        <f t="shared" si="4"/>
        <v/>
      </c>
      <c r="P364" s="16" t="str">
        <f t="array" ref="P364">IF($A364="","", IFERROR(INDEX('BM Data'!$N:$N,MATCH($J364&amp; "-" &amp; $N364,'BM Data'!$O:$O,0),1),""))</f>
        <v/>
      </c>
      <c r="Q364" s="16" t="str">
        <f t="array" ref="Q364">IF($A364="","", IFERROR(INDEX('BM Data'!$J:$J,MATCH($J364&amp; "-" &amp; $N364,'BM Data'!$O:$O,0),1),""))</f>
        <v/>
      </c>
    </row>
    <row r="365">
      <c r="A365" s="10" t="str">
        <f>IFERROR(__xludf.DUMMYFUNCTION("""COMPUTED_VALUE"""),"")</f>
        <v/>
      </c>
      <c r="B365" s="3" t="str">
        <f>IFERROR(__xludf.DUMMYFUNCTION("""COMPUTED_VALUE"""),"")</f>
        <v/>
      </c>
      <c r="C365" s="11" t="str">
        <f>IFERROR(__xludf.DUMMYFUNCTION("""COMPUTED_VALUE"""),"")</f>
        <v/>
      </c>
      <c r="D365" s="11" t="str">
        <f>IFERROR(__xludf.DUMMYFUNCTION("""COMPUTED_VALUE"""),"")</f>
        <v/>
      </c>
      <c r="E365" s="11" t="str">
        <f>IFERROR(__xludf.DUMMYFUNCTION("""COMPUTED_VALUE"""),"")</f>
        <v/>
      </c>
      <c r="F365" s="11" t="str">
        <f>IFERROR(__xludf.DUMMYFUNCTION("""COMPUTED_VALUE"""),"")</f>
        <v/>
      </c>
      <c r="G365" s="11" t="str">
        <f>IFERROR(__xludf.DUMMYFUNCTION("""COMPUTED_VALUE"""),"")</f>
        <v/>
      </c>
      <c r="H365" s="12" t="str">
        <f>IFERROR(__xludf.DUMMYFUNCTION("""COMPUTED_VALUE"""),"")</f>
        <v/>
      </c>
      <c r="I365" s="12" t="str">
        <f>IFERROR(__xludf.DUMMYFUNCTION("""COMPUTED_VALUE"""),"")</f>
        <v/>
      </c>
      <c r="J365" s="13" t="str">
        <f t="shared" si="1"/>
        <v/>
      </c>
      <c r="K365" s="12" t="str">
        <f>IFERROR(IF(A365="","",if($G365="",Reference!$J$2, VLOOKUP($G365,Reference!$I$2:$J$1000,2,false))),"")</f>
        <v/>
      </c>
      <c r="L365" s="12" t="str">
        <f>IF(A365="","", IF(F365="",Reference!$M$2,F365))</f>
        <v/>
      </c>
      <c r="M365" s="14" t="str">
        <f t="shared" si="2"/>
        <v/>
      </c>
      <c r="N365" s="15" t="str">
        <f t="shared" si="3"/>
        <v/>
      </c>
      <c r="O365" s="14" t="str">
        <f t="shared" si="4"/>
        <v/>
      </c>
      <c r="P365" s="16" t="str">
        <f t="array" ref="P365">IF($A365="","", IFERROR(INDEX('BM Data'!$N:$N,MATCH($J365&amp; "-" &amp; $N365,'BM Data'!$O:$O,0),1),""))</f>
        <v/>
      </c>
      <c r="Q365" s="16" t="str">
        <f t="array" ref="Q365">IF($A365="","", IFERROR(INDEX('BM Data'!$J:$J,MATCH($J365&amp; "-" &amp; $N365,'BM Data'!$O:$O,0),1),""))</f>
        <v/>
      </c>
    </row>
    <row r="366">
      <c r="A366" s="10" t="str">
        <f>IFERROR(__xludf.DUMMYFUNCTION("""COMPUTED_VALUE"""),"")</f>
        <v/>
      </c>
      <c r="B366" s="3" t="str">
        <f>IFERROR(__xludf.DUMMYFUNCTION("""COMPUTED_VALUE"""),"")</f>
        <v/>
      </c>
      <c r="C366" s="11" t="str">
        <f>IFERROR(__xludf.DUMMYFUNCTION("""COMPUTED_VALUE"""),"")</f>
        <v/>
      </c>
      <c r="D366" s="11" t="str">
        <f>IFERROR(__xludf.DUMMYFUNCTION("""COMPUTED_VALUE"""),"")</f>
        <v/>
      </c>
      <c r="E366" s="11" t="str">
        <f>IFERROR(__xludf.DUMMYFUNCTION("""COMPUTED_VALUE"""),"")</f>
        <v/>
      </c>
      <c r="F366" s="11" t="str">
        <f>IFERROR(__xludf.DUMMYFUNCTION("""COMPUTED_VALUE"""),"")</f>
        <v/>
      </c>
      <c r="G366" s="11" t="str">
        <f>IFERROR(__xludf.DUMMYFUNCTION("""COMPUTED_VALUE"""),"")</f>
        <v/>
      </c>
      <c r="H366" s="12" t="str">
        <f>IFERROR(__xludf.DUMMYFUNCTION("""COMPUTED_VALUE"""),"")</f>
        <v/>
      </c>
      <c r="I366" s="12" t="str">
        <f>IFERROR(__xludf.DUMMYFUNCTION("""COMPUTED_VALUE"""),"")</f>
        <v/>
      </c>
      <c r="J366" s="13" t="str">
        <f t="shared" si="1"/>
        <v/>
      </c>
      <c r="K366" s="12" t="str">
        <f>IFERROR(IF(A366="","",if($G366="",Reference!$J$2, VLOOKUP($G366,Reference!$I$2:$J$1000,2,false))),"")</f>
        <v/>
      </c>
      <c r="L366" s="12" t="str">
        <f>IF(A366="","", IF(F366="",Reference!$M$2,F366))</f>
        <v/>
      </c>
      <c r="M366" s="14" t="str">
        <f t="shared" si="2"/>
        <v/>
      </c>
      <c r="N366" s="15" t="str">
        <f t="shared" si="3"/>
        <v/>
      </c>
      <c r="O366" s="14" t="str">
        <f t="shared" si="4"/>
        <v/>
      </c>
      <c r="P366" s="16" t="str">
        <f t="array" ref="P366">IF($A366="","", IFERROR(INDEX('BM Data'!$N:$N,MATCH($J366&amp; "-" &amp; $N366,'BM Data'!$O:$O,0),1),""))</f>
        <v/>
      </c>
      <c r="Q366" s="16" t="str">
        <f t="array" ref="Q366">IF($A366="","", IFERROR(INDEX('BM Data'!$J:$J,MATCH($J366&amp; "-" &amp; $N366,'BM Data'!$O:$O,0),1),""))</f>
        <v/>
      </c>
    </row>
    <row r="367">
      <c r="A367" s="10" t="str">
        <f>IFERROR(__xludf.DUMMYFUNCTION("""COMPUTED_VALUE"""),"")</f>
        <v/>
      </c>
      <c r="B367" s="3" t="str">
        <f>IFERROR(__xludf.DUMMYFUNCTION("""COMPUTED_VALUE"""),"")</f>
        <v/>
      </c>
      <c r="C367" s="11" t="str">
        <f>IFERROR(__xludf.DUMMYFUNCTION("""COMPUTED_VALUE"""),"")</f>
        <v/>
      </c>
      <c r="D367" s="11" t="str">
        <f>IFERROR(__xludf.DUMMYFUNCTION("""COMPUTED_VALUE"""),"")</f>
        <v/>
      </c>
      <c r="E367" s="11" t="str">
        <f>IFERROR(__xludf.DUMMYFUNCTION("""COMPUTED_VALUE"""),"")</f>
        <v/>
      </c>
      <c r="F367" s="11" t="str">
        <f>IFERROR(__xludf.DUMMYFUNCTION("""COMPUTED_VALUE"""),"")</f>
        <v/>
      </c>
      <c r="G367" s="11" t="str">
        <f>IFERROR(__xludf.DUMMYFUNCTION("""COMPUTED_VALUE"""),"")</f>
        <v/>
      </c>
      <c r="H367" s="12" t="str">
        <f>IFERROR(__xludf.DUMMYFUNCTION("""COMPUTED_VALUE"""),"")</f>
        <v/>
      </c>
      <c r="I367" s="12" t="str">
        <f>IFERROR(__xludf.DUMMYFUNCTION("""COMPUTED_VALUE"""),"")</f>
        <v/>
      </c>
      <c r="J367" s="13" t="str">
        <f t="shared" si="1"/>
        <v/>
      </c>
      <c r="K367" s="12" t="str">
        <f>IFERROR(IF(A367="","",if($G367="",Reference!$J$2, VLOOKUP($G367,Reference!$I$2:$J$1000,2,false))),"")</f>
        <v/>
      </c>
      <c r="L367" s="12" t="str">
        <f>IF(A367="","", IF(F367="",Reference!$M$2,F367))</f>
        <v/>
      </c>
      <c r="M367" s="14" t="str">
        <f t="shared" si="2"/>
        <v/>
      </c>
      <c r="N367" s="15" t="str">
        <f t="shared" si="3"/>
        <v/>
      </c>
      <c r="O367" s="14" t="str">
        <f t="shared" si="4"/>
        <v/>
      </c>
      <c r="P367" s="16" t="str">
        <f t="array" ref="P367">IF($A367="","", IFERROR(INDEX('BM Data'!$N:$N,MATCH($J367&amp; "-" &amp; $N367,'BM Data'!$O:$O,0),1),""))</f>
        <v/>
      </c>
      <c r="Q367" s="16" t="str">
        <f t="array" ref="Q367">IF($A367="","", IFERROR(INDEX('BM Data'!$J:$J,MATCH($J367&amp; "-" &amp; $N367,'BM Data'!$O:$O,0),1),""))</f>
        <v/>
      </c>
    </row>
    <row r="368">
      <c r="A368" s="10" t="str">
        <f>IFERROR(__xludf.DUMMYFUNCTION("""COMPUTED_VALUE"""),"")</f>
        <v/>
      </c>
      <c r="B368" s="3" t="str">
        <f>IFERROR(__xludf.DUMMYFUNCTION("""COMPUTED_VALUE"""),"")</f>
        <v/>
      </c>
      <c r="C368" s="11" t="str">
        <f>IFERROR(__xludf.DUMMYFUNCTION("""COMPUTED_VALUE"""),"")</f>
        <v/>
      </c>
      <c r="D368" s="11" t="str">
        <f>IFERROR(__xludf.DUMMYFUNCTION("""COMPUTED_VALUE"""),"")</f>
        <v/>
      </c>
      <c r="E368" s="11" t="str">
        <f>IFERROR(__xludf.DUMMYFUNCTION("""COMPUTED_VALUE"""),"")</f>
        <v/>
      </c>
      <c r="F368" s="11" t="str">
        <f>IFERROR(__xludf.DUMMYFUNCTION("""COMPUTED_VALUE"""),"")</f>
        <v/>
      </c>
      <c r="G368" s="11" t="str">
        <f>IFERROR(__xludf.DUMMYFUNCTION("""COMPUTED_VALUE"""),"")</f>
        <v/>
      </c>
      <c r="H368" s="12" t="str">
        <f>IFERROR(__xludf.DUMMYFUNCTION("""COMPUTED_VALUE"""),"")</f>
        <v/>
      </c>
      <c r="I368" s="12" t="str">
        <f>IFERROR(__xludf.DUMMYFUNCTION("""COMPUTED_VALUE"""),"")</f>
        <v/>
      </c>
      <c r="J368" s="13" t="str">
        <f t="shared" si="1"/>
        <v/>
      </c>
      <c r="K368" s="12" t="str">
        <f>IFERROR(IF(A368="","",if($G368="",Reference!$J$2, VLOOKUP($G368,Reference!$I$2:$J$1000,2,false))),"")</f>
        <v/>
      </c>
      <c r="L368" s="12" t="str">
        <f>IF(A368="","", IF(F368="",Reference!$M$2,F368))</f>
        <v/>
      </c>
      <c r="M368" s="14" t="str">
        <f t="shared" si="2"/>
        <v/>
      </c>
      <c r="N368" s="15" t="str">
        <f t="shared" si="3"/>
        <v/>
      </c>
      <c r="O368" s="14" t="str">
        <f t="shared" si="4"/>
        <v/>
      </c>
      <c r="P368" s="16" t="str">
        <f t="array" ref="P368">IF($A368="","", IFERROR(INDEX('BM Data'!$N:$N,MATCH($J368&amp; "-" &amp; $N368,'BM Data'!$O:$O,0),1),""))</f>
        <v/>
      </c>
      <c r="Q368" s="16" t="str">
        <f t="array" ref="Q368">IF($A368="","", IFERROR(INDEX('BM Data'!$J:$J,MATCH($J368&amp; "-" &amp; $N368,'BM Data'!$O:$O,0),1),""))</f>
        <v/>
      </c>
    </row>
    <row r="369">
      <c r="A369" s="10" t="str">
        <f>IFERROR(__xludf.DUMMYFUNCTION("""COMPUTED_VALUE"""),"")</f>
        <v/>
      </c>
      <c r="B369" s="3" t="str">
        <f>IFERROR(__xludf.DUMMYFUNCTION("""COMPUTED_VALUE"""),"")</f>
        <v/>
      </c>
      <c r="C369" s="11" t="str">
        <f>IFERROR(__xludf.DUMMYFUNCTION("""COMPUTED_VALUE"""),"")</f>
        <v/>
      </c>
      <c r="D369" s="11" t="str">
        <f>IFERROR(__xludf.DUMMYFUNCTION("""COMPUTED_VALUE"""),"")</f>
        <v/>
      </c>
      <c r="E369" s="11" t="str">
        <f>IFERROR(__xludf.DUMMYFUNCTION("""COMPUTED_VALUE"""),"")</f>
        <v/>
      </c>
      <c r="F369" s="11" t="str">
        <f>IFERROR(__xludf.DUMMYFUNCTION("""COMPUTED_VALUE"""),"")</f>
        <v/>
      </c>
      <c r="G369" s="11" t="str">
        <f>IFERROR(__xludf.DUMMYFUNCTION("""COMPUTED_VALUE"""),"")</f>
        <v/>
      </c>
      <c r="H369" s="12" t="str">
        <f>IFERROR(__xludf.DUMMYFUNCTION("""COMPUTED_VALUE"""),"")</f>
        <v/>
      </c>
      <c r="I369" s="12" t="str">
        <f>IFERROR(__xludf.DUMMYFUNCTION("""COMPUTED_VALUE"""),"")</f>
        <v/>
      </c>
      <c r="J369" s="13" t="str">
        <f t="shared" si="1"/>
        <v/>
      </c>
      <c r="K369" s="12" t="str">
        <f>IFERROR(IF(A369="","",if($G369="",Reference!$J$2, VLOOKUP($G369,Reference!$I$2:$J$1000,2,false))),"")</f>
        <v/>
      </c>
      <c r="L369" s="12" t="str">
        <f>IF(A369="","", IF(F369="",Reference!$M$2,F369))</f>
        <v/>
      </c>
      <c r="M369" s="14" t="str">
        <f t="shared" si="2"/>
        <v/>
      </c>
      <c r="N369" s="15" t="str">
        <f t="shared" si="3"/>
        <v/>
      </c>
      <c r="O369" s="14" t="str">
        <f t="shared" si="4"/>
        <v/>
      </c>
      <c r="P369" s="16" t="str">
        <f t="array" ref="P369">IF($A369="","", IFERROR(INDEX('BM Data'!$N:$N,MATCH($J369&amp; "-" &amp; $N369,'BM Data'!$O:$O,0),1),""))</f>
        <v/>
      </c>
      <c r="Q369" s="16" t="str">
        <f t="array" ref="Q369">IF($A369="","", IFERROR(INDEX('BM Data'!$J:$J,MATCH($J369&amp; "-" &amp; $N369,'BM Data'!$O:$O,0),1),""))</f>
        <v/>
      </c>
    </row>
    <row r="370">
      <c r="A370" s="10" t="str">
        <f>IFERROR(__xludf.DUMMYFUNCTION("""COMPUTED_VALUE"""),"")</f>
        <v/>
      </c>
      <c r="B370" s="3" t="str">
        <f>IFERROR(__xludf.DUMMYFUNCTION("""COMPUTED_VALUE"""),"")</f>
        <v/>
      </c>
      <c r="C370" s="11" t="str">
        <f>IFERROR(__xludf.DUMMYFUNCTION("""COMPUTED_VALUE"""),"")</f>
        <v/>
      </c>
      <c r="D370" s="11" t="str">
        <f>IFERROR(__xludf.DUMMYFUNCTION("""COMPUTED_VALUE"""),"")</f>
        <v/>
      </c>
      <c r="E370" s="11" t="str">
        <f>IFERROR(__xludf.DUMMYFUNCTION("""COMPUTED_VALUE"""),"")</f>
        <v/>
      </c>
      <c r="F370" s="11" t="str">
        <f>IFERROR(__xludf.DUMMYFUNCTION("""COMPUTED_VALUE"""),"")</f>
        <v/>
      </c>
      <c r="G370" s="11" t="str">
        <f>IFERROR(__xludf.DUMMYFUNCTION("""COMPUTED_VALUE"""),"")</f>
        <v/>
      </c>
      <c r="H370" s="12" t="str">
        <f>IFERROR(__xludf.DUMMYFUNCTION("""COMPUTED_VALUE"""),"")</f>
        <v/>
      </c>
      <c r="I370" s="12" t="str">
        <f>IFERROR(__xludf.DUMMYFUNCTION("""COMPUTED_VALUE"""),"")</f>
        <v/>
      </c>
      <c r="J370" s="13" t="str">
        <f t="shared" si="1"/>
        <v/>
      </c>
      <c r="K370" s="12" t="str">
        <f>IFERROR(IF(A370="","",if($G370="",Reference!$J$2, VLOOKUP($G370,Reference!$I$2:$J$1000,2,false))),"")</f>
        <v/>
      </c>
      <c r="L370" s="12" t="str">
        <f>IF(A370="","", IF(F370="",Reference!$M$2,F370))</f>
        <v/>
      </c>
      <c r="M370" s="14" t="str">
        <f t="shared" si="2"/>
        <v/>
      </c>
      <c r="N370" s="15" t="str">
        <f t="shared" si="3"/>
        <v/>
      </c>
      <c r="O370" s="14" t="str">
        <f t="shared" si="4"/>
        <v/>
      </c>
      <c r="P370" s="16" t="str">
        <f t="array" ref="P370">IF($A370="","", IFERROR(INDEX('BM Data'!$N:$N,MATCH($J370&amp; "-" &amp; $N370,'BM Data'!$O:$O,0),1),""))</f>
        <v/>
      </c>
      <c r="Q370" s="16" t="str">
        <f t="array" ref="Q370">IF($A370="","", IFERROR(INDEX('BM Data'!$J:$J,MATCH($J370&amp; "-" &amp; $N370,'BM Data'!$O:$O,0),1),""))</f>
        <v/>
      </c>
    </row>
    <row r="371">
      <c r="A371" s="10" t="str">
        <f>IFERROR(__xludf.DUMMYFUNCTION("""COMPUTED_VALUE"""),"")</f>
        <v/>
      </c>
      <c r="B371" s="3" t="str">
        <f>IFERROR(__xludf.DUMMYFUNCTION("""COMPUTED_VALUE"""),"")</f>
        <v/>
      </c>
      <c r="C371" s="11" t="str">
        <f>IFERROR(__xludf.DUMMYFUNCTION("""COMPUTED_VALUE"""),"")</f>
        <v/>
      </c>
      <c r="D371" s="11" t="str">
        <f>IFERROR(__xludf.DUMMYFUNCTION("""COMPUTED_VALUE"""),"")</f>
        <v/>
      </c>
      <c r="E371" s="11" t="str">
        <f>IFERROR(__xludf.DUMMYFUNCTION("""COMPUTED_VALUE"""),"")</f>
        <v/>
      </c>
      <c r="F371" s="11" t="str">
        <f>IFERROR(__xludf.DUMMYFUNCTION("""COMPUTED_VALUE"""),"")</f>
        <v/>
      </c>
      <c r="G371" s="11" t="str">
        <f>IFERROR(__xludf.DUMMYFUNCTION("""COMPUTED_VALUE"""),"")</f>
        <v/>
      </c>
      <c r="H371" s="12" t="str">
        <f>IFERROR(__xludf.DUMMYFUNCTION("""COMPUTED_VALUE"""),"")</f>
        <v/>
      </c>
      <c r="I371" s="12" t="str">
        <f>IFERROR(__xludf.DUMMYFUNCTION("""COMPUTED_VALUE"""),"")</f>
        <v/>
      </c>
      <c r="J371" s="13" t="str">
        <f t="shared" si="1"/>
        <v/>
      </c>
      <c r="K371" s="12" t="str">
        <f>IFERROR(IF(A371="","",if($G371="",Reference!$J$2, VLOOKUP($G371,Reference!$I$2:$J$1000,2,false))),"")</f>
        <v/>
      </c>
      <c r="L371" s="12" t="str">
        <f>IF(A371="","", IF(F371="",Reference!$M$2,F371))</f>
        <v/>
      </c>
      <c r="M371" s="14" t="str">
        <f t="shared" si="2"/>
        <v/>
      </c>
      <c r="N371" s="15" t="str">
        <f t="shared" si="3"/>
        <v/>
      </c>
      <c r="O371" s="14" t="str">
        <f t="shared" si="4"/>
        <v/>
      </c>
      <c r="P371" s="16" t="str">
        <f t="array" ref="P371">IF($A371="","", IFERROR(INDEX('BM Data'!$N:$N,MATCH($J371&amp; "-" &amp; $N371,'BM Data'!$O:$O,0),1),""))</f>
        <v/>
      </c>
      <c r="Q371" s="16" t="str">
        <f t="array" ref="Q371">IF($A371="","", IFERROR(INDEX('BM Data'!$J:$J,MATCH($J371&amp; "-" &amp; $N371,'BM Data'!$O:$O,0),1),""))</f>
        <v/>
      </c>
    </row>
    <row r="372">
      <c r="A372" s="10" t="str">
        <f>IFERROR(__xludf.DUMMYFUNCTION("""COMPUTED_VALUE"""),"")</f>
        <v/>
      </c>
      <c r="B372" s="3" t="str">
        <f>IFERROR(__xludf.DUMMYFUNCTION("""COMPUTED_VALUE"""),"")</f>
        <v/>
      </c>
      <c r="C372" s="11" t="str">
        <f>IFERROR(__xludf.DUMMYFUNCTION("""COMPUTED_VALUE"""),"")</f>
        <v/>
      </c>
      <c r="D372" s="11" t="str">
        <f>IFERROR(__xludf.DUMMYFUNCTION("""COMPUTED_VALUE"""),"")</f>
        <v/>
      </c>
      <c r="E372" s="11" t="str">
        <f>IFERROR(__xludf.DUMMYFUNCTION("""COMPUTED_VALUE"""),"")</f>
        <v/>
      </c>
      <c r="F372" s="11" t="str">
        <f>IFERROR(__xludf.DUMMYFUNCTION("""COMPUTED_VALUE"""),"")</f>
        <v/>
      </c>
      <c r="G372" s="11" t="str">
        <f>IFERROR(__xludf.DUMMYFUNCTION("""COMPUTED_VALUE"""),"")</f>
        <v/>
      </c>
      <c r="H372" s="12" t="str">
        <f>IFERROR(__xludf.DUMMYFUNCTION("""COMPUTED_VALUE"""),"")</f>
        <v/>
      </c>
      <c r="I372" s="12" t="str">
        <f>IFERROR(__xludf.DUMMYFUNCTION("""COMPUTED_VALUE"""),"")</f>
        <v/>
      </c>
      <c r="J372" s="13" t="str">
        <f t="shared" si="1"/>
        <v/>
      </c>
      <c r="K372" s="12" t="str">
        <f>IFERROR(IF(A372="","",if($G372="",Reference!$J$2, VLOOKUP($G372,Reference!$I$2:$J$1000,2,false))),"")</f>
        <v/>
      </c>
      <c r="L372" s="12" t="str">
        <f>IF(A372="","", IF(F372="",Reference!$M$2,F372))</f>
        <v/>
      </c>
      <c r="M372" s="14" t="str">
        <f t="shared" si="2"/>
        <v/>
      </c>
      <c r="N372" s="15" t="str">
        <f t="shared" si="3"/>
        <v/>
      </c>
      <c r="O372" s="14" t="str">
        <f t="shared" si="4"/>
        <v/>
      </c>
      <c r="P372" s="16" t="str">
        <f t="array" ref="P372">IF($A372="","", IFERROR(INDEX('BM Data'!$N:$N,MATCH($J372&amp; "-" &amp; $N372,'BM Data'!$O:$O,0),1),""))</f>
        <v/>
      </c>
      <c r="Q372" s="16" t="str">
        <f t="array" ref="Q372">IF($A372="","", IFERROR(INDEX('BM Data'!$J:$J,MATCH($J372&amp; "-" &amp; $N372,'BM Data'!$O:$O,0),1),""))</f>
        <v/>
      </c>
    </row>
    <row r="373">
      <c r="A373" s="10" t="str">
        <f>IFERROR(__xludf.DUMMYFUNCTION("""COMPUTED_VALUE"""),"")</f>
        <v/>
      </c>
      <c r="B373" s="3" t="str">
        <f>IFERROR(__xludf.DUMMYFUNCTION("""COMPUTED_VALUE"""),"")</f>
        <v/>
      </c>
      <c r="C373" s="11" t="str">
        <f>IFERROR(__xludf.DUMMYFUNCTION("""COMPUTED_VALUE"""),"")</f>
        <v/>
      </c>
      <c r="D373" s="11" t="str">
        <f>IFERROR(__xludf.DUMMYFUNCTION("""COMPUTED_VALUE"""),"")</f>
        <v/>
      </c>
      <c r="E373" s="11" t="str">
        <f>IFERROR(__xludf.DUMMYFUNCTION("""COMPUTED_VALUE"""),"")</f>
        <v/>
      </c>
      <c r="F373" s="11" t="str">
        <f>IFERROR(__xludf.DUMMYFUNCTION("""COMPUTED_VALUE"""),"")</f>
        <v/>
      </c>
      <c r="G373" s="11" t="str">
        <f>IFERROR(__xludf.DUMMYFUNCTION("""COMPUTED_VALUE"""),"")</f>
        <v/>
      </c>
      <c r="H373" s="12" t="str">
        <f>IFERROR(__xludf.DUMMYFUNCTION("""COMPUTED_VALUE"""),"")</f>
        <v/>
      </c>
      <c r="I373" s="12" t="str">
        <f>IFERROR(__xludf.DUMMYFUNCTION("""COMPUTED_VALUE"""),"")</f>
        <v/>
      </c>
      <c r="J373" s="13" t="str">
        <f t="shared" si="1"/>
        <v/>
      </c>
      <c r="K373" s="12" t="str">
        <f>IFERROR(IF(A373="","",if($G373="",Reference!$J$2, VLOOKUP($G373,Reference!$I$2:$J$1000,2,false))),"")</f>
        <v/>
      </c>
      <c r="L373" s="12" t="str">
        <f>IF(A373="","", IF(F373="",Reference!$M$2,F373))</f>
        <v/>
      </c>
      <c r="M373" s="14" t="str">
        <f t="shared" si="2"/>
        <v/>
      </c>
      <c r="N373" s="15" t="str">
        <f t="shared" si="3"/>
        <v/>
      </c>
      <c r="O373" s="14" t="str">
        <f t="shared" si="4"/>
        <v/>
      </c>
      <c r="P373" s="16" t="str">
        <f t="array" ref="P373">IF($A373="","", IFERROR(INDEX('BM Data'!$N:$N,MATCH($J373&amp; "-" &amp; $N373,'BM Data'!$O:$O,0),1),""))</f>
        <v/>
      </c>
      <c r="Q373" s="16" t="str">
        <f t="array" ref="Q373">IF($A373="","", IFERROR(INDEX('BM Data'!$J:$J,MATCH($J373&amp; "-" &amp; $N373,'BM Data'!$O:$O,0),1),""))</f>
        <v/>
      </c>
    </row>
    <row r="374">
      <c r="A374" s="10" t="str">
        <f>IFERROR(__xludf.DUMMYFUNCTION("""COMPUTED_VALUE"""),"")</f>
        <v/>
      </c>
      <c r="B374" s="3" t="str">
        <f>IFERROR(__xludf.DUMMYFUNCTION("""COMPUTED_VALUE"""),"")</f>
        <v/>
      </c>
      <c r="C374" s="11" t="str">
        <f>IFERROR(__xludf.DUMMYFUNCTION("""COMPUTED_VALUE"""),"")</f>
        <v/>
      </c>
      <c r="D374" s="11" t="str">
        <f>IFERROR(__xludf.DUMMYFUNCTION("""COMPUTED_VALUE"""),"")</f>
        <v/>
      </c>
      <c r="E374" s="11" t="str">
        <f>IFERROR(__xludf.DUMMYFUNCTION("""COMPUTED_VALUE"""),"")</f>
        <v/>
      </c>
      <c r="F374" s="11" t="str">
        <f>IFERROR(__xludf.DUMMYFUNCTION("""COMPUTED_VALUE"""),"")</f>
        <v/>
      </c>
      <c r="G374" s="11" t="str">
        <f>IFERROR(__xludf.DUMMYFUNCTION("""COMPUTED_VALUE"""),"")</f>
        <v/>
      </c>
      <c r="H374" s="12" t="str">
        <f>IFERROR(__xludf.DUMMYFUNCTION("""COMPUTED_VALUE"""),"")</f>
        <v/>
      </c>
      <c r="I374" s="12" t="str">
        <f>IFERROR(__xludf.DUMMYFUNCTION("""COMPUTED_VALUE"""),"")</f>
        <v/>
      </c>
      <c r="J374" s="13" t="str">
        <f t="shared" si="1"/>
        <v/>
      </c>
      <c r="K374" s="12" t="str">
        <f>IFERROR(IF(A374="","",if($G374="",Reference!$J$2, VLOOKUP($G374,Reference!$I$2:$J$1000,2,false))),"")</f>
        <v/>
      </c>
      <c r="L374" s="12" t="str">
        <f>IF(A374="","", IF(F374="",Reference!$M$2,F374))</f>
        <v/>
      </c>
      <c r="M374" s="14" t="str">
        <f t="shared" si="2"/>
        <v/>
      </c>
      <c r="N374" s="15" t="str">
        <f t="shared" si="3"/>
        <v/>
      </c>
      <c r="O374" s="14" t="str">
        <f t="shared" si="4"/>
        <v/>
      </c>
      <c r="P374" s="16" t="str">
        <f t="array" ref="P374">IF($A374="","", IFERROR(INDEX('BM Data'!$N:$N,MATCH($J374&amp; "-" &amp; $N374,'BM Data'!$O:$O,0),1),""))</f>
        <v/>
      </c>
      <c r="Q374" s="16" t="str">
        <f t="array" ref="Q374">IF($A374="","", IFERROR(INDEX('BM Data'!$J:$J,MATCH($J374&amp; "-" &amp; $N374,'BM Data'!$O:$O,0),1),""))</f>
        <v/>
      </c>
    </row>
    <row r="375">
      <c r="A375" s="10" t="str">
        <f>IFERROR(__xludf.DUMMYFUNCTION("""COMPUTED_VALUE"""),"")</f>
        <v/>
      </c>
      <c r="B375" s="3" t="str">
        <f>IFERROR(__xludf.DUMMYFUNCTION("""COMPUTED_VALUE"""),"")</f>
        <v/>
      </c>
      <c r="C375" s="11" t="str">
        <f>IFERROR(__xludf.DUMMYFUNCTION("""COMPUTED_VALUE"""),"")</f>
        <v/>
      </c>
      <c r="D375" s="11" t="str">
        <f>IFERROR(__xludf.DUMMYFUNCTION("""COMPUTED_VALUE"""),"")</f>
        <v/>
      </c>
      <c r="E375" s="11" t="str">
        <f>IFERROR(__xludf.DUMMYFUNCTION("""COMPUTED_VALUE"""),"")</f>
        <v/>
      </c>
      <c r="F375" s="11" t="str">
        <f>IFERROR(__xludf.DUMMYFUNCTION("""COMPUTED_VALUE"""),"")</f>
        <v/>
      </c>
      <c r="G375" s="11" t="str">
        <f>IFERROR(__xludf.DUMMYFUNCTION("""COMPUTED_VALUE"""),"")</f>
        <v/>
      </c>
      <c r="H375" s="12" t="str">
        <f>IFERROR(__xludf.DUMMYFUNCTION("""COMPUTED_VALUE"""),"")</f>
        <v/>
      </c>
      <c r="I375" s="12" t="str">
        <f>IFERROR(__xludf.DUMMYFUNCTION("""COMPUTED_VALUE"""),"")</f>
        <v/>
      </c>
      <c r="J375" s="13" t="str">
        <f t="shared" si="1"/>
        <v/>
      </c>
      <c r="K375" s="12" t="str">
        <f>IFERROR(IF(A375="","",if($G375="",Reference!$J$2, VLOOKUP($G375,Reference!$I$2:$J$1000,2,false))),"")</f>
        <v/>
      </c>
      <c r="L375" s="12" t="str">
        <f>IF(A375="","", IF(F375="",Reference!$M$2,F375))</f>
        <v/>
      </c>
      <c r="M375" s="14" t="str">
        <f t="shared" si="2"/>
        <v/>
      </c>
      <c r="N375" s="15" t="str">
        <f t="shared" si="3"/>
        <v/>
      </c>
      <c r="O375" s="14" t="str">
        <f t="shared" si="4"/>
        <v/>
      </c>
      <c r="P375" s="16" t="str">
        <f t="array" ref="P375">IF($A375="","", IFERROR(INDEX('BM Data'!$N:$N,MATCH($J375&amp; "-" &amp; $N375,'BM Data'!$O:$O,0),1),""))</f>
        <v/>
      </c>
      <c r="Q375" s="16" t="str">
        <f t="array" ref="Q375">IF($A375="","", IFERROR(INDEX('BM Data'!$J:$J,MATCH($J375&amp; "-" &amp; $N375,'BM Data'!$O:$O,0),1),""))</f>
        <v/>
      </c>
    </row>
    <row r="376">
      <c r="A376" s="10" t="str">
        <f>IFERROR(__xludf.DUMMYFUNCTION("""COMPUTED_VALUE"""),"")</f>
        <v/>
      </c>
      <c r="B376" s="3" t="str">
        <f>IFERROR(__xludf.DUMMYFUNCTION("""COMPUTED_VALUE"""),"")</f>
        <v/>
      </c>
      <c r="C376" s="11" t="str">
        <f>IFERROR(__xludf.DUMMYFUNCTION("""COMPUTED_VALUE"""),"")</f>
        <v/>
      </c>
      <c r="D376" s="11" t="str">
        <f>IFERROR(__xludf.DUMMYFUNCTION("""COMPUTED_VALUE"""),"")</f>
        <v/>
      </c>
      <c r="E376" s="11" t="str">
        <f>IFERROR(__xludf.DUMMYFUNCTION("""COMPUTED_VALUE"""),"")</f>
        <v/>
      </c>
      <c r="F376" s="11" t="str">
        <f>IFERROR(__xludf.DUMMYFUNCTION("""COMPUTED_VALUE"""),"")</f>
        <v/>
      </c>
      <c r="G376" s="11" t="str">
        <f>IFERROR(__xludf.DUMMYFUNCTION("""COMPUTED_VALUE"""),"")</f>
        <v/>
      </c>
      <c r="H376" s="12" t="str">
        <f>IFERROR(__xludf.DUMMYFUNCTION("""COMPUTED_VALUE"""),"")</f>
        <v/>
      </c>
      <c r="I376" s="12" t="str">
        <f>IFERROR(__xludf.DUMMYFUNCTION("""COMPUTED_VALUE"""),"")</f>
        <v/>
      </c>
      <c r="J376" s="13" t="str">
        <f t="shared" si="1"/>
        <v/>
      </c>
      <c r="K376" s="12" t="str">
        <f>IFERROR(IF(A376="","",if($G376="",Reference!$J$2, VLOOKUP($G376,Reference!$I$2:$J$1000,2,false))),"")</f>
        <v/>
      </c>
      <c r="L376" s="12" t="str">
        <f>IF(A376="","", IF(F376="",Reference!$M$2,F376))</f>
        <v/>
      </c>
      <c r="M376" s="14" t="str">
        <f t="shared" si="2"/>
        <v/>
      </c>
      <c r="N376" s="15" t="str">
        <f t="shared" si="3"/>
        <v/>
      </c>
      <c r="O376" s="14" t="str">
        <f t="shared" si="4"/>
        <v/>
      </c>
      <c r="P376" s="16" t="str">
        <f t="array" ref="P376">IF($A376="","", IFERROR(INDEX('BM Data'!$N:$N,MATCH($J376&amp; "-" &amp; $N376,'BM Data'!$O:$O,0),1),""))</f>
        <v/>
      </c>
      <c r="Q376" s="16" t="str">
        <f t="array" ref="Q376">IF($A376="","", IFERROR(INDEX('BM Data'!$J:$J,MATCH($J376&amp; "-" &amp; $N376,'BM Data'!$O:$O,0),1),""))</f>
        <v/>
      </c>
    </row>
    <row r="377">
      <c r="A377" s="10" t="str">
        <f>IFERROR(__xludf.DUMMYFUNCTION("""COMPUTED_VALUE"""),"")</f>
        <v/>
      </c>
      <c r="B377" s="3" t="str">
        <f>IFERROR(__xludf.DUMMYFUNCTION("""COMPUTED_VALUE"""),"")</f>
        <v/>
      </c>
      <c r="C377" s="11" t="str">
        <f>IFERROR(__xludf.DUMMYFUNCTION("""COMPUTED_VALUE"""),"")</f>
        <v/>
      </c>
      <c r="D377" s="11" t="str">
        <f>IFERROR(__xludf.DUMMYFUNCTION("""COMPUTED_VALUE"""),"")</f>
        <v/>
      </c>
      <c r="E377" s="11" t="str">
        <f>IFERROR(__xludf.DUMMYFUNCTION("""COMPUTED_VALUE"""),"")</f>
        <v/>
      </c>
      <c r="F377" s="11" t="str">
        <f>IFERROR(__xludf.DUMMYFUNCTION("""COMPUTED_VALUE"""),"")</f>
        <v/>
      </c>
      <c r="G377" s="11" t="str">
        <f>IFERROR(__xludf.DUMMYFUNCTION("""COMPUTED_VALUE"""),"")</f>
        <v/>
      </c>
      <c r="H377" s="12" t="str">
        <f>IFERROR(__xludf.DUMMYFUNCTION("""COMPUTED_VALUE"""),"")</f>
        <v/>
      </c>
      <c r="I377" s="12" t="str">
        <f>IFERROR(__xludf.DUMMYFUNCTION("""COMPUTED_VALUE"""),"")</f>
        <v/>
      </c>
      <c r="J377" s="13" t="str">
        <f t="shared" si="1"/>
        <v/>
      </c>
      <c r="K377" s="12" t="str">
        <f>IFERROR(IF(A377="","",if($G377="",Reference!$J$2, VLOOKUP($G377,Reference!$I$2:$J$1000,2,false))),"")</f>
        <v/>
      </c>
      <c r="L377" s="12" t="str">
        <f>IF(A377="","", IF(F377="",Reference!$M$2,F377))</f>
        <v/>
      </c>
      <c r="M377" s="14" t="str">
        <f t="shared" si="2"/>
        <v/>
      </c>
      <c r="N377" s="15" t="str">
        <f t="shared" si="3"/>
        <v/>
      </c>
      <c r="O377" s="14" t="str">
        <f t="shared" si="4"/>
        <v/>
      </c>
      <c r="P377" s="16" t="str">
        <f t="array" ref="P377">IF($A377="","", IFERROR(INDEX('BM Data'!$N:$N,MATCH($J377&amp; "-" &amp; $N377,'BM Data'!$O:$O,0),1),""))</f>
        <v/>
      </c>
      <c r="Q377" s="16" t="str">
        <f t="array" ref="Q377">IF($A377="","", IFERROR(INDEX('BM Data'!$J:$J,MATCH($J377&amp; "-" &amp; $N377,'BM Data'!$O:$O,0),1),""))</f>
        <v/>
      </c>
    </row>
    <row r="378">
      <c r="A378" s="10" t="str">
        <f>IFERROR(__xludf.DUMMYFUNCTION("""COMPUTED_VALUE"""),"")</f>
        <v/>
      </c>
      <c r="B378" s="3" t="str">
        <f>IFERROR(__xludf.DUMMYFUNCTION("""COMPUTED_VALUE"""),"")</f>
        <v/>
      </c>
      <c r="C378" s="11" t="str">
        <f>IFERROR(__xludf.DUMMYFUNCTION("""COMPUTED_VALUE"""),"")</f>
        <v/>
      </c>
      <c r="D378" s="11" t="str">
        <f>IFERROR(__xludf.DUMMYFUNCTION("""COMPUTED_VALUE"""),"")</f>
        <v/>
      </c>
      <c r="E378" s="11" t="str">
        <f>IFERROR(__xludf.DUMMYFUNCTION("""COMPUTED_VALUE"""),"")</f>
        <v/>
      </c>
      <c r="F378" s="11" t="str">
        <f>IFERROR(__xludf.DUMMYFUNCTION("""COMPUTED_VALUE"""),"")</f>
        <v/>
      </c>
      <c r="G378" s="11" t="str">
        <f>IFERROR(__xludf.DUMMYFUNCTION("""COMPUTED_VALUE"""),"")</f>
        <v/>
      </c>
      <c r="H378" s="12" t="str">
        <f>IFERROR(__xludf.DUMMYFUNCTION("""COMPUTED_VALUE"""),"")</f>
        <v/>
      </c>
      <c r="I378" s="12" t="str">
        <f>IFERROR(__xludf.DUMMYFUNCTION("""COMPUTED_VALUE"""),"")</f>
        <v/>
      </c>
      <c r="J378" s="13" t="str">
        <f t="shared" si="1"/>
        <v/>
      </c>
      <c r="K378" s="12" t="str">
        <f>IFERROR(IF(A378="","",if($G378="",Reference!$J$2, VLOOKUP($G378,Reference!$I$2:$J$1000,2,false))),"")</f>
        <v/>
      </c>
      <c r="L378" s="12" t="str">
        <f>IF(A378="","", IF(F378="",Reference!$M$2,F378))</f>
        <v/>
      </c>
      <c r="M378" s="14" t="str">
        <f t="shared" si="2"/>
        <v/>
      </c>
      <c r="N378" s="15" t="str">
        <f t="shared" si="3"/>
        <v/>
      </c>
      <c r="O378" s="14" t="str">
        <f t="shared" si="4"/>
        <v/>
      </c>
      <c r="P378" s="16" t="str">
        <f t="array" ref="P378">IF($A378="","", IFERROR(INDEX('BM Data'!$N:$N,MATCH($J378&amp; "-" &amp; $N378,'BM Data'!$O:$O,0),1),""))</f>
        <v/>
      </c>
      <c r="Q378" s="16" t="str">
        <f t="array" ref="Q378">IF($A378="","", IFERROR(INDEX('BM Data'!$J:$J,MATCH($J378&amp; "-" &amp; $N378,'BM Data'!$O:$O,0),1),""))</f>
        <v/>
      </c>
    </row>
    <row r="379">
      <c r="A379" s="10" t="str">
        <f>IFERROR(__xludf.DUMMYFUNCTION("""COMPUTED_VALUE"""),"")</f>
        <v/>
      </c>
      <c r="B379" s="3" t="str">
        <f>IFERROR(__xludf.DUMMYFUNCTION("""COMPUTED_VALUE"""),"")</f>
        <v/>
      </c>
      <c r="C379" s="11" t="str">
        <f>IFERROR(__xludf.DUMMYFUNCTION("""COMPUTED_VALUE"""),"")</f>
        <v/>
      </c>
      <c r="D379" s="11" t="str">
        <f>IFERROR(__xludf.DUMMYFUNCTION("""COMPUTED_VALUE"""),"")</f>
        <v/>
      </c>
      <c r="E379" s="11" t="str">
        <f>IFERROR(__xludf.DUMMYFUNCTION("""COMPUTED_VALUE"""),"")</f>
        <v/>
      </c>
      <c r="F379" s="11" t="str">
        <f>IFERROR(__xludf.DUMMYFUNCTION("""COMPUTED_VALUE"""),"")</f>
        <v/>
      </c>
      <c r="G379" s="11" t="str">
        <f>IFERROR(__xludf.DUMMYFUNCTION("""COMPUTED_VALUE"""),"")</f>
        <v/>
      </c>
      <c r="H379" s="12" t="str">
        <f>IFERROR(__xludf.DUMMYFUNCTION("""COMPUTED_VALUE"""),"")</f>
        <v/>
      </c>
      <c r="I379" s="12" t="str">
        <f>IFERROR(__xludf.DUMMYFUNCTION("""COMPUTED_VALUE"""),"")</f>
        <v/>
      </c>
      <c r="J379" s="13" t="str">
        <f t="shared" si="1"/>
        <v/>
      </c>
      <c r="K379" s="12" t="str">
        <f>IFERROR(IF(A379="","",if($G379="",Reference!$J$2, VLOOKUP($G379,Reference!$I$2:$J$1000,2,false))),"")</f>
        <v/>
      </c>
      <c r="L379" s="12" t="str">
        <f>IF(A379="","", IF(F379="",Reference!$M$2,F379))</f>
        <v/>
      </c>
      <c r="M379" s="14" t="str">
        <f t="shared" si="2"/>
        <v/>
      </c>
      <c r="N379" s="15" t="str">
        <f t="shared" si="3"/>
        <v/>
      </c>
      <c r="O379" s="14" t="str">
        <f t="shared" si="4"/>
        <v/>
      </c>
      <c r="P379" s="16" t="str">
        <f t="array" ref="P379">IF($A379="","", IFERROR(INDEX('BM Data'!$N:$N,MATCH($J379&amp; "-" &amp; $N379,'BM Data'!$O:$O,0),1),""))</f>
        <v/>
      </c>
      <c r="Q379" s="16" t="str">
        <f t="array" ref="Q379">IF($A379="","", IFERROR(INDEX('BM Data'!$J:$J,MATCH($J379&amp; "-" &amp; $N379,'BM Data'!$O:$O,0),1),""))</f>
        <v/>
      </c>
    </row>
    <row r="380">
      <c r="A380" s="10" t="str">
        <f>IFERROR(__xludf.DUMMYFUNCTION("""COMPUTED_VALUE"""),"")</f>
        <v/>
      </c>
      <c r="B380" s="3" t="str">
        <f>IFERROR(__xludf.DUMMYFUNCTION("""COMPUTED_VALUE"""),"")</f>
        <v/>
      </c>
      <c r="C380" s="11" t="str">
        <f>IFERROR(__xludf.DUMMYFUNCTION("""COMPUTED_VALUE"""),"")</f>
        <v/>
      </c>
      <c r="D380" s="11" t="str">
        <f>IFERROR(__xludf.DUMMYFUNCTION("""COMPUTED_VALUE"""),"")</f>
        <v/>
      </c>
      <c r="E380" s="11" t="str">
        <f>IFERROR(__xludf.DUMMYFUNCTION("""COMPUTED_VALUE"""),"")</f>
        <v/>
      </c>
      <c r="F380" s="11" t="str">
        <f>IFERROR(__xludf.DUMMYFUNCTION("""COMPUTED_VALUE"""),"")</f>
        <v/>
      </c>
      <c r="G380" s="11" t="str">
        <f>IFERROR(__xludf.DUMMYFUNCTION("""COMPUTED_VALUE"""),"")</f>
        <v/>
      </c>
      <c r="H380" s="12" t="str">
        <f>IFERROR(__xludf.DUMMYFUNCTION("""COMPUTED_VALUE"""),"")</f>
        <v/>
      </c>
      <c r="I380" s="12" t="str">
        <f>IFERROR(__xludf.DUMMYFUNCTION("""COMPUTED_VALUE"""),"")</f>
        <v/>
      </c>
      <c r="J380" s="13" t="str">
        <f t="shared" si="1"/>
        <v/>
      </c>
      <c r="K380" s="12" t="str">
        <f>IFERROR(IF(A380="","",if($G380="",Reference!$J$2, VLOOKUP($G380,Reference!$I$2:$J$1000,2,false))),"")</f>
        <v/>
      </c>
      <c r="L380" s="12" t="str">
        <f>IF(A380="","", IF(F380="",Reference!$M$2,F380))</f>
        <v/>
      </c>
      <c r="M380" s="14" t="str">
        <f t="shared" si="2"/>
        <v/>
      </c>
      <c r="N380" s="15" t="str">
        <f t="shared" si="3"/>
        <v/>
      </c>
      <c r="O380" s="14" t="str">
        <f t="shared" si="4"/>
        <v/>
      </c>
      <c r="P380" s="16" t="str">
        <f t="array" ref="P380">IF($A380="","", IFERROR(INDEX('BM Data'!$N:$N,MATCH($J380&amp; "-" &amp; $N380,'BM Data'!$O:$O,0),1),""))</f>
        <v/>
      </c>
      <c r="Q380" s="16" t="str">
        <f t="array" ref="Q380">IF($A380="","", IFERROR(INDEX('BM Data'!$J:$J,MATCH($J380&amp; "-" &amp; $N380,'BM Data'!$O:$O,0),1),""))</f>
        <v/>
      </c>
    </row>
    <row r="381">
      <c r="A381" s="10" t="str">
        <f>IFERROR(__xludf.DUMMYFUNCTION("""COMPUTED_VALUE"""),"")</f>
        <v/>
      </c>
      <c r="B381" s="3" t="str">
        <f>IFERROR(__xludf.DUMMYFUNCTION("""COMPUTED_VALUE"""),"")</f>
        <v/>
      </c>
      <c r="C381" s="11" t="str">
        <f>IFERROR(__xludf.DUMMYFUNCTION("""COMPUTED_VALUE"""),"")</f>
        <v/>
      </c>
      <c r="D381" s="11" t="str">
        <f>IFERROR(__xludf.DUMMYFUNCTION("""COMPUTED_VALUE"""),"")</f>
        <v/>
      </c>
      <c r="E381" s="11" t="str">
        <f>IFERROR(__xludf.DUMMYFUNCTION("""COMPUTED_VALUE"""),"")</f>
        <v/>
      </c>
      <c r="F381" s="11" t="str">
        <f>IFERROR(__xludf.DUMMYFUNCTION("""COMPUTED_VALUE"""),"")</f>
        <v/>
      </c>
      <c r="G381" s="11" t="str">
        <f>IFERROR(__xludf.DUMMYFUNCTION("""COMPUTED_VALUE"""),"")</f>
        <v/>
      </c>
      <c r="H381" s="12" t="str">
        <f>IFERROR(__xludf.DUMMYFUNCTION("""COMPUTED_VALUE"""),"")</f>
        <v/>
      </c>
      <c r="I381" s="12" t="str">
        <f>IFERROR(__xludf.DUMMYFUNCTION("""COMPUTED_VALUE"""),"")</f>
        <v/>
      </c>
      <c r="J381" s="13" t="str">
        <f t="shared" si="1"/>
        <v/>
      </c>
      <c r="K381" s="12" t="str">
        <f>IFERROR(IF(A381="","",if($G381="",Reference!$J$2, VLOOKUP($G381,Reference!$I$2:$J$1000,2,false))),"")</f>
        <v/>
      </c>
      <c r="L381" s="12" t="str">
        <f>IF(A381="","", IF(F381="",Reference!$M$2,F381))</f>
        <v/>
      </c>
      <c r="M381" s="14" t="str">
        <f t="shared" si="2"/>
        <v/>
      </c>
      <c r="N381" s="15" t="str">
        <f t="shared" si="3"/>
        <v/>
      </c>
      <c r="O381" s="14" t="str">
        <f t="shared" si="4"/>
        <v/>
      </c>
      <c r="P381" s="16" t="str">
        <f t="array" ref="P381">IF($A381="","", IFERROR(INDEX('BM Data'!$N:$N,MATCH($J381&amp; "-" &amp; $N381,'BM Data'!$O:$O,0),1),""))</f>
        <v/>
      </c>
      <c r="Q381" s="16" t="str">
        <f t="array" ref="Q381">IF($A381="","", IFERROR(INDEX('BM Data'!$J:$J,MATCH($J381&amp; "-" &amp; $N381,'BM Data'!$O:$O,0),1),""))</f>
        <v/>
      </c>
    </row>
    <row r="382">
      <c r="A382" s="10" t="str">
        <f>IFERROR(__xludf.DUMMYFUNCTION("""COMPUTED_VALUE"""),"")</f>
        <v/>
      </c>
      <c r="B382" s="3" t="str">
        <f>IFERROR(__xludf.DUMMYFUNCTION("""COMPUTED_VALUE"""),"")</f>
        <v/>
      </c>
      <c r="C382" s="11" t="str">
        <f>IFERROR(__xludf.DUMMYFUNCTION("""COMPUTED_VALUE"""),"")</f>
        <v/>
      </c>
      <c r="D382" s="11" t="str">
        <f>IFERROR(__xludf.DUMMYFUNCTION("""COMPUTED_VALUE"""),"")</f>
        <v/>
      </c>
      <c r="E382" s="11" t="str">
        <f>IFERROR(__xludf.DUMMYFUNCTION("""COMPUTED_VALUE"""),"")</f>
        <v/>
      </c>
      <c r="F382" s="11" t="str">
        <f>IFERROR(__xludf.DUMMYFUNCTION("""COMPUTED_VALUE"""),"")</f>
        <v/>
      </c>
      <c r="G382" s="11" t="str">
        <f>IFERROR(__xludf.DUMMYFUNCTION("""COMPUTED_VALUE"""),"")</f>
        <v/>
      </c>
      <c r="H382" s="12" t="str">
        <f>IFERROR(__xludf.DUMMYFUNCTION("""COMPUTED_VALUE"""),"")</f>
        <v/>
      </c>
      <c r="I382" s="12" t="str">
        <f>IFERROR(__xludf.DUMMYFUNCTION("""COMPUTED_VALUE"""),"")</f>
        <v/>
      </c>
      <c r="J382" s="13" t="str">
        <f t="shared" si="1"/>
        <v/>
      </c>
      <c r="K382" s="12" t="str">
        <f>IFERROR(IF(A382="","",if($G382="",Reference!$J$2, VLOOKUP($G382,Reference!$I$2:$J$1000,2,false))),"")</f>
        <v/>
      </c>
      <c r="L382" s="12" t="str">
        <f>IF(A382="","", IF(F382="",Reference!$M$2,F382))</f>
        <v/>
      </c>
      <c r="M382" s="14" t="str">
        <f t="shared" si="2"/>
        <v/>
      </c>
      <c r="N382" s="15" t="str">
        <f t="shared" si="3"/>
        <v/>
      </c>
      <c r="O382" s="14" t="str">
        <f t="shared" si="4"/>
        <v/>
      </c>
      <c r="P382" s="16" t="str">
        <f t="array" ref="P382">IF($A382="","", IFERROR(INDEX('BM Data'!$N:$N,MATCH($J382&amp; "-" &amp; $N382,'BM Data'!$O:$O,0),1),""))</f>
        <v/>
      </c>
      <c r="Q382" s="16" t="str">
        <f t="array" ref="Q382">IF($A382="","", IFERROR(INDEX('BM Data'!$J:$J,MATCH($J382&amp; "-" &amp; $N382,'BM Data'!$O:$O,0),1),""))</f>
        <v/>
      </c>
    </row>
    <row r="383">
      <c r="A383" s="10" t="str">
        <f>IFERROR(__xludf.DUMMYFUNCTION("""COMPUTED_VALUE"""),"")</f>
        <v/>
      </c>
      <c r="B383" s="3" t="str">
        <f>IFERROR(__xludf.DUMMYFUNCTION("""COMPUTED_VALUE"""),"")</f>
        <v/>
      </c>
      <c r="C383" s="11" t="str">
        <f>IFERROR(__xludf.DUMMYFUNCTION("""COMPUTED_VALUE"""),"")</f>
        <v/>
      </c>
      <c r="D383" s="11" t="str">
        <f>IFERROR(__xludf.DUMMYFUNCTION("""COMPUTED_VALUE"""),"")</f>
        <v/>
      </c>
      <c r="E383" s="11" t="str">
        <f>IFERROR(__xludf.DUMMYFUNCTION("""COMPUTED_VALUE"""),"")</f>
        <v/>
      </c>
      <c r="F383" s="11" t="str">
        <f>IFERROR(__xludf.DUMMYFUNCTION("""COMPUTED_VALUE"""),"")</f>
        <v/>
      </c>
      <c r="G383" s="11" t="str">
        <f>IFERROR(__xludf.DUMMYFUNCTION("""COMPUTED_VALUE"""),"")</f>
        <v/>
      </c>
      <c r="H383" s="12" t="str">
        <f>IFERROR(__xludf.DUMMYFUNCTION("""COMPUTED_VALUE"""),"")</f>
        <v/>
      </c>
      <c r="I383" s="12" t="str">
        <f>IFERROR(__xludf.DUMMYFUNCTION("""COMPUTED_VALUE"""),"")</f>
        <v/>
      </c>
      <c r="J383" s="13" t="str">
        <f t="shared" si="1"/>
        <v/>
      </c>
      <c r="K383" s="12" t="str">
        <f>IFERROR(IF(A383="","",if($G383="",Reference!$J$2, VLOOKUP($G383,Reference!$I$2:$J$1000,2,false))),"")</f>
        <v/>
      </c>
      <c r="L383" s="12" t="str">
        <f>IF(A383="","", IF(F383="",Reference!$M$2,F383))</f>
        <v/>
      </c>
      <c r="M383" s="14" t="str">
        <f t="shared" si="2"/>
        <v/>
      </c>
      <c r="N383" s="15" t="str">
        <f t="shared" si="3"/>
        <v/>
      </c>
      <c r="O383" s="14" t="str">
        <f t="shared" si="4"/>
        <v/>
      </c>
      <c r="P383" s="16" t="str">
        <f t="array" ref="P383">IF($A383="","", IFERROR(INDEX('BM Data'!$N:$N,MATCH($J383&amp; "-" &amp; $N383,'BM Data'!$O:$O,0),1),""))</f>
        <v/>
      </c>
      <c r="Q383" s="16" t="str">
        <f t="array" ref="Q383">IF($A383="","", IFERROR(INDEX('BM Data'!$J:$J,MATCH($J383&amp; "-" &amp; $N383,'BM Data'!$O:$O,0),1),""))</f>
        <v/>
      </c>
    </row>
    <row r="384">
      <c r="A384" s="10" t="str">
        <f>IFERROR(__xludf.DUMMYFUNCTION("""COMPUTED_VALUE"""),"")</f>
        <v/>
      </c>
      <c r="B384" s="3" t="str">
        <f>IFERROR(__xludf.DUMMYFUNCTION("""COMPUTED_VALUE"""),"")</f>
        <v/>
      </c>
      <c r="C384" s="11" t="str">
        <f>IFERROR(__xludf.DUMMYFUNCTION("""COMPUTED_VALUE"""),"")</f>
        <v/>
      </c>
      <c r="D384" s="11" t="str">
        <f>IFERROR(__xludf.DUMMYFUNCTION("""COMPUTED_VALUE"""),"")</f>
        <v/>
      </c>
      <c r="E384" s="11" t="str">
        <f>IFERROR(__xludf.DUMMYFUNCTION("""COMPUTED_VALUE"""),"")</f>
        <v/>
      </c>
      <c r="F384" s="11" t="str">
        <f>IFERROR(__xludf.DUMMYFUNCTION("""COMPUTED_VALUE"""),"")</f>
        <v/>
      </c>
      <c r="G384" s="11" t="str">
        <f>IFERROR(__xludf.DUMMYFUNCTION("""COMPUTED_VALUE"""),"")</f>
        <v/>
      </c>
      <c r="H384" s="12" t="str">
        <f>IFERROR(__xludf.DUMMYFUNCTION("""COMPUTED_VALUE"""),"")</f>
        <v/>
      </c>
      <c r="I384" s="12" t="str">
        <f>IFERROR(__xludf.DUMMYFUNCTION("""COMPUTED_VALUE"""),"")</f>
        <v/>
      </c>
      <c r="J384" s="13" t="str">
        <f t="shared" si="1"/>
        <v/>
      </c>
      <c r="K384" s="12" t="str">
        <f>IFERROR(IF(A384="","",if($G384="",Reference!$J$2, VLOOKUP($G384,Reference!$I$2:$J$1000,2,false))),"")</f>
        <v/>
      </c>
      <c r="L384" s="12" t="str">
        <f>IF(A384="","", IF(F384="",Reference!$M$2,F384))</f>
        <v/>
      </c>
      <c r="M384" s="14" t="str">
        <f t="shared" si="2"/>
        <v/>
      </c>
      <c r="N384" s="15" t="str">
        <f t="shared" si="3"/>
        <v/>
      </c>
      <c r="O384" s="14" t="str">
        <f t="shared" si="4"/>
        <v/>
      </c>
      <c r="P384" s="16" t="str">
        <f t="array" ref="P384">IF($A384="","", IFERROR(INDEX('BM Data'!$N:$N,MATCH($J384&amp; "-" &amp; $N384,'BM Data'!$O:$O,0),1),""))</f>
        <v/>
      </c>
      <c r="Q384" s="16" t="str">
        <f t="array" ref="Q384">IF($A384="","", IFERROR(INDEX('BM Data'!$J:$J,MATCH($J384&amp; "-" &amp; $N384,'BM Data'!$O:$O,0),1),""))</f>
        <v/>
      </c>
    </row>
    <row r="385">
      <c r="A385" s="10" t="str">
        <f>IFERROR(__xludf.DUMMYFUNCTION("""COMPUTED_VALUE"""),"")</f>
        <v/>
      </c>
      <c r="B385" s="3" t="str">
        <f>IFERROR(__xludf.DUMMYFUNCTION("""COMPUTED_VALUE"""),"")</f>
        <v/>
      </c>
      <c r="C385" s="11" t="str">
        <f>IFERROR(__xludf.DUMMYFUNCTION("""COMPUTED_VALUE"""),"")</f>
        <v/>
      </c>
      <c r="D385" s="11" t="str">
        <f>IFERROR(__xludf.DUMMYFUNCTION("""COMPUTED_VALUE"""),"")</f>
        <v/>
      </c>
      <c r="E385" s="11" t="str">
        <f>IFERROR(__xludf.DUMMYFUNCTION("""COMPUTED_VALUE"""),"")</f>
        <v/>
      </c>
      <c r="F385" s="11" t="str">
        <f>IFERROR(__xludf.DUMMYFUNCTION("""COMPUTED_VALUE"""),"")</f>
        <v/>
      </c>
      <c r="G385" s="11" t="str">
        <f>IFERROR(__xludf.DUMMYFUNCTION("""COMPUTED_VALUE"""),"")</f>
        <v/>
      </c>
      <c r="H385" s="12" t="str">
        <f>IFERROR(__xludf.DUMMYFUNCTION("""COMPUTED_VALUE"""),"")</f>
        <v/>
      </c>
      <c r="I385" s="12" t="str">
        <f>IFERROR(__xludf.DUMMYFUNCTION("""COMPUTED_VALUE"""),"")</f>
        <v/>
      </c>
      <c r="J385" s="13" t="str">
        <f t="shared" si="1"/>
        <v/>
      </c>
      <c r="K385" s="12" t="str">
        <f>IFERROR(IF(A385="","",if($G385="",Reference!$J$2, VLOOKUP($G385,Reference!$I$2:$J$1000,2,false))),"")</f>
        <v/>
      </c>
      <c r="L385" s="12" t="str">
        <f>IF(A385="","", IF(F385="",Reference!$M$2,F385))</f>
        <v/>
      </c>
      <c r="M385" s="14" t="str">
        <f t="shared" si="2"/>
        <v/>
      </c>
      <c r="N385" s="15" t="str">
        <f t="shared" si="3"/>
        <v/>
      </c>
      <c r="O385" s="14" t="str">
        <f t="shared" si="4"/>
        <v/>
      </c>
      <c r="P385" s="16" t="str">
        <f t="array" ref="P385">IF($A385="","", IFERROR(INDEX('BM Data'!$N:$N,MATCH($J385&amp; "-" &amp; $N385,'BM Data'!$O:$O,0),1),""))</f>
        <v/>
      </c>
      <c r="Q385" s="16" t="str">
        <f t="array" ref="Q385">IF($A385="","", IFERROR(INDEX('BM Data'!$J:$J,MATCH($J385&amp; "-" &amp; $N385,'BM Data'!$O:$O,0),1),""))</f>
        <v/>
      </c>
    </row>
    <row r="386">
      <c r="A386" s="10" t="str">
        <f>IFERROR(__xludf.DUMMYFUNCTION("""COMPUTED_VALUE"""),"")</f>
        <v/>
      </c>
      <c r="B386" s="3" t="str">
        <f>IFERROR(__xludf.DUMMYFUNCTION("""COMPUTED_VALUE"""),"")</f>
        <v/>
      </c>
      <c r="C386" s="11" t="str">
        <f>IFERROR(__xludf.DUMMYFUNCTION("""COMPUTED_VALUE"""),"")</f>
        <v/>
      </c>
      <c r="D386" s="11" t="str">
        <f>IFERROR(__xludf.DUMMYFUNCTION("""COMPUTED_VALUE"""),"")</f>
        <v/>
      </c>
      <c r="E386" s="11" t="str">
        <f>IFERROR(__xludf.DUMMYFUNCTION("""COMPUTED_VALUE"""),"")</f>
        <v/>
      </c>
      <c r="F386" s="11" t="str">
        <f>IFERROR(__xludf.DUMMYFUNCTION("""COMPUTED_VALUE"""),"")</f>
        <v/>
      </c>
      <c r="G386" s="11" t="str">
        <f>IFERROR(__xludf.DUMMYFUNCTION("""COMPUTED_VALUE"""),"")</f>
        <v/>
      </c>
      <c r="H386" s="12" t="str">
        <f>IFERROR(__xludf.DUMMYFUNCTION("""COMPUTED_VALUE"""),"")</f>
        <v/>
      </c>
      <c r="I386" s="12" t="str">
        <f>IFERROR(__xludf.DUMMYFUNCTION("""COMPUTED_VALUE"""),"")</f>
        <v/>
      </c>
      <c r="J386" s="13" t="str">
        <f t="shared" si="1"/>
        <v/>
      </c>
      <c r="K386" s="12" t="str">
        <f>IFERROR(IF(A386="","",if($G386="",Reference!$J$2, VLOOKUP($G386,Reference!$I$2:$J$1000,2,false))),"")</f>
        <v/>
      </c>
      <c r="L386" s="12" t="str">
        <f>IF(A386="","", IF(F386="",Reference!$M$2,F386))</f>
        <v/>
      </c>
      <c r="M386" s="14" t="str">
        <f t="shared" si="2"/>
        <v/>
      </c>
      <c r="N386" s="15" t="str">
        <f t="shared" si="3"/>
        <v/>
      </c>
      <c r="O386" s="14" t="str">
        <f t="shared" si="4"/>
        <v/>
      </c>
      <c r="P386" s="16" t="str">
        <f t="array" ref="P386">IF($A386="","", IFERROR(INDEX('BM Data'!$N:$N,MATCH($J386&amp; "-" &amp; $N386,'BM Data'!$O:$O,0),1),""))</f>
        <v/>
      </c>
      <c r="Q386" s="16" t="str">
        <f t="array" ref="Q386">IF($A386="","", IFERROR(INDEX('BM Data'!$J:$J,MATCH($J386&amp; "-" &amp; $N386,'BM Data'!$O:$O,0),1),""))</f>
        <v/>
      </c>
    </row>
    <row r="387">
      <c r="A387" s="10" t="str">
        <f>IFERROR(__xludf.DUMMYFUNCTION("""COMPUTED_VALUE"""),"")</f>
        <v/>
      </c>
      <c r="B387" s="3" t="str">
        <f>IFERROR(__xludf.DUMMYFUNCTION("""COMPUTED_VALUE"""),"")</f>
        <v/>
      </c>
      <c r="C387" s="11" t="str">
        <f>IFERROR(__xludf.DUMMYFUNCTION("""COMPUTED_VALUE"""),"")</f>
        <v/>
      </c>
      <c r="D387" s="11" t="str">
        <f>IFERROR(__xludf.DUMMYFUNCTION("""COMPUTED_VALUE"""),"")</f>
        <v/>
      </c>
      <c r="E387" s="11" t="str">
        <f>IFERROR(__xludf.DUMMYFUNCTION("""COMPUTED_VALUE"""),"")</f>
        <v/>
      </c>
      <c r="F387" s="11" t="str">
        <f>IFERROR(__xludf.DUMMYFUNCTION("""COMPUTED_VALUE"""),"")</f>
        <v/>
      </c>
      <c r="G387" s="11" t="str">
        <f>IFERROR(__xludf.DUMMYFUNCTION("""COMPUTED_VALUE"""),"")</f>
        <v/>
      </c>
      <c r="H387" s="12" t="str">
        <f>IFERROR(__xludf.DUMMYFUNCTION("""COMPUTED_VALUE"""),"")</f>
        <v/>
      </c>
      <c r="I387" s="12" t="str">
        <f>IFERROR(__xludf.DUMMYFUNCTION("""COMPUTED_VALUE"""),"")</f>
        <v/>
      </c>
      <c r="J387" s="13" t="str">
        <f t="shared" si="1"/>
        <v/>
      </c>
      <c r="K387" s="12" t="str">
        <f>IFERROR(IF(A387="","",if($G387="",Reference!$J$2, VLOOKUP($G387,Reference!$I$2:$J$1000,2,false))),"")</f>
        <v/>
      </c>
      <c r="L387" s="12" t="str">
        <f>IF(A387="","", IF(F387="",Reference!$M$2,F387))</f>
        <v/>
      </c>
      <c r="M387" s="14" t="str">
        <f t="shared" si="2"/>
        <v/>
      </c>
      <c r="N387" s="15" t="str">
        <f t="shared" si="3"/>
        <v/>
      </c>
      <c r="O387" s="14" t="str">
        <f t="shared" si="4"/>
        <v/>
      </c>
      <c r="P387" s="16" t="str">
        <f t="array" ref="P387">IF($A387="","", IFERROR(INDEX('BM Data'!$N:$N,MATCH($J387&amp; "-" &amp; $N387,'BM Data'!$O:$O,0),1),""))</f>
        <v/>
      </c>
      <c r="Q387" s="16" t="str">
        <f t="array" ref="Q387">IF($A387="","", IFERROR(INDEX('BM Data'!$J:$J,MATCH($J387&amp; "-" &amp; $N387,'BM Data'!$O:$O,0),1),""))</f>
        <v/>
      </c>
    </row>
    <row r="388">
      <c r="A388" s="10" t="str">
        <f>IFERROR(__xludf.DUMMYFUNCTION("""COMPUTED_VALUE"""),"")</f>
        <v/>
      </c>
      <c r="B388" s="3" t="str">
        <f>IFERROR(__xludf.DUMMYFUNCTION("""COMPUTED_VALUE"""),"")</f>
        <v/>
      </c>
      <c r="C388" s="11" t="str">
        <f>IFERROR(__xludf.DUMMYFUNCTION("""COMPUTED_VALUE"""),"")</f>
        <v/>
      </c>
      <c r="D388" s="11" t="str">
        <f>IFERROR(__xludf.DUMMYFUNCTION("""COMPUTED_VALUE"""),"")</f>
        <v/>
      </c>
      <c r="E388" s="11" t="str">
        <f>IFERROR(__xludf.DUMMYFUNCTION("""COMPUTED_VALUE"""),"")</f>
        <v/>
      </c>
      <c r="F388" s="11" t="str">
        <f>IFERROR(__xludf.DUMMYFUNCTION("""COMPUTED_VALUE"""),"")</f>
        <v/>
      </c>
      <c r="G388" s="11" t="str">
        <f>IFERROR(__xludf.DUMMYFUNCTION("""COMPUTED_VALUE"""),"")</f>
        <v/>
      </c>
      <c r="H388" s="12" t="str">
        <f>IFERROR(__xludf.DUMMYFUNCTION("""COMPUTED_VALUE"""),"")</f>
        <v/>
      </c>
      <c r="I388" s="12" t="str">
        <f>IFERROR(__xludf.DUMMYFUNCTION("""COMPUTED_VALUE"""),"")</f>
        <v/>
      </c>
      <c r="J388" s="13" t="str">
        <f t="shared" si="1"/>
        <v/>
      </c>
      <c r="K388" s="12" t="str">
        <f>IFERROR(IF(A388="","",if($G388="",Reference!$J$2, VLOOKUP($G388,Reference!$I$2:$J$1000,2,false))),"")</f>
        <v/>
      </c>
      <c r="L388" s="12" t="str">
        <f>IF(A388="","", IF(F388="",Reference!$M$2,F388))</f>
        <v/>
      </c>
      <c r="M388" s="14" t="str">
        <f t="shared" si="2"/>
        <v/>
      </c>
      <c r="N388" s="15" t="str">
        <f t="shared" si="3"/>
        <v/>
      </c>
      <c r="O388" s="14" t="str">
        <f t="shared" si="4"/>
        <v/>
      </c>
      <c r="P388" s="16" t="str">
        <f t="array" ref="P388">IF($A388="","", IFERROR(INDEX('BM Data'!$N:$N,MATCH($J388&amp; "-" &amp; $N388,'BM Data'!$O:$O,0),1),""))</f>
        <v/>
      </c>
      <c r="Q388" s="16" t="str">
        <f t="array" ref="Q388">IF($A388="","", IFERROR(INDEX('BM Data'!$J:$J,MATCH($J388&amp; "-" &amp; $N388,'BM Data'!$O:$O,0),1),""))</f>
        <v/>
      </c>
    </row>
    <row r="389">
      <c r="A389" s="10" t="str">
        <f>IFERROR(__xludf.DUMMYFUNCTION("""COMPUTED_VALUE"""),"")</f>
        <v/>
      </c>
      <c r="B389" s="3" t="str">
        <f>IFERROR(__xludf.DUMMYFUNCTION("""COMPUTED_VALUE"""),"")</f>
        <v/>
      </c>
      <c r="C389" s="11" t="str">
        <f>IFERROR(__xludf.DUMMYFUNCTION("""COMPUTED_VALUE"""),"")</f>
        <v/>
      </c>
      <c r="D389" s="11" t="str">
        <f>IFERROR(__xludf.DUMMYFUNCTION("""COMPUTED_VALUE"""),"")</f>
        <v/>
      </c>
      <c r="E389" s="11" t="str">
        <f>IFERROR(__xludf.DUMMYFUNCTION("""COMPUTED_VALUE"""),"")</f>
        <v/>
      </c>
      <c r="F389" s="11" t="str">
        <f>IFERROR(__xludf.DUMMYFUNCTION("""COMPUTED_VALUE"""),"")</f>
        <v/>
      </c>
      <c r="G389" s="11" t="str">
        <f>IFERROR(__xludf.DUMMYFUNCTION("""COMPUTED_VALUE"""),"")</f>
        <v/>
      </c>
      <c r="H389" s="12" t="str">
        <f>IFERROR(__xludf.DUMMYFUNCTION("""COMPUTED_VALUE"""),"")</f>
        <v/>
      </c>
      <c r="I389" s="12" t="str">
        <f>IFERROR(__xludf.DUMMYFUNCTION("""COMPUTED_VALUE"""),"")</f>
        <v/>
      </c>
      <c r="J389" s="13" t="str">
        <f t="shared" si="1"/>
        <v/>
      </c>
      <c r="K389" s="12" t="str">
        <f>IFERROR(IF(A389="","",if($G389="",Reference!$J$2, VLOOKUP($G389,Reference!$I$2:$J$1000,2,false))),"")</f>
        <v/>
      </c>
      <c r="L389" s="12" t="str">
        <f>IF(A389="","", IF(F389="",Reference!$M$2,F389))</f>
        <v/>
      </c>
      <c r="M389" s="14" t="str">
        <f t="shared" si="2"/>
        <v/>
      </c>
      <c r="N389" s="15" t="str">
        <f t="shared" si="3"/>
        <v/>
      </c>
      <c r="O389" s="14" t="str">
        <f t="shared" si="4"/>
        <v/>
      </c>
      <c r="P389" s="16" t="str">
        <f t="array" ref="P389">IF($A389="","", IFERROR(INDEX('BM Data'!$N:$N,MATCH($J389&amp; "-" &amp; $N389,'BM Data'!$O:$O,0),1),""))</f>
        <v/>
      </c>
      <c r="Q389" s="16" t="str">
        <f t="array" ref="Q389">IF($A389="","", IFERROR(INDEX('BM Data'!$J:$J,MATCH($J389&amp; "-" &amp; $N389,'BM Data'!$O:$O,0),1),""))</f>
        <v/>
      </c>
    </row>
    <row r="390">
      <c r="A390" s="10" t="str">
        <f>IFERROR(__xludf.DUMMYFUNCTION("""COMPUTED_VALUE"""),"")</f>
        <v/>
      </c>
      <c r="B390" s="3" t="str">
        <f>IFERROR(__xludf.DUMMYFUNCTION("""COMPUTED_VALUE"""),"")</f>
        <v/>
      </c>
      <c r="C390" s="11" t="str">
        <f>IFERROR(__xludf.DUMMYFUNCTION("""COMPUTED_VALUE"""),"")</f>
        <v/>
      </c>
      <c r="D390" s="11" t="str">
        <f>IFERROR(__xludf.DUMMYFUNCTION("""COMPUTED_VALUE"""),"")</f>
        <v/>
      </c>
      <c r="E390" s="11" t="str">
        <f>IFERROR(__xludf.DUMMYFUNCTION("""COMPUTED_VALUE"""),"")</f>
        <v/>
      </c>
      <c r="F390" s="11" t="str">
        <f>IFERROR(__xludf.DUMMYFUNCTION("""COMPUTED_VALUE"""),"")</f>
        <v/>
      </c>
      <c r="G390" s="11" t="str">
        <f>IFERROR(__xludf.DUMMYFUNCTION("""COMPUTED_VALUE"""),"")</f>
        <v/>
      </c>
      <c r="H390" s="12" t="str">
        <f>IFERROR(__xludf.DUMMYFUNCTION("""COMPUTED_VALUE"""),"")</f>
        <v/>
      </c>
      <c r="I390" s="12" t="str">
        <f>IFERROR(__xludf.DUMMYFUNCTION("""COMPUTED_VALUE"""),"")</f>
        <v/>
      </c>
      <c r="J390" s="13" t="str">
        <f t="shared" si="1"/>
        <v/>
      </c>
      <c r="K390" s="12" t="str">
        <f>IFERROR(IF(A390="","",if($G390="",Reference!$J$2, VLOOKUP($G390,Reference!$I$2:$J$1000,2,false))),"")</f>
        <v/>
      </c>
      <c r="L390" s="12" t="str">
        <f>IF(A390="","", IF(F390="",Reference!$M$2,F390))</f>
        <v/>
      </c>
      <c r="M390" s="14" t="str">
        <f t="shared" si="2"/>
        <v/>
      </c>
      <c r="N390" s="15" t="str">
        <f t="shared" si="3"/>
        <v/>
      </c>
      <c r="O390" s="14" t="str">
        <f t="shared" si="4"/>
        <v/>
      </c>
      <c r="P390" s="16" t="str">
        <f t="array" ref="P390">IF($A390="","", IFERROR(INDEX('BM Data'!$N:$N,MATCH($J390&amp; "-" &amp; $N390,'BM Data'!$O:$O,0),1),""))</f>
        <v/>
      </c>
      <c r="Q390" s="16" t="str">
        <f t="array" ref="Q390">IF($A390="","", IFERROR(INDEX('BM Data'!$J:$J,MATCH($J390&amp; "-" &amp; $N390,'BM Data'!$O:$O,0),1),""))</f>
        <v/>
      </c>
    </row>
    <row r="391">
      <c r="A391" s="10" t="str">
        <f>IFERROR(__xludf.DUMMYFUNCTION("""COMPUTED_VALUE"""),"")</f>
        <v/>
      </c>
      <c r="B391" s="3" t="str">
        <f>IFERROR(__xludf.DUMMYFUNCTION("""COMPUTED_VALUE"""),"")</f>
        <v/>
      </c>
      <c r="C391" s="11" t="str">
        <f>IFERROR(__xludf.DUMMYFUNCTION("""COMPUTED_VALUE"""),"")</f>
        <v/>
      </c>
      <c r="D391" s="11" t="str">
        <f>IFERROR(__xludf.DUMMYFUNCTION("""COMPUTED_VALUE"""),"")</f>
        <v/>
      </c>
      <c r="E391" s="11" t="str">
        <f>IFERROR(__xludf.DUMMYFUNCTION("""COMPUTED_VALUE"""),"")</f>
        <v/>
      </c>
      <c r="F391" s="11" t="str">
        <f>IFERROR(__xludf.DUMMYFUNCTION("""COMPUTED_VALUE"""),"")</f>
        <v/>
      </c>
      <c r="G391" s="11" t="str">
        <f>IFERROR(__xludf.DUMMYFUNCTION("""COMPUTED_VALUE"""),"")</f>
        <v/>
      </c>
      <c r="H391" s="12" t="str">
        <f>IFERROR(__xludf.DUMMYFUNCTION("""COMPUTED_VALUE"""),"")</f>
        <v/>
      </c>
      <c r="I391" s="12" t="str">
        <f>IFERROR(__xludf.DUMMYFUNCTION("""COMPUTED_VALUE"""),"")</f>
        <v/>
      </c>
      <c r="J391" s="13" t="str">
        <f t="shared" si="1"/>
        <v/>
      </c>
      <c r="K391" s="12" t="str">
        <f>IFERROR(IF(A391="","",if($G391="",Reference!$J$2, VLOOKUP($G391,Reference!$I$2:$J$1000,2,false))),"")</f>
        <v/>
      </c>
      <c r="L391" s="12" t="str">
        <f>IF(A391="","", IF(F391="",Reference!$M$2,F391))</f>
        <v/>
      </c>
      <c r="M391" s="14" t="str">
        <f t="shared" si="2"/>
        <v/>
      </c>
      <c r="N391" s="15" t="str">
        <f t="shared" si="3"/>
        <v/>
      </c>
      <c r="O391" s="14" t="str">
        <f t="shared" si="4"/>
        <v/>
      </c>
      <c r="P391" s="16" t="str">
        <f t="array" ref="P391">IF($A391="","", IFERROR(INDEX('BM Data'!$N:$N,MATCH($J391&amp; "-" &amp; $N391,'BM Data'!$O:$O,0),1),""))</f>
        <v/>
      </c>
      <c r="Q391" s="16" t="str">
        <f t="array" ref="Q391">IF($A391="","", IFERROR(INDEX('BM Data'!$J:$J,MATCH($J391&amp; "-" &amp; $N391,'BM Data'!$O:$O,0),1),""))</f>
        <v/>
      </c>
    </row>
    <row r="392">
      <c r="A392" s="10" t="str">
        <f>IFERROR(__xludf.DUMMYFUNCTION("""COMPUTED_VALUE"""),"")</f>
        <v/>
      </c>
      <c r="B392" s="3" t="str">
        <f>IFERROR(__xludf.DUMMYFUNCTION("""COMPUTED_VALUE"""),"")</f>
        <v/>
      </c>
      <c r="C392" s="11" t="str">
        <f>IFERROR(__xludf.DUMMYFUNCTION("""COMPUTED_VALUE"""),"")</f>
        <v/>
      </c>
      <c r="D392" s="11" t="str">
        <f>IFERROR(__xludf.DUMMYFUNCTION("""COMPUTED_VALUE"""),"")</f>
        <v/>
      </c>
      <c r="E392" s="11" t="str">
        <f>IFERROR(__xludf.DUMMYFUNCTION("""COMPUTED_VALUE"""),"")</f>
        <v/>
      </c>
      <c r="F392" s="11" t="str">
        <f>IFERROR(__xludf.DUMMYFUNCTION("""COMPUTED_VALUE"""),"")</f>
        <v/>
      </c>
      <c r="G392" s="11" t="str">
        <f>IFERROR(__xludf.DUMMYFUNCTION("""COMPUTED_VALUE"""),"")</f>
        <v/>
      </c>
      <c r="H392" s="12" t="str">
        <f>IFERROR(__xludf.DUMMYFUNCTION("""COMPUTED_VALUE"""),"")</f>
        <v/>
      </c>
      <c r="I392" s="12" t="str">
        <f>IFERROR(__xludf.DUMMYFUNCTION("""COMPUTED_VALUE"""),"")</f>
        <v/>
      </c>
      <c r="J392" s="13" t="str">
        <f t="shared" si="1"/>
        <v/>
      </c>
      <c r="K392" s="12" t="str">
        <f>IFERROR(IF(A392="","",if($G392="",Reference!$J$2, VLOOKUP($G392,Reference!$I$2:$J$1000,2,false))),"")</f>
        <v/>
      </c>
      <c r="L392" s="12" t="str">
        <f>IF(A392="","", IF(F392="",Reference!$M$2,F392))</f>
        <v/>
      </c>
      <c r="M392" s="14" t="str">
        <f t="shared" si="2"/>
        <v/>
      </c>
      <c r="N392" s="15" t="str">
        <f t="shared" si="3"/>
        <v/>
      </c>
      <c r="O392" s="14" t="str">
        <f t="shared" si="4"/>
        <v/>
      </c>
      <c r="P392" s="16" t="str">
        <f t="array" ref="P392">IF($A392="","", IFERROR(INDEX('BM Data'!$N:$N,MATCH($J392&amp; "-" &amp; $N392,'BM Data'!$O:$O,0),1),""))</f>
        <v/>
      </c>
      <c r="Q392" s="16" t="str">
        <f t="array" ref="Q392">IF($A392="","", IFERROR(INDEX('BM Data'!$J:$J,MATCH($J392&amp; "-" &amp; $N392,'BM Data'!$O:$O,0),1),""))</f>
        <v/>
      </c>
    </row>
    <row r="393">
      <c r="A393" s="10" t="str">
        <f>IFERROR(__xludf.DUMMYFUNCTION("""COMPUTED_VALUE"""),"")</f>
        <v/>
      </c>
      <c r="B393" s="3" t="str">
        <f>IFERROR(__xludf.DUMMYFUNCTION("""COMPUTED_VALUE"""),"")</f>
        <v/>
      </c>
      <c r="C393" s="11" t="str">
        <f>IFERROR(__xludf.DUMMYFUNCTION("""COMPUTED_VALUE"""),"")</f>
        <v/>
      </c>
      <c r="D393" s="11" t="str">
        <f>IFERROR(__xludf.DUMMYFUNCTION("""COMPUTED_VALUE"""),"")</f>
        <v/>
      </c>
      <c r="E393" s="11" t="str">
        <f>IFERROR(__xludf.DUMMYFUNCTION("""COMPUTED_VALUE"""),"")</f>
        <v/>
      </c>
      <c r="F393" s="11" t="str">
        <f>IFERROR(__xludf.DUMMYFUNCTION("""COMPUTED_VALUE"""),"")</f>
        <v/>
      </c>
      <c r="G393" s="11" t="str">
        <f>IFERROR(__xludf.DUMMYFUNCTION("""COMPUTED_VALUE"""),"")</f>
        <v/>
      </c>
      <c r="H393" s="12" t="str">
        <f>IFERROR(__xludf.DUMMYFUNCTION("""COMPUTED_VALUE"""),"")</f>
        <v/>
      </c>
      <c r="I393" s="12" t="str">
        <f>IFERROR(__xludf.DUMMYFUNCTION("""COMPUTED_VALUE"""),"")</f>
        <v/>
      </c>
      <c r="J393" s="13" t="str">
        <f t="shared" si="1"/>
        <v/>
      </c>
      <c r="K393" s="12" t="str">
        <f>IFERROR(IF(A393="","",if($G393="",Reference!$J$2, VLOOKUP($G393,Reference!$I$2:$J$1000,2,false))),"")</f>
        <v/>
      </c>
      <c r="L393" s="12" t="str">
        <f>IF(A393="","", IF(F393="",Reference!$M$2,F393))</f>
        <v/>
      </c>
      <c r="M393" s="14" t="str">
        <f t="shared" si="2"/>
        <v/>
      </c>
      <c r="N393" s="15" t="str">
        <f t="shared" si="3"/>
        <v/>
      </c>
      <c r="O393" s="14" t="str">
        <f t="shared" si="4"/>
        <v/>
      </c>
      <c r="P393" s="16" t="str">
        <f t="array" ref="P393">IF($A393="","", IFERROR(INDEX('BM Data'!$N:$N,MATCH($J393&amp; "-" &amp; $N393,'BM Data'!$O:$O,0),1),""))</f>
        <v/>
      </c>
      <c r="Q393" s="16" t="str">
        <f t="array" ref="Q393">IF($A393="","", IFERROR(INDEX('BM Data'!$J:$J,MATCH($J393&amp; "-" &amp; $N393,'BM Data'!$O:$O,0),1),""))</f>
        <v/>
      </c>
    </row>
    <row r="394">
      <c r="A394" s="10" t="str">
        <f>IFERROR(__xludf.DUMMYFUNCTION("""COMPUTED_VALUE"""),"")</f>
        <v/>
      </c>
      <c r="B394" s="3" t="str">
        <f>IFERROR(__xludf.DUMMYFUNCTION("""COMPUTED_VALUE"""),"")</f>
        <v/>
      </c>
      <c r="C394" s="11" t="str">
        <f>IFERROR(__xludf.DUMMYFUNCTION("""COMPUTED_VALUE"""),"")</f>
        <v/>
      </c>
      <c r="D394" s="11" t="str">
        <f>IFERROR(__xludf.DUMMYFUNCTION("""COMPUTED_VALUE"""),"")</f>
        <v/>
      </c>
      <c r="E394" s="11" t="str">
        <f>IFERROR(__xludf.DUMMYFUNCTION("""COMPUTED_VALUE"""),"")</f>
        <v/>
      </c>
      <c r="F394" s="11" t="str">
        <f>IFERROR(__xludf.DUMMYFUNCTION("""COMPUTED_VALUE"""),"")</f>
        <v/>
      </c>
      <c r="G394" s="11" t="str">
        <f>IFERROR(__xludf.DUMMYFUNCTION("""COMPUTED_VALUE"""),"")</f>
        <v/>
      </c>
      <c r="H394" s="12" t="str">
        <f>IFERROR(__xludf.DUMMYFUNCTION("""COMPUTED_VALUE"""),"")</f>
        <v/>
      </c>
      <c r="I394" s="12" t="str">
        <f>IFERROR(__xludf.DUMMYFUNCTION("""COMPUTED_VALUE"""),"")</f>
        <v/>
      </c>
      <c r="J394" s="13" t="str">
        <f t="shared" si="1"/>
        <v/>
      </c>
      <c r="K394" s="12" t="str">
        <f>IFERROR(IF(A394="","",if($G394="",Reference!$J$2, VLOOKUP($G394,Reference!$I$2:$J$1000,2,false))),"")</f>
        <v/>
      </c>
      <c r="L394" s="12" t="str">
        <f>IF(A394="","", IF(F394="",Reference!$M$2,F394))</f>
        <v/>
      </c>
      <c r="M394" s="14" t="str">
        <f t="shared" si="2"/>
        <v/>
      </c>
      <c r="N394" s="15" t="str">
        <f t="shared" si="3"/>
        <v/>
      </c>
      <c r="O394" s="14" t="str">
        <f t="shared" si="4"/>
        <v/>
      </c>
      <c r="P394" s="16" t="str">
        <f t="array" ref="P394">IF($A394="","", IFERROR(INDEX('BM Data'!$N:$N,MATCH($J394&amp; "-" &amp; $N394,'BM Data'!$O:$O,0),1),""))</f>
        <v/>
      </c>
      <c r="Q394" s="16" t="str">
        <f t="array" ref="Q394">IF($A394="","", IFERROR(INDEX('BM Data'!$J:$J,MATCH($J394&amp; "-" &amp; $N394,'BM Data'!$O:$O,0),1),""))</f>
        <v/>
      </c>
    </row>
    <row r="395">
      <c r="A395" s="10" t="str">
        <f>IFERROR(__xludf.DUMMYFUNCTION("""COMPUTED_VALUE"""),"")</f>
        <v/>
      </c>
      <c r="B395" s="3" t="str">
        <f>IFERROR(__xludf.DUMMYFUNCTION("""COMPUTED_VALUE"""),"")</f>
        <v/>
      </c>
      <c r="C395" s="11" t="str">
        <f>IFERROR(__xludf.DUMMYFUNCTION("""COMPUTED_VALUE"""),"")</f>
        <v/>
      </c>
      <c r="D395" s="11" t="str">
        <f>IFERROR(__xludf.DUMMYFUNCTION("""COMPUTED_VALUE"""),"")</f>
        <v/>
      </c>
      <c r="E395" s="11" t="str">
        <f>IFERROR(__xludf.DUMMYFUNCTION("""COMPUTED_VALUE"""),"")</f>
        <v/>
      </c>
      <c r="F395" s="11" t="str">
        <f>IFERROR(__xludf.DUMMYFUNCTION("""COMPUTED_VALUE"""),"")</f>
        <v/>
      </c>
      <c r="G395" s="11" t="str">
        <f>IFERROR(__xludf.DUMMYFUNCTION("""COMPUTED_VALUE"""),"")</f>
        <v/>
      </c>
      <c r="H395" s="12" t="str">
        <f>IFERROR(__xludf.DUMMYFUNCTION("""COMPUTED_VALUE"""),"")</f>
        <v/>
      </c>
      <c r="I395" s="12" t="str">
        <f>IFERROR(__xludf.DUMMYFUNCTION("""COMPUTED_VALUE"""),"")</f>
        <v/>
      </c>
      <c r="J395" s="13" t="str">
        <f t="shared" si="1"/>
        <v/>
      </c>
      <c r="K395" s="12" t="str">
        <f>IFERROR(IF(A395="","",if($G395="",Reference!$J$2, VLOOKUP($G395,Reference!$I$2:$J$1000,2,false))),"")</f>
        <v/>
      </c>
      <c r="L395" s="12" t="str">
        <f>IF(A395="","", IF(F395="",Reference!$M$2,F395))</f>
        <v/>
      </c>
      <c r="M395" s="14" t="str">
        <f t="shared" si="2"/>
        <v/>
      </c>
      <c r="N395" s="15" t="str">
        <f t="shared" si="3"/>
        <v/>
      </c>
      <c r="O395" s="14" t="str">
        <f t="shared" si="4"/>
        <v/>
      </c>
      <c r="P395" s="16" t="str">
        <f t="array" ref="P395">IF($A395="","", IFERROR(INDEX('BM Data'!$N:$N,MATCH($J395&amp; "-" &amp; $N395,'BM Data'!$O:$O,0),1),""))</f>
        <v/>
      </c>
      <c r="Q395" s="16" t="str">
        <f t="array" ref="Q395">IF($A395="","", IFERROR(INDEX('BM Data'!$J:$J,MATCH($J395&amp; "-" &amp; $N395,'BM Data'!$O:$O,0),1),""))</f>
        <v/>
      </c>
    </row>
    <row r="396">
      <c r="A396" s="10" t="str">
        <f>IFERROR(__xludf.DUMMYFUNCTION("""COMPUTED_VALUE"""),"")</f>
        <v/>
      </c>
      <c r="B396" s="3" t="str">
        <f>IFERROR(__xludf.DUMMYFUNCTION("""COMPUTED_VALUE"""),"")</f>
        <v/>
      </c>
      <c r="C396" s="11" t="str">
        <f>IFERROR(__xludf.DUMMYFUNCTION("""COMPUTED_VALUE"""),"")</f>
        <v/>
      </c>
      <c r="D396" s="11" t="str">
        <f>IFERROR(__xludf.DUMMYFUNCTION("""COMPUTED_VALUE"""),"")</f>
        <v/>
      </c>
      <c r="E396" s="11" t="str">
        <f>IFERROR(__xludf.DUMMYFUNCTION("""COMPUTED_VALUE"""),"")</f>
        <v/>
      </c>
      <c r="F396" s="11" t="str">
        <f>IFERROR(__xludf.DUMMYFUNCTION("""COMPUTED_VALUE"""),"")</f>
        <v/>
      </c>
      <c r="G396" s="11" t="str">
        <f>IFERROR(__xludf.DUMMYFUNCTION("""COMPUTED_VALUE"""),"")</f>
        <v/>
      </c>
      <c r="H396" s="12" t="str">
        <f>IFERROR(__xludf.DUMMYFUNCTION("""COMPUTED_VALUE"""),"")</f>
        <v/>
      </c>
      <c r="I396" s="12" t="str">
        <f>IFERROR(__xludf.DUMMYFUNCTION("""COMPUTED_VALUE"""),"")</f>
        <v/>
      </c>
      <c r="J396" s="13" t="str">
        <f t="shared" si="1"/>
        <v/>
      </c>
      <c r="K396" s="12" t="str">
        <f>IFERROR(IF(A396="","",if($G396="",Reference!$J$2, VLOOKUP($G396,Reference!$I$2:$J$1000,2,false))),"")</f>
        <v/>
      </c>
      <c r="L396" s="12" t="str">
        <f>IF(A396="","", IF(F396="",Reference!$M$2,F396))</f>
        <v/>
      </c>
      <c r="M396" s="14" t="str">
        <f t="shared" si="2"/>
        <v/>
      </c>
      <c r="N396" s="15" t="str">
        <f t="shared" si="3"/>
        <v/>
      </c>
      <c r="O396" s="14" t="str">
        <f t="shared" si="4"/>
        <v/>
      </c>
      <c r="P396" s="16" t="str">
        <f t="array" ref="P396">IF($A396="","", IFERROR(INDEX('BM Data'!$N:$N,MATCH($J396&amp; "-" &amp; $N396,'BM Data'!$O:$O,0),1),""))</f>
        <v/>
      </c>
      <c r="Q396" s="16" t="str">
        <f t="array" ref="Q396">IF($A396="","", IFERROR(INDEX('BM Data'!$J:$J,MATCH($J396&amp; "-" &amp; $N396,'BM Data'!$O:$O,0),1),""))</f>
        <v/>
      </c>
    </row>
    <row r="397">
      <c r="A397" s="10" t="str">
        <f>IFERROR(__xludf.DUMMYFUNCTION("""COMPUTED_VALUE"""),"")</f>
        <v/>
      </c>
      <c r="B397" s="3" t="str">
        <f>IFERROR(__xludf.DUMMYFUNCTION("""COMPUTED_VALUE"""),"")</f>
        <v/>
      </c>
      <c r="C397" s="11" t="str">
        <f>IFERROR(__xludf.DUMMYFUNCTION("""COMPUTED_VALUE"""),"")</f>
        <v/>
      </c>
      <c r="D397" s="11" t="str">
        <f>IFERROR(__xludf.DUMMYFUNCTION("""COMPUTED_VALUE"""),"")</f>
        <v/>
      </c>
      <c r="E397" s="11" t="str">
        <f>IFERROR(__xludf.DUMMYFUNCTION("""COMPUTED_VALUE"""),"")</f>
        <v/>
      </c>
      <c r="F397" s="11" t="str">
        <f>IFERROR(__xludf.DUMMYFUNCTION("""COMPUTED_VALUE"""),"")</f>
        <v/>
      </c>
      <c r="G397" s="11" t="str">
        <f>IFERROR(__xludf.DUMMYFUNCTION("""COMPUTED_VALUE"""),"")</f>
        <v/>
      </c>
      <c r="H397" s="12" t="str">
        <f>IFERROR(__xludf.DUMMYFUNCTION("""COMPUTED_VALUE"""),"")</f>
        <v/>
      </c>
      <c r="I397" s="12" t="str">
        <f>IFERROR(__xludf.DUMMYFUNCTION("""COMPUTED_VALUE"""),"")</f>
        <v/>
      </c>
      <c r="J397" s="13" t="str">
        <f t="shared" si="1"/>
        <v/>
      </c>
      <c r="K397" s="12" t="str">
        <f>IFERROR(IF(A397="","",if($G397="",Reference!$J$2, VLOOKUP($G397,Reference!$I$2:$J$1000,2,false))),"")</f>
        <v/>
      </c>
      <c r="L397" s="12" t="str">
        <f>IF(A397="","", IF(F397="",Reference!$M$2,F397))</f>
        <v/>
      </c>
      <c r="M397" s="14" t="str">
        <f t="shared" si="2"/>
        <v/>
      </c>
      <c r="N397" s="15" t="str">
        <f t="shared" si="3"/>
        <v/>
      </c>
      <c r="O397" s="14" t="str">
        <f t="shared" si="4"/>
        <v/>
      </c>
      <c r="P397" s="16" t="str">
        <f t="array" ref="P397">IF($A397="","", IFERROR(INDEX('BM Data'!$N:$N,MATCH($J397&amp; "-" &amp; $N397,'BM Data'!$O:$O,0),1),""))</f>
        <v/>
      </c>
      <c r="Q397" s="16" t="str">
        <f t="array" ref="Q397">IF($A397="","", IFERROR(INDEX('BM Data'!$J:$J,MATCH($J397&amp; "-" &amp; $N397,'BM Data'!$O:$O,0),1),""))</f>
        <v/>
      </c>
    </row>
    <row r="398">
      <c r="A398" s="10" t="str">
        <f>IFERROR(__xludf.DUMMYFUNCTION("""COMPUTED_VALUE"""),"")</f>
        <v/>
      </c>
      <c r="B398" s="3" t="str">
        <f>IFERROR(__xludf.DUMMYFUNCTION("""COMPUTED_VALUE"""),"")</f>
        <v/>
      </c>
      <c r="C398" s="11" t="str">
        <f>IFERROR(__xludf.DUMMYFUNCTION("""COMPUTED_VALUE"""),"")</f>
        <v/>
      </c>
      <c r="D398" s="11" t="str">
        <f>IFERROR(__xludf.DUMMYFUNCTION("""COMPUTED_VALUE"""),"")</f>
        <v/>
      </c>
      <c r="E398" s="11" t="str">
        <f>IFERROR(__xludf.DUMMYFUNCTION("""COMPUTED_VALUE"""),"")</f>
        <v/>
      </c>
      <c r="F398" s="11" t="str">
        <f>IFERROR(__xludf.DUMMYFUNCTION("""COMPUTED_VALUE"""),"")</f>
        <v/>
      </c>
      <c r="G398" s="11" t="str">
        <f>IFERROR(__xludf.DUMMYFUNCTION("""COMPUTED_VALUE"""),"")</f>
        <v/>
      </c>
      <c r="H398" s="12" t="str">
        <f>IFERROR(__xludf.DUMMYFUNCTION("""COMPUTED_VALUE"""),"")</f>
        <v/>
      </c>
      <c r="I398" s="12" t="str">
        <f>IFERROR(__xludf.DUMMYFUNCTION("""COMPUTED_VALUE"""),"")</f>
        <v/>
      </c>
      <c r="J398" s="13" t="str">
        <f t="shared" si="1"/>
        <v/>
      </c>
      <c r="K398" s="12" t="str">
        <f>IFERROR(IF(A398="","",if($G398="",Reference!$J$2, VLOOKUP($G398,Reference!$I$2:$J$1000,2,false))),"")</f>
        <v/>
      </c>
      <c r="L398" s="12" t="str">
        <f>IF(A398="","", IF(F398="",Reference!$M$2,F398))</f>
        <v/>
      </c>
      <c r="M398" s="14" t="str">
        <f t="shared" si="2"/>
        <v/>
      </c>
      <c r="N398" s="15" t="str">
        <f t="shared" si="3"/>
        <v/>
      </c>
      <c r="O398" s="14" t="str">
        <f t="shared" si="4"/>
        <v/>
      </c>
      <c r="P398" s="16" t="str">
        <f t="array" ref="P398">IF($A398="","", IFERROR(INDEX('BM Data'!$N:$N,MATCH($J398&amp; "-" &amp; $N398,'BM Data'!$O:$O,0),1),""))</f>
        <v/>
      </c>
      <c r="Q398" s="16" t="str">
        <f t="array" ref="Q398">IF($A398="","", IFERROR(INDEX('BM Data'!$J:$J,MATCH($J398&amp; "-" &amp; $N398,'BM Data'!$O:$O,0),1),""))</f>
        <v/>
      </c>
    </row>
    <row r="399">
      <c r="A399" s="10" t="str">
        <f>IFERROR(__xludf.DUMMYFUNCTION("""COMPUTED_VALUE"""),"")</f>
        <v/>
      </c>
      <c r="B399" s="3" t="str">
        <f>IFERROR(__xludf.DUMMYFUNCTION("""COMPUTED_VALUE"""),"")</f>
        <v/>
      </c>
      <c r="C399" s="11" t="str">
        <f>IFERROR(__xludf.DUMMYFUNCTION("""COMPUTED_VALUE"""),"")</f>
        <v/>
      </c>
      <c r="D399" s="11" t="str">
        <f>IFERROR(__xludf.DUMMYFUNCTION("""COMPUTED_VALUE"""),"")</f>
        <v/>
      </c>
      <c r="E399" s="11" t="str">
        <f>IFERROR(__xludf.DUMMYFUNCTION("""COMPUTED_VALUE"""),"")</f>
        <v/>
      </c>
      <c r="F399" s="11" t="str">
        <f>IFERROR(__xludf.DUMMYFUNCTION("""COMPUTED_VALUE"""),"")</f>
        <v/>
      </c>
      <c r="G399" s="11" t="str">
        <f>IFERROR(__xludf.DUMMYFUNCTION("""COMPUTED_VALUE"""),"")</f>
        <v/>
      </c>
      <c r="H399" s="12" t="str">
        <f>IFERROR(__xludf.DUMMYFUNCTION("""COMPUTED_VALUE"""),"")</f>
        <v/>
      </c>
      <c r="I399" s="12" t="str">
        <f>IFERROR(__xludf.DUMMYFUNCTION("""COMPUTED_VALUE"""),"")</f>
        <v/>
      </c>
      <c r="J399" s="13" t="str">
        <f t="shared" si="1"/>
        <v/>
      </c>
      <c r="K399" s="12" t="str">
        <f>IFERROR(IF(A399="","",if($G399="",Reference!$J$2, VLOOKUP($G399,Reference!$I$2:$J$1000,2,false))),"")</f>
        <v/>
      </c>
      <c r="L399" s="12" t="str">
        <f>IF(A399="","", IF(F399="",Reference!$M$2,F399))</f>
        <v/>
      </c>
      <c r="M399" s="14" t="str">
        <f t="shared" si="2"/>
        <v/>
      </c>
      <c r="N399" s="15" t="str">
        <f t="shared" si="3"/>
        <v/>
      </c>
      <c r="O399" s="14" t="str">
        <f t="shared" si="4"/>
        <v/>
      </c>
      <c r="P399" s="16" t="str">
        <f t="array" ref="P399">IF($A399="","", IFERROR(INDEX('BM Data'!$N:$N,MATCH($J399&amp; "-" &amp; $N399,'BM Data'!$O:$O,0),1),""))</f>
        <v/>
      </c>
      <c r="Q399" s="16" t="str">
        <f t="array" ref="Q399">IF($A399="","", IFERROR(INDEX('BM Data'!$J:$J,MATCH($J399&amp; "-" &amp; $N399,'BM Data'!$O:$O,0),1),""))</f>
        <v/>
      </c>
    </row>
    <row r="400">
      <c r="A400" s="10" t="str">
        <f>IFERROR(__xludf.DUMMYFUNCTION("""COMPUTED_VALUE"""),"")</f>
        <v/>
      </c>
      <c r="B400" s="3" t="str">
        <f>IFERROR(__xludf.DUMMYFUNCTION("""COMPUTED_VALUE"""),"")</f>
        <v/>
      </c>
      <c r="C400" s="11" t="str">
        <f>IFERROR(__xludf.DUMMYFUNCTION("""COMPUTED_VALUE"""),"")</f>
        <v/>
      </c>
      <c r="D400" s="11" t="str">
        <f>IFERROR(__xludf.DUMMYFUNCTION("""COMPUTED_VALUE"""),"")</f>
        <v/>
      </c>
      <c r="E400" s="11" t="str">
        <f>IFERROR(__xludf.DUMMYFUNCTION("""COMPUTED_VALUE"""),"")</f>
        <v/>
      </c>
      <c r="F400" s="11" t="str">
        <f>IFERROR(__xludf.DUMMYFUNCTION("""COMPUTED_VALUE"""),"")</f>
        <v/>
      </c>
      <c r="G400" s="11" t="str">
        <f>IFERROR(__xludf.DUMMYFUNCTION("""COMPUTED_VALUE"""),"")</f>
        <v/>
      </c>
      <c r="H400" s="12" t="str">
        <f>IFERROR(__xludf.DUMMYFUNCTION("""COMPUTED_VALUE"""),"")</f>
        <v/>
      </c>
      <c r="I400" s="12" t="str">
        <f>IFERROR(__xludf.DUMMYFUNCTION("""COMPUTED_VALUE"""),"")</f>
        <v/>
      </c>
      <c r="J400" s="13" t="str">
        <f t="shared" si="1"/>
        <v/>
      </c>
      <c r="K400" s="12" t="str">
        <f>IFERROR(IF(A400="","",if($G400="",Reference!$J$2, VLOOKUP($G400,Reference!$I$2:$J$1000,2,false))),"")</f>
        <v/>
      </c>
      <c r="L400" s="12" t="str">
        <f>IF(A400="","", IF(F400="",Reference!$M$2,F400))</f>
        <v/>
      </c>
      <c r="M400" s="14" t="str">
        <f t="shared" si="2"/>
        <v/>
      </c>
      <c r="N400" s="15" t="str">
        <f t="shared" si="3"/>
        <v/>
      </c>
      <c r="O400" s="14" t="str">
        <f t="shared" si="4"/>
        <v/>
      </c>
      <c r="P400" s="16" t="str">
        <f t="array" ref="P400">IF($A400="","", IFERROR(INDEX('BM Data'!$N:$N,MATCH($J400&amp; "-" &amp; $N400,'BM Data'!$O:$O,0),1),""))</f>
        <v/>
      </c>
      <c r="Q400" s="16" t="str">
        <f t="array" ref="Q400">IF($A400="","", IFERROR(INDEX('BM Data'!$J:$J,MATCH($J400&amp; "-" &amp; $N400,'BM Data'!$O:$O,0),1),""))</f>
        <v/>
      </c>
    </row>
    <row r="401">
      <c r="A401" s="10" t="str">
        <f>IFERROR(__xludf.DUMMYFUNCTION("""COMPUTED_VALUE"""),"")</f>
        <v/>
      </c>
      <c r="B401" s="3" t="str">
        <f>IFERROR(__xludf.DUMMYFUNCTION("""COMPUTED_VALUE"""),"")</f>
        <v/>
      </c>
      <c r="C401" s="11" t="str">
        <f>IFERROR(__xludf.DUMMYFUNCTION("""COMPUTED_VALUE"""),"")</f>
        <v/>
      </c>
      <c r="D401" s="11" t="str">
        <f>IFERROR(__xludf.DUMMYFUNCTION("""COMPUTED_VALUE"""),"")</f>
        <v/>
      </c>
      <c r="E401" s="11" t="str">
        <f>IFERROR(__xludf.DUMMYFUNCTION("""COMPUTED_VALUE"""),"")</f>
        <v/>
      </c>
      <c r="F401" s="11" t="str">
        <f>IFERROR(__xludf.DUMMYFUNCTION("""COMPUTED_VALUE"""),"")</f>
        <v/>
      </c>
      <c r="G401" s="11" t="str">
        <f>IFERROR(__xludf.DUMMYFUNCTION("""COMPUTED_VALUE"""),"")</f>
        <v/>
      </c>
      <c r="H401" s="12" t="str">
        <f>IFERROR(__xludf.DUMMYFUNCTION("""COMPUTED_VALUE"""),"")</f>
        <v/>
      </c>
      <c r="I401" s="12" t="str">
        <f>IFERROR(__xludf.DUMMYFUNCTION("""COMPUTED_VALUE"""),"")</f>
        <v/>
      </c>
      <c r="J401" s="13" t="str">
        <f t="shared" si="1"/>
        <v/>
      </c>
      <c r="K401" s="12" t="str">
        <f>IFERROR(IF(A401="","",if($G401="",Reference!$J$2, VLOOKUP($G401,Reference!$I$2:$J$1000,2,false))),"")</f>
        <v/>
      </c>
      <c r="L401" s="12" t="str">
        <f>IF(A401="","", IF(F401="",Reference!$M$2,F401))</f>
        <v/>
      </c>
      <c r="M401" s="14" t="str">
        <f t="shared" si="2"/>
        <v/>
      </c>
      <c r="N401" s="15" t="str">
        <f t="shared" si="3"/>
        <v/>
      </c>
      <c r="O401" s="14" t="str">
        <f t="shared" si="4"/>
        <v/>
      </c>
      <c r="P401" s="16" t="str">
        <f t="array" ref="P401">IF($A401="","", IFERROR(INDEX('BM Data'!$N:$N,MATCH($J401&amp; "-" &amp; $N401,'BM Data'!$O:$O,0),1),""))</f>
        <v/>
      </c>
      <c r="Q401" s="16" t="str">
        <f t="array" ref="Q401">IF($A401="","", IFERROR(INDEX('BM Data'!$J:$J,MATCH($J401&amp; "-" &amp; $N401,'BM Data'!$O:$O,0),1),""))</f>
        <v/>
      </c>
    </row>
    <row r="402">
      <c r="A402" s="10" t="str">
        <f>IFERROR(__xludf.DUMMYFUNCTION("""COMPUTED_VALUE"""),"")</f>
        <v/>
      </c>
      <c r="B402" s="3" t="str">
        <f>IFERROR(__xludf.DUMMYFUNCTION("""COMPUTED_VALUE"""),"")</f>
        <v/>
      </c>
      <c r="C402" s="11" t="str">
        <f>IFERROR(__xludf.DUMMYFUNCTION("""COMPUTED_VALUE"""),"")</f>
        <v/>
      </c>
      <c r="D402" s="11" t="str">
        <f>IFERROR(__xludf.DUMMYFUNCTION("""COMPUTED_VALUE"""),"")</f>
        <v/>
      </c>
      <c r="E402" s="11" t="str">
        <f>IFERROR(__xludf.DUMMYFUNCTION("""COMPUTED_VALUE"""),"")</f>
        <v/>
      </c>
      <c r="F402" s="11" t="str">
        <f>IFERROR(__xludf.DUMMYFUNCTION("""COMPUTED_VALUE"""),"")</f>
        <v/>
      </c>
      <c r="G402" s="11" t="str">
        <f>IFERROR(__xludf.DUMMYFUNCTION("""COMPUTED_VALUE"""),"")</f>
        <v/>
      </c>
      <c r="H402" s="12" t="str">
        <f>IFERROR(__xludf.DUMMYFUNCTION("""COMPUTED_VALUE"""),"")</f>
        <v/>
      </c>
      <c r="I402" s="12" t="str">
        <f>IFERROR(__xludf.DUMMYFUNCTION("""COMPUTED_VALUE"""),"")</f>
        <v/>
      </c>
      <c r="J402" s="13" t="str">
        <f t="shared" si="1"/>
        <v/>
      </c>
      <c r="K402" s="12" t="str">
        <f>IFERROR(IF(A402="","",if($G402="",Reference!$J$2, VLOOKUP($G402,Reference!$I$2:$J$1000,2,false))),"")</f>
        <v/>
      </c>
      <c r="L402" s="12" t="str">
        <f>IF(A402="","", IF(F402="",Reference!$M$2,F402))</f>
        <v/>
      </c>
      <c r="M402" s="14" t="str">
        <f t="shared" si="2"/>
        <v/>
      </c>
      <c r="N402" s="15" t="str">
        <f t="shared" si="3"/>
        <v/>
      </c>
      <c r="O402" s="14" t="str">
        <f t="shared" si="4"/>
        <v/>
      </c>
      <c r="P402" s="16" t="str">
        <f t="array" ref="P402">IF($A402="","", IFERROR(INDEX('BM Data'!$N:$N,MATCH($J402&amp; "-" &amp; $N402,'BM Data'!$O:$O,0),1),""))</f>
        <v/>
      </c>
      <c r="Q402" s="16" t="str">
        <f t="array" ref="Q402">IF($A402="","", IFERROR(INDEX('BM Data'!$J:$J,MATCH($J402&amp; "-" &amp; $N402,'BM Data'!$O:$O,0),1),""))</f>
        <v/>
      </c>
    </row>
    <row r="403">
      <c r="A403" s="10" t="str">
        <f>IFERROR(__xludf.DUMMYFUNCTION("""COMPUTED_VALUE"""),"")</f>
        <v/>
      </c>
      <c r="B403" s="3" t="str">
        <f>IFERROR(__xludf.DUMMYFUNCTION("""COMPUTED_VALUE"""),"")</f>
        <v/>
      </c>
      <c r="C403" s="11" t="str">
        <f>IFERROR(__xludf.DUMMYFUNCTION("""COMPUTED_VALUE"""),"")</f>
        <v/>
      </c>
      <c r="D403" s="11" t="str">
        <f>IFERROR(__xludf.DUMMYFUNCTION("""COMPUTED_VALUE"""),"")</f>
        <v/>
      </c>
      <c r="E403" s="11" t="str">
        <f>IFERROR(__xludf.DUMMYFUNCTION("""COMPUTED_VALUE"""),"")</f>
        <v/>
      </c>
      <c r="F403" s="11" t="str">
        <f>IFERROR(__xludf.DUMMYFUNCTION("""COMPUTED_VALUE"""),"")</f>
        <v/>
      </c>
      <c r="G403" s="11" t="str">
        <f>IFERROR(__xludf.DUMMYFUNCTION("""COMPUTED_VALUE"""),"")</f>
        <v/>
      </c>
      <c r="H403" s="12" t="str">
        <f>IFERROR(__xludf.DUMMYFUNCTION("""COMPUTED_VALUE"""),"")</f>
        <v/>
      </c>
      <c r="I403" s="12" t="str">
        <f>IFERROR(__xludf.DUMMYFUNCTION("""COMPUTED_VALUE"""),"")</f>
        <v/>
      </c>
      <c r="J403" s="13" t="str">
        <f t="shared" si="1"/>
        <v/>
      </c>
      <c r="K403" s="12" t="str">
        <f>IFERROR(IF(A403="","",if($G403="",Reference!$J$2, VLOOKUP($G403,Reference!$I$2:$J$1000,2,false))),"")</f>
        <v/>
      </c>
      <c r="L403" s="12" t="str">
        <f>IF(A403="","", IF(F403="",Reference!$M$2,F403))</f>
        <v/>
      </c>
      <c r="M403" s="14" t="str">
        <f t="shared" si="2"/>
        <v/>
      </c>
      <c r="N403" s="15" t="str">
        <f t="shared" si="3"/>
        <v/>
      </c>
      <c r="O403" s="14" t="str">
        <f t="shared" si="4"/>
        <v/>
      </c>
      <c r="P403" s="16" t="str">
        <f t="array" ref="P403">IF($A403="","", IFERROR(INDEX('BM Data'!$N:$N,MATCH($J403&amp; "-" &amp; $N403,'BM Data'!$O:$O,0),1),""))</f>
        <v/>
      </c>
      <c r="Q403" s="16" t="str">
        <f t="array" ref="Q403">IF($A403="","", IFERROR(INDEX('BM Data'!$J:$J,MATCH($J403&amp; "-" &amp; $N403,'BM Data'!$O:$O,0),1),""))</f>
        <v/>
      </c>
    </row>
    <row r="404">
      <c r="A404" s="10" t="str">
        <f>IFERROR(__xludf.DUMMYFUNCTION("""COMPUTED_VALUE"""),"")</f>
        <v/>
      </c>
      <c r="B404" s="3" t="str">
        <f>IFERROR(__xludf.DUMMYFUNCTION("""COMPUTED_VALUE"""),"")</f>
        <v/>
      </c>
      <c r="C404" s="11" t="str">
        <f>IFERROR(__xludf.DUMMYFUNCTION("""COMPUTED_VALUE"""),"")</f>
        <v/>
      </c>
      <c r="D404" s="11" t="str">
        <f>IFERROR(__xludf.DUMMYFUNCTION("""COMPUTED_VALUE"""),"")</f>
        <v/>
      </c>
      <c r="E404" s="11" t="str">
        <f>IFERROR(__xludf.DUMMYFUNCTION("""COMPUTED_VALUE"""),"")</f>
        <v/>
      </c>
      <c r="F404" s="11" t="str">
        <f>IFERROR(__xludf.DUMMYFUNCTION("""COMPUTED_VALUE"""),"")</f>
        <v/>
      </c>
      <c r="G404" s="11" t="str">
        <f>IFERROR(__xludf.DUMMYFUNCTION("""COMPUTED_VALUE"""),"")</f>
        <v/>
      </c>
      <c r="H404" s="12" t="str">
        <f>IFERROR(__xludf.DUMMYFUNCTION("""COMPUTED_VALUE"""),"")</f>
        <v/>
      </c>
      <c r="I404" s="12" t="str">
        <f>IFERROR(__xludf.DUMMYFUNCTION("""COMPUTED_VALUE"""),"")</f>
        <v/>
      </c>
      <c r="J404" s="13" t="str">
        <f t="shared" si="1"/>
        <v/>
      </c>
      <c r="K404" s="12" t="str">
        <f>IFERROR(IF(A404="","",if($G404="",Reference!$J$2, VLOOKUP($G404,Reference!$I$2:$J$1000,2,false))),"")</f>
        <v/>
      </c>
      <c r="L404" s="12" t="str">
        <f>IF(A404="","", IF(F404="",Reference!$M$2,F404))</f>
        <v/>
      </c>
      <c r="M404" s="14" t="str">
        <f t="shared" si="2"/>
        <v/>
      </c>
      <c r="N404" s="15" t="str">
        <f t="shared" si="3"/>
        <v/>
      </c>
      <c r="O404" s="14" t="str">
        <f t="shared" si="4"/>
        <v/>
      </c>
      <c r="P404" s="16" t="str">
        <f t="array" ref="P404">IF($A404="","", IFERROR(INDEX('BM Data'!$N:$N,MATCH($J404&amp; "-" &amp; $N404,'BM Data'!$O:$O,0),1),""))</f>
        <v/>
      </c>
      <c r="Q404" s="16" t="str">
        <f t="array" ref="Q404">IF($A404="","", IFERROR(INDEX('BM Data'!$J:$J,MATCH($J404&amp; "-" &amp; $N404,'BM Data'!$O:$O,0),1),""))</f>
        <v/>
      </c>
    </row>
    <row r="405">
      <c r="A405" s="10" t="str">
        <f>IFERROR(__xludf.DUMMYFUNCTION("""COMPUTED_VALUE"""),"")</f>
        <v/>
      </c>
      <c r="B405" s="3" t="str">
        <f>IFERROR(__xludf.DUMMYFUNCTION("""COMPUTED_VALUE"""),"")</f>
        <v/>
      </c>
      <c r="C405" s="11" t="str">
        <f>IFERROR(__xludf.DUMMYFUNCTION("""COMPUTED_VALUE"""),"")</f>
        <v/>
      </c>
      <c r="D405" s="11" t="str">
        <f>IFERROR(__xludf.DUMMYFUNCTION("""COMPUTED_VALUE"""),"")</f>
        <v/>
      </c>
      <c r="E405" s="11" t="str">
        <f>IFERROR(__xludf.DUMMYFUNCTION("""COMPUTED_VALUE"""),"")</f>
        <v/>
      </c>
      <c r="F405" s="11" t="str">
        <f>IFERROR(__xludf.DUMMYFUNCTION("""COMPUTED_VALUE"""),"")</f>
        <v/>
      </c>
      <c r="G405" s="11" t="str">
        <f>IFERROR(__xludf.DUMMYFUNCTION("""COMPUTED_VALUE"""),"")</f>
        <v/>
      </c>
      <c r="H405" s="12" t="str">
        <f>IFERROR(__xludf.DUMMYFUNCTION("""COMPUTED_VALUE"""),"")</f>
        <v/>
      </c>
      <c r="I405" s="12" t="str">
        <f>IFERROR(__xludf.DUMMYFUNCTION("""COMPUTED_VALUE"""),"")</f>
        <v/>
      </c>
      <c r="J405" s="13" t="str">
        <f t="shared" si="1"/>
        <v/>
      </c>
      <c r="K405" s="12" t="str">
        <f>IFERROR(IF(A405="","",if($G405="",Reference!$J$2, VLOOKUP($G405,Reference!$I$2:$J$1000,2,false))),"")</f>
        <v/>
      </c>
      <c r="L405" s="12" t="str">
        <f>IF(A405="","", IF(F405="",Reference!$M$2,F405))</f>
        <v/>
      </c>
      <c r="M405" s="14" t="str">
        <f t="shared" si="2"/>
        <v/>
      </c>
      <c r="N405" s="15" t="str">
        <f t="shared" si="3"/>
        <v/>
      </c>
      <c r="O405" s="14" t="str">
        <f t="shared" si="4"/>
        <v/>
      </c>
      <c r="P405" s="16" t="str">
        <f t="array" ref="P405">IF($A405="","", IFERROR(INDEX('BM Data'!$N:$N,MATCH($J405&amp; "-" &amp; $N405,'BM Data'!$O:$O,0),1),""))</f>
        <v/>
      </c>
      <c r="Q405" s="16" t="str">
        <f t="array" ref="Q405">IF($A405="","", IFERROR(INDEX('BM Data'!$J:$J,MATCH($J405&amp; "-" &amp; $N405,'BM Data'!$O:$O,0),1),""))</f>
        <v/>
      </c>
    </row>
    <row r="406">
      <c r="A406" s="10" t="str">
        <f>IFERROR(__xludf.DUMMYFUNCTION("""COMPUTED_VALUE"""),"")</f>
        <v/>
      </c>
      <c r="B406" s="3" t="str">
        <f>IFERROR(__xludf.DUMMYFUNCTION("""COMPUTED_VALUE"""),"")</f>
        <v/>
      </c>
      <c r="C406" s="11" t="str">
        <f>IFERROR(__xludf.DUMMYFUNCTION("""COMPUTED_VALUE"""),"")</f>
        <v/>
      </c>
      <c r="D406" s="11" t="str">
        <f>IFERROR(__xludf.DUMMYFUNCTION("""COMPUTED_VALUE"""),"")</f>
        <v/>
      </c>
      <c r="E406" s="11" t="str">
        <f>IFERROR(__xludf.DUMMYFUNCTION("""COMPUTED_VALUE"""),"")</f>
        <v/>
      </c>
      <c r="F406" s="11" t="str">
        <f>IFERROR(__xludf.DUMMYFUNCTION("""COMPUTED_VALUE"""),"")</f>
        <v/>
      </c>
      <c r="G406" s="11" t="str">
        <f>IFERROR(__xludf.DUMMYFUNCTION("""COMPUTED_VALUE"""),"")</f>
        <v/>
      </c>
      <c r="H406" s="12" t="str">
        <f>IFERROR(__xludf.DUMMYFUNCTION("""COMPUTED_VALUE"""),"")</f>
        <v/>
      </c>
      <c r="I406" s="12" t="str">
        <f>IFERROR(__xludf.DUMMYFUNCTION("""COMPUTED_VALUE"""),"")</f>
        <v/>
      </c>
      <c r="J406" s="13" t="str">
        <f t="shared" si="1"/>
        <v/>
      </c>
      <c r="K406" s="12" t="str">
        <f>IFERROR(IF(A406="","",if($G406="",Reference!$J$2, VLOOKUP($G406,Reference!$I$2:$J$1000,2,false))),"")</f>
        <v/>
      </c>
      <c r="L406" s="12" t="str">
        <f>IF(A406="","", IF(F406="",Reference!$M$2,F406))</f>
        <v/>
      </c>
      <c r="M406" s="14" t="str">
        <f t="shared" si="2"/>
        <v/>
      </c>
      <c r="N406" s="15" t="str">
        <f t="shared" si="3"/>
        <v/>
      </c>
      <c r="O406" s="14" t="str">
        <f t="shared" si="4"/>
        <v/>
      </c>
      <c r="P406" s="16" t="str">
        <f t="array" ref="P406">IF($A406="","", IFERROR(INDEX('BM Data'!$N:$N,MATCH($J406&amp; "-" &amp; $N406,'BM Data'!$O:$O,0),1),""))</f>
        <v/>
      </c>
      <c r="Q406" s="16" t="str">
        <f t="array" ref="Q406">IF($A406="","", IFERROR(INDEX('BM Data'!$J:$J,MATCH($J406&amp; "-" &amp; $N406,'BM Data'!$O:$O,0),1),""))</f>
        <v/>
      </c>
    </row>
    <row r="407">
      <c r="A407" s="10" t="str">
        <f>IFERROR(__xludf.DUMMYFUNCTION("""COMPUTED_VALUE"""),"")</f>
        <v/>
      </c>
      <c r="B407" s="3" t="str">
        <f>IFERROR(__xludf.DUMMYFUNCTION("""COMPUTED_VALUE"""),"")</f>
        <v/>
      </c>
      <c r="C407" s="11" t="str">
        <f>IFERROR(__xludf.DUMMYFUNCTION("""COMPUTED_VALUE"""),"")</f>
        <v/>
      </c>
      <c r="D407" s="11" t="str">
        <f>IFERROR(__xludf.DUMMYFUNCTION("""COMPUTED_VALUE"""),"")</f>
        <v/>
      </c>
      <c r="E407" s="11" t="str">
        <f>IFERROR(__xludf.DUMMYFUNCTION("""COMPUTED_VALUE"""),"")</f>
        <v/>
      </c>
      <c r="F407" s="11" t="str">
        <f>IFERROR(__xludf.DUMMYFUNCTION("""COMPUTED_VALUE"""),"")</f>
        <v/>
      </c>
      <c r="G407" s="11" t="str">
        <f>IFERROR(__xludf.DUMMYFUNCTION("""COMPUTED_VALUE"""),"")</f>
        <v/>
      </c>
      <c r="H407" s="12" t="str">
        <f>IFERROR(__xludf.DUMMYFUNCTION("""COMPUTED_VALUE"""),"")</f>
        <v/>
      </c>
      <c r="I407" s="12" t="str">
        <f>IFERROR(__xludf.DUMMYFUNCTION("""COMPUTED_VALUE"""),"")</f>
        <v/>
      </c>
      <c r="J407" s="13" t="str">
        <f t="shared" si="1"/>
        <v/>
      </c>
      <c r="K407" s="12" t="str">
        <f>IFERROR(IF(A407="","",if($G407="",Reference!$J$2, VLOOKUP($G407,Reference!$I$2:$J$1000,2,false))),"")</f>
        <v/>
      </c>
      <c r="L407" s="12" t="str">
        <f>IF(A407="","", IF(F407="",Reference!$M$2,F407))</f>
        <v/>
      </c>
      <c r="M407" s="14" t="str">
        <f t="shared" si="2"/>
        <v/>
      </c>
      <c r="N407" s="15" t="str">
        <f t="shared" si="3"/>
        <v/>
      </c>
      <c r="O407" s="14" t="str">
        <f t="shared" si="4"/>
        <v/>
      </c>
      <c r="P407" s="16" t="str">
        <f t="array" ref="P407">IF($A407="","", IFERROR(INDEX('BM Data'!$N:$N,MATCH($J407&amp; "-" &amp; $N407,'BM Data'!$O:$O,0),1),""))</f>
        <v/>
      </c>
      <c r="Q407" s="16" t="str">
        <f t="array" ref="Q407">IF($A407="","", IFERROR(INDEX('BM Data'!$J:$J,MATCH($J407&amp; "-" &amp; $N407,'BM Data'!$O:$O,0),1),""))</f>
        <v/>
      </c>
    </row>
    <row r="408">
      <c r="A408" s="10" t="str">
        <f>IFERROR(__xludf.DUMMYFUNCTION("""COMPUTED_VALUE"""),"")</f>
        <v/>
      </c>
      <c r="B408" s="3" t="str">
        <f>IFERROR(__xludf.DUMMYFUNCTION("""COMPUTED_VALUE"""),"")</f>
        <v/>
      </c>
      <c r="C408" s="11" t="str">
        <f>IFERROR(__xludf.DUMMYFUNCTION("""COMPUTED_VALUE"""),"")</f>
        <v/>
      </c>
      <c r="D408" s="11" t="str">
        <f>IFERROR(__xludf.DUMMYFUNCTION("""COMPUTED_VALUE"""),"")</f>
        <v/>
      </c>
      <c r="E408" s="11" t="str">
        <f>IFERROR(__xludf.DUMMYFUNCTION("""COMPUTED_VALUE"""),"")</f>
        <v/>
      </c>
      <c r="F408" s="11" t="str">
        <f>IFERROR(__xludf.DUMMYFUNCTION("""COMPUTED_VALUE"""),"")</f>
        <v/>
      </c>
      <c r="G408" s="11" t="str">
        <f>IFERROR(__xludf.DUMMYFUNCTION("""COMPUTED_VALUE"""),"")</f>
        <v/>
      </c>
      <c r="H408" s="12" t="str">
        <f>IFERROR(__xludf.DUMMYFUNCTION("""COMPUTED_VALUE"""),"")</f>
        <v/>
      </c>
      <c r="I408" s="12" t="str">
        <f>IFERROR(__xludf.DUMMYFUNCTION("""COMPUTED_VALUE"""),"")</f>
        <v/>
      </c>
      <c r="J408" s="13" t="str">
        <f t="shared" si="1"/>
        <v/>
      </c>
      <c r="K408" s="12" t="str">
        <f>IFERROR(IF(A408="","",if($G408="",Reference!$J$2, VLOOKUP($G408,Reference!$I$2:$J$1000,2,false))),"")</f>
        <v/>
      </c>
      <c r="L408" s="12" t="str">
        <f>IF(A408="","", IF(F408="",Reference!$M$2,F408))</f>
        <v/>
      </c>
      <c r="M408" s="14" t="str">
        <f t="shared" si="2"/>
        <v/>
      </c>
      <c r="N408" s="15" t="str">
        <f t="shared" si="3"/>
        <v/>
      </c>
      <c r="O408" s="14" t="str">
        <f t="shared" si="4"/>
        <v/>
      </c>
      <c r="P408" s="16" t="str">
        <f t="array" ref="P408">IF($A408="","", IFERROR(INDEX('BM Data'!$N:$N,MATCH($J408&amp; "-" &amp; $N408,'BM Data'!$O:$O,0),1),""))</f>
        <v/>
      </c>
      <c r="Q408" s="16" t="str">
        <f t="array" ref="Q408">IF($A408="","", IFERROR(INDEX('BM Data'!$J:$J,MATCH($J408&amp; "-" &amp; $N408,'BM Data'!$O:$O,0),1),""))</f>
        <v/>
      </c>
    </row>
    <row r="409">
      <c r="A409" s="10" t="str">
        <f>IFERROR(__xludf.DUMMYFUNCTION("""COMPUTED_VALUE"""),"")</f>
        <v/>
      </c>
      <c r="B409" s="3" t="str">
        <f>IFERROR(__xludf.DUMMYFUNCTION("""COMPUTED_VALUE"""),"")</f>
        <v/>
      </c>
      <c r="C409" s="11" t="str">
        <f>IFERROR(__xludf.DUMMYFUNCTION("""COMPUTED_VALUE"""),"")</f>
        <v/>
      </c>
      <c r="D409" s="11" t="str">
        <f>IFERROR(__xludf.DUMMYFUNCTION("""COMPUTED_VALUE"""),"")</f>
        <v/>
      </c>
      <c r="E409" s="11" t="str">
        <f>IFERROR(__xludf.DUMMYFUNCTION("""COMPUTED_VALUE"""),"")</f>
        <v/>
      </c>
      <c r="F409" s="11" t="str">
        <f>IFERROR(__xludf.DUMMYFUNCTION("""COMPUTED_VALUE"""),"")</f>
        <v/>
      </c>
      <c r="G409" s="11" t="str">
        <f>IFERROR(__xludf.DUMMYFUNCTION("""COMPUTED_VALUE"""),"")</f>
        <v/>
      </c>
      <c r="H409" s="12" t="str">
        <f>IFERROR(__xludf.DUMMYFUNCTION("""COMPUTED_VALUE"""),"")</f>
        <v/>
      </c>
      <c r="I409" s="12" t="str">
        <f>IFERROR(__xludf.DUMMYFUNCTION("""COMPUTED_VALUE"""),"")</f>
        <v/>
      </c>
      <c r="J409" s="13" t="str">
        <f t="shared" si="1"/>
        <v/>
      </c>
      <c r="K409" s="12" t="str">
        <f>IFERROR(IF(A409="","",if($G409="",Reference!$J$2, VLOOKUP($G409,Reference!$I$2:$J$1000,2,false))),"")</f>
        <v/>
      </c>
      <c r="L409" s="12" t="str">
        <f>IF(A409="","", IF(F409="",Reference!$M$2,F409))</f>
        <v/>
      </c>
      <c r="M409" s="14" t="str">
        <f t="shared" si="2"/>
        <v/>
      </c>
      <c r="N409" s="15" t="str">
        <f t="shared" si="3"/>
        <v/>
      </c>
      <c r="O409" s="14" t="str">
        <f t="shared" si="4"/>
        <v/>
      </c>
      <c r="P409" s="16" t="str">
        <f t="array" ref="P409">IF($A409="","", IFERROR(INDEX('BM Data'!$N:$N,MATCH($J409&amp; "-" &amp; $N409,'BM Data'!$O:$O,0),1),""))</f>
        <v/>
      </c>
      <c r="Q409" s="16" t="str">
        <f t="array" ref="Q409">IF($A409="","", IFERROR(INDEX('BM Data'!$J:$J,MATCH($J409&amp; "-" &amp; $N409,'BM Data'!$O:$O,0),1),""))</f>
        <v/>
      </c>
    </row>
    <row r="410">
      <c r="A410" s="10" t="str">
        <f>IFERROR(__xludf.DUMMYFUNCTION("""COMPUTED_VALUE"""),"")</f>
        <v/>
      </c>
      <c r="B410" s="3" t="str">
        <f>IFERROR(__xludf.DUMMYFUNCTION("""COMPUTED_VALUE"""),"")</f>
        <v/>
      </c>
      <c r="C410" s="11" t="str">
        <f>IFERROR(__xludf.DUMMYFUNCTION("""COMPUTED_VALUE"""),"")</f>
        <v/>
      </c>
      <c r="D410" s="11" t="str">
        <f>IFERROR(__xludf.DUMMYFUNCTION("""COMPUTED_VALUE"""),"")</f>
        <v/>
      </c>
      <c r="E410" s="11" t="str">
        <f>IFERROR(__xludf.DUMMYFUNCTION("""COMPUTED_VALUE"""),"")</f>
        <v/>
      </c>
      <c r="F410" s="11" t="str">
        <f>IFERROR(__xludf.DUMMYFUNCTION("""COMPUTED_VALUE"""),"")</f>
        <v/>
      </c>
      <c r="G410" s="11" t="str">
        <f>IFERROR(__xludf.DUMMYFUNCTION("""COMPUTED_VALUE"""),"")</f>
        <v/>
      </c>
      <c r="H410" s="12" t="str">
        <f>IFERROR(__xludf.DUMMYFUNCTION("""COMPUTED_VALUE"""),"")</f>
        <v/>
      </c>
      <c r="I410" s="12" t="str">
        <f>IFERROR(__xludf.DUMMYFUNCTION("""COMPUTED_VALUE"""),"")</f>
        <v/>
      </c>
      <c r="J410" s="13" t="str">
        <f t="shared" si="1"/>
        <v/>
      </c>
      <c r="K410" s="12" t="str">
        <f>IFERROR(IF(A410="","",if($G410="",Reference!$J$2, VLOOKUP($G410,Reference!$I$2:$J$1000,2,false))),"")</f>
        <v/>
      </c>
      <c r="L410" s="12" t="str">
        <f>IF(A410="","", IF(F410="",Reference!$M$2,F410))</f>
        <v/>
      </c>
      <c r="M410" s="14" t="str">
        <f t="shared" si="2"/>
        <v/>
      </c>
      <c r="N410" s="15" t="str">
        <f t="shared" si="3"/>
        <v/>
      </c>
      <c r="O410" s="14" t="str">
        <f t="shared" si="4"/>
        <v/>
      </c>
      <c r="P410" s="16" t="str">
        <f t="array" ref="P410">IF($A410="","", IFERROR(INDEX('BM Data'!$N:$N,MATCH($J410&amp; "-" &amp; $N410,'BM Data'!$O:$O,0),1),""))</f>
        <v/>
      </c>
      <c r="Q410" s="16" t="str">
        <f t="array" ref="Q410">IF($A410="","", IFERROR(INDEX('BM Data'!$J:$J,MATCH($J410&amp; "-" &amp; $N410,'BM Data'!$O:$O,0),1),""))</f>
        <v/>
      </c>
    </row>
    <row r="411">
      <c r="A411" s="10" t="str">
        <f>IFERROR(__xludf.DUMMYFUNCTION("""COMPUTED_VALUE"""),"")</f>
        <v/>
      </c>
      <c r="B411" s="3" t="str">
        <f>IFERROR(__xludf.DUMMYFUNCTION("""COMPUTED_VALUE"""),"")</f>
        <v/>
      </c>
      <c r="C411" s="11" t="str">
        <f>IFERROR(__xludf.DUMMYFUNCTION("""COMPUTED_VALUE"""),"")</f>
        <v/>
      </c>
      <c r="D411" s="11" t="str">
        <f>IFERROR(__xludf.DUMMYFUNCTION("""COMPUTED_VALUE"""),"")</f>
        <v/>
      </c>
      <c r="E411" s="11" t="str">
        <f>IFERROR(__xludf.DUMMYFUNCTION("""COMPUTED_VALUE"""),"")</f>
        <v/>
      </c>
      <c r="F411" s="11" t="str">
        <f>IFERROR(__xludf.DUMMYFUNCTION("""COMPUTED_VALUE"""),"")</f>
        <v/>
      </c>
      <c r="G411" s="11" t="str">
        <f>IFERROR(__xludf.DUMMYFUNCTION("""COMPUTED_VALUE"""),"")</f>
        <v/>
      </c>
      <c r="H411" s="12" t="str">
        <f>IFERROR(__xludf.DUMMYFUNCTION("""COMPUTED_VALUE"""),"")</f>
        <v/>
      </c>
      <c r="I411" s="12" t="str">
        <f>IFERROR(__xludf.DUMMYFUNCTION("""COMPUTED_VALUE"""),"")</f>
        <v/>
      </c>
      <c r="J411" s="13" t="str">
        <f t="shared" si="1"/>
        <v/>
      </c>
      <c r="K411" s="12" t="str">
        <f>IFERROR(IF(A411="","",if($G411="",Reference!$J$2, VLOOKUP($G411,Reference!$I$2:$J$1000,2,false))),"")</f>
        <v/>
      </c>
      <c r="L411" s="12" t="str">
        <f>IF(A411="","", IF(F411="",Reference!$M$2,F411))</f>
        <v/>
      </c>
      <c r="M411" s="14" t="str">
        <f t="shared" si="2"/>
        <v/>
      </c>
      <c r="N411" s="15" t="str">
        <f t="shared" si="3"/>
        <v/>
      </c>
      <c r="O411" s="14" t="str">
        <f t="shared" si="4"/>
        <v/>
      </c>
      <c r="P411" s="16" t="str">
        <f t="array" ref="P411">IF($A411="","", IFERROR(INDEX('BM Data'!$N:$N,MATCH($J411&amp; "-" &amp; $N411,'BM Data'!$O:$O,0),1),""))</f>
        <v/>
      </c>
      <c r="Q411" s="16" t="str">
        <f t="array" ref="Q411">IF($A411="","", IFERROR(INDEX('BM Data'!$J:$J,MATCH($J411&amp; "-" &amp; $N411,'BM Data'!$O:$O,0),1),""))</f>
        <v/>
      </c>
    </row>
    <row r="412">
      <c r="A412" s="10" t="str">
        <f>IFERROR(__xludf.DUMMYFUNCTION("""COMPUTED_VALUE"""),"")</f>
        <v/>
      </c>
      <c r="B412" s="3" t="str">
        <f>IFERROR(__xludf.DUMMYFUNCTION("""COMPUTED_VALUE"""),"")</f>
        <v/>
      </c>
      <c r="C412" s="11" t="str">
        <f>IFERROR(__xludf.DUMMYFUNCTION("""COMPUTED_VALUE"""),"")</f>
        <v/>
      </c>
      <c r="D412" s="11" t="str">
        <f>IFERROR(__xludf.DUMMYFUNCTION("""COMPUTED_VALUE"""),"")</f>
        <v/>
      </c>
      <c r="E412" s="11" t="str">
        <f>IFERROR(__xludf.DUMMYFUNCTION("""COMPUTED_VALUE"""),"")</f>
        <v/>
      </c>
      <c r="F412" s="11" t="str">
        <f>IFERROR(__xludf.DUMMYFUNCTION("""COMPUTED_VALUE"""),"")</f>
        <v/>
      </c>
      <c r="G412" s="11" t="str">
        <f>IFERROR(__xludf.DUMMYFUNCTION("""COMPUTED_VALUE"""),"")</f>
        <v/>
      </c>
      <c r="H412" s="12" t="str">
        <f>IFERROR(__xludf.DUMMYFUNCTION("""COMPUTED_VALUE"""),"")</f>
        <v/>
      </c>
      <c r="I412" s="12" t="str">
        <f>IFERROR(__xludf.DUMMYFUNCTION("""COMPUTED_VALUE"""),"")</f>
        <v/>
      </c>
      <c r="J412" s="13" t="str">
        <f t="shared" si="1"/>
        <v/>
      </c>
      <c r="K412" s="12" t="str">
        <f>IFERROR(IF(A412="","",if($G412="",Reference!$J$2, VLOOKUP($G412,Reference!$I$2:$J$1000,2,false))),"")</f>
        <v/>
      </c>
      <c r="L412" s="12" t="str">
        <f>IF(A412="","", IF(F412="",Reference!$M$2,F412))</f>
        <v/>
      </c>
      <c r="M412" s="14" t="str">
        <f t="shared" si="2"/>
        <v/>
      </c>
      <c r="N412" s="15" t="str">
        <f t="shared" si="3"/>
        <v/>
      </c>
      <c r="O412" s="14" t="str">
        <f t="shared" si="4"/>
        <v/>
      </c>
      <c r="P412" s="16" t="str">
        <f t="array" ref="P412">IF($A412="","", IFERROR(INDEX('BM Data'!$N:$N,MATCH($J412&amp; "-" &amp; $N412,'BM Data'!$O:$O,0),1),""))</f>
        <v/>
      </c>
      <c r="Q412" s="16" t="str">
        <f t="array" ref="Q412">IF($A412="","", IFERROR(INDEX('BM Data'!$J:$J,MATCH($J412&amp; "-" &amp; $N412,'BM Data'!$O:$O,0),1),""))</f>
        <v/>
      </c>
    </row>
    <row r="413">
      <c r="A413" s="10" t="str">
        <f>IFERROR(__xludf.DUMMYFUNCTION("""COMPUTED_VALUE"""),"")</f>
        <v/>
      </c>
      <c r="B413" s="3" t="str">
        <f>IFERROR(__xludf.DUMMYFUNCTION("""COMPUTED_VALUE"""),"")</f>
        <v/>
      </c>
      <c r="C413" s="11" t="str">
        <f>IFERROR(__xludf.DUMMYFUNCTION("""COMPUTED_VALUE"""),"")</f>
        <v/>
      </c>
      <c r="D413" s="11" t="str">
        <f>IFERROR(__xludf.DUMMYFUNCTION("""COMPUTED_VALUE"""),"")</f>
        <v/>
      </c>
      <c r="E413" s="11" t="str">
        <f>IFERROR(__xludf.DUMMYFUNCTION("""COMPUTED_VALUE"""),"")</f>
        <v/>
      </c>
      <c r="F413" s="11" t="str">
        <f>IFERROR(__xludf.DUMMYFUNCTION("""COMPUTED_VALUE"""),"")</f>
        <v/>
      </c>
      <c r="G413" s="11" t="str">
        <f>IFERROR(__xludf.DUMMYFUNCTION("""COMPUTED_VALUE"""),"")</f>
        <v/>
      </c>
      <c r="H413" s="12" t="str">
        <f>IFERROR(__xludf.DUMMYFUNCTION("""COMPUTED_VALUE"""),"")</f>
        <v/>
      </c>
      <c r="I413" s="12" t="str">
        <f>IFERROR(__xludf.DUMMYFUNCTION("""COMPUTED_VALUE"""),"")</f>
        <v/>
      </c>
      <c r="J413" s="13" t="str">
        <f t="shared" si="1"/>
        <v/>
      </c>
      <c r="K413" s="12" t="str">
        <f>IFERROR(IF(A413="","",if($G413="",Reference!$J$2, VLOOKUP($G413,Reference!$I$2:$J$1000,2,false))),"")</f>
        <v/>
      </c>
      <c r="L413" s="12" t="str">
        <f>IF(A413="","", IF(F413="",Reference!$M$2,F413))</f>
        <v/>
      </c>
      <c r="M413" s="14" t="str">
        <f t="shared" si="2"/>
        <v/>
      </c>
      <c r="N413" s="15" t="str">
        <f t="shared" si="3"/>
        <v/>
      </c>
      <c r="O413" s="14" t="str">
        <f t="shared" si="4"/>
        <v/>
      </c>
      <c r="P413" s="16" t="str">
        <f t="array" ref="P413">IF($A413="","", IFERROR(INDEX('BM Data'!$N:$N,MATCH($J413&amp; "-" &amp; $N413,'BM Data'!$O:$O,0),1),""))</f>
        <v/>
      </c>
      <c r="Q413" s="16" t="str">
        <f t="array" ref="Q413">IF($A413="","", IFERROR(INDEX('BM Data'!$J:$J,MATCH($J413&amp; "-" &amp; $N413,'BM Data'!$O:$O,0),1),""))</f>
        <v/>
      </c>
    </row>
    <row r="414">
      <c r="A414" s="10" t="str">
        <f>IFERROR(__xludf.DUMMYFUNCTION("""COMPUTED_VALUE"""),"")</f>
        <v/>
      </c>
      <c r="B414" s="3" t="str">
        <f>IFERROR(__xludf.DUMMYFUNCTION("""COMPUTED_VALUE"""),"")</f>
        <v/>
      </c>
      <c r="C414" s="11" t="str">
        <f>IFERROR(__xludf.DUMMYFUNCTION("""COMPUTED_VALUE"""),"")</f>
        <v/>
      </c>
      <c r="D414" s="11" t="str">
        <f>IFERROR(__xludf.DUMMYFUNCTION("""COMPUTED_VALUE"""),"")</f>
        <v/>
      </c>
      <c r="E414" s="11" t="str">
        <f>IFERROR(__xludf.DUMMYFUNCTION("""COMPUTED_VALUE"""),"")</f>
        <v/>
      </c>
      <c r="F414" s="11" t="str">
        <f>IFERROR(__xludf.DUMMYFUNCTION("""COMPUTED_VALUE"""),"")</f>
        <v/>
      </c>
      <c r="G414" s="11" t="str">
        <f>IFERROR(__xludf.DUMMYFUNCTION("""COMPUTED_VALUE"""),"")</f>
        <v/>
      </c>
      <c r="H414" s="12" t="str">
        <f>IFERROR(__xludf.DUMMYFUNCTION("""COMPUTED_VALUE"""),"")</f>
        <v/>
      </c>
      <c r="I414" s="12" t="str">
        <f>IFERROR(__xludf.DUMMYFUNCTION("""COMPUTED_VALUE"""),"")</f>
        <v/>
      </c>
      <c r="J414" s="13" t="str">
        <f t="shared" si="1"/>
        <v/>
      </c>
      <c r="K414" s="12" t="str">
        <f>IFERROR(IF(A414="","",if($G414="",Reference!$J$2, VLOOKUP($G414,Reference!$I$2:$J$1000,2,false))),"")</f>
        <v/>
      </c>
      <c r="L414" s="12" t="str">
        <f>IF(A414="","", IF(F414="",Reference!$M$2,F414))</f>
        <v/>
      </c>
      <c r="M414" s="14" t="str">
        <f t="shared" si="2"/>
        <v/>
      </c>
      <c r="N414" s="15" t="str">
        <f t="shared" si="3"/>
        <v/>
      </c>
      <c r="O414" s="14" t="str">
        <f t="shared" si="4"/>
        <v/>
      </c>
      <c r="P414" s="16" t="str">
        <f t="array" ref="P414">IF($A414="","", IFERROR(INDEX('BM Data'!$N:$N,MATCH($J414&amp; "-" &amp; $N414,'BM Data'!$O:$O,0),1),""))</f>
        <v/>
      </c>
      <c r="Q414" s="16" t="str">
        <f t="array" ref="Q414">IF($A414="","", IFERROR(INDEX('BM Data'!$J:$J,MATCH($J414&amp; "-" &amp; $N414,'BM Data'!$O:$O,0),1),""))</f>
        <v/>
      </c>
    </row>
    <row r="415">
      <c r="A415" s="10" t="str">
        <f>IFERROR(__xludf.DUMMYFUNCTION("""COMPUTED_VALUE"""),"")</f>
        <v/>
      </c>
      <c r="B415" s="3" t="str">
        <f>IFERROR(__xludf.DUMMYFUNCTION("""COMPUTED_VALUE"""),"")</f>
        <v/>
      </c>
      <c r="C415" s="11" t="str">
        <f>IFERROR(__xludf.DUMMYFUNCTION("""COMPUTED_VALUE"""),"")</f>
        <v/>
      </c>
      <c r="D415" s="11" t="str">
        <f>IFERROR(__xludf.DUMMYFUNCTION("""COMPUTED_VALUE"""),"")</f>
        <v/>
      </c>
      <c r="E415" s="11" t="str">
        <f>IFERROR(__xludf.DUMMYFUNCTION("""COMPUTED_VALUE"""),"")</f>
        <v/>
      </c>
      <c r="F415" s="11" t="str">
        <f>IFERROR(__xludf.DUMMYFUNCTION("""COMPUTED_VALUE"""),"")</f>
        <v/>
      </c>
      <c r="G415" s="11" t="str">
        <f>IFERROR(__xludf.DUMMYFUNCTION("""COMPUTED_VALUE"""),"")</f>
        <v/>
      </c>
      <c r="H415" s="12" t="str">
        <f>IFERROR(__xludf.DUMMYFUNCTION("""COMPUTED_VALUE"""),"")</f>
        <v/>
      </c>
      <c r="I415" s="12" t="str">
        <f>IFERROR(__xludf.DUMMYFUNCTION("""COMPUTED_VALUE"""),"")</f>
        <v/>
      </c>
      <c r="J415" s="13" t="str">
        <f t="shared" si="1"/>
        <v/>
      </c>
      <c r="K415" s="12" t="str">
        <f>IFERROR(IF(A415="","",if($G415="",Reference!$J$2, VLOOKUP($G415,Reference!$I$2:$J$1000,2,false))),"")</f>
        <v/>
      </c>
      <c r="L415" s="12" t="str">
        <f>IF(A415="","", IF(F415="",Reference!$M$2,F415))</f>
        <v/>
      </c>
      <c r="M415" s="14" t="str">
        <f t="shared" si="2"/>
        <v/>
      </c>
      <c r="N415" s="15" t="str">
        <f t="shared" si="3"/>
        <v/>
      </c>
      <c r="O415" s="14" t="str">
        <f t="shared" si="4"/>
        <v/>
      </c>
      <c r="P415" s="16" t="str">
        <f t="array" ref="P415">IF($A415="","", IFERROR(INDEX('BM Data'!$N:$N,MATCH($J415&amp; "-" &amp; $N415,'BM Data'!$O:$O,0),1),""))</f>
        <v/>
      </c>
      <c r="Q415" s="16" t="str">
        <f t="array" ref="Q415">IF($A415="","", IFERROR(INDEX('BM Data'!$J:$J,MATCH($J415&amp; "-" &amp; $N415,'BM Data'!$O:$O,0),1),""))</f>
        <v/>
      </c>
    </row>
    <row r="416">
      <c r="A416" s="10" t="str">
        <f>IFERROR(__xludf.DUMMYFUNCTION("""COMPUTED_VALUE"""),"")</f>
        <v/>
      </c>
      <c r="B416" s="3" t="str">
        <f>IFERROR(__xludf.DUMMYFUNCTION("""COMPUTED_VALUE"""),"")</f>
        <v/>
      </c>
      <c r="C416" s="11" t="str">
        <f>IFERROR(__xludf.DUMMYFUNCTION("""COMPUTED_VALUE"""),"")</f>
        <v/>
      </c>
      <c r="D416" s="11" t="str">
        <f>IFERROR(__xludf.DUMMYFUNCTION("""COMPUTED_VALUE"""),"")</f>
        <v/>
      </c>
      <c r="E416" s="11" t="str">
        <f>IFERROR(__xludf.DUMMYFUNCTION("""COMPUTED_VALUE"""),"")</f>
        <v/>
      </c>
      <c r="F416" s="11" t="str">
        <f>IFERROR(__xludf.DUMMYFUNCTION("""COMPUTED_VALUE"""),"")</f>
        <v/>
      </c>
      <c r="G416" s="11" t="str">
        <f>IFERROR(__xludf.DUMMYFUNCTION("""COMPUTED_VALUE"""),"")</f>
        <v/>
      </c>
      <c r="H416" s="12" t="str">
        <f>IFERROR(__xludf.DUMMYFUNCTION("""COMPUTED_VALUE"""),"")</f>
        <v/>
      </c>
      <c r="I416" s="12" t="str">
        <f>IFERROR(__xludf.DUMMYFUNCTION("""COMPUTED_VALUE"""),"")</f>
        <v/>
      </c>
      <c r="J416" s="13" t="str">
        <f t="shared" si="1"/>
        <v/>
      </c>
      <c r="K416" s="12" t="str">
        <f>IFERROR(IF(A416="","",if($G416="",Reference!$J$2, VLOOKUP($G416,Reference!$I$2:$J$1000,2,false))),"")</f>
        <v/>
      </c>
      <c r="L416" s="12" t="str">
        <f>IF(A416="","", IF(F416="",Reference!$M$2,F416))</f>
        <v/>
      </c>
      <c r="M416" s="14" t="str">
        <f t="shared" si="2"/>
        <v/>
      </c>
      <c r="N416" s="15" t="str">
        <f t="shared" si="3"/>
        <v/>
      </c>
      <c r="O416" s="14" t="str">
        <f t="shared" si="4"/>
        <v/>
      </c>
      <c r="P416" s="16" t="str">
        <f t="array" ref="P416">IF($A416="","", IFERROR(INDEX('BM Data'!$N:$N,MATCH($J416&amp; "-" &amp; $N416,'BM Data'!$O:$O,0),1),""))</f>
        <v/>
      </c>
      <c r="Q416" s="16" t="str">
        <f t="array" ref="Q416">IF($A416="","", IFERROR(INDEX('BM Data'!$J:$J,MATCH($J416&amp; "-" &amp; $N416,'BM Data'!$O:$O,0),1),""))</f>
        <v/>
      </c>
    </row>
    <row r="417">
      <c r="A417" s="10" t="str">
        <f>IFERROR(__xludf.DUMMYFUNCTION("""COMPUTED_VALUE"""),"")</f>
        <v/>
      </c>
      <c r="B417" s="3" t="str">
        <f>IFERROR(__xludf.DUMMYFUNCTION("""COMPUTED_VALUE"""),"")</f>
        <v/>
      </c>
      <c r="C417" s="11" t="str">
        <f>IFERROR(__xludf.DUMMYFUNCTION("""COMPUTED_VALUE"""),"")</f>
        <v/>
      </c>
      <c r="D417" s="11" t="str">
        <f>IFERROR(__xludf.DUMMYFUNCTION("""COMPUTED_VALUE"""),"")</f>
        <v/>
      </c>
      <c r="E417" s="11" t="str">
        <f>IFERROR(__xludf.DUMMYFUNCTION("""COMPUTED_VALUE"""),"")</f>
        <v/>
      </c>
      <c r="F417" s="11" t="str">
        <f>IFERROR(__xludf.DUMMYFUNCTION("""COMPUTED_VALUE"""),"")</f>
        <v/>
      </c>
      <c r="G417" s="11" t="str">
        <f>IFERROR(__xludf.DUMMYFUNCTION("""COMPUTED_VALUE"""),"")</f>
        <v/>
      </c>
      <c r="H417" s="12" t="str">
        <f>IFERROR(__xludf.DUMMYFUNCTION("""COMPUTED_VALUE"""),"")</f>
        <v/>
      </c>
      <c r="I417" s="12" t="str">
        <f>IFERROR(__xludf.DUMMYFUNCTION("""COMPUTED_VALUE"""),"")</f>
        <v/>
      </c>
      <c r="J417" s="13" t="str">
        <f t="shared" si="1"/>
        <v/>
      </c>
      <c r="K417" s="12" t="str">
        <f>IFERROR(IF(A417="","",if($G417="",Reference!$J$2, VLOOKUP($G417,Reference!$I$2:$J$1000,2,false))),"")</f>
        <v/>
      </c>
      <c r="L417" s="12" t="str">
        <f>IF(A417="","", IF(F417="",Reference!$M$2,F417))</f>
        <v/>
      </c>
      <c r="M417" s="14" t="str">
        <f t="shared" si="2"/>
        <v/>
      </c>
      <c r="N417" s="15" t="str">
        <f t="shared" si="3"/>
        <v/>
      </c>
      <c r="O417" s="14" t="str">
        <f t="shared" si="4"/>
        <v/>
      </c>
      <c r="P417" s="16" t="str">
        <f t="array" ref="P417">IF($A417="","", IFERROR(INDEX('BM Data'!$N:$N,MATCH($J417&amp; "-" &amp; $N417,'BM Data'!$O:$O,0),1),""))</f>
        <v/>
      </c>
      <c r="Q417" s="16" t="str">
        <f t="array" ref="Q417">IF($A417="","", IFERROR(INDEX('BM Data'!$J:$J,MATCH($J417&amp; "-" &amp; $N417,'BM Data'!$O:$O,0),1),""))</f>
        <v/>
      </c>
    </row>
    <row r="418">
      <c r="A418" s="10" t="str">
        <f>IFERROR(__xludf.DUMMYFUNCTION("""COMPUTED_VALUE"""),"")</f>
        <v/>
      </c>
      <c r="B418" s="3" t="str">
        <f>IFERROR(__xludf.DUMMYFUNCTION("""COMPUTED_VALUE"""),"")</f>
        <v/>
      </c>
      <c r="C418" s="11" t="str">
        <f>IFERROR(__xludf.DUMMYFUNCTION("""COMPUTED_VALUE"""),"")</f>
        <v/>
      </c>
      <c r="D418" s="11" t="str">
        <f>IFERROR(__xludf.DUMMYFUNCTION("""COMPUTED_VALUE"""),"")</f>
        <v/>
      </c>
      <c r="E418" s="11" t="str">
        <f>IFERROR(__xludf.DUMMYFUNCTION("""COMPUTED_VALUE"""),"")</f>
        <v/>
      </c>
      <c r="F418" s="11" t="str">
        <f>IFERROR(__xludf.DUMMYFUNCTION("""COMPUTED_VALUE"""),"")</f>
        <v/>
      </c>
      <c r="G418" s="11" t="str">
        <f>IFERROR(__xludf.DUMMYFUNCTION("""COMPUTED_VALUE"""),"")</f>
        <v/>
      </c>
      <c r="H418" s="12" t="str">
        <f>IFERROR(__xludf.DUMMYFUNCTION("""COMPUTED_VALUE"""),"")</f>
        <v/>
      </c>
      <c r="I418" s="12" t="str">
        <f>IFERROR(__xludf.DUMMYFUNCTION("""COMPUTED_VALUE"""),"")</f>
        <v/>
      </c>
      <c r="J418" s="13" t="str">
        <f t="shared" si="1"/>
        <v/>
      </c>
      <c r="K418" s="12" t="str">
        <f>IFERROR(IF(A418="","",if($G418="",Reference!$J$2, VLOOKUP($G418,Reference!$I$2:$J$1000,2,false))),"")</f>
        <v/>
      </c>
      <c r="L418" s="12" t="str">
        <f>IF(A418="","", IF(F418="",Reference!$M$2,F418))</f>
        <v/>
      </c>
      <c r="M418" s="14" t="str">
        <f t="shared" si="2"/>
        <v/>
      </c>
      <c r="N418" s="15" t="str">
        <f t="shared" si="3"/>
        <v/>
      </c>
      <c r="O418" s="14" t="str">
        <f t="shared" si="4"/>
        <v/>
      </c>
      <c r="P418" s="16" t="str">
        <f t="array" ref="P418">IF($A418="","", IFERROR(INDEX('BM Data'!$N:$N,MATCH($J418&amp; "-" &amp; $N418,'BM Data'!$O:$O,0),1),""))</f>
        <v/>
      </c>
      <c r="Q418" s="16" t="str">
        <f t="array" ref="Q418">IF($A418="","", IFERROR(INDEX('BM Data'!$J:$J,MATCH($J418&amp; "-" &amp; $N418,'BM Data'!$O:$O,0),1),""))</f>
        <v/>
      </c>
    </row>
    <row r="419">
      <c r="A419" s="10" t="str">
        <f>IFERROR(__xludf.DUMMYFUNCTION("""COMPUTED_VALUE"""),"")</f>
        <v/>
      </c>
      <c r="B419" s="3" t="str">
        <f>IFERROR(__xludf.DUMMYFUNCTION("""COMPUTED_VALUE"""),"")</f>
        <v/>
      </c>
      <c r="C419" s="11" t="str">
        <f>IFERROR(__xludf.DUMMYFUNCTION("""COMPUTED_VALUE"""),"")</f>
        <v/>
      </c>
      <c r="D419" s="11" t="str">
        <f>IFERROR(__xludf.DUMMYFUNCTION("""COMPUTED_VALUE"""),"")</f>
        <v/>
      </c>
      <c r="E419" s="11" t="str">
        <f>IFERROR(__xludf.DUMMYFUNCTION("""COMPUTED_VALUE"""),"")</f>
        <v/>
      </c>
      <c r="F419" s="11" t="str">
        <f>IFERROR(__xludf.DUMMYFUNCTION("""COMPUTED_VALUE"""),"")</f>
        <v/>
      </c>
      <c r="G419" s="11" t="str">
        <f>IFERROR(__xludf.DUMMYFUNCTION("""COMPUTED_VALUE"""),"")</f>
        <v/>
      </c>
      <c r="H419" s="12" t="str">
        <f>IFERROR(__xludf.DUMMYFUNCTION("""COMPUTED_VALUE"""),"")</f>
        <v/>
      </c>
      <c r="I419" s="12" t="str">
        <f>IFERROR(__xludf.DUMMYFUNCTION("""COMPUTED_VALUE"""),"")</f>
        <v/>
      </c>
      <c r="J419" s="13" t="str">
        <f t="shared" si="1"/>
        <v/>
      </c>
      <c r="K419" s="12" t="str">
        <f>IFERROR(IF(A419="","",if($G419="",Reference!$J$2, VLOOKUP($G419,Reference!$I$2:$J$1000,2,false))),"")</f>
        <v/>
      </c>
      <c r="L419" s="12" t="str">
        <f>IF(A419="","", IF(F419="",Reference!$M$2,F419))</f>
        <v/>
      </c>
      <c r="M419" s="14" t="str">
        <f t="shared" si="2"/>
        <v/>
      </c>
      <c r="N419" s="15" t="str">
        <f t="shared" si="3"/>
        <v/>
      </c>
      <c r="O419" s="14" t="str">
        <f t="shared" si="4"/>
        <v/>
      </c>
      <c r="P419" s="16" t="str">
        <f t="array" ref="P419">IF($A419="","", IFERROR(INDEX('BM Data'!$N:$N,MATCH($J419&amp; "-" &amp; $N419,'BM Data'!$O:$O,0),1),""))</f>
        <v/>
      </c>
      <c r="Q419" s="16" t="str">
        <f t="array" ref="Q419">IF($A419="","", IFERROR(INDEX('BM Data'!$J:$J,MATCH($J419&amp; "-" &amp; $N419,'BM Data'!$O:$O,0),1),""))</f>
        <v/>
      </c>
    </row>
    <row r="420">
      <c r="A420" s="10" t="str">
        <f>IFERROR(__xludf.DUMMYFUNCTION("""COMPUTED_VALUE"""),"")</f>
        <v/>
      </c>
      <c r="B420" s="3" t="str">
        <f>IFERROR(__xludf.DUMMYFUNCTION("""COMPUTED_VALUE"""),"")</f>
        <v/>
      </c>
      <c r="C420" s="11" t="str">
        <f>IFERROR(__xludf.DUMMYFUNCTION("""COMPUTED_VALUE"""),"")</f>
        <v/>
      </c>
      <c r="D420" s="11" t="str">
        <f>IFERROR(__xludf.DUMMYFUNCTION("""COMPUTED_VALUE"""),"")</f>
        <v/>
      </c>
      <c r="E420" s="11" t="str">
        <f>IFERROR(__xludf.DUMMYFUNCTION("""COMPUTED_VALUE"""),"")</f>
        <v/>
      </c>
      <c r="F420" s="11" t="str">
        <f>IFERROR(__xludf.DUMMYFUNCTION("""COMPUTED_VALUE"""),"")</f>
        <v/>
      </c>
      <c r="G420" s="11" t="str">
        <f>IFERROR(__xludf.DUMMYFUNCTION("""COMPUTED_VALUE"""),"")</f>
        <v/>
      </c>
      <c r="H420" s="12" t="str">
        <f>IFERROR(__xludf.DUMMYFUNCTION("""COMPUTED_VALUE"""),"")</f>
        <v/>
      </c>
      <c r="I420" s="12" t="str">
        <f>IFERROR(__xludf.DUMMYFUNCTION("""COMPUTED_VALUE"""),"")</f>
        <v/>
      </c>
      <c r="J420" s="13" t="str">
        <f t="shared" si="1"/>
        <v/>
      </c>
      <c r="K420" s="12" t="str">
        <f>IFERROR(IF(A420="","",if($G420="",Reference!$J$2, VLOOKUP($G420,Reference!$I$2:$J$1000,2,false))),"")</f>
        <v/>
      </c>
      <c r="L420" s="12" t="str">
        <f>IF(A420="","", IF(F420="",Reference!$M$2,F420))</f>
        <v/>
      </c>
      <c r="M420" s="14" t="str">
        <f t="shared" si="2"/>
        <v/>
      </c>
      <c r="N420" s="15" t="str">
        <f t="shared" si="3"/>
        <v/>
      </c>
      <c r="O420" s="14" t="str">
        <f t="shared" si="4"/>
        <v/>
      </c>
      <c r="P420" s="16" t="str">
        <f t="array" ref="P420">IF($A420="","", IFERROR(INDEX('BM Data'!$N:$N,MATCH($J420&amp; "-" &amp; $N420,'BM Data'!$O:$O,0),1),""))</f>
        <v/>
      </c>
      <c r="Q420" s="16" t="str">
        <f t="array" ref="Q420">IF($A420="","", IFERROR(INDEX('BM Data'!$J:$J,MATCH($J420&amp; "-" &amp; $N420,'BM Data'!$O:$O,0),1),""))</f>
        <v/>
      </c>
    </row>
    <row r="421">
      <c r="A421" s="10" t="str">
        <f>IFERROR(__xludf.DUMMYFUNCTION("""COMPUTED_VALUE"""),"")</f>
        <v/>
      </c>
      <c r="B421" s="3" t="str">
        <f>IFERROR(__xludf.DUMMYFUNCTION("""COMPUTED_VALUE"""),"")</f>
        <v/>
      </c>
      <c r="C421" s="11" t="str">
        <f>IFERROR(__xludf.DUMMYFUNCTION("""COMPUTED_VALUE"""),"")</f>
        <v/>
      </c>
      <c r="D421" s="11" t="str">
        <f>IFERROR(__xludf.DUMMYFUNCTION("""COMPUTED_VALUE"""),"")</f>
        <v/>
      </c>
      <c r="E421" s="11" t="str">
        <f>IFERROR(__xludf.DUMMYFUNCTION("""COMPUTED_VALUE"""),"")</f>
        <v/>
      </c>
      <c r="F421" s="11" t="str">
        <f>IFERROR(__xludf.DUMMYFUNCTION("""COMPUTED_VALUE"""),"")</f>
        <v/>
      </c>
      <c r="G421" s="11" t="str">
        <f>IFERROR(__xludf.DUMMYFUNCTION("""COMPUTED_VALUE"""),"")</f>
        <v/>
      </c>
      <c r="H421" s="12" t="str">
        <f>IFERROR(__xludf.DUMMYFUNCTION("""COMPUTED_VALUE"""),"")</f>
        <v/>
      </c>
      <c r="I421" s="12" t="str">
        <f>IFERROR(__xludf.DUMMYFUNCTION("""COMPUTED_VALUE"""),"")</f>
        <v/>
      </c>
      <c r="J421" s="13" t="str">
        <f t="shared" si="1"/>
        <v/>
      </c>
      <c r="K421" s="12" t="str">
        <f>IFERROR(IF(A421="","",if($G421="",Reference!$J$2, VLOOKUP($G421,Reference!$I$2:$J$1000,2,false))),"")</f>
        <v/>
      </c>
      <c r="L421" s="12" t="str">
        <f>IF(A421="","", IF(F421="",Reference!$M$2,F421))</f>
        <v/>
      </c>
      <c r="M421" s="14" t="str">
        <f t="shared" si="2"/>
        <v/>
      </c>
      <c r="N421" s="15" t="str">
        <f t="shared" si="3"/>
        <v/>
      </c>
      <c r="O421" s="14" t="str">
        <f t="shared" si="4"/>
        <v/>
      </c>
      <c r="P421" s="16" t="str">
        <f t="array" ref="P421">IF($A421="","", IFERROR(INDEX('BM Data'!$N:$N,MATCH($J421&amp; "-" &amp; $N421,'BM Data'!$O:$O,0),1),""))</f>
        <v/>
      </c>
      <c r="Q421" s="16" t="str">
        <f t="array" ref="Q421">IF($A421="","", IFERROR(INDEX('BM Data'!$J:$J,MATCH($J421&amp; "-" &amp; $N421,'BM Data'!$O:$O,0),1),""))</f>
        <v/>
      </c>
    </row>
    <row r="422">
      <c r="A422" s="10" t="str">
        <f>IFERROR(__xludf.DUMMYFUNCTION("""COMPUTED_VALUE"""),"")</f>
        <v/>
      </c>
      <c r="B422" s="3" t="str">
        <f>IFERROR(__xludf.DUMMYFUNCTION("""COMPUTED_VALUE"""),"")</f>
        <v/>
      </c>
      <c r="C422" s="11" t="str">
        <f>IFERROR(__xludf.DUMMYFUNCTION("""COMPUTED_VALUE"""),"")</f>
        <v/>
      </c>
      <c r="D422" s="11" t="str">
        <f>IFERROR(__xludf.DUMMYFUNCTION("""COMPUTED_VALUE"""),"")</f>
        <v/>
      </c>
      <c r="E422" s="11" t="str">
        <f>IFERROR(__xludf.DUMMYFUNCTION("""COMPUTED_VALUE"""),"")</f>
        <v/>
      </c>
      <c r="F422" s="11" t="str">
        <f>IFERROR(__xludf.DUMMYFUNCTION("""COMPUTED_VALUE"""),"")</f>
        <v/>
      </c>
      <c r="G422" s="11" t="str">
        <f>IFERROR(__xludf.DUMMYFUNCTION("""COMPUTED_VALUE"""),"")</f>
        <v/>
      </c>
      <c r="H422" s="12" t="str">
        <f>IFERROR(__xludf.DUMMYFUNCTION("""COMPUTED_VALUE"""),"")</f>
        <v/>
      </c>
      <c r="I422" s="12" t="str">
        <f>IFERROR(__xludf.DUMMYFUNCTION("""COMPUTED_VALUE"""),"")</f>
        <v/>
      </c>
      <c r="J422" s="13" t="str">
        <f t="shared" si="1"/>
        <v/>
      </c>
      <c r="K422" s="12" t="str">
        <f>IFERROR(IF(A422="","",if($G422="",Reference!$J$2, VLOOKUP($G422,Reference!$I$2:$J$1000,2,false))),"")</f>
        <v/>
      </c>
      <c r="L422" s="12" t="str">
        <f>IF(A422="","", IF(F422="",Reference!$M$2,F422))</f>
        <v/>
      </c>
      <c r="M422" s="14" t="str">
        <f t="shared" si="2"/>
        <v/>
      </c>
      <c r="N422" s="15" t="str">
        <f t="shared" si="3"/>
        <v/>
      </c>
      <c r="O422" s="14" t="str">
        <f t="shared" si="4"/>
        <v/>
      </c>
      <c r="P422" s="16" t="str">
        <f t="array" ref="P422">IF($A422="","", IFERROR(INDEX('BM Data'!$N:$N,MATCH($J422&amp; "-" &amp; $N422,'BM Data'!$O:$O,0),1),""))</f>
        <v/>
      </c>
      <c r="Q422" s="16" t="str">
        <f t="array" ref="Q422">IF($A422="","", IFERROR(INDEX('BM Data'!$J:$J,MATCH($J422&amp; "-" &amp; $N422,'BM Data'!$O:$O,0),1),""))</f>
        <v/>
      </c>
    </row>
    <row r="423">
      <c r="A423" s="10" t="str">
        <f>IFERROR(__xludf.DUMMYFUNCTION("""COMPUTED_VALUE"""),"")</f>
        <v/>
      </c>
      <c r="B423" s="3" t="str">
        <f>IFERROR(__xludf.DUMMYFUNCTION("""COMPUTED_VALUE"""),"")</f>
        <v/>
      </c>
      <c r="C423" s="11" t="str">
        <f>IFERROR(__xludf.DUMMYFUNCTION("""COMPUTED_VALUE"""),"")</f>
        <v/>
      </c>
      <c r="D423" s="11" t="str">
        <f>IFERROR(__xludf.DUMMYFUNCTION("""COMPUTED_VALUE"""),"")</f>
        <v/>
      </c>
      <c r="E423" s="11" t="str">
        <f>IFERROR(__xludf.DUMMYFUNCTION("""COMPUTED_VALUE"""),"")</f>
        <v/>
      </c>
      <c r="F423" s="11" t="str">
        <f>IFERROR(__xludf.DUMMYFUNCTION("""COMPUTED_VALUE"""),"")</f>
        <v/>
      </c>
      <c r="G423" s="11" t="str">
        <f>IFERROR(__xludf.DUMMYFUNCTION("""COMPUTED_VALUE"""),"")</f>
        <v/>
      </c>
      <c r="H423" s="12" t="str">
        <f>IFERROR(__xludf.DUMMYFUNCTION("""COMPUTED_VALUE"""),"")</f>
        <v/>
      </c>
      <c r="I423" s="12" t="str">
        <f>IFERROR(__xludf.DUMMYFUNCTION("""COMPUTED_VALUE"""),"")</f>
        <v/>
      </c>
      <c r="J423" s="13" t="str">
        <f t="shared" si="1"/>
        <v/>
      </c>
      <c r="K423" s="12" t="str">
        <f>IFERROR(IF(A423="","",if($G423="",Reference!$J$2, VLOOKUP($G423,Reference!$I$2:$J$1000,2,false))),"")</f>
        <v/>
      </c>
      <c r="L423" s="12" t="str">
        <f>IF(A423="","", IF(F423="",Reference!$M$2,F423))</f>
        <v/>
      </c>
      <c r="M423" s="14" t="str">
        <f t="shared" si="2"/>
        <v/>
      </c>
      <c r="N423" s="15" t="str">
        <f t="shared" si="3"/>
        <v/>
      </c>
      <c r="O423" s="14" t="str">
        <f t="shared" si="4"/>
        <v/>
      </c>
      <c r="P423" s="16" t="str">
        <f t="array" ref="P423">IF($A423="","", IFERROR(INDEX('BM Data'!$N:$N,MATCH($J423&amp; "-" &amp; $N423,'BM Data'!$O:$O,0),1),""))</f>
        <v/>
      </c>
      <c r="Q423" s="16" t="str">
        <f t="array" ref="Q423">IF($A423="","", IFERROR(INDEX('BM Data'!$J:$J,MATCH($J423&amp; "-" &amp; $N423,'BM Data'!$O:$O,0),1),""))</f>
        <v/>
      </c>
    </row>
    <row r="424">
      <c r="A424" s="10" t="str">
        <f>IFERROR(__xludf.DUMMYFUNCTION("""COMPUTED_VALUE"""),"")</f>
        <v/>
      </c>
      <c r="B424" s="3" t="str">
        <f>IFERROR(__xludf.DUMMYFUNCTION("""COMPUTED_VALUE"""),"")</f>
        <v/>
      </c>
      <c r="C424" s="11" t="str">
        <f>IFERROR(__xludf.DUMMYFUNCTION("""COMPUTED_VALUE"""),"")</f>
        <v/>
      </c>
      <c r="D424" s="11" t="str">
        <f>IFERROR(__xludf.DUMMYFUNCTION("""COMPUTED_VALUE"""),"")</f>
        <v/>
      </c>
      <c r="E424" s="11" t="str">
        <f>IFERROR(__xludf.DUMMYFUNCTION("""COMPUTED_VALUE"""),"")</f>
        <v/>
      </c>
      <c r="F424" s="11" t="str">
        <f>IFERROR(__xludf.DUMMYFUNCTION("""COMPUTED_VALUE"""),"")</f>
        <v/>
      </c>
      <c r="G424" s="11" t="str">
        <f>IFERROR(__xludf.DUMMYFUNCTION("""COMPUTED_VALUE"""),"")</f>
        <v/>
      </c>
      <c r="H424" s="12" t="str">
        <f>IFERROR(__xludf.DUMMYFUNCTION("""COMPUTED_VALUE"""),"")</f>
        <v/>
      </c>
      <c r="I424" s="12" t="str">
        <f>IFERROR(__xludf.DUMMYFUNCTION("""COMPUTED_VALUE"""),"")</f>
        <v/>
      </c>
      <c r="J424" s="13" t="str">
        <f t="shared" si="1"/>
        <v/>
      </c>
      <c r="K424" s="12" t="str">
        <f>IFERROR(IF(A424="","",if($G424="",Reference!$J$2, VLOOKUP($G424,Reference!$I$2:$J$1000,2,false))),"")</f>
        <v/>
      </c>
      <c r="L424" s="12" t="str">
        <f>IF(A424="","", IF(F424="",Reference!$M$2,F424))</f>
        <v/>
      </c>
      <c r="M424" s="14" t="str">
        <f t="shared" si="2"/>
        <v/>
      </c>
      <c r="N424" s="15" t="str">
        <f t="shared" si="3"/>
        <v/>
      </c>
      <c r="O424" s="14" t="str">
        <f t="shared" si="4"/>
        <v/>
      </c>
      <c r="P424" s="16" t="str">
        <f t="array" ref="P424">IF($A424="","", IFERROR(INDEX('BM Data'!$N:$N,MATCH($J424&amp; "-" &amp; $N424,'BM Data'!$O:$O,0),1),""))</f>
        <v/>
      </c>
      <c r="Q424" s="16" t="str">
        <f t="array" ref="Q424">IF($A424="","", IFERROR(INDEX('BM Data'!$J:$J,MATCH($J424&amp; "-" &amp; $N424,'BM Data'!$O:$O,0),1),""))</f>
        <v/>
      </c>
    </row>
    <row r="425">
      <c r="A425" s="10" t="str">
        <f>IFERROR(__xludf.DUMMYFUNCTION("""COMPUTED_VALUE"""),"")</f>
        <v/>
      </c>
      <c r="B425" s="3" t="str">
        <f>IFERROR(__xludf.DUMMYFUNCTION("""COMPUTED_VALUE"""),"")</f>
        <v/>
      </c>
      <c r="C425" s="11" t="str">
        <f>IFERROR(__xludf.DUMMYFUNCTION("""COMPUTED_VALUE"""),"")</f>
        <v/>
      </c>
      <c r="D425" s="11" t="str">
        <f>IFERROR(__xludf.DUMMYFUNCTION("""COMPUTED_VALUE"""),"")</f>
        <v/>
      </c>
      <c r="E425" s="11" t="str">
        <f>IFERROR(__xludf.DUMMYFUNCTION("""COMPUTED_VALUE"""),"")</f>
        <v/>
      </c>
      <c r="F425" s="11" t="str">
        <f>IFERROR(__xludf.DUMMYFUNCTION("""COMPUTED_VALUE"""),"")</f>
        <v/>
      </c>
      <c r="G425" s="11" t="str">
        <f>IFERROR(__xludf.DUMMYFUNCTION("""COMPUTED_VALUE"""),"")</f>
        <v/>
      </c>
      <c r="H425" s="12" t="str">
        <f>IFERROR(__xludf.DUMMYFUNCTION("""COMPUTED_VALUE"""),"")</f>
        <v/>
      </c>
      <c r="I425" s="12" t="str">
        <f>IFERROR(__xludf.DUMMYFUNCTION("""COMPUTED_VALUE"""),"")</f>
        <v/>
      </c>
      <c r="J425" s="13" t="str">
        <f t="shared" si="1"/>
        <v/>
      </c>
      <c r="K425" s="12" t="str">
        <f>IFERROR(IF(A425="","",if($G425="",Reference!$J$2, VLOOKUP($G425,Reference!$I$2:$J$1000,2,false))),"")</f>
        <v/>
      </c>
      <c r="L425" s="12" t="str">
        <f>IF(A425="","", IF(F425="",Reference!$M$2,F425))</f>
        <v/>
      </c>
      <c r="M425" s="14" t="str">
        <f t="shared" si="2"/>
        <v/>
      </c>
      <c r="N425" s="15" t="str">
        <f t="shared" si="3"/>
        <v/>
      </c>
      <c r="O425" s="14" t="str">
        <f t="shared" si="4"/>
        <v/>
      </c>
      <c r="P425" s="16" t="str">
        <f t="array" ref="P425">IF($A425="","", IFERROR(INDEX('BM Data'!$N:$N,MATCH($J425&amp; "-" &amp; $N425,'BM Data'!$O:$O,0),1),""))</f>
        <v/>
      </c>
      <c r="Q425" s="16" t="str">
        <f t="array" ref="Q425">IF($A425="","", IFERROR(INDEX('BM Data'!$J:$J,MATCH($J425&amp; "-" &amp; $N425,'BM Data'!$O:$O,0),1),""))</f>
        <v/>
      </c>
    </row>
    <row r="426">
      <c r="A426" s="10" t="str">
        <f>IFERROR(__xludf.DUMMYFUNCTION("""COMPUTED_VALUE"""),"")</f>
        <v/>
      </c>
      <c r="B426" s="3" t="str">
        <f>IFERROR(__xludf.DUMMYFUNCTION("""COMPUTED_VALUE"""),"")</f>
        <v/>
      </c>
      <c r="C426" s="11" t="str">
        <f>IFERROR(__xludf.DUMMYFUNCTION("""COMPUTED_VALUE"""),"")</f>
        <v/>
      </c>
      <c r="D426" s="11" t="str">
        <f>IFERROR(__xludf.DUMMYFUNCTION("""COMPUTED_VALUE"""),"")</f>
        <v/>
      </c>
      <c r="E426" s="11" t="str">
        <f>IFERROR(__xludf.DUMMYFUNCTION("""COMPUTED_VALUE"""),"")</f>
        <v/>
      </c>
      <c r="F426" s="11" t="str">
        <f>IFERROR(__xludf.DUMMYFUNCTION("""COMPUTED_VALUE"""),"")</f>
        <v/>
      </c>
      <c r="G426" s="11" t="str">
        <f>IFERROR(__xludf.DUMMYFUNCTION("""COMPUTED_VALUE"""),"")</f>
        <v/>
      </c>
      <c r="H426" s="12" t="str">
        <f>IFERROR(__xludf.DUMMYFUNCTION("""COMPUTED_VALUE"""),"")</f>
        <v/>
      </c>
      <c r="I426" s="12" t="str">
        <f>IFERROR(__xludf.DUMMYFUNCTION("""COMPUTED_VALUE"""),"")</f>
        <v/>
      </c>
      <c r="J426" s="13" t="str">
        <f t="shared" si="1"/>
        <v/>
      </c>
      <c r="K426" s="12" t="str">
        <f>IFERROR(IF(A426="","",if($G426="",Reference!$J$2, VLOOKUP($G426,Reference!$I$2:$J$1000,2,false))),"")</f>
        <v/>
      </c>
      <c r="L426" s="12" t="str">
        <f>IF(A426="","", IF(F426="",Reference!$M$2,F426))</f>
        <v/>
      </c>
      <c r="M426" s="14" t="str">
        <f t="shared" si="2"/>
        <v/>
      </c>
      <c r="N426" s="15" t="str">
        <f t="shared" si="3"/>
        <v/>
      </c>
      <c r="O426" s="14" t="str">
        <f t="shared" si="4"/>
        <v/>
      </c>
      <c r="P426" s="16" t="str">
        <f t="array" ref="P426">IF($A426="","", IFERROR(INDEX('BM Data'!$N:$N,MATCH($J426&amp; "-" &amp; $N426,'BM Data'!$O:$O,0),1),""))</f>
        <v/>
      </c>
      <c r="Q426" s="16" t="str">
        <f t="array" ref="Q426">IF($A426="","", IFERROR(INDEX('BM Data'!$J:$J,MATCH($J426&amp; "-" &amp; $N426,'BM Data'!$O:$O,0),1),""))</f>
        <v/>
      </c>
    </row>
    <row r="427">
      <c r="A427" s="10" t="str">
        <f>IFERROR(__xludf.DUMMYFUNCTION("""COMPUTED_VALUE"""),"")</f>
        <v/>
      </c>
      <c r="B427" s="3" t="str">
        <f>IFERROR(__xludf.DUMMYFUNCTION("""COMPUTED_VALUE"""),"")</f>
        <v/>
      </c>
      <c r="C427" s="11" t="str">
        <f>IFERROR(__xludf.DUMMYFUNCTION("""COMPUTED_VALUE"""),"")</f>
        <v/>
      </c>
      <c r="D427" s="11" t="str">
        <f>IFERROR(__xludf.DUMMYFUNCTION("""COMPUTED_VALUE"""),"")</f>
        <v/>
      </c>
      <c r="E427" s="11" t="str">
        <f>IFERROR(__xludf.DUMMYFUNCTION("""COMPUTED_VALUE"""),"")</f>
        <v/>
      </c>
      <c r="F427" s="11" t="str">
        <f>IFERROR(__xludf.DUMMYFUNCTION("""COMPUTED_VALUE"""),"")</f>
        <v/>
      </c>
      <c r="G427" s="11" t="str">
        <f>IFERROR(__xludf.DUMMYFUNCTION("""COMPUTED_VALUE"""),"")</f>
        <v/>
      </c>
      <c r="H427" s="12" t="str">
        <f>IFERROR(__xludf.DUMMYFUNCTION("""COMPUTED_VALUE"""),"")</f>
        <v/>
      </c>
      <c r="I427" s="12" t="str">
        <f>IFERROR(__xludf.DUMMYFUNCTION("""COMPUTED_VALUE"""),"")</f>
        <v/>
      </c>
      <c r="J427" s="13" t="str">
        <f t="shared" si="1"/>
        <v/>
      </c>
      <c r="K427" s="12" t="str">
        <f>IFERROR(IF(A427="","",if($G427="",Reference!$J$2, VLOOKUP($G427,Reference!$I$2:$J$1000,2,false))),"")</f>
        <v/>
      </c>
      <c r="L427" s="12" t="str">
        <f>IF(A427="","", IF(F427="",Reference!$M$2,F427))</f>
        <v/>
      </c>
      <c r="M427" s="14" t="str">
        <f t="shared" si="2"/>
        <v/>
      </c>
      <c r="N427" s="15" t="str">
        <f t="shared" si="3"/>
        <v/>
      </c>
      <c r="O427" s="14" t="str">
        <f t="shared" si="4"/>
        <v/>
      </c>
      <c r="P427" s="16" t="str">
        <f t="array" ref="P427">IF($A427="","", IFERROR(INDEX('BM Data'!$N:$N,MATCH($J427&amp; "-" &amp; $N427,'BM Data'!$O:$O,0),1),""))</f>
        <v/>
      </c>
      <c r="Q427" s="16" t="str">
        <f t="array" ref="Q427">IF($A427="","", IFERROR(INDEX('BM Data'!$J:$J,MATCH($J427&amp; "-" &amp; $N427,'BM Data'!$O:$O,0),1),""))</f>
        <v/>
      </c>
    </row>
    <row r="428">
      <c r="A428" s="10" t="str">
        <f>IFERROR(__xludf.DUMMYFUNCTION("""COMPUTED_VALUE"""),"")</f>
        <v/>
      </c>
      <c r="B428" s="3" t="str">
        <f>IFERROR(__xludf.DUMMYFUNCTION("""COMPUTED_VALUE"""),"")</f>
        <v/>
      </c>
      <c r="C428" s="11" t="str">
        <f>IFERROR(__xludf.DUMMYFUNCTION("""COMPUTED_VALUE"""),"")</f>
        <v/>
      </c>
      <c r="D428" s="11" t="str">
        <f>IFERROR(__xludf.DUMMYFUNCTION("""COMPUTED_VALUE"""),"")</f>
        <v/>
      </c>
      <c r="E428" s="11" t="str">
        <f>IFERROR(__xludf.DUMMYFUNCTION("""COMPUTED_VALUE"""),"")</f>
        <v/>
      </c>
      <c r="F428" s="11" t="str">
        <f>IFERROR(__xludf.DUMMYFUNCTION("""COMPUTED_VALUE"""),"")</f>
        <v/>
      </c>
      <c r="G428" s="11" t="str">
        <f>IFERROR(__xludf.DUMMYFUNCTION("""COMPUTED_VALUE"""),"")</f>
        <v/>
      </c>
      <c r="H428" s="12" t="str">
        <f>IFERROR(__xludf.DUMMYFUNCTION("""COMPUTED_VALUE"""),"")</f>
        <v/>
      </c>
      <c r="I428" s="12" t="str">
        <f>IFERROR(__xludf.DUMMYFUNCTION("""COMPUTED_VALUE"""),"")</f>
        <v/>
      </c>
      <c r="J428" s="13" t="str">
        <f t="shared" si="1"/>
        <v/>
      </c>
      <c r="K428" s="12" t="str">
        <f>IFERROR(IF(A428="","",if($G428="",Reference!$J$2, VLOOKUP($G428,Reference!$I$2:$J$1000,2,false))),"")</f>
        <v/>
      </c>
      <c r="L428" s="12" t="str">
        <f>IF(A428="","", IF(F428="",Reference!$M$2,F428))</f>
        <v/>
      </c>
      <c r="M428" s="14" t="str">
        <f t="shared" si="2"/>
        <v/>
      </c>
      <c r="N428" s="15" t="str">
        <f t="shared" si="3"/>
        <v/>
      </c>
      <c r="O428" s="14" t="str">
        <f t="shared" si="4"/>
        <v/>
      </c>
      <c r="P428" s="16" t="str">
        <f t="array" ref="P428">IF($A428="","", IFERROR(INDEX('BM Data'!$N:$N,MATCH($J428&amp; "-" &amp; $N428,'BM Data'!$O:$O,0),1),""))</f>
        <v/>
      </c>
      <c r="Q428" s="16" t="str">
        <f t="array" ref="Q428">IF($A428="","", IFERROR(INDEX('BM Data'!$J:$J,MATCH($J428&amp; "-" &amp; $N428,'BM Data'!$O:$O,0),1),""))</f>
        <v/>
      </c>
    </row>
    <row r="429">
      <c r="A429" s="10" t="str">
        <f>IFERROR(__xludf.DUMMYFUNCTION("""COMPUTED_VALUE"""),"")</f>
        <v/>
      </c>
      <c r="B429" s="3" t="str">
        <f>IFERROR(__xludf.DUMMYFUNCTION("""COMPUTED_VALUE"""),"")</f>
        <v/>
      </c>
      <c r="C429" s="11" t="str">
        <f>IFERROR(__xludf.DUMMYFUNCTION("""COMPUTED_VALUE"""),"")</f>
        <v/>
      </c>
      <c r="D429" s="11" t="str">
        <f>IFERROR(__xludf.DUMMYFUNCTION("""COMPUTED_VALUE"""),"")</f>
        <v/>
      </c>
      <c r="E429" s="11" t="str">
        <f>IFERROR(__xludf.DUMMYFUNCTION("""COMPUTED_VALUE"""),"")</f>
        <v/>
      </c>
      <c r="F429" s="11" t="str">
        <f>IFERROR(__xludf.DUMMYFUNCTION("""COMPUTED_VALUE"""),"")</f>
        <v/>
      </c>
      <c r="G429" s="11" t="str">
        <f>IFERROR(__xludf.DUMMYFUNCTION("""COMPUTED_VALUE"""),"")</f>
        <v/>
      </c>
      <c r="H429" s="12" t="str">
        <f>IFERROR(__xludf.DUMMYFUNCTION("""COMPUTED_VALUE"""),"")</f>
        <v/>
      </c>
      <c r="I429" s="12" t="str">
        <f>IFERROR(__xludf.DUMMYFUNCTION("""COMPUTED_VALUE"""),"")</f>
        <v/>
      </c>
      <c r="J429" s="13" t="str">
        <f t="shared" si="1"/>
        <v/>
      </c>
      <c r="K429" s="12" t="str">
        <f>IFERROR(IF(A429="","",if($G429="",Reference!$J$2, VLOOKUP($G429,Reference!$I$2:$J$1000,2,false))),"")</f>
        <v/>
      </c>
      <c r="L429" s="12" t="str">
        <f>IF(A429="","", IF(F429="",Reference!$M$2,F429))</f>
        <v/>
      </c>
      <c r="M429" s="14" t="str">
        <f t="shared" si="2"/>
        <v/>
      </c>
      <c r="N429" s="15" t="str">
        <f t="shared" si="3"/>
        <v/>
      </c>
      <c r="O429" s="14" t="str">
        <f t="shared" si="4"/>
        <v/>
      </c>
      <c r="P429" s="16" t="str">
        <f t="array" ref="P429">IF($A429="","", IFERROR(INDEX('BM Data'!$N:$N,MATCH($J429&amp; "-" &amp; $N429,'BM Data'!$O:$O,0),1),""))</f>
        <v/>
      </c>
      <c r="Q429" s="16" t="str">
        <f t="array" ref="Q429">IF($A429="","", IFERROR(INDEX('BM Data'!$J:$J,MATCH($J429&amp; "-" &amp; $N429,'BM Data'!$O:$O,0),1),""))</f>
        <v/>
      </c>
    </row>
    <row r="430">
      <c r="A430" s="10" t="str">
        <f>IFERROR(__xludf.DUMMYFUNCTION("""COMPUTED_VALUE"""),"")</f>
        <v/>
      </c>
      <c r="B430" s="3" t="str">
        <f>IFERROR(__xludf.DUMMYFUNCTION("""COMPUTED_VALUE"""),"")</f>
        <v/>
      </c>
      <c r="C430" s="11" t="str">
        <f>IFERROR(__xludf.DUMMYFUNCTION("""COMPUTED_VALUE"""),"")</f>
        <v/>
      </c>
      <c r="D430" s="11" t="str">
        <f>IFERROR(__xludf.DUMMYFUNCTION("""COMPUTED_VALUE"""),"")</f>
        <v/>
      </c>
      <c r="E430" s="11" t="str">
        <f>IFERROR(__xludf.DUMMYFUNCTION("""COMPUTED_VALUE"""),"")</f>
        <v/>
      </c>
      <c r="F430" s="11" t="str">
        <f>IFERROR(__xludf.DUMMYFUNCTION("""COMPUTED_VALUE"""),"")</f>
        <v/>
      </c>
      <c r="G430" s="11" t="str">
        <f>IFERROR(__xludf.DUMMYFUNCTION("""COMPUTED_VALUE"""),"")</f>
        <v/>
      </c>
      <c r="H430" s="12" t="str">
        <f>IFERROR(__xludf.DUMMYFUNCTION("""COMPUTED_VALUE"""),"")</f>
        <v/>
      </c>
      <c r="I430" s="12" t="str">
        <f>IFERROR(__xludf.DUMMYFUNCTION("""COMPUTED_VALUE"""),"")</f>
        <v/>
      </c>
      <c r="J430" s="13" t="str">
        <f t="shared" si="1"/>
        <v/>
      </c>
      <c r="K430" s="12" t="str">
        <f>IFERROR(IF(A430="","",if($G430="",Reference!$J$2, VLOOKUP($G430,Reference!$I$2:$J$1000,2,false))),"")</f>
        <v/>
      </c>
      <c r="L430" s="12" t="str">
        <f>IF(A430="","", IF(F430="",Reference!$M$2,F430))</f>
        <v/>
      </c>
      <c r="M430" s="14" t="str">
        <f t="shared" si="2"/>
        <v/>
      </c>
      <c r="N430" s="15" t="str">
        <f t="shared" si="3"/>
        <v/>
      </c>
      <c r="O430" s="14" t="str">
        <f t="shared" si="4"/>
        <v/>
      </c>
      <c r="P430" s="16" t="str">
        <f t="array" ref="P430">IF($A430="","", IFERROR(INDEX('BM Data'!$N:$N,MATCH($J430&amp; "-" &amp; $N430,'BM Data'!$O:$O,0),1),""))</f>
        <v/>
      </c>
      <c r="Q430" s="16" t="str">
        <f t="array" ref="Q430">IF($A430="","", IFERROR(INDEX('BM Data'!$J:$J,MATCH($J430&amp; "-" &amp; $N430,'BM Data'!$O:$O,0),1),""))</f>
        <v/>
      </c>
    </row>
    <row r="431">
      <c r="A431" s="10" t="str">
        <f>IFERROR(__xludf.DUMMYFUNCTION("""COMPUTED_VALUE"""),"")</f>
        <v/>
      </c>
      <c r="B431" s="3" t="str">
        <f>IFERROR(__xludf.DUMMYFUNCTION("""COMPUTED_VALUE"""),"")</f>
        <v/>
      </c>
      <c r="C431" s="11" t="str">
        <f>IFERROR(__xludf.DUMMYFUNCTION("""COMPUTED_VALUE"""),"")</f>
        <v/>
      </c>
      <c r="D431" s="11" t="str">
        <f>IFERROR(__xludf.DUMMYFUNCTION("""COMPUTED_VALUE"""),"")</f>
        <v/>
      </c>
      <c r="E431" s="11" t="str">
        <f>IFERROR(__xludf.DUMMYFUNCTION("""COMPUTED_VALUE"""),"")</f>
        <v/>
      </c>
      <c r="F431" s="11" t="str">
        <f>IFERROR(__xludf.DUMMYFUNCTION("""COMPUTED_VALUE"""),"")</f>
        <v/>
      </c>
      <c r="G431" s="11" t="str">
        <f>IFERROR(__xludf.DUMMYFUNCTION("""COMPUTED_VALUE"""),"")</f>
        <v/>
      </c>
      <c r="H431" s="12" t="str">
        <f>IFERROR(__xludf.DUMMYFUNCTION("""COMPUTED_VALUE"""),"")</f>
        <v/>
      </c>
      <c r="I431" s="12" t="str">
        <f>IFERROR(__xludf.DUMMYFUNCTION("""COMPUTED_VALUE"""),"")</f>
        <v/>
      </c>
      <c r="J431" s="13" t="str">
        <f t="shared" si="1"/>
        <v/>
      </c>
      <c r="K431" s="12" t="str">
        <f>IFERROR(IF(A431="","",if($G431="",Reference!$J$2, VLOOKUP($G431,Reference!$I$2:$J$1000,2,false))),"")</f>
        <v/>
      </c>
      <c r="L431" s="12" t="str">
        <f>IF(A431="","", IF(F431="",Reference!$M$2,F431))</f>
        <v/>
      </c>
      <c r="M431" s="14" t="str">
        <f t="shared" si="2"/>
        <v/>
      </c>
      <c r="N431" s="15" t="str">
        <f t="shared" si="3"/>
        <v/>
      </c>
      <c r="O431" s="14" t="str">
        <f t="shared" si="4"/>
        <v/>
      </c>
      <c r="P431" s="16" t="str">
        <f t="array" ref="P431">IF($A431="","", IFERROR(INDEX('BM Data'!$N:$N,MATCH($J431&amp; "-" &amp; $N431,'BM Data'!$O:$O,0),1),""))</f>
        <v/>
      </c>
      <c r="Q431" s="16" t="str">
        <f t="array" ref="Q431">IF($A431="","", IFERROR(INDEX('BM Data'!$J:$J,MATCH($J431&amp; "-" &amp; $N431,'BM Data'!$O:$O,0),1),""))</f>
        <v/>
      </c>
    </row>
    <row r="432">
      <c r="A432" s="10" t="str">
        <f>IFERROR(__xludf.DUMMYFUNCTION("""COMPUTED_VALUE"""),"")</f>
        <v/>
      </c>
      <c r="B432" s="3" t="str">
        <f>IFERROR(__xludf.DUMMYFUNCTION("""COMPUTED_VALUE"""),"")</f>
        <v/>
      </c>
      <c r="C432" s="11" t="str">
        <f>IFERROR(__xludf.DUMMYFUNCTION("""COMPUTED_VALUE"""),"")</f>
        <v/>
      </c>
      <c r="D432" s="11" t="str">
        <f>IFERROR(__xludf.DUMMYFUNCTION("""COMPUTED_VALUE"""),"")</f>
        <v/>
      </c>
      <c r="E432" s="11" t="str">
        <f>IFERROR(__xludf.DUMMYFUNCTION("""COMPUTED_VALUE"""),"")</f>
        <v/>
      </c>
      <c r="F432" s="11" t="str">
        <f>IFERROR(__xludf.DUMMYFUNCTION("""COMPUTED_VALUE"""),"")</f>
        <v/>
      </c>
      <c r="G432" s="11" t="str">
        <f>IFERROR(__xludf.DUMMYFUNCTION("""COMPUTED_VALUE"""),"")</f>
        <v/>
      </c>
      <c r="H432" s="12" t="str">
        <f>IFERROR(__xludf.DUMMYFUNCTION("""COMPUTED_VALUE"""),"")</f>
        <v/>
      </c>
      <c r="I432" s="12" t="str">
        <f>IFERROR(__xludf.DUMMYFUNCTION("""COMPUTED_VALUE"""),"")</f>
        <v/>
      </c>
      <c r="J432" s="13" t="str">
        <f t="shared" si="1"/>
        <v/>
      </c>
      <c r="K432" s="12" t="str">
        <f>IFERROR(IF(A432="","",if($G432="",Reference!$J$2, VLOOKUP($G432,Reference!$I$2:$J$1000,2,false))),"")</f>
        <v/>
      </c>
      <c r="L432" s="12" t="str">
        <f>IF(A432="","", IF(F432="",Reference!$M$2,F432))</f>
        <v/>
      </c>
      <c r="M432" s="14" t="str">
        <f t="shared" si="2"/>
        <v/>
      </c>
      <c r="N432" s="15" t="str">
        <f t="shared" si="3"/>
        <v/>
      </c>
      <c r="O432" s="14" t="str">
        <f t="shared" si="4"/>
        <v/>
      </c>
      <c r="P432" s="16" t="str">
        <f t="array" ref="P432">IF($A432="","", IFERROR(INDEX('BM Data'!$N:$N,MATCH($J432&amp; "-" &amp; $N432,'BM Data'!$O:$O,0),1),""))</f>
        <v/>
      </c>
      <c r="Q432" s="16" t="str">
        <f t="array" ref="Q432">IF($A432="","", IFERROR(INDEX('BM Data'!$J:$J,MATCH($J432&amp; "-" &amp; $N432,'BM Data'!$O:$O,0),1),""))</f>
        <v/>
      </c>
    </row>
    <row r="433">
      <c r="A433" s="10" t="str">
        <f>IFERROR(__xludf.DUMMYFUNCTION("""COMPUTED_VALUE"""),"")</f>
        <v/>
      </c>
      <c r="B433" s="3" t="str">
        <f>IFERROR(__xludf.DUMMYFUNCTION("""COMPUTED_VALUE"""),"")</f>
        <v/>
      </c>
      <c r="C433" s="11" t="str">
        <f>IFERROR(__xludf.DUMMYFUNCTION("""COMPUTED_VALUE"""),"")</f>
        <v/>
      </c>
      <c r="D433" s="11" t="str">
        <f>IFERROR(__xludf.DUMMYFUNCTION("""COMPUTED_VALUE"""),"")</f>
        <v/>
      </c>
      <c r="E433" s="11" t="str">
        <f>IFERROR(__xludf.DUMMYFUNCTION("""COMPUTED_VALUE"""),"")</f>
        <v/>
      </c>
      <c r="F433" s="11" t="str">
        <f>IFERROR(__xludf.DUMMYFUNCTION("""COMPUTED_VALUE"""),"")</f>
        <v/>
      </c>
      <c r="G433" s="11" t="str">
        <f>IFERROR(__xludf.DUMMYFUNCTION("""COMPUTED_VALUE"""),"")</f>
        <v/>
      </c>
      <c r="H433" s="12" t="str">
        <f>IFERROR(__xludf.DUMMYFUNCTION("""COMPUTED_VALUE"""),"")</f>
        <v/>
      </c>
      <c r="I433" s="12" t="str">
        <f>IFERROR(__xludf.DUMMYFUNCTION("""COMPUTED_VALUE"""),"")</f>
        <v/>
      </c>
      <c r="J433" s="13" t="str">
        <f t="shared" si="1"/>
        <v/>
      </c>
      <c r="K433" s="12" t="str">
        <f>IFERROR(IF(A433="","",if($G433="",Reference!$J$2, VLOOKUP($G433,Reference!$I$2:$J$1000,2,false))),"")</f>
        <v/>
      </c>
      <c r="L433" s="12" t="str">
        <f>IF(A433="","", IF(F433="",Reference!$M$2,F433))</f>
        <v/>
      </c>
      <c r="M433" s="14" t="str">
        <f t="shared" si="2"/>
        <v/>
      </c>
      <c r="N433" s="15" t="str">
        <f t="shared" si="3"/>
        <v/>
      </c>
      <c r="O433" s="14" t="str">
        <f t="shared" si="4"/>
        <v/>
      </c>
      <c r="P433" s="16" t="str">
        <f t="array" ref="P433">IF($A433="","", IFERROR(INDEX('BM Data'!$N:$N,MATCH($J433&amp; "-" &amp; $N433,'BM Data'!$O:$O,0),1),""))</f>
        <v/>
      </c>
      <c r="Q433" s="16" t="str">
        <f t="array" ref="Q433">IF($A433="","", IFERROR(INDEX('BM Data'!$J:$J,MATCH($J433&amp; "-" &amp; $N433,'BM Data'!$O:$O,0),1),""))</f>
        <v/>
      </c>
    </row>
    <row r="434">
      <c r="A434" s="10" t="str">
        <f>IFERROR(__xludf.DUMMYFUNCTION("""COMPUTED_VALUE"""),"")</f>
        <v/>
      </c>
      <c r="B434" s="3" t="str">
        <f>IFERROR(__xludf.DUMMYFUNCTION("""COMPUTED_VALUE"""),"")</f>
        <v/>
      </c>
      <c r="C434" s="11" t="str">
        <f>IFERROR(__xludf.DUMMYFUNCTION("""COMPUTED_VALUE"""),"")</f>
        <v/>
      </c>
      <c r="D434" s="11" t="str">
        <f>IFERROR(__xludf.DUMMYFUNCTION("""COMPUTED_VALUE"""),"")</f>
        <v/>
      </c>
      <c r="E434" s="11" t="str">
        <f>IFERROR(__xludf.DUMMYFUNCTION("""COMPUTED_VALUE"""),"")</f>
        <v/>
      </c>
      <c r="F434" s="11" t="str">
        <f>IFERROR(__xludf.DUMMYFUNCTION("""COMPUTED_VALUE"""),"")</f>
        <v/>
      </c>
      <c r="G434" s="11" t="str">
        <f>IFERROR(__xludf.DUMMYFUNCTION("""COMPUTED_VALUE"""),"")</f>
        <v/>
      </c>
      <c r="H434" s="12" t="str">
        <f>IFERROR(__xludf.DUMMYFUNCTION("""COMPUTED_VALUE"""),"")</f>
        <v/>
      </c>
      <c r="I434" s="12" t="str">
        <f>IFERROR(__xludf.DUMMYFUNCTION("""COMPUTED_VALUE"""),"")</f>
        <v/>
      </c>
      <c r="J434" s="13" t="str">
        <f t="shared" si="1"/>
        <v/>
      </c>
      <c r="K434" s="12" t="str">
        <f>IFERROR(IF(A434="","",if($G434="",Reference!$J$2, VLOOKUP($G434,Reference!$I$2:$J$1000,2,false))),"")</f>
        <v/>
      </c>
      <c r="L434" s="12" t="str">
        <f>IF(A434="","", IF(F434="",Reference!$M$2,F434))</f>
        <v/>
      </c>
      <c r="M434" s="14" t="str">
        <f t="shared" si="2"/>
        <v/>
      </c>
      <c r="N434" s="15" t="str">
        <f t="shared" si="3"/>
        <v/>
      </c>
      <c r="O434" s="14" t="str">
        <f t="shared" si="4"/>
        <v/>
      </c>
      <c r="P434" s="16" t="str">
        <f t="array" ref="P434">IF($A434="","", IFERROR(INDEX('BM Data'!$N:$N,MATCH($J434&amp; "-" &amp; $N434,'BM Data'!$O:$O,0),1),""))</f>
        <v/>
      </c>
      <c r="Q434" s="16" t="str">
        <f t="array" ref="Q434">IF($A434="","", IFERROR(INDEX('BM Data'!$J:$J,MATCH($J434&amp; "-" &amp; $N434,'BM Data'!$O:$O,0),1),""))</f>
        <v/>
      </c>
    </row>
    <row r="435">
      <c r="A435" s="10" t="str">
        <f>IFERROR(__xludf.DUMMYFUNCTION("""COMPUTED_VALUE"""),"")</f>
        <v/>
      </c>
      <c r="B435" s="3" t="str">
        <f>IFERROR(__xludf.DUMMYFUNCTION("""COMPUTED_VALUE"""),"")</f>
        <v/>
      </c>
      <c r="C435" s="11" t="str">
        <f>IFERROR(__xludf.DUMMYFUNCTION("""COMPUTED_VALUE"""),"")</f>
        <v/>
      </c>
      <c r="D435" s="11" t="str">
        <f>IFERROR(__xludf.DUMMYFUNCTION("""COMPUTED_VALUE"""),"")</f>
        <v/>
      </c>
      <c r="E435" s="11" t="str">
        <f>IFERROR(__xludf.DUMMYFUNCTION("""COMPUTED_VALUE"""),"")</f>
        <v/>
      </c>
      <c r="F435" s="11" t="str">
        <f>IFERROR(__xludf.DUMMYFUNCTION("""COMPUTED_VALUE"""),"")</f>
        <v/>
      </c>
      <c r="G435" s="11" t="str">
        <f>IFERROR(__xludf.DUMMYFUNCTION("""COMPUTED_VALUE"""),"")</f>
        <v/>
      </c>
      <c r="H435" s="12" t="str">
        <f>IFERROR(__xludf.DUMMYFUNCTION("""COMPUTED_VALUE"""),"")</f>
        <v/>
      </c>
      <c r="I435" s="12" t="str">
        <f>IFERROR(__xludf.DUMMYFUNCTION("""COMPUTED_VALUE"""),"")</f>
        <v/>
      </c>
      <c r="J435" s="13" t="str">
        <f t="shared" si="1"/>
        <v/>
      </c>
      <c r="K435" s="12" t="str">
        <f>IFERROR(IF(A435="","",if($G435="",Reference!$J$2, VLOOKUP($G435,Reference!$I$2:$J$1000,2,false))),"")</f>
        <v/>
      </c>
      <c r="L435" s="12" t="str">
        <f>IF(A435="","", IF(F435="",Reference!$M$2,F435))</f>
        <v/>
      </c>
      <c r="M435" s="14" t="str">
        <f t="shared" si="2"/>
        <v/>
      </c>
      <c r="N435" s="15" t="str">
        <f t="shared" si="3"/>
        <v/>
      </c>
      <c r="O435" s="14" t="str">
        <f t="shared" si="4"/>
        <v/>
      </c>
      <c r="P435" s="16" t="str">
        <f t="array" ref="P435">IF($A435="","", IFERROR(INDEX('BM Data'!$N:$N,MATCH($J435&amp; "-" &amp; $N435,'BM Data'!$O:$O,0),1),""))</f>
        <v/>
      </c>
      <c r="Q435" s="16" t="str">
        <f t="array" ref="Q435">IF($A435="","", IFERROR(INDEX('BM Data'!$J:$J,MATCH($J435&amp; "-" &amp; $N435,'BM Data'!$O:$O,0),1),""))</f>
        <v/>
      </c>
    </row>
    <row r="436">
      <c r="A436" s="10" t="str">
        <f>IFERROR(__xludf.DUMMYFUNCTION("""COMPUTED_VALUE"""),"")</f>
        <v/>
      </c>
      <c r="B436" s="3" t="str">
        <f>IFERROR(__xludf.DUMMYFUNCTION("""COMPUTED_VALUE"""),"")</f>
        <v/>
      </c>
      <c r="C436" s="11" t="str">
        <f>IFERROR(__xludf.DUMMYFUNCTION("""COMPUTED_VALUE"""),"")</f>
        <v/>
      </c>
      <c r="D436" s="11" t="str">
        <f>IFERROR(__xludf.DUMMYFUNCTION("""COMPUTED_VALUE"""),"")</f>
        <v/>
      </c>
      <c r="E436" s="11" t="str">
        <f>IFERROR(__xludf.DUMMYFUNCTION("""COMPUTED_VALUE"""),"")</f>
        <v/>
      </c>
      <c r="F436" s="11" t="str">
        <f>IFERROR(__xludf.DUMMYFUNCTION("""COMPUTED_VALUE"""),"")</f>
        <v/>
      </c>
      <c r="G436" s="11" t="str">
        <f>IFERROR(__xludf.DUMMYFUNCTION("""COMPUTED_VALUE"""),"")</f>
        <v/>
      </c>
      <c r="H436" s="12" t="str">
        <f>IFERROR(__xludf.DUMMYFUNCTION("""COMPUTED_VALUE"""),"")</f>
        <v/>
      </c>
      <c r="I436" s="12" t="str">
        <f>IFERROR(__xludf.DUMMYFUNCTION("""COMPUTED_VALUE"""),"")</f>
        <v/>
      </c>
      <c r="J436" s="13" t="str">
        <f t="shared" si="1"/>
        <v/>
      </c>
      <c r="K436" s="12" t="str">
        <f>IFERROR(IF(A436="","",if($G436="",Reference!$J$2, VLOOKUP($G436,Reference!$I$2:$J$1000,2,false))),"")</f>
        <v/>
      </c>
      <c r="L436" s="12" t="str">
        <f>IF(A436="","", IF(F436="",Reference!$M$2,F436))</f>
        <v/>
      </c>
      <c r="M436" s="14" t="str">
        <f t="shared" si="2"/>
        <v/>
      </c>
      <c r="N436" s="15" t="str">
        <f t="shared" si="3"/>
        <v/>
      </c>
      <c r="O436" s="14" t="str">
        <f t="shared" si="4"/>
        <v/>
      </c>
      <c r="P436" s="16" t="str">
        <f t="array" ref="P436">IF($A436="","", IFERROR(INDEX('BM Data'!$N:$N,MATCH($J436&amp; "-" &amp; $N436,'BM Data'!$O:$O,0),1),""))</f>
        <v/>
      </c>
      <c r="Q436" s="16" t="str">
        <f t="array" ref="Q436">IF($A436="","", IFERROR(INDEX('BM Data'!$J:$J,MATCH($J436&amp; "-" &amp; $N436,'BM Data'!$O:$O,0),1),""))</f>
        <v/>
      </c>
    </row>
    <row r="437">
      <c r="A437" s="10" t="str">
        <f>IFERROR(__xludf.DUMMYFUNCTION("""COMPUTED_VALUE"""),"")</f>
        <v/>
      </c>
      <c r="B437" s="3" t="str">
        <f>IFERROR(__xludf.DUMMYFUNCTION("""COMPUTED_VALUE"""),"")</f>
        <v/>
      </c>
      <c r="C437" s="11" t="str">
        <f>IFERROR(__xludf.DUMMYFUNCTION("""COMPUTED_VALUE"""),"")</f>
        <v/>
      </c>
      <c r="D437" s="11" t="str">
        <f>IFERROR(__xludf.DUMMYFUNCTION("""COMPUTED_VALUE"""),"")</f>
        <v/>
      </c>
      <c r="E437" s="11" t="str">
        <f>IFERROR(__xludf.DUMMYFUNCTION("""COMPUTED_VALUE"""),"")</f>
        <v/>
      </c>
      <c r="F437" s="11" t="str">
        <f>IFERROR(__xludf.DUMMYFUNCTION("""COMPUTED_VALUE"""),"")</f>
        <v/>
      </c>
      <c r="G437" s="11" t="str">
        <f>IFERROR(__xludf.DUMMYFUNCTION("""COMPUTED_VALUE"""),"")</f>
        <v/>
      </c>
      <c r="H437" s="12" t="str">
        <f>IFERROR(__xludf.DUMMYFUNCTION("""COMPUTED_VALUE"""),"")</f>
        <v/>
      </c>
      <c r="I437" s="12" t="str">
        <f>IFERROR(__xludf.DUMMYFUNCTION("""COMPUTED_VALUE"""),"")</f>
        <v/>
      </c>
      <c r="J437" s="13" t="str">
        <f t="shared" si="1"/>
        <v/>
      </c>
      <c r="K437" s="12" t="str">
        <f>IFERROR(IF(A437="","",if($G437="",Reference!$J$2, VLOOKUP($G437,Reference!$I$2:$J$1000,2,false))),"")</f>
        <v/>
      </c>
      <c r="L437" s="12" t="str">
        <f>IF(A437="","", IF(F437="",Reference!$M$2,F437))</f>
        <v/>
      </c>
      <c r="M437" s="14" t="str">
        <f t="shared" si="2"/>
        <v/>
      </c>
      <c r="N437" s="15" t="str">
        <f t="shared" si="3"/>
        <v/>
      </c>
      <c r="O437" s="14" t="str">
        <f t="shared" si="4"/>
        <v/>
      </c>
      <c r="P437" s="16" t="str">
        <f t="array" ref="P437">IF($A437="","", IFERROR(INDEX('BM Data'!$N:$N,MATCH($J437&amp; "-" &amp; $N437,'BM Data'!$O:$O,0),1),""))</f>
        <v/>
      </c>
      <c r="Q437" s="16" t="str">
        <f t="array" ref="Q437">IF($A437="","", IFERROR(INDEX('BM Data'!$J:$J,MATCH($J437&amp; "-" &amp; $N437,'BM Data'!$O:$O,0),1),""))</f>
        <v/>
      </c>
    </row>
    <row r="438">
      <c r="A438" s="10" t="str">
        <f>IFERROR(__xludf.DUMMYFUNCTION("""COMPUTED_VALUE"""),"")</f>
        <v/>
      </c>
      <c r="B438" s="3" t="str">
        <f>IFERROR(__xludf.DUMMYFUNCTION("""COMPUTED_VALUE"""),"")</f>
        <v/>
      </c>
      <c r="C438" s="11" t="str">
        <f>IFERROR(__xludf.DUMMYFUNCTION("""COMPUTED_VALUE"""),"")</f>
        <v/>
      </c>
      <c r="D438" s="11" t="str">
        <f>IFERROR(__xludf.DUMMYFUNCTION("""COMPUTED_VALUE"""),"")</f>
        <v/>
      </c>
      <c r="E438" s="11" t="str">
        <f>IFERROR(__xludf.DUMMYFUNCTION("""COMPUTED_VALUE"""),"")</f>
        <v/>
      </c>
      <c r="F438" s="11" t="str">
        <f>IFERROR(__xludf.DUMMYFUNCTION("""COMPUTED_VALUE"""),"")</f>
        <v/>
      </c>
      <c r="G438" s="11" t="str">
        <f>IFERROR(__xludf.DUMMYFUNCTION("""COMPUTED_VALUE"""),"")</f>
        <v/>
      </c>
      <c r="H438" s="12" t="str">
        <f>IFERROR(__xludf.DUMMYFUNCTION("""COMPUTED_VALUE"""),"")</f>
        <v/>
      </c>
      <c r="I438" s="12" t="str">
        <f>IFERROR(__xludf.DUMMYFUNCTION("""COMPUTED_VALUE"""),"")</f>
        <v/>
      </c>
      <c r="J438" s="13" t="str">
        <f t="shared" si="1"/>
        <v/>
      </c>
      <c r="K438" s="12" t="str">
        <f>IFERROR(IF(A438="","",if($G438="",Reference!$J$2, VLOOKUP($G438,Reference!$I$2:$J$1000,2,false))),"")</f>
        <v/>
      </c>
      <c r="L438" s="12" t="str">
        <f>IF(A438="","", IF(F438="",Reference!$M$2,F438))</f>
        <v/>
      </c>
      <c r="M438" s="14" t="str">
        <f t="shared" si="2"/>
        <v/>
      </c>
      <c r="N438" s="15" t="str">
        <f t="shared" si="3"/>
        <v/>
      </c>
      <c r="O438" s="14" t="str">
        <f t="shared" si="4"/>
        <v/>
      </c>
      <c r="P438" s="16" t="str">
        <f t="array" ref="P438">IF($A438="","", IFERROR(INDEX('BM Data'!$N:$N,MATCH($J438&amp; "-" &amp; $N438,'BM Data'!$O:$O,0),1),""))</f>
        <v/>
      </c>
      <c r="Q438" s="16" t="str">
        <f t="array" ref="Q438">IF($A438="","", IFERROR(INDEX('BM Data'!$J:$J,MATCH($J438&amp; "-" &amp; $N438,'BM Data'!$O:$O,0),1),""))</f>
        <v/>
      </c>
    </row>
    <row r="439">
      <c r="A439" s="10" t="str">
        <f>IFERROR(__xludf.DUMMYFUNCTION("""COMPUTED_VALUE"""),"")</f>
        <v/>
      </c>
      <c r="B439" s="3" t="str">
        <f>IFERROR(__xludf.DUMMYFUNCTION("""COMPUTED_VALUE"""),"")</f>
        <v/>
      </c>
      <c r="C439" s="11" t="str">
        <f>IFERROR(__xludf.DUMMYFUNCTION("""COMPUTED_VALUE"""),"")</f>
        <v/>
      </c>
      <c r="D439" s="11" t="str">
        <f>IFERROR(__xludf.DUMMYFUNCTION("""COMPUTED_VALUE"""),"")</f>
        <v/>
      </c>
      <c r="E439" s="11" t="str">
        <f>IFERROR(__xludf.DUMMYFUNCTION("""COMPUTED_VALUE"""),"")</f>
        <v/>
      </c>
      <c r="F439" s="11" t="str">
        <f>IFERROR(__xludf.DUMMYFUNCTION("""COMPUTED_VALUE"""),"")</f>
        <v/>
      </c>
      <c r="G439" s="11" t="str">
        <f>IFERROR(__xludf.DUMMYFUNCTION("""COMPUTED_VALUE"""),"")</f>
        <v/>
      </c>
      <c r="H439" s="12" t="str">
        <f>IFERROR(__xludf.DUMMYFUNCTION("""COMPUTED_VALUE"""),"")</f>
        <v/>
      </c>
      <c r="I439" s="12" t="str">
        <f>IFERROR(__xludf.DUMMYFUNCTION("""COMPUTED_VALUE"""),"")</f>
        <v/>
      </c>
      <c r="J439" s="13" t="str">
        <f t="shared" si="1"/>
        <v/>
      </c>
      <c r="K439" s="12" t="str">
        <f>IFERROR(IF(A439="","",if($G439="",Reference!$J$2, VLOOKUP($G439,Reference!$I$2:$J$1000,2,false))),"")</f>
        <v/>
      </c>
      <c r="L439" s="12" t="str">
        <f>IF(A439="","", IF(F439="",Reference!$M$2,F439))</f>
        <v/>
      </c>
      <c r="M439" s="14" t="str">
        <f t="shared" si="2"/>
        <v/>
      </c>
      <c r="N439" s="15" t="str">
        <f t="shared" si="3"/>
        <v/>
      </c>
      <c r="O439" s="14" t="str">
        <f t="shared" si="4"/>
        <v/>
      </c>
      <c r="P439" s="16" t="str">
        <f t="array" ref="P439">IF($A439="","", IFERROR(INDEX('BM Data'!$N:$N,MATCH($J439&amp; "-" &amp; $N439,'BM Data'!$O:$O,0),1),""))</f>
        <v/>
      </c>
      <c r="Q439" s="16" t="str">
        <f t="array" ref="Q439">IF($A439="","", IFERROR(INDEX('BM Data'!$J:$J,MATCH($J439&amp; "-" &amp; $N439,'BM Data'!$O:$O,0),1),""))</f>
        <v/>
      </c>
    </row>
    <row r="440">
      <c r="A440" s="10" t="str">
        <f>IFERROR(__xludf.DUMMYFUNCTION("""COMPUTED_VALUE"""),"")</f>
        <v/>
      </c>
      <c r="B440" s="3" t="str">
        <f>IFERROR(__xludf.DUMMYFUNCTION("""COMPUTED_VALUE"""),"")</f>
        <v/>
      </c>
      <c r="C440" s="11" t="str">
        <f>IFERROR(__xludf.DUMMYFUNCTION("""COMPUTED_VALUE"""),"")</f>
        <v/>
      </c>
      <c r="D440" s="11" t="str">
        <f>IFERROR(__xludf.DUMMYFUNCTION("""COMPUTED_VALUE"""),"")</f>
        <v/>
      </c>
      <c r="E440" s="11" t="str">
        <f>IFERROR(__xludf.DUMMYFUNCTION("""COMPUTED_VALUE"""),"")</f>
        <v/>
      </c>
      <c r="F440" s="11" t="str">
        <f>IFERROR(__xludf.DUMMYFUNCTION("""COMPUTED_VALUE"""),"")</f>
        <v/>
      </c>
      <c r="G440" s="11" t="str">
        <f>IFERROR(__xludf.DUMMYFUNCTION("""COMPUTED_VALUE"""),"")</f>
        <v/>
      </c>
      <c r="H440" s="12" t="str">
        <f>IFERROR(__xludf.DUMMYFUNCTION("""COMPUTED_VALUE"""),"")</f>
        <v/>
      </c>
      <c r="I440" s="12" t="str">
        <f>IFERROR(__xludf.DUMMYFUNCTION("""COMPUTED_VALUE"""),"")</f>
        <v/>
      </c>
      <c r="J440" s="13" t="str">
        <f t="shared" si="1"/>
        <v/>
      </c>
      <c r="K440" s="12" t="str">
        <f>IFERROR(IF(A440="","",if($G440="",Reference!$J$2, VLOOKUP($G440,Reference!$I$2:$J$1000,2,false))),"")</f>
        <v/>
      </c>
      <c r="L440" s="12" t="str">
        <f>IF(A440="","", IF(F440="",Reference!$M$2,F440))</f>
        <v/>
      </c>
      <c r="M440" s="14" t="str">
        <f t="shared" si="2"/>
        <v/>
      </c>
      <c r="N440" s="15" t="str">
        <f t="shared" si="3"/>
        <v/>
      </c>
      <c r="O440" s="14" t="str">
        <f t="shared" si="4"/>
        <v/>
      </c>
      <c r="P440" s="16" t="str">
        <f t="array" ref="P440">IF($A440="","", IFERROR(INDEX('BM Data'!$N:$N,MATCH($J440&amp; "-" &amp; $N440,'BM Data'!$O:$O,0),1),""))</f>
        <v/>
      </c>
      <c r="Q440" s="16" t="str">
        <f t="array" ref="Q440">IF($A440="","", IFERROR(INDEX('BM Data'!$J:$J,MATCH($J440&amp; "-" &amp; $N440,'BM Data'!$O:$O,0),1),""))</f>
        <v/>
      </c>
    </row>
    <row r="441">
      <c r="A441" s="10" t="str">
        <f>IFERROR(__xludf.DUMMYFUNCTION("""COMPUTED_VALUE"""),"")</f>
        <v/>
      </c>
      <c r="B441" s="3" t="str">
        <f>IFERROR(__xludf.DUMMYFUNCTION("""COMPUTED_VALUE"""),"")</f>
        <v/>
      </c>
      <c r="C441" s="11" t="str">
        <f>IFERROR(__xludf.DUMMYFUNCTION("""COMPUTED_VALUE"""),"")</f>
        <v/>
      </c>
      <c r="D441" s="11" t="str">
        <f>IFERROR(__xludf.DUMMYFUNCTION("""COMPUTED_VALUE"""),"")</f>
        <v/>
      </c>
      <c r="E441" s="11" t="str">
        <f>IFERROR(__xludf.DUMMYFUNCTION("""COMPUTED_VALUE"""),"")</f>
        <v/>
      </c>
      <c r="F441" s="11" t="str">
        <f>IFERROR(__xludf.DUMMYFUNCTION("""COMPUTED_VALUE"""),"")</f>
        <v/>
      </c>
      <c r="G441" s="11" t="str">
        <f>IFERROR(__xludf.DUMMYFUNCTION("""COMPUTED_VALUE"""),"")</f>
        <v/>
      </c>
      <c r="H441" s="12" t="str">
        <f>IFERROR(__xludf.DUMMYFUNCTION("""COMPUTED_VALUE"""),"")</f>
        <v/>
      </c>
      <c r="I441" s="12" t="str">
        <f>IFERROR(__xludf.DUMMYFUNCTION("""COMPUTED_VALUE"""),"")</f>
        <v/>
      </c>
      <c r="J441" s="13" t="str">
        <f t="shared" si="1"/>
        <v/>
      </c>
      <c r="K441" s="12" t="str">
        <f>IFERROR(IF(A441="","",if($G441="",Reference!$J$2, VLOOKUP($G441,Reference!$I$2:$J$1000,2,false))),"")</f>
        <v/>
      </c>
      <c r="L441" s="12" t="str">
        <f>IF(A441="","", IF(F441="",Reference!$M$2,F441))</f>
        <v/>
      </c>
      <c r="M441" s="14" t="str">
        <f t="shared" si="2"/>
        <v/>
      </c>
      <c r="N441" s="15" t="str">
        <f t="shared" si="3"/>
        <v/>
      </c>
      <c r="O441" s="14" t="str">
        <f t="shared" si="4"/>
        <v/>
      </c>
      <c r="P441" s="16" t="str">
        <f t="array" ref="P441">IF($A441="","", IFERROR(INDEX('BM Data'!$N:$N,MATCH($J441&amp; "-" &amp; $N441,'BM Data'!$O:$O,0),1),""))</f>
        <v/>
      </c>
      <c r="Q441" s="16" t="str">
        <f t="array" ref="Q441">IF($A441="","", IFERROR(INDEX('BM Data'!$J:$J,MATCH($J441&amp; "-" &amp; $N441,'BM Data'!$O:$O,0),1),""))</f>
        <v/>
      </c>
    </row>
    <row r="442">
      <c r="A442" s="10" t="str">
        <f>IFERROR(__xludf.DUMMYFUNCTION("""COMPUTED_VALUE"""),"")</f>
        <v/>
      </c>
      <c r="B442" s="3" t="str">
        <f>IFERROR(__xludf.DUMMYFUNCTION("""COMPUTED_VALUE"""),"")</f>
        <v/>
      </c>
      <c r="C442" s="11" t="str">
        <f>IFERROR(__xludf.DUMMYFUNCTION("""COMPUTED_VALUE"""),"")</f>
        <v/>
      </c>
      <c r="D442" s="11" t="str">
        <f>IFERROR(__xludf.DUMMYFUNCTION("""COMPUTED_VALUE"""),"")</f>
        <v/>
      </c>
      <c r="E442" s="11" t="str">
        <f>IFERROR(__xludf.DUMMYFUNCTION("""COMPUTED_VALUE"""),"")</f>
        <v/>
      </c>
      <c r="F442" s="11" t="str">
        <f>IFERROR(__xludf.DUMMYFUNCTION("""COMPUTED_VALUE"""),"")</f>
        <v/>
      </c>
      <c r="G442" s="11" t="str">
        <f>IFERROR(__xludf.DUMMYFUNCTION("""COMPUTED_VALUE"""),"")</f>
        <v/>
      </c>
      <c r="H442" s="12" t="str">
        <f>IFERROR(__xludf.DUMMYFUNCTION("""COMPUTED_VALUE"""),"")</f>
        <v/>
      </c>
      <c r="I442" s="12" t="str">
        <f>IFERROR(__xludf.DUMMYFUNCTION("""COMPUTED_VALUE"""),"")</f>
        <v/>
      </c>
      <c r="J442" s="13" t="str">
        <f t="shared" si="1"/>
        <v/>
      </c>
      <c r="K442" s="12" t="str">
        <f>IFERROR(IF(A442="","",if($G442="",Reference!$J$2, VLOOKUP($G442,Reference!$I$2:$J$1000,2,false))),"")</f>
        <v/>
      </c>
      <c r="L442" s="12" t="str">
        <f>IF(A442="","", IF(F442="",Reference!$M$2,F442))</f>
        <v/>
      </c>
      <c r="M442" s="14" t="str">
        <f t="shared" si="2"/>
        <v/>
      </c>
      <c r="N442" s="15" t="str">
        <f t="shared" si="3"/>
        <v/>
      </c>
      <c r="O442" s="14" t="str">
        <f t="shared" si="4"/>
        <v/>
      </c>
      <c r="P442" s="16" t="str">
        <f t="array" ref="P442">IF($A442="","", IFERROR(INDEX('BM Data'!$N:$N,MATCH($J442&amp; "-" &amp; $N442,'BM Data'!$O:$O,0),1),""))</f>
        <v/>
      </c>
      <c r="Q442" s="16" t="str">
        <f t="array" ref="Q442">IF($A442="","", IFERROR(INDEX('BM Data'!$J:$J,MATCH($J442&amp; "-" &amp; $N442,'BM Data'!$O:$O,0),1),""))</f>
        <v/>
      </c>
    </row>
    <row r="443">
      <c r="A443" s="10" t="str">
        <f>IFERROR(__xludf.DUMMYFUNCTION("""COMPUTED_VALUE"""),"")</f>
        <v/>
      </c>
      <c r="B443" s="3" t="str">
        <f>IFERROR(__xludf.DUMMYFUNCTION("""COMPUTED_VALUE"""),"")</f>
        <v/>
      </c>
      <c r="C443" s="11" t="str">
        <f>IFERROR(__xludf.DUMMYFUNCTION("""COMPUTED_VALUE"""),"")</f>
        <v/>
      </c>
      <c r="D443" s="11" t="str">
        <f>IFERROR(__xludf.DUMMYFUNCTION("""COMPUTED_VALUE"""),"")</f>
        <v/>
      </c>
      <c r="E443" s="11" t="str">
        <f>IFERROR(__xludf.DUMMYFUNCTION("""COMPUTED_VALUE"""),"")</f>
        <v/>
      </c>
      <c r="F443" s="11" t="str">
        <f>IFERROR(__xludf.DUMMYFUNCTION("""COMPUTED_VALUE"""),"")</f>
        <v/>
      </c>
      <c r="G443" s="11" t="str">
        <f>IFERROR(__xludf.DUMMYFUNCTION("""COMPUTED_VALUE"""),"")</f>
        <v/>
      </c>
      <c r="H443" s="12" t="str">
        <f>IFERROR(__xludf.DUMMYFUNCTION("""COMPUTED_VALUE"""),"")</f>
        <v/>
      </c>
      <c r="I443" s="12" t="str">
        <f>IFERROR(__xludf.DUMMYFUNCTION("""COMPUTED_VALUE"""),"")</f>
        <v/>
      </c>
      <c r="J443" s="13" t="str">
        <f t="shared" si="1"/>
        <v/>
      </c>
      <c r="K443" s="12" t="str">
        <f>IFERROR(IF(A443="","",if($G443="",Reference!$J$2, VLOOKUP($G443,Reference!$I$2:$J$1000,2,false))),"")</f>
        <v/>
      </c>
      <c r="L443" s="12" t="str">
        <f>IF(A443="","", IF(F443="",Reference!$M$2,F443))</f>
        <v/>
      </c>
      <c r="M443" s="14" t="str">
        <f t="shared" si="2"/>
        <v/>
      </c>
      <c r="N443" s="15" t="str">
        <f t="shared" si="3"/>
        <v/>
      </c>
      <c r="O443" s="14" t="str">
        <f t="shared" si="4"/>
        <v/>
      </c>
      <c r="P443" s="16" t="str">
        <f t="array" ref="P443">IF($A443="","", IFERROR(INDEX('BM Data'!$N:$N,MATCH($J443&amp; "-" &amp; $N443,'BM Data'!$O:$O,0),1),""))</f>
        <v/>
      </c>
      <c r="Q443" s="16" t="str">
        <f t="array" ref="Q443">IF($A443="","", IFERROR(INDEX('BM Data'!$J:$J,MATCH($J443&amp; "-" &amp; $N443,'BM Data'!$O:$O,0),1),""))</f>
        <v/>
      </c>
    </row>
    <row r="444">
      <c r="A444" s="10" t="str">
        <f>IFERROR(__xludf.DUMMYFUNCTION("""COMPUTED_VALUE"""),"")</f>
        <v/>
      </c>
      <c r="B444" s="3" t="str">
        <f>IFERROR(__xludf.DUMMYFUNCTION("""COMPUTED_VALUE"""),"")</f>
        <v/>
      </c>
      <c r="C444" s="11" t="str">
        <f>IFERROR(__xludf.DUMMYFUNCTION("""COMPUTED_VALUE"""),"")</f>
        <v/>
      </c>
      <c r="D444" s="11" t="str">
        <f>IFERROR(__xludf.DUMMYFUNCTION("""COMPUTED_VALUE"""),"")</f>
        <v/>
      </c>
      <c r="E444" s="11" t="str">
        <f>IFERROR(__xludf.DUMMYFUNCTION("""COMPUTED_VALUE"""),"")</f>
        <v/>
      </c>
      <c r="F444" s="11" t="str">
        <f>IFERROR(__xludf.DUMMYFUNCTION("""COMPUTED_VALUE"""),"")</f>
        <v/>
      </c>
      <c r="G444" s="11" t="str">
        <f>IFERROR(__xludf.DUMMYFUNCTION("""COMPUTED_VALUE"""),"")</f>
        <v/>
      </c>
      <c r="H444" s="12" t="str">
        <f>IFERROR(__xludf.DUMMYFUNCTION("""COMPUTED_VALUE"""),"")</f>
        <v/>
      </c>
      <c r="I444" s="12" t="str">
        <f>IFERROR(__xludf.DUMMYFUNCTION("""COMPUTED_VALUE"""),"")</f>
        <v/>
      </c>
      <c r="J444" s="13" t="str">
        <f t="shared" si="1"/>
        <v/>
      </c>
      <c r="K444" s="12" t="str">
        <f>IFERROR(IF(A444="","",if($G444="",Reference!$J$2, VLOOKUP($G444,Reference!$I$2:$J$1000,2,false))),"")</f>
        <v/>
      </c>
      <c r="L444" s="12" t="str">
        <f>IF(A444="","", IF(F444="",Reference!$M$2,F444))</f>
        <v/>
      </c>
      <c r="M444" s="14" t="str">
        <f t="shared" si="2"/>
        <v/>
      </c>
      <c r="N444" s="15" t="str">
        <f t="shared" si="3"/>
        <v/>
      </c>
      <c r="O444" s="14" t="str">
        <f t="shared" si="4"/>
        <v/>
      </c>
      <c r="P444" s="16" t="str">
        <f t="array" ref="P444">IF($A444="","", IFERROR(INDEX('BM Data'!$N:$N,MATCH($J444&amp; "-" &amp; $N444,'BM Data'!$O:$O,0),1),""))</f>
        <v/>
      </c>
      <c r="Q444" s="16" t="str">
        <f t="array" ref="Q444">IF($A444="","", IFERROR(INDEX('BM Data'!$J:$J,MATCH($J444&amp; "-" &amp; $N444,'BM Data'!$O:$O,0),1),""))</f>
        <v/>
      </c>
    </row>
    <row r="445">
      <c r="A445" s="10" t="str">
        <f>IFERROR(__xludf.DUMMYFUNCTION("""COMPUTED_VALUE"""),"")</f>
        <v/>
      </c>
      <c r="B445" s="3" t="str">
        <f>IFERROR(__xludf.DUMMYFUNCTION("""COMPUTED_VALUE"""),"")</f>
        <v/>
      </c>
      <c r="C445" s="11" t="str">
        <f>IFERROR(__xludf.DUMMYFUNCTION("""COMPUTED_VALUE"""),"")</f>
        <v/>
      </c>
      <c r="D445" s="11" t="str">
        <f>IFERROR(__xludf.DUMMYFUNCTION("""COMPUTED_VALUE"""),"")</f>
        <v/>
      </c>
      <c r="E445" s="11" t="str">
        <f>IFERROR(__xludf.DUMMYFUNCTION("""COMPUTED_VALUE"""),"")</f>
        <v/>
      </c>
      <c r="F445" s="11" t="str">
        <f>IFERROR(__xludf.DUMMYFUNCTION("""COMPUTED_VALUE"""),"")</f>
        <v/>
      </c>
      <c r="G445" s="11" t="str">
        <f>IFERROR(__xludf.DUMMYFUNCTION("""COMPUTED_VALUE"""),"")</f>
        <v/>
      </c>
      <c r="H445" s="12" t="str">
        <f>IFERROR(__xludf.DUMMYFUNCTION("""COMPUTED_VALUE"""),"")</f>
        <v/>
      </c>
      <c r="I445" s="12" t="str">
        <f>IFERROR(__xludf.DUMMYFUNCTION("""COMPUTED_VALUE"""),"")</f>
        <v/>
      </c>
      <c r="J445" s="13" t="str">
        <f t="shared" si="1"/>
        <v/>
      </c>
      <c r="K445" s="12" t="str">
        <f>IFERROR(IF(A445="","",if($G445="",Reference!$J$2, VLOOKUP($G445,Reference!$I$2:$J$1000,2,false))),"")</f>
        <v/>
      </c>
      <c r="L445" s="12" t="str">
        <f>IF(A445="","", IF(F445="",Reference!$M$2,F445))</f>
        <v/>
      </c>
      <c r="M445" s="14" t="str">
        <f t="shared" si="2"/>
        <v/>
      </c>
      <c r="N445" s="15" t="str">
        <f t="shared" si="3"/>
        <v/>
      </c>
      <c r="O445" s="14" t="str">
        <f t="shared" si="4"/>
        <v/>
      </c>
      <c r="P445" s="16" t="str">
        <f t="array" ref="P445">IF($A445="","", IFERROR(INDEX('BM Data'!$N:$N,MATCH($J445&amp; "-" &amp; $N445,'BM Data'!$O:$O,0),1),""))</f>
        <v/>
      </c>
      <c r="Q445" s="16" t="str">
        <f t="array" ref="Q445">IF($A445="","", IFERROR(INDEX('BM Data'!$J:$J,MATCH($J445&amp; "-" &amp; $N445,'BM Data'!$O:$O,0),1),""))</f>
        <v/>
      </c>
    </row>
    <row r="446">
      <c r="A446" s="10" t="str">
        <f>IFERROR(__xludf.DUMMYFUNCTION("""COMPUTED_VALUE"""),"")</f>
        <v/>
      </c>
      <c r="B446" s="3" t="str">
        <f>IFERROR(__xludf.DUMMYFUNCTION("""COMPUTED_VALUE"""),"")</f>
        <v/>
      </c>
      <c r="C446" s="11" t="str">
        <f>IFERROR(__xludf.DUMMYFUNCTION("""COMPUTED_VALUE"""),"")</f>
        <v/>
      </c>
      <c r="D446" s="11" t="str">
        <f>IFERROR(__xludf.DUMMYFUNCTION("""COMPUTED_VALUE"""),"")</f>
        <v/>
      </c>
      <c r="E446" s="11" t="str">
        <f>IFERROR(__xludf.DUMMYFUNCTION("""COMPUTED_VALUE"""),"")</f>
        <v/>
      </c>
      <c r="F446" s="11" t="str">
        <f>IFERROR(__xludf.DUMMYFUNCTION("""COMPUTED_VALUE"""),"")</f>
        <v/>
      </c>
      <c r="G446" s="11" t="str">
        <f>IFERROR(__xludf.DUMMYFUNCTION("""COMPUTED_VALUE"""),"")</f>
        <v/>
      </c>
      <c r="H446" s="12" t="str">
        <f>IFERROR(__xludf.DUMMYFUNCTION("""COMPUTED_VALUE"""),"")</f>
        <v/>
      </c>
      <c r="I446" s="12" t="str">
        <f>IFERROR(__xludf.DUMMYFUNCTION("""COMPUTED_VALUE"""),"")</f>
        <v/>
      </c>
      <c r="J446" s="13" t="str">
        <f t="shared" si="1"/>
        <v/>
      </c>
      <c r="K446" s="12" t="str">
        <f>IFERROR(IF(A446="","",if($G446="",Reference!$J$2, VLOOKUP($G446,Reference!$I$2:$J$1000,2,false))),"")</f>
        <v/>
      </c>
      <c r="L446" s="12" t="str">
        <f>IF(A446="","", IF(F446="",Reference!$M$2,F446))</f>
        <v/>
      </c>
      <c r="M446" s="14" t="str">
        <f t="shared" si="2"/>
        <v/>
      </c>
      <c r="N446" s="15" t="str">
        <f t="shared" si="3"/>
        <v/>
      </c>
      <c r="O446" s="14" t="str">
        <f t="shared" si="4"/>
        <v/>
      </c>
      <c r="P446" s="16" t="str">
        <f t="array" ref="P446">IF($A446="","", IFERROR(INDEX('BM Data'!$N:$N,MATCH($J446&amp; "-" &amp; $N446,'BM Data'!$O:$O,0),1),""))</f>
        <v/>
      </c>
      <c r="Q446" s="16" t="str">
        <f t="array" ref="Q446">IF($A446="","", IFERROR(INDEX('BM Data'!$J:$J,MATCH($J446&amp; "-" &amp; $N446,'BM Data'!$O:$O,0),1),""))</f>
        <v/>
      </c>
    </row>
    <row r="447">
      <c r="A447" s="10" t="str">
        <f>IFERROR(__xludf.DUMMYFUNCTION("""COMPUTED_VALUE"""),"")</f>
        <v/>
      </c>
      <c r="B447" s="3" t="str">
        <f>IFERROR(__xludf.DUMMYFUNCTION("""COMPUTED_VALUE"""),"")</f>
        <v/>
      </c>
      <c r="C447" s="11" t="str">
        <f>IFERROR(__xludf.DUMMYFUNCTION("""COMPUTED_VALUE"""),"")</f>
        <v/>
      </c>
      <c r="D447" s="11" t="str">
        <f>IFERROR(__xludf.DUMMYFUNCTION("""COMPUTED_VALUE"""),"")</f>
        <v/>
      </c>
      <c r="E447" s="11" t="str">
        <f>IFERROR(__xludf.DUMMYFUNCTION("""COMPUTED_VALUE"""),"")</f>
        <v/>
      </c>
      <c r="F447" s="11" t="str">
        <f>IFERROR(__xludf.DUMMYFUNCTION("""COMPUTED_VALUE"""),"")</f>
        <v/>
      </c>
      <c r="G447" s="11" t="str">
        <f>IFERROR(__xludf.DUMMYFUNCTION("""COMPUTED_VALUE"""),"")</f>
        <v/>
      </c>
      <c r="H447" s="12" t="str">
        <f>IFERROR(__xludf.DUMMYFUNCTION("""COMPUTED_VALUE"""),"")</f>
        <v/>
      </c>
      <c r="I447" s="12" t="str">
        <f>IFERROR(__xludf.DUMMYFUNCTION("""COMPUTED_VALUE"""),"")</f>
        <v/>
      </c>
      <c r="J447" s="13" t="str">
        <f t="shared" si="1"/>
        <v/>
      </c>
      <c r="K447" s="12" t="str">
        <f>IFERROR(IF(A447="","",if($G447="",Reference!$J$2, VLOOKUP($G447,Reference!$I$2:$J$1000,2,false))),"")</f>
        <v/>
      </c>
      <c r="L447" s="12" t="str">
        <f>IF(A447="","", IF(F447="",Reference!$M$2,F447))</f>
        <v/>
      </c>
      <c r="M447" s="14" t="str">
        <f t="shared" si="2"/>
        <v/>
      </c>
      <c r="N447" s="15" t="str">
        <f t="shared" si="3"/>
        <v/>
      </c>
      <c r="O447" s="14" t="str">
        <f t="shared" si="4"/>
        <v/>
      </c>
      <c r="P447" s="16" t="str">
        <f t="array" ref="P447">IF($A447="","", IFERROR(INDEX('BM Data'!$N:$N,MATCH($J447&amp; "-" &amp; $N447,'BM Data'!$O:$O,0),1),""))</f>
        <v/>
      </c>
      <c r="Q447" s="16" t="str">
        <f t="array" ref="Q447">IF($A447="","", IFERROR(INDEX('BM Data'!$J:$J,MATCH($J447&amp; "-" &amp; $N447,'BM Data'!$O:$O,0),1),""))</f>
        <v/>
      </c>
    </row>
    <row r="448">
      <c r="A448" s="10" t="str">
        <f>IFERROR(__xludf.DUMMYFUNCTION("""COMPUTED_VALUE"""),"")</f>
        <v/>
      </c>
      <c r="B448" s="3" t="str">
        <f>IFERROR(__xludf.DUMMYFUNCTION("""COMPUTED_VALUE"""),"")</f>
        <v/>
      </c>
      <c r="C448" s="11" t="str">
        <f>IFERROR(__xludf.DUMMYFUNCTION("""COMPUTED_VALUE"""),"")</f>
        <v/>
      </c>
      <c r="D448" s="11" t="str">
        <f>IFERROR(__xludf.DUMMYFUNCTION("""COMPUTED_VALUE"""),"")</f>
        <v/>
      </c>
      <c r="E448" s="11" t="str">
        <f>IFERROR(__xludf.DUMMYFUNCTION("""COMPUTED_VALUE"""),"")</f>
        <v/>
      </c>
      <c r="F448" s="11" t="str">
        <f>IFERROR(__xludf.DUMMYFUNCTION("""COMPUTED_VALUE"""),"")</f>
        <v/>
      </c>
      <c r="G448" s="11" t="str">
        <f>IFERROR(__xludf.DUMMYFUNCTION("""COMPUTED_VALUE"""),"")</f>
        <v/>
      </c>
      <c r="H448" s="12" t="str">
        <f>IFERROR(__xludf.DUMMYFUNCTION("""COMPUTED_VALUE"""),"")</f>
        <v/>
      </c>
      <c r="I448" s="12" t="str">
        <f>IFERROR(__xludf.DUMMYFUNCTION("""COMPUTED_VALUE"""),"")</f>
        <v/>
      </c>
      <c r="J448" s="13" t="str">
        <f t="shared" si="1"/>
        <v/>
      </c>
      <c r="K448" s="12" t="str">
        <f>IFERROR(IF(A448="","",if($G448="",Reference!$J$2, VLOOKUP($G448,Reference!$I$2:$J$1000,2,false))),"")</f>
        <v/>
      </c>
      <c r="L448" s="12" t="str">
        <f>IF(A448="","", IF(F448="",Reference!$M$2,F448))</f>
        <v/>
      </c>
      <c r="M448" s="14" t="str">
        <f t="shared" si="2"/>
        <v/>
      </c>
      <c r="N448" s="15" t="str">
        <f t="shared" si="3"/>
        <v/>
      </c>
      <c r="O448" s="14" t="str">
        <f t="shared" si="4"/>
        <v/>
      </c>
      <c r="P448" s="16" t="str">
        <f t="array" ref="P448">IF($A448="","", IFERROR(INDEX('BM Data'!$N:$N,MATCH($J448&amp; "-" &amp; $N448,'BM Data'!$O:$O,0),1),""))</f>
        <v/>
      </c>
      <c r="Q448" s="16" t="str">
        <f t="array" ref="Q448">IF($A448="","", IFERROR(INDEX('BM Data'!$J:$J,MATCH($J448&amp; "-" &amp; $N448,'BM Data'!$O:$O,0),1),""))</f>
        <v/>
      </c>
    </row>
    <row r="449">
      <c r="A449" s="10" t="str">
        <f>IFERROR(__xludf.DUMMYFUNCTION("""COMPUTED_VALUE"""),"")</f>
        <v/>
      </c>
      <c r="B449" s="3" t="str">
        <f>IFERROR(__xludf.DUMMYFUNCTION("""COMPUTED_VALUE"""),"")</f>
        <v/>
      </c>
      <c r="C449" s="11" t="str">
        <f>IFERROR(__xludf.DUMMYFUNCTION("""COMPUTED_VALUE"""),"")</f>
        <v/>
      </c>
      <c r="D449" s="11" t="str">
        <f>IFERROR(__xludf.DUMMYFUNCTION("""COMPUTED_VALUE"""),"")</f>
        <v/>
      </c>
      <c r="E449" s="11" t="str">
        <f>IFERROR(__xludf.DUMMYFUNCTION("""COMPUTED_VALUE"""),"")</f>
        <v/>
      </c>
      <c r="F449" s="11" t="str">
        <f>IFERROR(__xludf.DUMMYFUNCTION("""COMPUTED_VALUE"""),"")</f>
        <v/>
      </c>
      <c r="G449" s="11" t="str">
        <f>IFERROR(__xludf.DUMMYFUNCTION("""COMPUTED_VALUE"""),"")</f>
        <v/>
      </c>
      <c r="H449" s="12" t="str">
        <f>IFERROR(__xludf.DUMMYFUNCTION("""COMPUTED_VALUE"""),"")</f>
        <v/>
      </c>
      <c r="I449" s="12" t="str">
        <f>IFERROR(__xludf.DUMMYFUNCTION("""COMPUTED_VALUE"""),"")</f>
        <v/>
      </c>
      <c r="J449" s="13" t="str">
        <f t="shared" si="1"/>
        <v/>
      </c>
      <c r="K449" s="12" t="str">
        <f>IFERROR(IF(A449="","",if($G449="",Reference!$J$2, VLOOKUP($G449,Reference!$I$2:$J$1000,2,false))),"")</f>
        <v/>
      </c>
      <c r="L449" s="12" t="str">
        <f>IF(A449="","", IF(F449="",Reference!$M$2,F449))</f>
        <v/>
      </c>
      <c r="M449" s="14" t="str">
        <f t="shared" si="2"/>
        <v/>
      </c>
      <c r="N449" s="15" t="str">
        <f t="shared" si="3"/>
        <v/>
      </c>
      <c r="O449" s="14" t="str">
        <f t="shared" si="4"/>
        <v/>
      </c>
      <c r="P449" s="16" t="str">
        <f t="array" ref="P449">IF($A449="","", IFERROR(INDEX('BM Data'!$N:$N,MATCH($J449&amp; "-" &amp; $N449,'BM Data'!$O:$O,0),1),""))</f>
        <v/>
      </c>
      <c r="Q449" s="16" t="str">
        <f t="array" ref="Q449">IF($A449="","", IFERROR(INDEX('BM Data'!$J:$J,MATCH($J449&amp; "-" &amp; $N449,'BM Data'!$O:$O,0),1),""))</f>
        <v/>
      </c>
    </row>
    <row r="450">
      <c r="A450" s="10" t="str">
        <f>IFERROR(__xludf.DUMMYFUNCTION("""COMPUTED_VALUE"""),"")</f>
        <v/>
      </c>
      <c r="B450" s="3" t="str">
        <f>IFERROR(__xludf.DUMMYFUNCTION("""COMPUTED_VALUE"""),"")</f>
        <v/>
      </c>
      <c r="C450" s="11" t="str">
        <f>IFERROR(__xludf.DUMMYFUNCTION("""COMPUTED_VALUE"""),"")</f>
        <v/>
      </c>
      <c r="D450" s="11" t="str">
        <f>IFERROR(__xludf.DUMMYFUNCTION("""COMPUTED_VALUE"""),"")</f>
        <v/>
      </c>
      <c r="E450" s="11" t="str">
        <f>IFERROR(__xludf.DUMMYFUNCTION("""COMPUTED_VALUE"""),"")</f>
        <v/>
      </c>
      <c r="F450" s="11" t="str">
        <f>IFERROR(__xludf.DUMMYFUNCTION("""COMPUTED_VALUE"""),"")</f>
        <v/>
      </c>
      <c r="G450" s="11" t="str">
        <f>IFERROR(__xludf.DUMMYFUNCTION("""COMPUTED_VALUE"""),"")</f>
        <v/>
      </c>
      <c r="H450" s="12" t="str">
        <f>IFERROR(__xludf.DUMMYFUNCTION("""COMPUTED_VALUE"""),"")</f>
        <v/>
      </c>
      <c r="I450" s="12" t="str">
        <f>IFERROR(__xludf.DUMMYFUNCTION("""COMPUTED_VALUE"""),"")</f>
        <v/>
      </c>
      <c r="J450" s="13" t="str">
        <f t="shared" si="1"/>
        <v/>
      </c>
      <c r="K450" s="12" t="str">
        <f>IFERROR(IF(A450="","",if($G450="",Reference!$J$2, VLOOKUP($G450,Reference!$I$2:$J$1000,2,false))),"")</f>
        <v/>
      </c>
      <c r="L450" s="12" t="str">
        <f>IF(A450="","", IF(F450="",Reference!$M$2,F450))</f>
        <v/>
      </c>
      <c r="M450" s="14" t="str">
        <f t="shared" si="2"/>
        <v/>
      </c>
      <c r="N450" s="15" t="str">
        <f t="shared" si="3"/>
        <v/>
      </c>
      <c r="O450" s="14" t="str">
        <f t="shared" si="4"/>
        <v/>
      </c>
      <c r="P450" s="16" t="str">
        <f t="array" ref="P450">IF($A450="","", IFERROR(INDEX('BM Data'!$N:$N,MATCH($J450&amp; "-" &amp; $N450,'BM Data'!$O:$O,0),1),""))</f>
        <v/>
      </c>
      <c r="Q450" s="16" t="str">
        <f t="array" ref="Q450">IF($A450="","", IFERROR(INDEX('BM Data'!$J:$J,MATCH($J450&amp; "-" &amp; $N450,'BM Data'!$O:$O,0),1),""))</f>
        <v/>
      </c>
    </row>
    <row r="451">
      <c r="A451" s="10" t="str">
        <f>IFERROR(__xludf.DUMMYFUNCTION("""COMPUTED_VALUE"""),"")</f>
        <v/>
      </c>
      <c r="B451" s="3" t="str">
        <f>IFERROR(__xludf.DUMMYFUNCTION("""COMPUTED_VALUE"""),"")</f>
        <v/>
      </c>
      <c r="C451" s="11" t="str">
        <f>IFERROR(__xludf.DUMMYFUNCTION("""COMPUTED_VALUE"""),"")</f>
        <v/>
      </c>
      <c r="D451" s="11" t="str">
        <f>IFERROR(__xludf.DUMMYFUNCTION("""COMPUTED_VALUE"""),"")</f>
        <v/>
      </c>
      <c r="E451" s="11" t="str">
        <f>IFERROR(__xludf.DUMMYFUNCTION("""COMPUTED_VALUE"""),"")</f>
        <v/>
      </c>
      <c r="F451" s="11" t="str">
        <f>IFERROR(__xludf.DUMMYFUNCTION("""COMPUTED_VALUE"""),"")</f>
        <v/>
      </c>
      <c r="G451" s="11" t="str">
        <f>IFERROR(__xludf.DUMMYFUNCTION("""COMPUTED_VALUE"""),"")</f>
        <v/>
      </c>
      <c r="H451" s="12" t="str">
        <f>IFERROR(__xludf.DUMMYFUNCTION("""COMPUTED_VALUE"""),"")</f>
        <v/>
      </c>
      <c r="I451" s="12" t="str">
        <f>IFERROR(__xludf.DUMMYFUNCTION("""COMPUTED_VALUE"""),"")</f>
        <v/>
      </c>
      <c r="J451" s="13" t="str">
        <f t="shared" si="1"/>
        <v/>
      </c>
      <c r="K451" s="12" t="str">
        <f>IFERROR(IF(A451="","",if($G451="",Reference!$J$2, VLOOKUP($G451,Reference!$I$2:$J$1000,2,false))),"")</f>
        <v/>
      </c>
      <c r="L451" s="12" t="str">
        <f>IF(A451="","", IF(F451="",Reference!$M$2,F451))</f>
        <v/>
      </c>
      <c r="M451" s="14" t="str">
        <f t="shared" si="2"/>
        <v/>
      </c>
      <c r="N451" s="15" t="str">
        <f t="shared" si="3"/>
        <v/>
      </c>
      <c r="O451" s="14" t="str">
        <f t="shared" si="4"/>
        <v/>
      </c>
      <c r="P451" s="16" t="str">
        <f t="array" ref="P451">IF($A451="","", IFERROR(INDEX('BM Data'!$N:$N,MATCH($J451&amp; "-" &amp; $N451,'BM Data'!$O:$O,0),1),""))</f>
        <v/>
      </c>
      <c r="Q451" s="16" t="str">
        <f t="array" ref="Q451">IF($A451="","", IFERROR(INDEX('BM Data'!$J:$J,MATCH($J451&amp; "-" &amp; $N451,'BM Data'!$O:$O,0),1),""))</f>
        <v/>
      </c>
    </row>
    <row r="452">
      <c r="A452" s="10" t="str">
        <f>IFERROR(__xludf.DUMMYFUNCTION("""COMPUTED_VALUE"""),"")</f>
        <v/>
      </c>
      <c r="B452" s="3" t="str">
        <f>IFERROR(__xludf.DUMMYFUNCTION("""COMPUTED_VALUE"""),"")</f>
        <v/>
      </c>
      <c r="C452" s="11" t="str">
        <f>IFERROR(__xludf.DUMMYFUNCTION("""COMPUTED_VALUE"""),"")</f>
        <v/>
      </c>
      <c r="D452" s="11" t="str">
        <f>IFERROR(__xludf.DUMMYFUNCTION("""COMPUTED_VALUE"""),"")</f>
        <v/>
      </c>
      <c r="E452" s="11" t="str">
        <f>IFERROR(__xludf.DUMMYFUNCTION("""COMPUTED_VALUE"""),"")</f>
        <v/>
      </c>
      <c r="F452" s="11" t="str">
        <f>IFERROR(__xludf.DUMMYFUNCTION("""COMPUTED_VALUE"""),"")</f>
        <v/>
      </c>
      <c r="G452" s="11" t="str">
        <f>IFERROR(__xludf.DUMMYFUNCTION("""COMPUTED_VALUE"""),"")</f>
        <v/>
      </c>
      <c r="H452" s="12" t="str">
        <f>IFERROR(__xludf.DUMMYFUNCTION("""COMPUTED_VALUE"""),"")</f>
        <v/>
      </c>
      <c r="I452" s="12" t="str">
        <f>IFERROR(__xludf.DUMMYFUNCTION("""COMPUTED_VALUE"""),"")</f>
        <v/>
      </c>
      <c r="J452" s="13" t="str">
        <f t="shared" si="1"/>
        <v/>
      </c>
      <c r="K452" s="12" t="str">
        <f>IFERROR(IF(A452="","",if($G452="",Reference!$J$2, VLOOKUP($G452,Reference!$I$2:$J$1000,2,false))),"")</f>
        <v/>
      </c>
      <c r="L452" s="12" t="str">
        <f>IF(A452="","", IF(F452="",Reference!$M$2,F452))</f>
        <v/>
      </c>
      <c r="M452" s="14" t="str">
        <f t="shared" si="2"/>
        <v/>
      </c>
      <c r="N452" s="15" t="str">
        <f t="shared" si="3"/>
        <v/>
      </c>
      <c r="O452" s="14" t="str">
        <f t="shared" si="4"/>
        <v/>
      </c>
      <c r="P452" s="16" t="str">
        <f t="array" ref="P452">IF($A452="","", IFERROR(INDEX('BM Data'!$N:$N,MATCH($J452&amp; "-" &amp; $N452,'BM Data'!$O:$O,0),1),""))</f>
        <v/>
      </c>
      <c r="Q452" s="16" t="str">
        <f t="array" ref="Q452">IF($A452="","", IFERROR(INDEX('BM Data'!$J:$J,MATCH($J452&amp; "-" &amp; $N452,'BM Data'!$O:$O,0),1),""))</f>
        <v/>
      </c>
    </row>
    <row r="453">
      <c r="A453" s="10" t="str">
        <f>IFERROR(__xludf.DUMMYFUNCTION("""COMPUTED_VALUE"""),"")</f>
        <v/>
      </c>
      <c r="B453" s="3" t="str">
        <f>IFERROR(__xludf.DUMMYFUNCTION("""COMPUTED_VALUE"""),"")</f>
        <v/>
      </c>
      <c r="C453" s="11" t="str">
        <f>IFERROR(__xludf.DUMMYFUNCTION("""COMPUTED_VALUE"""),"")</f>
        <v/>
      </c>
      <c r="D453" s="11" t="str">
        <f>IFERROR(__xludf.DUMMYFUNCTION("""COMPUTED_VALUE"""),"")</f>
        <v/>
      </c>
      <c r="E453" s="11" t="str">
        <f>IFERROR(__xludf.DUMMYFUNCTION("""COMPUTED_VALUE"""),"")</f>
        <v/>
      </c>
      <c r="F453" s="11" t="str">
        <f>IFERROR(__xludf.DUMMYFUNCTION("""COMPUTED_VALUE"""),"")</f>
        <v/>
      </c>
      <c r="G453" s="11" t="str">
        <f>IFERROR(__xludf.DUMMYFUNCTION("""COMPUTED_VALUE"""),"")</f>
        <v/>
      </c>
      <c r="H453" s="12" t="str">
        <f>IFERROR(__xludf.DUMMYFUNCTION("""COMPUTED_VALUE"""),"")</f>
        <v/>
      </c>
      <c r="I453" s="12" t="str">
        <f>IFERROR(__xludf.DUMMYFUNCTION("""COMPUTED_VALUE"""),"")</f>
        <v/>
      </c>
      <c r="J453" s="13" t="str">
        <f t="shared" si="1"/>
        <v/>
      </c>
      <c r="K453" s="12" t="str">
        <f>IFERROR(IF(A453="","",if($G453="",Reference!$J$2, VLOOKUP($G453,Reference!$I$2:$J$1000,2,false))),"")</f>
        <v/>
      </c>
      <c r="L453" s="12" t="str">
        <f>IF(A453="","", IF(F453="",Reference!$M$2,F453))</f>
        <v/>
      </c>
      <c r="M453" s="14" t="str">
        <f t="shared" si="2"/>
        <v/>
      </c>
      <c r="N453" s="15" t="str">
        <f t="shared" si="3"/>
        <v/>
      </c>
      <c r="O453" s="14" t="str">
        <f t="shared" si="4"/>
        <v/>
      </c>
      <c r="P453" s="16" t="str">
        <f t="array" ref="P453">IF($A453="","", IFERROR(INDEX('BM Data'!$N:$N,MATCH($J453&amp; "-" &amp; $N453,'BM Data'!$O:$O,0),1),""))</f>
        <v/>
      </c>
      <c r="Q453" s="16" t="str">
        <f t="array" ref="Q453">IF($A453="","", IFERROR(INDEX('BM Data'!$J:$J,MATCH($J453&amp; "-" &amp; $N453,'BM Data'!$O:$O,0),1),""))</f>
        <v/>
      </c>
    </row>
    <row r="454">
      <c r="A454" s="10" t="str">
        <f>IFERROR(__xludf.DUMMYFUNCTION("""COMPUTED_VALUE"""),"")</f>
        <v/>
      </c>
      <c r="B454" s="3" t="str">
        <f>IFERROR(__xludf.DUMMYFUNCTION("""COMPUTED_VALUE"""),"")</f>
        <v/>
      </c>
      <c r="C454" s="11" t="str">
        <f>IFERROR(__xludf.DUMMYFUNCTION("""COMPUTED_VALUE"""),"")</f>
        <v/>
      </c>
      <c r="D454" s="11" t="str">
        <f>IFERROR(__xludf.DUMMYFUNCTION("""COMPUTED_VALUE"""),"")</f>
        <v/>
      </c>
      <c r="E454" s="11" t="str">
        <f>IFERROR(__xludf.DUMMYFUNCTION("""COMPUTED_VALUE"""),"")</f>
        <v/>
      </c>
      <c r="F454" s="11" t="str">
        <f>IFERROR(__xludf.DUMMYFUNCTION("""COMPUTED_VALUE"""),"")</f>
        <v/>
      </c>
      <c r="G454" s="11" t="str">
        <f>IFERROR(__xludf.DUMMYFUNCTION("""COMPUTED_VALUE"""),"")</f>
        <v/>
      </c>
      <c r="H454" s="12" t="str">
        <f>IFERROR(__xludf.DUMMYFUNCTION("""COMPUTED_VALUE"""),"")</f>
        <v/>
      </c>
      <c r="I454" s="12" t="str">
        <f>IFERROR(__xludf.DUMMYFUNCTION("""COMPUTED_VALUE"""),"")</f>
        <v/>
      </c>
      <c r="J454" s="13" t="str">
        <f t="shared" si="1"/>
        <v/>
      </c>
      <c r="K454" s="12" t="str">
        <f>IFERROR(IF(A454="","",if($G454="",Reference!$J$2, VLOOKUP($G454,Reference!$I$2:$J$1000,2,false))),"")</f>
        <v/>
      </c>
      <c r="L454" s="12" t="str">
        <f>IF(A454="","", IF(F454="",Reference!$M$2,F454))</f>
        <v/>
      </c>
      <c r="M454" s="14" t="str">
        <f t="shared" si="2"/>
        <v/>
      </c>
      <c r="N454" s="15" t="str">
        <f t="shared" si="3"/>
        <v/>
      </c>
      <c r="O454" s="14" t="str">
        <f t="shared" si="4"/>
        <v/>
      </c>
      <c r="P454" s="16" t="str">
        <f t="array" ref="P454">IF($A454="","", IFERROR(INDEX('BM Data'!$N:$N,MATCH($J454&amp; "-" &amp; $N454,'BM Data'!$O:$O,0),1),""))</f>
        <v/>
      </c>
      <c r="Q454" s="16" t="str">
        <f t="array" ref="Q454">IF($A454="","", IFERROR(INDEX('BM Data'!$J:$J,MATCH($J454&amp; "-" &amp; $N454,'BM Data'!$O:$O,0),1),""))</f>
        <v/>
      </c>
    </row>
    <row r="455">
      <c r="A455" s="10" t="str">
        <f>IFERROR(__xludf.DUMMYFUNCTION("""COMPUTED_VALUE"""),"")</f>
        <v/>
      </c>
      <c r="B455" s="3" t="str">
        <f>IFERROR(__xludf.DUMMYFUNCTION("""COMPUTED_VALUE"""),"")</f>
        <v/>
      </c>
      <c r="C455" s="11" t="str">
        <f>IFERROR(__xludf.DUMMYFUNCTION("""COMPUTED_VALUE"""),"")</f>
        <v/>
      </c>
      <c r="D455" s="11" t="str">
        <f>IFERROR(__xludf.DUMMYFUNCTION("""COMPUTED_VALUE"""),"")</f>
        <v/>
      </c>
      <c r="E455" s="11" t="str">
        <f>IFERROR(__xludf.DUMMYFUNCTION("""COMPUTED_VALUE"""),"")</f>
        <v/>
      </c>
      <c r="F455" s="11" t="str">
        <f>IFERROR(__xludf.DUMMYFUNCTION("""COMPUTED_VALUE"""),"")</f>
        <v/>
      </c>
      <c r="G455" s="11" t="str">
        <f>IFERROR(__xludf.DUMMYFUNCTION("""COMPUTED_VALUE"""),"")</f>
        <v/>
      </c>
      <c r="H455" s="12" t="str">
        <f>IFERROR(__xludf.DUMMYFUNCTION("""COMPUTED_VALUE"""),"")</f>
        <v/>
      </c>
      <c r="I455" s="12" t="str">
        <f>IFERROR(__xludf.DUMMYFUNCTION("""COMPUTED_VALUE"""),"")</f>
        <v/>
      </c>
      <c r="J455" s="13" t="str">
        <f t="shared" si="1"/>
        <v/>
      </c>
      <c r="K455" s="12" t="str">
        <f>IFERROR(IF(A455="","",if($G455="",Reference!$J$2, VLOOKUP($G455,Reference!$I$2:$J$1000,2,false))),"")</f>
        <v/>
      </c>
      <c r="L455" s="12" t="str">
        <f>IF(A455="","", IF(F455="",Reference!$M$2,F455))</f>
        <v/>
      </c>
      <c r="M455" s="14" t="str">
        <f t="shared" si="2"/>
        <v/>
      </c>
      <c r="N455" s="15" t="str">
        <f t="shared" si="3"/>
        <v/>
      </c>
      <c r="O455" s="14" t="str">
        <f t="shared" si="4"/>
        <v/>
      </c>
      <c r="P455" s="16" t="str">
        <f t="array" ref="P455">IF($A455="","", IFERROR(INDEX('BM Data'!$N:$N,MATCH($J455&amp; "-" &amp; $N455,'BM Data'!$O:$O,0),1),""))</f>
        <v/>
      </c>
      <c r="Q455" s="16" t="str">
        <f t="array" ref="Q455">IF($A455="","", IFERROR(INDEX('BM Data'!$J:$J,MATCH($J455&amp; "-" &amp; $N455,'BM Data'!$O:$O,0),1),""))</f>
        <v/>
      </c>
    </row>
    <row r="456">
      <c r="A456" s="10" t="str">
        <f>IFERROR(__xludf.DUMMYFUNCTION("""COMPUTED_VALUE"""),"")</f>
        <v/>
      </c>
      <c r="B456" s="3" t="str">
        <f>IFERROR(__xludf.DUMMYFUNCTION("""COMPUTED_VALUE"""),"")</f>
        <v/>
      </c>
      <c r="C456" s="11" t="str">
        <f>IFERROR(__xludf.DUMMYFUNCTION("""COMPUTED_VALUE"""),"")</f>
        <v/>
      </c>
      <c r="D456" s="11" t="str">
        <f>IFERROR(__xludf.DUMMYFUNCTION("""COMPUTED_VALUE"""),"")</f>
        <v/>
      </c>
      <c r="E456" s="11" t="str">
        <f>IFERROR(__xludf.DUMMYFUNCTION("""COMPUTED_VALUE"""),"")</f>
        <v/>
      </c>
      <c r="F456" s="11" t="str">
        <f>IFERROR(__xludf.DUMMYFUNCTION("""COMPUTED_VALUE"""),"")</f>
        <v/>
      </c>
      <c r="G456" s="11" t="str">
        <f>IFERROR(__xludf.DUMMYFUNCTION("""COMPUTED_VALUE"""),"")</f>
        <v/>
      </c>
      <c r="H456" s="12" t="str">
        <f>IFERROR(__xludf.DUMMYFUNCTION("""COMPUTED_VALUE"""),"")</f>
        <v/>
      </c>
      <c r="I456" s="12" t="str">
        <f>IFERROR(__xludf.DUMMYFUNCTION("""COMPUTED_VALUE"""),"")</f>
        <v/>
      </c>
      <c r="J456" s="13" t="str">
        <f t="shared" si="1"/>
        <v/>
      </c>
      <c r="K456" s="12" t="str">
        <f>IFERROR(IF(A456="","",if($G456="",Reference!$J$2, VLOOKUP($G456,Reference!$I$2:$J$1000,2,false))),"")</f>
        <v/>
      </c>
      <c r="L456" s="12" t="str">
        <f>IF(A456="","", IF(F456="",Reference!$M$2,F456))</f>
        <v/>
      </c>
      <c r="M456" s="14" t="str">
        <f t="shared" si="2"/>
        <v/>
      </c>
      <c r="N456" s="15" t="str">
        <f t="shared" si="3"/>
        <v/>
      </c>
      <c r="O456" s="14" t="str">
        <f t="shared" si="4"/>
        <v/>
      </c>
      <c r="P456" s="16" t="str">
        <f t="array" ref="P456">IF($A456="","", IFERROR(INDEX('BM Data'!$N:$N,MATCH($J456&amp; "-" &amp; $N456,'BM Data'!$O:$O,0),1),""))</f>
        <v/>
      </c>
      <c r="Q456" s="16" t="str">
        <f t="array" ref="Q456">IF($A456="","", IFERROR(INDEX('BM Data'!$J:$J,MATCH($J456&amp; "-" &amp; $N456,'BM Data'!$O:$O,0),1),""))</f>
        <v/>
      </c>
    </row>
    <row r="457">
      <c r="A457" s="10" t="str">
        <f>IFERROR(__xludf.DUMMYFUNCTION("""COMPUTED_VALUE"""),"")</f>
        <v/>
      </c>
      <c r="B457" s="3" t="str">
        <f>IFERROR(__xludf.DUMMYFUNCTION("""COMPUTED_VALUE"""),"")</f>
        <v/>
      </c>
      <c r="C457" s="11" t="str">
        <f>IFERROR(__xludf.DUMMYFUNCTION("""COMPUTED_VALUE"""),"")</f>
        <v/>
      </c>
      <c r="D457" s="11" t="str">
        <f>IFERROR(__xludf.DUMMYFUNCTION("""COMPUTED_VALUE"""),"")</f>
        <v/>
      </c>
      <c r="E457" s="11" t="str">
        <f>IFERROR(__xludf.DUMMYFUNCTION("""COMPUTED_VALUE"""),"")</f>
        <v/>
      </c>
      <c r="F457" s="11" t="str">
        <f>IFERROR(__xludf.DUMMYFUNCTION("""COMPUTED_VALUE"""),"")</f>
        <v/>
      </c>
      <c r="G457" s="11" t="str">
        <f>IFERROR(__xludf.DUMMYFUNCTION("""COMPUTED_VALUE"""),"")</f>
        <v/>
      </c>
      <c r="H457" s="12" t="str">
        <f>IFERROR(__xludf.DUMMYFUNCTION("""COMPUTED_VALUE"""),"")</f>
        <v/>
      </c>
      <c r="I457" s="12" t="str">
        <f>IFERROR(__xludf.DUMMYFUNCTION("""COMPUTED_VALUE"""),"")</f>
        <v/>
      </c>
      <c r="J457" s="13" t="str">
        <f t="shared" si="1"/>
        <v/>
      </c>
      <c r="K457" s="12" t="str">
        <f>IFERROR(IF(A457="","",if($G457="",Reference!$J$2, VLOOKUP($G457,Reference!$I$2:$J$1000,2,false))),"")</f>
        <v/>
      </c>
      <c r="L457" s="12" t="str">
        <f>IF(A457="","", IF(F457="",Reference!$M$2,F457))</f>
        <v/>
      </c>
      <c r="M457" s="14" t="str">
        <f t="shared" si="2"/>
        <v/>
      </c>
      <c r="N457" s="15" t="str">
        <f t="shared" si="3"/>
        <v/>
      </c>
      <c r="O457" s="14" t="str">
        <f t="shared" si="4"/>
        <v/>
      </c>
      <c r="P457" s="16" t="str">
        <f t="array" ref="P457">IF($A457="","", IFERROR(INDEX('BM Data'!$N:$N,MATCH($J457&amp; "-" &amp; $N457,'BM Data'!$O:$O,0),1),""))</f>
        <v/>
      </c>
      <c r="Q457" s="16" t="str">
        <f t="array" ref="Q457">IF($A457="","", IFERROR(INDEX('BM Data'!$J:$J,MATCH($J457&amp; "-" &amp; $N457,'BM Data'!$O:$O,0),1),""))</f>
        <v/>
      </c>
    </row>
    <row r="458">
      <c r="A458" s="10" t="str">
        <f>IFERROR(__xludf.DUMMYFUNCTION("""COMPUTED_VALUE"""),"")</f>
        <v/>
      </c>
      <c r="B458" s="3" t="str">
        <f>IFERROR(__xludf.DUMMYFUNCTION("""COMPUTED_VALUE"""),"")</f>
        <v/>
      </c>
      <c r="C458" s="11" t="str">
        <f>IFERROR(__xludf.DUMMYFUNCTION("""COMPUTED_VALUE"""),"")</f>
        <v/>
      </c>
      <c r="D458" s="11" t="str">
        <f>IFERROR(__xludf.DUMMYFUNCTION("""COMPUTED_VALUE"""),"")</f>
        <v/>
      </c>
      <c r="E458" s="11" t="str">
        <f>IFERROR(__xludf.DUMMYFUNCTION("""COMPUTED_VALUE"""),"")</f>
        <v/>
      </c>
      <c r="F458" s="11" t="str">
        <f>IFERROR(__xludf.DUMMYFUNCTION("""COMPUTED_VALUE"""),"")</f>
        <v/>
      </c>
      <c r="G458" s="11" t="str">
        <f>IFERROR(__xludf.DUMMYFUNCTION("""COMPUTED_VALUE"""),"")</f>
        <v/>
      </c>
      <c r="H458" s="12" t="str">
        <f>IFERROR(__xludf.DUMMYFUNCTION("""COMPUTED_VALUE"""),"")</f>
        <v/>
      </c>
      <c r="I458" s="12" t="str">
        <f>IFERROR(__xludf.DUMMYFUNCTION("""COMPUTED_VALUE"""),"")</f>
        <v/>
      </c>
      <c r="J458" s="13" t="str">
        <f t="shared" si="1"/>
        <v/>
      </c>
      <c r="K458" s="12" t="str">
        <f>IFERROR(IF(A458="","",if($G458="",Reference!$J$2, VLOOKUP($G458,Reference!$I$2:$J$1000,2,false))),"")</f>
        <v/>
      </c>
      <c r="L458" s="12" t="str">
        <f>IF(A458="","", IF(F458="",Reference!$M$2,F458))</f>
        <v/>
      </c>
      <c r="M458" s="14" t="str">
        <f t="shared" si="2"/>
        <v/>
      </c>
      <c r="N458" s="15" t="str">
        <f t="shared" si="3"/>
        <v/>
      </c>
      <c r="O458" s="14" t="str">
        <f t="shared" si="4"/>
        <v/>
      </c>
      <c r="P458" s="16" t="str">
        <f t="array" ref="P458">IF($A458="","", IFERROR(INDEX('BM Data'!$N:$N,MATCH($J458&amp; "-" &amp; $N458,'BM Data'!$O:$O,0),1),""))</f>
        <v/>
      </c>
      <c r="Q458" s="16" t="str">
        <f t="array" ref="Q458">IF($A458="","", IFERROR(INDEX('BM Data'!$J:$J,MATCH($J458&amp; "-" &amp; $N458,'BM Data'!$O:$O,0),1),""))</f>
        <v/>
      </c>
    </row>
    <row r="459">
      <c r="A459" s="10" t="str">
        <f>IFERROR(__xludf.DUMMYFUNCTION("""COMPUTED_VALUE"""),"")</f>
        <v/>
      </c>
      <c r="B459" s="3" t="str">
        <f>IFERROR(__xludf.DUMMYFUNCTION("""COMPUTED_VALUE"""),"")</f>
        <v/>
      </c>
      <c r="C459" s="11" t="str">
        <f>IFERROR(__xludf.DUMMYFUNCTION("""COMPUTED_VALUE"""),"")</f>
        <v/>
      </c>
      <c r="D459" s="11" t="str">
        <f>IFERROR(__xludf.DUMMYFUNCTION("""COMPUTED_VALUE"""),"")</f>
        <v/>
      </c>
      <c r="E459" s="11" t="str">
        <f>IFERROR(__xludf.DUMMYFUNCTION("""COMPUTED_VALUE"""),"")</f>
        <v/>
      </c>
      <c r="F459" s="11" t="str">
        <f>IFERROR(__xludf.DUMMYFUNCTION("""COMPUTED_VALUE"""),"")</f>
        <v/>
      </c>
      <c r="G459" s="11" t="str">
        <f>IFERROR(__xludf.DUMMYFUNCTION("""COMPUTED_VALUE"""),"")</f>
        <v/>
      </c>
      <c r="H459" s="12" t="str">
        <f>IFERROR(__xludf.DUMMYFUNCTION("""COMPUTED_VALUE"""),"")</f>
        <v/>
      </c>
      <c r="I459" s="12" t="str">
        <f>IFERROR(__xludf.DUMMYFUNCTION("""COMPUTED_VALUE"""),"")</f>
        <v/>
      </c>
      <c r="J459" s="13" t="str">
        <f t="shared" si="1"/>
        <v/>
      </c>
      <c r="K459" s="12" t="str">
        <f>IFERROR(IF(A459="","",if($G459="",Reference!$J$2, VLOOKUP($G459,Reference!$I$2:$J$1000,2,false))),"")</f>
        <v/>
      </c>
      <c r="L459" s="12" t="str">
        <f>IF(A459="","", IF(F459="",Reference!$M$2,F459))</f>
        <v/>
      </c>
      <c r="M459" s="14" t="str">
        <f t="shared" si="2"/>
        <v/>
      </c>
      <c r="N459" s="15" t="str">
        <f t="shared" si="3"/>
        <v/>
      </c>
      <c r="O459" s="14" t="str">
        <f t="shared" si="4"/>
        <v/>
      </c>
      <c r="P459" s="16" t="str">
        <f t="array" ref="P459">IF($A459="","", IFERROR(INDEX('BM Data'!$N:$N,MATCH($J459&amp; "-" &amp; $N459,'BM Data'!$O:$O,0),1),""))</f>
        <v/>
      </c>
      <c r="Q459" s="16" t="str">
        <f t="array" ref="Q459">IF($A459="","", IFERROR(INDEX('BM Data'!$J:$J,MATCH($J459&amp; "-" &amp; $N459,'BM Data'!$O:$O,0),1),""))</f>
        <v/>
      </c>
    </row>
    <row r="460">
      <c r="A460" s="10" t="str">
        <f>IFERROR(__xludf.DUMMYFUNCTION("""COMPUTED_VALUE"""),"")</f>
        <v/>
      </c>
      <c r="B460" s="3" t="str">
        <f>IFERROR(__xludf.DUMMYFUNCTION("""COMPUTED_VALUE"""),"")</f>
        <v/>
      </c>
      <c r="C460" s="11" t="str">
        <f>IFERROR(__xludf.DUMMYFUNCTION("""COMPUTED_VALUE"""),"")</f>
        <v/>
      </c>
      <c r="D460" s="11" t="str">
        <f>IFERROR(__xludf.DUMMYFUNCTION("""COMPUTED_VALUE"""),"")</f>
        <v/>
      </c>
      <c r="E460" s="11" t="str">
        <f>IFERROR(__xludf.DUMMYFUNCTION("""COMPUTED_VALUE"""),"")</f>
        <v/>
      </c>
      <c r="F460" s="11" t="str">
        <f>IFERROR(__xludf.DUMMYFUNCTION("""COMPUTED_VALUE"""),"")</f>
        <v/>
      </c>
      <c r="G460" s="11" t="str">
        <f>IFERROR(__xludf.DUMMYFUNCTION("""COMPUTED_VALUE"""),"")</f>
        <v/>
      </c>
      <c r="H460" s="12" t="str">
        <f>IFERROR(__xludf.DUMMYFUNCTION("""COMPUTED_VALUE"""),"")</f>
        <v/>
      </c>
      <c r="I460" s="12" t="str">
        <f>IFERROR(__xludf.DUMMYFUNCTION("""COMPUTED_VALUE"""),"")</f>
        <v/>
      </c>
      <c r="J460" s="13" t="str">
        <f t="shared" si="1"/>
        <v/>
      </c>
      <c r="K460" s="12" t="str">
        <f>IFERROR(IF(A460="","",if($G460="",Reference!$J$2, VLOOKUP($G460,Reference!$I$2:$J$1000,2,false))),"")</f>
        <v/>
      </c>
      <c r="L460" s="12" t="str">
        <f>IF(A460="","", IF(F460="",Reference!$M$2,F460))</f>
        <v/>
      </c>
      <c r="M460" s="14" t="str">
        <f t="shared" si="2"/>
        <v/>
      </c>
      <c r="N460" s="15" t="str">
        <f t="shared" si="3"/>
        <v/>
      </c>
      <c r="O460" s="14" t="str">
        <f t="shared" si="4"/>
        <v/>
      </c>
      <c r="P460" s="16" t="str">
        <f t="array" ref="P460">IF($A460="","", IFERROR(INDEX('BM Data'!$N:$N,MATCH($J460&amp; "-" &amp; $N460,'BM Data'!$O:$O,0),1),""))</f>
        <v/>
      </c>
      <c r="Q460" s="16" t="str">
        <f t="array" ref="Q460">IF($A460="","", IFERROR(INDEX('BM Data'!$J:$J,MATCH($J460&amp; "-" &amp; $N460,'BM Data'!$O:$O,0),1),""))</f>
        <v/>
      </c>
    </row>
    <row r="461">
      <c r="A461" s="10" t="str">
        <f>IFERROR(__xludf.DUMMYFUNCTION("""COMPUTED_VALUE"""),"")</f>
        <v/>
      </c>
      <c r="B461" s="3" t="str">
        <f>IFERROR(__xludf.DUMMYFUNCTION("""COMPUTED_VALUE"""),"")</f>
        <v/>
      </c>
      <c r="C461" s="11" t="str">
        <f>IFERROR(__xludf.DUMMYFUNCTION("""COMPUTED_VALUE"""),"")</f>
        <v/>
      </c>
      <c r="D461" s="11" t="str">
        <f>IFERROR(__xludf.DUMMYFUNCTION("""COMPUTED_VALUE"""),"")</f>
        <v/>
      </c>
      <c r="E461" s="11" t="str">
        <f>IFERROR(__xludf.DUMMYFUNCTION("""COMPUTED_VALUE"""),"")</f>
        <v/>
      </c>
      <c r="F461" s="11" t="str">
        <f>IFERROR(__xludf.DUMMYFUNCTION("""COMPUTED_VALUE"""),"")</f>
        <v/>
      </c>
      <c r="G461" s="11" t="str">
        <f>IFERROR(__xludf.DUMMYFUNCTION("""COMPUTED_VALUE"""),"")</f>
        <v/>
      </c>
      <c r="H461" s="12" t="str">
        <f>IFERROR(__xludf.DUMMYFUNCTION("""COMPUTED_VALUE"""),"")</f>
        <v/>
      </c>
      <c r="I461" s="12" t="str">
        <f>IFERROR(__xludf.DUMMYFUNCTION("""COMPUTED_VALUE"""),"")</f>
        <v/>
      </c>
      <c r="J461" s="13" t="str">
        <f t="shared" si="1"/>
        <v/>
      </c>
      <c r="K461" s="12" t="str">
        <f>IFERROR(IF(A461="","",if($G461="",Reference!$J$2, VLOOKUP($G461,Reference!$I$2:$J$1000,2,false))),"")</f>
        <v/>
      </c>
      <c r="L461" s="12" t="str">
        <f>IF(A461="","", IF(F461="",Reference!$M$2,F461))</f>
        <v/>
      </c>
      <c r="M461" s="14" t="str">
        <f t="shared" si="2"/>
        <v/>
      </c>
      <c r="N461" s="15" t="str">
        <f t="shared" si="3"/>
        <v/>
      </c>
      <c r="O461" s="14" t="str">
        <f t="shared" si="4"/>
        <v/>
      </c>
      <c r="P461" s="16" t="str">
        <f t="array" ref="P461">IF($A461="","", IFERROR(INDEX('BM Data'!$N:$N,MATCH($J461&amp; "-" &amp; $N461,'BM Data'!$O:$O,0),1),""))</f>
        <v/>
      </c>
      <c r="Q461" s="16" t="str">
        <f t="array" ref="Q461">IF($A461="","", IFERROR(INDEX('BM Data'!$J:$J,MATCH($J461&amp; "-" &amp; $N461,'BM Data'!$O:$O,0),1),""))</f>
        <v/>
      </c>
    </row>
    <row r="462">
      <c r="A462" s="10" t="str">
        <f>IFERROR(__xludf.DUMMYFUNCTION("""COMPUTED_VALUE"""),"")</f>
        <v/>
      </c>
      <c r="B462" s="3" t="str">
        <f>IFERROR(__xludf.DUMMYFUNCTION("""COMPUTED_VALUE"""),"")</f>
        <v/>
      </c>
      <c r="C462" s="11" t="str">
        <f>IFERROR(__xludf.DUMMYFUNCTION("""COMPUTED_VALUE"""),"")</f>
        <v/>
      </c>
      <c r="D462" s="11" t="str">
        <f>IFERROR(__xludf.DUMMYFUNCTION("""COMPUTED_VALUE"""),"")</f>
        <v/>
      </c>
      <c r="E462" s="11" t="str">
        <f>IFERROR(__xludf.DUMMYFUNCTION("""COMPUTED_VALUE"""),"")</f>
        <v/>
      </c>
      <c r="F462" s="11" t="str">
        <f>IFERROR(__xludf.DUMMYFUNCTION("""COMPUTED_VALUE"""),"")</f>
        <v/>
      </c>
      <c r="G462" s="11" t="str">
        <f>IFERROR(__xludf.DUMMYFUNCTION("""COMPUTED_VALUE"""),"")</f>
        <v/>
      </c>
      <c r="H462" s="12" t="str">
        <f>IFERROR(__xludf.DUMMYFUNCTION("""COMPUTED_VALUE"""),"")</f>
        <v/>
      </c>
      <c r="I462" s="12" t="str">
        <f>IFERROR(__xludf.DUMMYFUNCTION("""COMPUTED_VALUE"""),"")</f>
        <v/>
      </c>
      <c r="J462" s="13" t="str">
        <f t="shared" si="1"/>
        <v/>
      </c>
      <c r="K462" s="12" t="str">
        <f>IFERROR(IF(A462="","",if($G462="",Reference!$J$2, VLOOKUP($G462,Reference!$I$2:$J$1000,2,false))),"")</f>
        <v/>
      </c>
      <c r="L462" s="12" t="str">
        <f>IF(A462="","", IF(F462="",Reference!$M$2,F462))</f>
        <v/>
      </c>
      <c r="M462" s="14" t="str">
        <f t="shared" si="2"/>
        <v/>
      </c>
      <c r="N462" s="15" t="str">
        <f t="shared" si="3"/>
        <v/>
      </c>
      <c r="O462" s="14" t="str">
        <f t="shared" si="4"/>
        <v/>
      </c>
      <c r="P462" s="16" t="str">
        <f t="array" ref="P462">IF($A462="","", IFERROR(INDEX('BM Data'!$N:$N,MATCH($J462&amp; "-" &amp; $N462,'BM Data'!$O:$O,0),1),""))</f>
        <v/>
      </c>
      <c r="Q462" s="16" t="str">
        <f t="array" ref="Q462">IF($A462="","", IFERROR(INDEX('BM Data'!$J:$J,MATCH($J462&amp; "-" &amp; $N462,'BM Data'!$O:$O,0),1),""))</f>
        <v/>
      </c>
    </row>
    <row r="463">
      <c r="A463" s="10" t="str">
        <f>IFERROR(__xludf.DUMMYFUNCTION("""COMPUTED_VALUE"""),"")</f>
        <v/>
      </c>
      <c r="B463" s="3" t="str">
        <f>IFERROR(__xludf.DUMMYFUNCTION("""COMPUTED_VALUE"""),"")</f>
        <v/>
      </c>
      <c r="C463" s="11" t="str">
        <f>IFERROR(__xludf.DUMMYFUNCTION("""COMPUTED_VALUE"""),"")</f>
        <v/>
      </c>
      <c r="D463" s="11" t="str">
        <f>IFERROR(__xludf.DUMMYFUNCTION("""COMPUTED_VALUE"""),"")</f>
        <v/>
      </c>
      <c r="E463" s="11" t="str">
        <f>IFERROR(__xludf.DUMMYFUNCTION("""COMPUTED_VALUE"""),"")</f>
        <v/>
      </c>
      <c r="F463" s="11" t="str">
        <f>IFERROR(__xludf.DUMMYFUNCTION("""COMPUTED_VALUE"""),"")</f>
        <v/>
      </c>
      <c r="G463" s="11" t="str">
        <f>IFERROR(__xludf.DUMMYFUNCTION("""COMPUTED_VALUE"""),"")</f>
        <v/>
      </c>
      <c r="H463" s="12" t="str">
        <f>IFERROR(__xludf.DUMMYFUNCTION("""COMPUTED_VALUE"""),"")</f>
        <v/>
      </c>
      <c r="I463" s="12" t="str">
        <f>IFERROR(__xludf.DUMMYFUNCTION("""COMPUTED_VALUE"""),"")</f>
        <v/>
      </c>
      <c r="J463" s="13" t="str">
        <f t="shared" si="1"/>
        <v/>
      </c>
      <c r="K463" s="12" t="str">
        <f>IFERROR(IF(A463="","",if($G463="",Reference!$J$2, VLOOKUP($G463,Reference!$I$2:$J$1000,2,false))),"")</f>
        <v/>
      </c>
      <c r="L463" s="12" t="str">
        <f>IF(A463="","", IF(F463="",Reference!$M$2,F463))</f>
        <v/>
      </c>
      <c r="M463" s="14" t="str">
        <f t="shared" si="2"/>
        <v/>
      </c>
      <c r="N463" s="15" t="str">
        <f t="shared" si="3"/>
        <v/>
      </c>
      <c r="O463" s="14" t="str">
        <f t="shared" si="4"/>
        <v/>
      </c>
      <c r="P463" s="16" t="str">
        <f t="array" ref="P463">IF($A463="","", IFERROR(INDEX('BM Data'!$N:$N,MATCH($J463&amp; "-" &amp; $N463,'BM Data'!$O:$O,0),1),""))</f>
        <v/>
      </c>
      <c r="Q463" s="16" t="str">
        <f t="array" ref="Q463">IF($A463="","", IFERROR(INDEX('BM Data'!$J:$J,MATCH($J463&amp; "-" &amp; $N463,'BM Data'!$O:$O,0),1),""))</f>
        <v/>
      </c>
    </row>
    <row r="464">
      <c r="A464" s="10" t="str">
        <f>IFERROR(__xludf.DUMMYFUNCTION("""COMPUTED_VALUE"""),"")</f>
        <v/>
      </c>
      <c r="B464" s="3" t="str">
        <f>IFERROR(__xludf.DUMMYFUNCTION("""COMPUTED_VALUE"""),"")</f>
        <v/>
      </c>
      <c r="C464" s="11" t="str">
        <f>IFERROR(__xludf.DUMMYFUNCTION("""COMPUTED_VALUE"""),"")</f>
        <v/>
      </c>
      <c r="D464" s="11" t="str">
        <f>IFERROR(__xludf.DUMMYFUNCTION("""COMPUTED_VALUE"""),"")</f>
        <v/>
      </c>
      <c r="E464" s="11" t="str">
        <f>IFERROR(__xludf.DUMMYFUNCTION("""COMPUTED_VALUE"""),"")</f>
        <v/>
      </c>
      <c r="F464" s="11" t="str">
        <f>IFERROR(__xludf.DUMMYFUNCTION("""COMPUTED_VALUE"""),"")</f>
        <v/>
      </c>
      <c r="G464" s="11" t="str">
        <f>IFERROR(__xludf.DUMMYFUNCTION("""COMPUTED_VALUE"""),"")</f>
        <v/>
      </c>
      <c r="H464" s="12" t="str">
        <f>IFERROR(__xludf.DUMMYFUNCTION("""COMPUTED_VALUE"""),"")</f>
        <v/>
      </c>
      <c r="I464" s="12" t="str">
        <f>IFERROR(__xludf.DUMMYFUNCTION("""COMPUTED_VALUE"""),"")</f>
        <v/>
      </c>
      <c r="J464" s="13" t="str">
        <f t="shared" si="1"/>
        <v/>
      </c>
      <c r="K464" s="12" t="str">
        <f>IFERROR(IF(A464="","",if($G464="",Reference!$J$2, VLOOKUP($G464,Reference!$I$2:$J$1000,2,false))),"")</f>
        <v/>
      </c>
      <c r="L464" s="12" t="str">
        <f>IF(A464="","", IF(F464="",Reference!$M$2,F464))</f>
        <v/>
      </c>
      <c r="M464" s="14" t="str">
        <f t="shared" si="2"/>
        <v/>
      </c>
      <c r="N464" s="15" t="str">
        <f t="shared" si="3"/>
        <v/>
      </c>
      <c r="O464" s="14" t="str">
        <f t="shared" si="4"/>
        <v/>
      </c>
      <c r="P464" s="16" t="str">
        <f t="array" ref="P464">IF($A464="","", IFERROR(INDEX('BM Data'!$N:$N,MATCH($J464&amp; "-" &amp; $N464,'BM Data'!$O:$O,0),1),""))</f>
        <v/>
      </c>
      <c r="Q464" s="16" t="str">
        <f t="array" ref="Q464">IF($A464="","", IFERROR(INDEX('BM Data'!$J:$J,MATCH($J464&amp; "-" &amp; $N464,'BM Data'!$O:$O,0),1),""))</f>
        <v/>
      </c>
    </row>
    <row r="465">
      <c r="A465" s="10" t="str">
        <f>IFERROR(__xludf.DUMMYFUNCTION("""COMPUTED_VALUE"""),"")</f>
        <v/>
      </c>
      <c r="B465" s="3" t="str">
        <f>IFERROR(__xludf.DUMMYFUNCTION("""COMPUTED_VALUE"""),"")</f>
        <v/>
      </c>
      <c r="C465" s="11" t="str">
        <f>IFERROR(__xludf.DUMMYFUNCTION("""COMPUTED_VALUE"""),"")</f>
        <v/>
      </c>
      <c r="D465" s="11" t="str">
        <f>IFERROR(__xludf.DUMMYFUNCTION("""COMPUTED_VALUE"""),"")</f>
        <v/>
      </c>
      <c r="E465" s="11" t="str">
        <f>IFERROR(__xludf.DUMMYFUNCTION("""COMPUTED_VALUE"""),"")</f>
        <v/>
      </c>
      <c r="F465" s="11" t="str">
        <f>IFERROR(__xludf.DUMMYFUNCTION("""COMPUTED_VALUE"""),"")</f>
        <v/>
      </c>
      <c r="G465" s="11" t="str">
        <f>IFERROR(__xludf.DUMMYFUNCTION("""COMPUTED_VALUE"""),"")</f>
        <v/>
      </c>
      <c r="H465" s="12" t="str">
        <f>IFERROR(__xludf.DUMMYFUNCTION("""COMPUTED_VALUE"""),"")</f>
        <v/>
      </c>
      <c r="I465" s="12" t="str">
        <f>IFERROR(__xludf.DUMMYFUNCTION("""COMPUTED_VALUE"""),"")</f>
        <v/>
      </c>
      <c r="J465" s="13" t="str">
        <f t="shared" si="1"/>
        <v/>
      </c>
      <c r="K465" s="12" t="str">
        <f>IFERROR(IF(A465="","",if($G465="",Reference!$J$2, VLOOKUP($G465,Reference!$I$2:$J$1000,2,false))),"")</f>
        <v/>
      </c>
      <c r="L465" s="12" t="str">
        <f>IF(A465="","", IF(F465="",Reference!$M$2,F465))</f>
        <v/>
      </c>
      <c r="M465" s="14" t="str">
        <f t="shared" si="2"/>
        <v/>
      </c>
      <c r="N465" s="15" t="str">
        <f t="shared" si="3"/>
        <v/>
      </c>
      <c r="O465" s="14" t="str">
        <f t="shared" si="4"/>
        <v/>
      </c>
      <c r="P465" s="16" t="str">
        <f t="array" ref="P465">IF($A465="","", IFERROR(INDEX('BM Data'!$N:$N,MATCH($J465&amp; "-" &amp; $N465,'BM Data'!$O:$O,0),1),""))</f>
        <v/>
      </c>
      <c r="Q465" s="16" t="str">
        <f t="array" ref="Q465">IF($A465="","", IFERROR(INDEX('BM Data'!$J:$J,MATCH($J465&amp; "-" &amp; $N465,'BM Data'!$O:$O,0),1),""))</f>
        <v/>
      </c>
    </row>
    <row r="466">
      <c r="A466" s="10" t="str">
        <f>IFERROR(__xludf.DUMMYFUNCTION("""COMPUTED_VALUE"""),"")</f>
        <v/>
      </c>
      <c r="B466" s="3" t="str">
        <f>IFERROR(__xludf.DUMMYFUNCTION("""COMPUTED_VALUE"""),"")</f>
        <v/>
      </c>
      <c r="C466" s="11" t="str">
        <f>IFERROR(__xludf.DUMMYFUNCTION("""COMPUTED_VALUE"""),"")</f>
        <v/>
      </c>
      <c r="D466" s="11" t="str">
        <f>IFERROR(__xludf.DUMMYFUNCTION("""COMPUTED_VALUE"""),"")</f>
        <v/>
      </c>
      <c r="E466" s="11" t="str">
        <f>IFERROR(__xludf.DUMMYFUNCTION("""COMPUTED_VALUE"""),"")</f>
        <v/>
      </c>
      <c r="F466" s="11" t="str">
        <f>IFERROR(__xludf.DUMMYFUNCTION("""COMPUTED_VALUE"""),"")</f>
        <v/>
      </c>
      <c r="G466" s="11" t="str">
        <f>IFERROR(__xludf.DUMMYFUNCTION("""COMPUTED_VALUE"""),"")</f>
        <v/>
      </c>
      <c r="H466" s="12" t="str">
        <f>IFERROR(__xludf.DUMMYFUNCTION("""COMPUTED_VALUE"""),"")</f>
        <v/>
      </c>
      <c r="I466" s="12" t="str">
        <f>IFERROR(__xludf.DUMMYFUNCTION("""COMPUTED_VALUE"""),"")</f>
        <v/>
      </c>
      <c r="J466" s="13" t="str">
        <f t="shared" si="1"/>
        <v/>
      </c>
      <c r="K466" s="12" t="str">
        <f>IFERROR(IF(A466="","",if($G466="",Reference!$J$2, VLOOKUP($G466,Reference!$I$2:$J$1000,2,false))),"")</f>
        <v/>
      </c>
      <c r="L466" s="12" t="str">
        <f>IF(A466="","", IF(F466="",Reference!$M$2,F466))</f>
        <v/>
      </c>
      <c r="M466" s="14" t="str">
        <f t="shared" si="2"/>
        <v/>
      </c>
      <c r="N466" s="15" t="str">
        <f t="shared" si="3"/>
        <v/>
      </c>
      <c r="O466" s="14" t="str">
        <f t="shared" si="4"/>
        <v/>
      </c>
      <c r="P466" s="16" t="str">
        <f t="array" ref="P466">IF($A466="","", IFERROR(INDEX('BM Data'!$N:$N,MATCH($J466&amp; "-" &amp; $N466,'BM Data'!$O:$O,0),1),""))</f>
        <v/>
      </c>
      <c r="Q466" s="16" t="str">
        <f t="array" ref="Q466">IF($A466="","", IFERROR(INDEX('BM Data'!$J:$J,MATCH($J466&amp; "-" &amp; $N466,'BM Data'!$O:$O,0),1),""))</f>
        <v/>
      </c>
    </row>
    <row r="467">
      <c r="A467" s="10" t="str">
        <f>IFERROR(__xludf.DUMMYFUNCTION("""COMPUTED_VALUE"""),"")</f>
        <v/>
      </c>
      <c r="B467" s="3" t="str">
        <f>IFERROR(__xludf.DUMMYFUNCTION("""COMPUTED_VALUE"""),"")</f>
        <v/>
      </c>
      <c r="C467" s="11" t="str">
        <f>IFERROR(__xludf.DUMMYFUNCTION("""COMPUTED_VALUE"""),"")</f>
        <v/>
      </c>
      <c r="D467" s="11" t="str">
        <f>IFERROR(__xludf.DUMMYFUNCTION("""COMPUTED_VALUE"""),"")</f>
        <v/>
      </c>
      <c r="E467" s="11" t="str">
        <f>IFERROR(__xludf.DUMMYFUNCTION("""COMPUTED_VALUE"""),"")</f>
        <v/>
      </c>
      <c r="F467" s="11" t="str">
        <f>IFERROR(__xludf.DUMMYFUNCTION("""COMPUTED_VALUE"""),"")</f>
        <v/>
      </c>
      <c r="G467" s="11" t="str">
        <f>IFERROR(__xludf.DUMMYFUNCTION("""COMPUTED_VALUE"""),"")</f>
        <v/>
      </c>
      <c r="H467" s="12" t="str">
        <f>IFERROR(__xludf.DUMMYFUNCTION("""COMPUTED_VALUE"""),"")</f>
        <v/>
      </c>
      <c r="I467" s="12" t="str">
        <f>IFERROR(__xludf.DUMMYFUNCTION("""COMPUTED_VALUE"""),"")</f>
        <v/>
      </c>
      <c r="J467" s="13" t="str">
        <f t="shared" si="1"/>
        <v/>
      </c>
      <c r="K467" s="12" t="str">
        <f>IFERROR(IF(A467="","",if($G467="",Reference!$J$2, VLOOKUP($G467,Reference!$I$2:$J$1000,2,false))),"")</f>
        <v/>
      </c>
      <c r="L467" s="12" t="str">
        <f>IF(A467="","", IF(F467="",Reference!$M$2,F467))</f>
        <v/>
      </c>
      <c r="M467" s="14" t="str">
        <f t="shared" si="2"/>
        <v/>
      </c>
      <c r="N467" s="15" t="str">
        <f t="shared" si="3"/>
        <v/>
      </c>
      <c r="O467" s="14" t="str">
        <f t="shared" si="4"/>
        <v/>
      </c>
      <c r="P467" s="16" t="str">
        <f t="array" ref="P467">IF($A467="","", IFERROR(INDEX('BM Data'!$N:$N,MATCH($J467&amp; "-" &amp; $N467,'BM Data'!$O:$O,0),1),""))</f>
        <v/>
      </c>
      <c r="Q467" s="16" t="str">
        <f t="array" ref="Q467">IF($A467="","", IFERROR(INDEX('BM Data'!$J:$J,MATCH($J467&amp; "-" &amp; $N467,'BM Data'!$O:$O,0),1),""))</f>
        <v/>
      </c>
    </row>
    <row r="468">
      <c r="A468" s="10" t="str">
        <f>IFERROR(__xludf.DUMMYFUNCTION("""COMPUTED_VALUE"""),"")</f>
        <v/>
      </c>
      <c r="B468" s="3" t="str">
        <f>IFERROR(__xludf.DUMMYFUNCTION("""COMPUTED_VALUE"""),"")</f>
        <v/>
      </c>
      <c r="C468" s="11" t="str">
        <f>IFERROR(__xludf.DUMMYFUNCTION("""COMPUTED_VALUE"""),"")</f>
        <v/>
      </c>
      <c r="D468" s="11" t="str">
        <f>IFERROR(__xludf.DUMMYFUNCTION("""COMPUTED_VALUE"""),"")</f>
        <v/>
      </c>
      <c r="E468" s="11" t="str">
        <f>IFERROR(__xludf.DUMMYFUNCTION("""COMPUTED_VALUE"""),"")</f>
        <v/>
      </c>
      <c r="F468" s="11" t="str">
        <f>IFERROR(__xludf.DUMMYFUNCTION("""COMPUTED_VALUE"""),"")</f>
        <v/>
      </c>
      <c r="G468" s="11" t="str">
        <f>IFERROR(__xludf.DUMMYFUNCTION("""COMPUTED_VALUE"""),"")</f>
        <v/>
      </c>
      <c r="H468" s="12" t="str">
        <f>IFERROR(__xludf.DUMMYFUNCTION("""COMPUTED_VALUE"""),"")</f>
        <v/>
      </c>
      <c r="I468" s="12" t="str">
        <f>IFERROR(__xludf.DUMMYFUNCTION("""COMPUTED_VALUE"""),"")</f>
        <v/>
      </c>
      <c r="J468" s="13" t="str">
        <f t="shared" si="1"/>
        <v/>
      </c>
      <c r="K468" s="12" t="str">
        <f>IFERROR(IF(A468="","",if($G468="",Reference!$J$2, VLOOKUP($G468,Reference!$I$2:$J$1000,2,false))),"")</f>
        <v/>
      </c>
      <c r="L468" s="12" t="str">
        <f>IF(A468="","", IF(F468="",Reference!$M$2,F468))</f>
        <v/>
      </c>
      <c r="M468" s="14" t="str">
        <f t="shared" si="2"/>
        <v/>
      </c>
      <c r="N468" s="15" t="str">
        <f t="shared" si="3"/>
        <v/>
      </c>
      <c r="O468" s="14" t="str">
        <f t="shared" si="4"/>
        <v/>
      </c>
      <c r="P468" s="16" t="str">
        <f t="array" ref="P468">IF($A468="","", IFERROR(INDEX('BM Data'!$N:$N,MATCH($J468&amp; "-" &amp; $N468,'BM Data'!$O:$O,0),1),""))</f>
        <v/>
      </c>
      <c r="Q468" s="16" t="str">
        <f t="array" ref="Q468">IF($A468="","", IFERROR(INDEX('BM Data'!$J:$J,MATCH($J468&amp; "-" &amp; $N468,'BM Data'!$O:$O,0),1),""))</f>
        <v/>
      </c>
    </row>
    <row r="469">
      <c r="A469" s="10" t="str">
        <f>IFERROR(__xludf.DUMMYFUNCTION("""COMPUTED_VALUE"""),"")</f>
        <v/>
      </c>
      <c r="B469" s="3" t="str">
        <f>IFERROR(__xludf.DUMMYFUNCTION("""COMPUTED_VALUE"""),"")</f>
        <v/>
      </c>
      <c r="C469" s="11" t="str">
        <f>IFERROR(__xludf.DUMMYFUNCTION("""COMPUTED_VALUE"""),"")</f>
        <v/>
      </c>
      <c r="D469" s="11" t="str">
        <f>IFERROR(__xludf.DUMMYFUNCTION("""COMPUTED_VALUE"""),"")</f>
        <v/>
      </c>
      <c r="E469" s="11" t="str">
        <f>IFERROR(__xludf.DUMMYFUNCTION("""COMPUTED_VALUE"""),"")</f>
        <v/>
      </c>
      <c r="F469" s="11" t="str">
        <f>IFERROR(__xludf.DUMMYFUNCTION("""COMPUTED_VALUE"""),"")</f>
        <v/>
      </c>
      <c r="G469" s="11" t="str">
        <f>IFERROR(__xludf.DUMMYFUNCTION("""COMPUTED_VALUE"""),"")</f>
        <v/>
      </c>
      <c r="H469" s="12" t="str">
        <f>IFERROR(__xludf.DUMMYFUNCTION("""COMPUTED_VALUE"""),"")</f>
        <v/>
      </c>
      <c r="I469" s="12" t="str">
        <f>IFERROR(__xludf.DUMMYFUNCTION("""COMPUTED_VALUE"""),"")</f>
        <v/>
      </c>
      <c r="J469" s="13" t="str">
        <f t="shared" si="1"/>
        <v/>
      </c>
      <c r="K469" s="12" t="str">
        <f>IFERROR(IF(A469="","",if($G469="",Reference!$J$2, VLOOKUP($G469,Reference!$I$2:$J$1000,2,false))),"")</f>
        <v/>
      </c>
      <c r="L469" s="12" t="str">
        <f>IF(A469="","", IF(F469="",Reference!$M$2,F469))</f>
        <v/>
      </c>
      <c r="M469" s="14" t="str">
        <f t="shared" si="2"/>
        <v/>
      </c>
      <c r="N469" s="15" t="str">
        <f t="shared" si="3"/>
        <v/>
      </c>
      <c r="O469" s="14" t="str">
        <f t="shared" si="4"/>
        <v/>
      </c>
      <c r="P469" s="16" t="str">
        <f t="array" ref="P469">IF($A469="","", IFERROR(INDEX('BM Data'!$N:$N,MATCH($J469&amp; "-" &amp; $N469,'BM Data'!$O:$O,0),1),""))</f>
        <v/>
      </c>
      <c r="Q469" s="16" t="str">
        <f t="array" ref="Q469">IF($A469="","", IFERROR(INDEX('BM Data'!$J:$J,MATCH($J469&amp; "-" &amp; $N469,'BM Data'!$O:$O,0),1),""))</f>
        <v/>
      </c>
    </row>
    <row r="470">
      <c r="A470" s="10" t="str">
        <f>IFERROR(__xludf.DUMMYFUNCTION("""COMPUTED_VALUE"""),"")</f>
        <v/>
      </c>
      <c r="B470" s="3" t="str">
        <f>IFERROR(__xludf.DUMMYFUNCTION("""COMPUTED_VALUE"""),"")</f>
        <v/>
      </c>
      <c r="C470" s="11" t="str">
        <f>IFERROR(__xludf.DUMMYFUNCTION("""COMPUTED_VALUE"""),"")</f>
        <v/>
      </c>
      <c r="D470" s="11" t="str">
        <f>IFERROR(__xludf.DUMMYFUNCTION("""COMPUTED_VALUE"""),"")</f>
        <v/>
      </c>
      <c r="E470" s="11" t="str">
        <f>IFERROR(__xludf.DUMMYFUNCTION("""COMPUTED_VALUE"""),"")</f>
        <v/>
      </c>
      <c r="F470" s="11" t="str">
        <f>IFERROR(__xludf.DUMMYFUNCTION("""COMPUTED_VALUE"""),"")</f>
        <v/>
      </c>
      <c r="G470" s="11" t="str">
        <f>IFERROR(__xludf.DUMMYFUNCTION("""COMPUTED_VALUE"""),"")</f>
        <v/>
      </c>
      <c r="H470" s="12" t="str">
        <f>IFERROR(__xludf.DUMMYFUNCTION("""COMPUTED_VALUE"""),"")</f>
        <v/>
      </c>
      <c r="I470" s="12" t="str">
        <f>IFERROR(__xludf.DUMMYFUNCTION("""COMPUTED_VALUE"""),"")</f>
        <v/>
      </c>
      <c r="J470" s="13" t="str">
        <f t="shared" si="1"/>
        <v/>
      </c>
      <c r="K470" s="12" t="str">
        <f>IFERROR(IF(A470="","",if($G470="",Reference!$J$2, VLOOKUP($G470,Reference!$I$2:$J$1000,2,false))),"")</f>
        <v/>
      </c>
      <c r="L470" s="12" t="str">
        <f>IF(A470="","", IF(F470="",Reference!$M$2,F470))</f>
        <v/>
      </c>
      <c r="M470" s="14" t="str">
        <f t="shared" si="2"/>
        <v/>
      </c>
      <c r="N470" s="15" t="str">
        <f t="shared" si="3"/>
        <v/>
      </c>
      <c r="O470" s="14" t="str">
        <f t="shared" si="4"/>
        <v/>
      </c>
      <c r="P470" s="16" t="str">
        <f t="array" ref="P470">IF($A470="","", IFERROR(INDEX('BM Data'!$N:$N,MATCH($J470&amp; "-" &amp; $N470,'BM Data'!$O:$O,0),1),""))</f>
        <v/>
      </c>
      <c r="Q470" s="16" t="str">
        <f t="array" ref="Q470">IF($A470="","", IFERROR(INDEX('BM Data'!$J:$J,MATCH($J470&amp; "-" &amp; $N470,'BM Data'!$O:$O,0),1),""))</f>
        <v/>
      </c>
    </row>
    <row r="471">
      <c r="A471" s="10" t="str">
        <f>IFERROR(__xludf.DUMMYFUNCTION("""COMPUTED_VALUE"""),"")</f>
        <v/>
      </c>
      <c r="B471" s="3" t="str">
        <f>IFERROR(__xludf.DUMMYFUNCTION("""COMPUTED_VALUE"""),"")</f>
        <v/>
      </c>
      <c r="C471" s="11" t="str">
        <f>IFERROR(__xludf.DUMMYFUNCTION("""COMPUTED_VALUE"""),"")</f>
        <v/>
      </c>
      <c r="D471" s="11" t="str">
        <f>IFERROR(__xludf.DUMMYFUNCTION("""COMPUTED_VALUE"""),"")</f>
        <v/>
      </c>
      <c r="E471" s="11" t="str">
        <f>IFERROR(__xludf.DUMMYFUNCTION("""COMPUTED_VALUE"""),"")</f>
        <v/>
      </c>
      <c r="F471" s="11" t="str">
        <f>IFERROR(__xludf.DUMMYFUNCTION("""COMPUTED_VALUE"""),"")</f>
        <v/>
      </c>
      <c r="G471" s="11" t="str">
        <f>IFERROR(__xludf.DUMMYFUNCTION("""COMPUTED_VALUE"""),"")</f>
        <v/>
      </c>
      <c r="H471" s="12" t="str">
        <f>IFERROR(__xludf.DUMMYFUNCTION("""COMPUTED_VALUE"""),"")</f>
        <v/>
      </c>
      <c r="I471" s="12" t="str">
        <f>IFERROR(__xludf.DUMMYFUNCTION("""COMPUTED_VALUE"""),"")</f>
        <v/>
      </c>
      <c r="J471" s="13" t="str">
        <f t="shared" si="1"/>
        <v/>
      </c>
      <c r="K471" s="12" t="str">
        <f>IFERROR(IF(A471="","",if($G471="",Reference!$J$2, VLOOKUP($G471,Reference!$I$2:$J$1000,2,false))),"")</f>
        <v/>
      </c>
      <c r="L471" s="12" t="str">
        <f>IF(A471="","", IF(F471="",Reference!$M$2,F471))</f>
        <v/>
      </c>
      <c r="M471" s="14" t="str">
        <f t="shared" si="2"/>
        <v/>
      </c>
      <c r="N471" s="15" t="str">
        <f t="shared" si="3"/>
        <v/>
      </c>
      <c r="O471" s="14" t="str">
        <f t="shared" si="4"/>
        <v/>
      </c>
      <c r="P471" s="16" t="str">
        <f t="array" ref="P471">IF($A471="","", IFERROR(INDEX('BM Data'!$N:$N,MATCH($J471&amp; "-" &amp; $N471,'BM Data'!$O:$O,0),1),""))</f>
        <v/>
      </c>
      <c r="Q471" s="16" t="str">
        <f t="array" ref="Q471">IF($A471="","", IFERROR(INDEX('BM Data'!$J:$J,MATCH($J471&amp; "-" &amp; $N471,'BM Data'!$O:$O,0),1),""))</f>
        <v/>
      </c>
    </row>
    <row r="472">
      <c r="A472" s="10" t="str">
        <f>IFERROR(__xludf.DUMMYFUNCTION("""COMPUTED_VALUE"""),"")</f>
        <v/>
      </c>
      <c r="B472" s="3" t="str">
        <f>IFERROR(__xludf.DUMMYFUNCTION("""COMPUTED_VALUE"""),"")</f>
        <v/>
      </c>
      <c r="C472" s="11" t="str">
        <f>IFERROR(__xludf.DUMMYFUNCTION("""COMPUTED_VALUE"""),"")</f>
        <v/>
      </c>
      <c r="D472" s="11" t="str">
        <f>IFERROR(__xludf.DUMMYFUNCTION("""COMPUTED_VALUE"""),"")</f>
        <v/>
      </c>
      <c r="E472" s="11" t="str">
        <f>IFERROR(__xludf.DUMMYFUNCTION("""COMPUTED_VALUE"""),"")</f>
        <v/>
      </c>
      <c r="F472" s="11" t="str">
        <f>IFERROR(__xludf.DUMMYFUNCTION("""COMPUTED_VALUE"""),"")</f>
        <v/>
      </c>
      <c r="G472" s="11" t="str">
        <f>IFERROR(__xludf.DUMMYFUNCTION("""COMPUTED_VALUE"""),"")</f>
        <v/>
      </c>
      <c r="H472" s="12" t="str">
        <f>IFERROR(__xludf.DUMMYFUNCTION("""COMPUTED_VALUE"""),"")</f>
        <v/>
      </c>
      <c r="I472" s="12" t="str">
        <f>IFERROR(__xludf.DUMMYFUNCTION("""COMPUTED_VALUE"""),"")</f>
        <v/>
      </c>
      <c r="J472" s="13" t="str">
        <f t="shared" si="1"/>
        <v/>
      </c>
      <c r="K472" s="12" t="str">
        <f>IFERROR(IF(A472="","",if($G472="",Reference!$J$2, VLOOKUP($G472,Reference!$I$2:$J$1000,2,false))),"")</f>
        <v/>
      </c>
      <c r="L472" s="12" t="str">
        <f>IF(A472="","", IF(F472="",Reference!$M$2,F472))</f>
        <v/>
      </c>
      <c r="M472" s="14" t="str">
        <f t="shared" si="2"/>
        <v/>
      </c>
      <c r="N472" s="15" t="str">
        <f t="shared" si="3"/>
        <v/>
      </c>
      <c r="O472" s="14" t="str">
        <f t="shared" si="4"/>
        <v/>
      </c>
      <c r="P472" s="16" t="str">
        <f t="array" ref="P472">IF($A472="","", IFERROR(INDEX('BM Data'!$N:$N,MATCH($J472&amp; "-" &amp; $N472,'BM Data'!$O:$O,0),1),""))</f>
        <v/>
      </c>
      <c r="Q472" s="16" t="str">
        <f t="array" ref="Q472">IF($A472="","", IFERROR(INDEX('BM Data'!$J:$J,MATCH($J472&amp; "-" &amp; $N472,'BM Data'!$O:$O,0),1),""))</f>
        <v/>
      </c>
    </row>
    <row r="473">
      <c r="A473" s="10" t="str">
        <f>IFERROR(__xludf.DUMMYFUNCTION("""COMPUTED_VALUE"""),"")</f>
        <v/>
      </c>
      <c r="B473" s="3" t="str">
        <f>IFERROR(__xludf.DUMMYFUNCTION("""COMPUTED_VALUE"""),"")</f>
        <v/>
      </c>
      <c r="C473" s="11" t="str">
        <f>IFERROR(__xludf.DUMMYFUNCTION("""COMPUTED_VALUE"""),"")</f>
        <v/>
      </c>
      <c r="D473" s="11" t="str">
        <f>IFERROR(__xludf.DUMMYFUNCTION("""COMPUTED_VALUE"""),"")</f>
        <v/>
      </c>
      <c r="E473" s="11" t="str">
        <f>IFERROR(__xludf.DUMMYFUNCTION("""COMPUTED_VALUE"""),"")</f>
        <v/>
      </c>
      <c r="F473" s="11" t="str">
        <f>IFERROR(__xludf.DUMMYFUNCTION("""COMPUTED_VALUE"""),"")</f>
        <v/>
      </c>
      <c r="G473" s="11" t="str">
        <f>IFERROR(__xludf.DUMMYFUNCTION("""COMPUTED_VALUE"""),"")</f>
        <v/>
      </c>
      <c r="H473" s="12" t="str">
        <f>IFERROR(__xludf.DUMMYFUNCTION("""COMPUTED_VALUE"""),"")</f>
        <v/>
      </c>
      <c r="I473" s="12" t="str">
        <f>IFERROR(__xludf.DUMMYFUNCTION("""COMPUTED_VALUE"""),"")</f>
        <v/>
      </c>
      <c r="J473" s="13" t="str">
        <f t="shared" si="1"/>
        <v/>
      </c>
      <c r="K473" s="12" t="str">
        <f>IFERROR(IF(A473="","",if($G473="",Reference!$J$2, VLOOKUP($G473,Reference!$I$2:$J$1000,2,false))),"")</f>
        <v/>
      </c>
      <c r="L473" s="12" t="str">
        <f>IF(A473="","", IF(F473="",Reference!$M$2,F473))</f>
        <v/>
      </c>
      <c r="M473" s="14" t="str">
        <f t="shared" si="2"/>
        <v/>
      </c>
      <c r="N473" s="15" t="str">
        <f t="shared" si="3"/>
        <v/>
      </c>
      <c r="O473" s="14" t="str">
        <f t="shared" si="4"/>
        <v/>
      </c>
      <c r="P473" s="16" t="str">
        <f t="array" ref="P473">IF($A473="","", IFERROR(INDEX('BM Data'!$N:$N,MATCH($J473&amp; "-" &amp; $N473,'BM Data'!$O:$O,0),1),""))</f>
        <v/>
      </c>
      <c r="Q473" s="16" t="str">
        <f t="array" ref="Q473">IF($A473="","", IFERROR(INDEX('BM Data'!$J:$J,MATCH($J473&amp; "-" &amp; $N473,'BM Data'!$O:$O,0),1),""))</f>
        <v/>
      </c>
    </row>
    <row r="474">
      <c r="A474" s="10" t="str">
        <f>IFERROR(__xludf.DUMMYFUNCTION("""COMPUTED_VALUE"""),"")</f>
        <v/>
      </c>
      <c r="B474" s="3" t="str">
        <f>IFERROR(__xludf.DUMMYFUNCTION("""COMPUTED_VALUE"""),"")</f>
        <v/>
      </c>
      <c r="C474" s="11" t="str">
        <f>IFERROR(__xludf.DUMMYFUNCTION("""COMPUTED_VALUE"""),"")</f>
        <v/>
      </c>
      <c r="D474" s="11" t="str">
        <f>IFERROR(__xludf.DUMMYFUNCTION("""COMPUTED_VALUE"""),"")</f>
        <v/>
      </c>
      <c r="E474" s="11" t="str">
        <f>IFERROR(__xludf.DUMMYFUNCTION("""COMPUTED_VALUE"""),"")</f>
        <v/>
      </c>
      <c r="F474" s="11" t="str">
        <f>IFERROR(__xludf.DUMMYFUNCTION("""COMPUTED_VALUE"""),"")</f>
        <v/>
      </c>
      <c r="G474" s="11" t="str">
        <f>IFERROR(__xludf.DUMMYFUNCTION("""COMPUTED_VALUE"""),"")</f>
        <v/>
      </c>
      <c r="H474" s="12" t="str">
        <f>IFERROR(__xludf.DUMMYFUNCTION("""COMPUTED_VALUE"""),"")</f>
        <v/>
      </c>
      <c r="I474" s="12" t="str">
        <f>IFERROR(__xludf.DUMMYFUNCTION("""COMPUTED_VALUE"""),"")</f>
        <v/>
      </c>
      <c r="J474" s="13" t="str">
        <f t="shared" si="1"/>
        <v/>
      </c>
      <c r="K474" s="12" t="str">
        <f>IFERROR(IF(A474="","",if($G474="",Reference!$J$2, VLOOKUP($G474,Reference!$I$2:$J$1000,2,false))),"")</f>
        <v/>
      </c>
      <c r="L474" s="12" t="str">
        <f>IF(A474="","", IF(F474="",Reference!$M$2,F474))</f>
        <v/>
      </c>
      <c r="M474" s="14" t="str">
        <f t="shared" si="2"/>
        <v/>
      </c>
      <c r="N474" s="15" t="str">
        <f t="shared" si="3"/>
        <v/>
      </c>
      <c r="O474" s="14" t="str">
        <f t="shared" si="4"/>
        <v/>
      </c>
      <c r="P474" s="16" t="str">
        <f t="array" ref="P474">IF($A474="","", IFERROR(INDEX('BM Data'!$N:$N,MATCH($J474&amp; "-" &amp; $N474,'BM Data'!$O:$O,0),1),""))</f>
        <v/>
      </c>
      <c r="Q474" s="16" t="str">
        <f t="array" ref="Q474">IF($A474="","", IFERROR(INDEX('BM Data'!$J:$J,MATCH($J474&amp; "-" &amp; $N474,'BM Data'!$O:$O,0),1),""))</f>
        <v/>
      </c>
    </row>
    <row r="475">
      <c r="A475" s="10" t="str">
        <f>IFERROR(__xludf.DUMMYFUNCTION("""COMPUTED_VALUE"""),"")</f>
        <v/>
      </c>
      <c r="B475" s="3" t="str">
        <f>IFERROR(__xludf.DUMMYFUNCTION("""COMPUTED_VALUE"""),"")</f>
        <v/>
      </c>
      <c r="C475" s="11" t="str">
        <f>IFERROR(__xludf.DUMMYFUNCTION("""COMPUTED_VALUE"""),"")</f>
        <v/>
      </c>
      <c r="D475" s="11" t="str">
        <f>IFERROR(__xludf.DUMMYFUNCTION("""COMPUTED_VALUE"""),"")</f>
        <v/>
      </c>
      <c r="E475" s="11" t="str">
        <f>IFERROR(__xludf.DUMMYFUNCTION("""COMPUTED_VALUE"""),"")</f>
        <v/>
      </c>
      <c r="F475" s="11" t="str">
        <f>IFERROR(__xludf.DUMMYFUNCTION("""COMPUTED_VALUE"""),"")</f>
        <v/>
      </c>
      <c r="G475" s="11" t="str">
        <f>IFERROR(__xludf.DUMMYFUNCTION("""COMPUTED_VALUE"""),"")</f>
        <v/>
      </c>
      <c r="H475" s="12" t="str">
        <f>IFERROR(__xludf.DUMMYFUNCTION("""COMPUTED_VALUE"""),"")</f>
        <v/>
      </c>
      <c r="I475" s="12" t="str">
        <f>IFERROR(__xludf.DUMMYFUNCTION("""COMPUTED_VALUE"""),"")</f>
        <v/>
      </c>
      <c r="J475" s="13" t="str">
        <f t="shared" si="1"/>
        <v/>
      </c>
      <c r="K475" s="12" t="str">
        <f>IFERROR(IF(A475="","",if($G475="",Reference!$J$2, VLOOKUP($G475,Reference!$I$2:$J$1000,2,false))),"")</f>
        <v/>
      </c>
      <c r="L475" s="12" t="str">
        <f>IF(A475="","", IF(F475="",Reference!$M$2,F475))</f>
        <v/>
      </c>
      <c r="M475" s="14" t="str">
        <f t="shared" si="2"/>
        <v/>
      </c>
      <c r="N475" s="15" t="str">
        <f t="shared" si="3"/>
        <v/>
      </c>
      <c r="O475" s="14" t="str">
        <f t="shared" si="4"/>
        <v/>
      </c>
      <c r="P475" s="16" t="str">
        <f t="array" ref="P475">IF($A475="","", IFERROR(INDEX('BM Data'!$N:$N,MATCH($J475&amp; "-" &amp; $N475,'BM Data'!$O:$O,0),1),""))</f>
        <v/>
      </c>
      <c r="Q475" s="16" t="str">
        <f t="array" ref="Q475">IF($A475="","", IFERROR(INDEX('BM Data'!$J:$J,MATCH($J475&amp; "-" &amp; $N475,'BM Data'!$O:$O,0),1),""))</f>
        <v/>
      </c>
    </row>
    <row r="476">
      <c r="A476" s="10" t="str">
        <f>IFERROR(__xludf.DUMMYFUNCTION("""COMPUTED_VALUE"""),"")</f>
        <v/>
      </c>
      <c r="B476" s="3" t="str">
        <f>IFERROR(__xludf.DUMMYFUNCTION("""COMPUTED_VALUE"""),"")</f>
        <v/>
      </c>
      <c r="C476" s="11" t="str">
        <f>IFERROR(__xludf.DUMMYFUNCTION("""COMPUTED_VALUE"""),"")</f>
        <v/>
      </c>
      <c r="D476" s="11" t="str">
        <f>IFERROR(__xludf.DUMMYFUNCTION("""COMPUTED_VALUE"""),"")</f>
        <v/>
      </c>
      <c r="E476" s="11" t="str">
        <f>IFERROR(__xludf.DUMMYFUNCTION("""COMPUTED_VALUE"""),"")</f>
        <v/>
      </c>
      <c r="F476" s="11" t="str">
        <f>IFERROR(__xludf.DUMMYFUNCTION("""COMPUTED_VALUE"""),"")</f>
        <v/>
      </c>
      <c r="G476" s="11" t="str">
        <f>IFERROR(__xludf.DUMMYFUNCTION("""COMPUTED_VALUE"""),"")</f>
        <v/>
      </c>
      <c r="H476" s="12" t="str">
        <f>IFERROR(__xludf.DUMMYFUNCTION("""COMPUTED_VALUE"""),"")</f>
        <v/>
      </c>
      <c r="I476" s="12" t="str">
        <f>IFERROR(__xludf.DUMMYFUNCTION("""COMPUTED_VALUE"""),"")</f>
        <v/>
      </c>
      <c r="J476" s="13" t="str">
        <f t="shared" si="1"/>
        <v/>
      </c>
      <c r="K476" s="12" t="str">
        <f>IFERROR(IF(A476="","",if($G476="",Reference!$J$2, VLOOKUP($G476,Reference!$I$2:$J$1000,2,false))),"")</f>
        <v/>
      </c>
      <c r="L476" s="12" t="str">
        <f>IF(A476="","", IF(F476="",Reference!$M$2,F476))</f>
        <v/>
      </c>
      <c r="M476" s="14" t="str">
        <f t="shared" si="2"/>
        <v/>
      </c>
      <c r="N476" s="15" t="str">
        <f t="shared" si="3"/>
        <v/>
      </c>
      <c r="O476" s="14" t="str">
        <f t="shared" si="4"/>
        <v/>
      </c>
      <c r="P476" s="16" t="str">
        <f t="array" ref="P476">IF($A476="","", IFERROR(INDEX('BM Data'!$N:$N,MATCH($J476&amp; "-" &amp; $N476,'BM Data'!$O:$O,0),1),""))</f>
        <v/>
      </c>
      <c r="Q476" s="16" t="str">
        <f t="array" ref="Q476">IF($A476="","", IFERROR(INDEX('BM Data'!$J:$J,MATCH($J476&amp; "-" &amp; $N476,'BM Data'!$O:$O,0),1),""))</f>
        <v/>
      </c>
    </row>
    <row r="477">
      <c r="A477" s="10" t="str">
        <f>IFERROR(__xludf.DUMMYFUNCTION("""COMPUTED_VALUE"""),"")</f>
        <v/>
      </c>
      <c r="B477" s="3" t="str">
        <f>IFERROR(__xludf.DUMMYFUNCTION("""COMPUTED_VALUE"""),"")</f>
        <v/>
      </c>
      <c r="C477" s="11" t="str">
        <f>IFERROR(__xludf.DUMMYFUNCTION("""COMPUTED_VALUE"""),"")</f>
        <v/>
      </c>
      <c r="D477" s="11" t="str">
        <f>IFERROR(__xludf.DUMMYFUNCTION("""COMPUTED_VALUE"""),"")</f>
        <v/>
      </c>
      <c r="E477" s="11" t="str">
        <f>IFERROR(__xludf.DUMMYFUNCTION("""COMPUTED_VALUE"""),"")</f>
        <v/>
      </c>
      <c r="F477" s="11" t="str">
        <f>IFERROR(__xludf.DUMMYFUNCTION("""COMPUTED_VALUE"""),"")</f>
        <v/>
      </c>
      <c r="G477" s="11" t="str">
        <f>IFERROR(__xludf.DUMMYFUNCTION("""COMPUTED_VALUE"""),"")</f>
        <v/>
      </c>
      <c r="H477" s="12" t="str">
        <f>IFERROR(__xludf.DUMMYFUNCTION("""COMPUTED_VALUE"""),"")</f>
        <v/>
      </c>
      <c r="I477" s="12" t="str">
        <f>IFERROR(__xludf.DUMMYFUNCTION("""COMPUTED_VALUE"""),"")</f>
        <v/>
      </c>
      <c r="J477" s="13" t="str">
        <f t="shared" si="1"/>
        <v/>
      </c>
      <c r="K477" s="12" t="str">
        <f>IFERROR(IF(A477="","",if($G477="",Reference!$J$2, VLOOKUP($G477,Reference!$I$2:$J$1000,2,false))),"")</f>
        <v/>
      </c>
      <c r="L477" s="12" t="str">
        <f>IF(A477="","", IF(F477="",Reference!$M$2,F477))</f>
        <v/>
      </c>
      <c r="M477" s="14" t="str">
        <f t="shared" si="2"/>
        <v/>
      </c>
      <c r="N477" s="15" t="str">
        <f t="shared" si="3"/>
        <v/>
      </c>
      <c r="O477" s="14" t="str">
        <f t="shared" si="4"/>
        <v/>
      </c>
      <c r="P477" s="16" t="str">
        <f t="array" ref="P477">IF($A477="","", IFERROR(INDEX('BM Data'!$N:$N,MATCH($J477&amp; "-" &amp; $N477,'BM Data'!$O:$O,0),1),""))</f>
        <v/>
      </c>
      <c r="Q477" s="16" t="str">
        <f t="array" ref="Q477">IF($A477="","", IFERROR(INDEX('BM Data'!$J:$J,MATCH($J477&amp; "-" &amp; $N477,'BM Data'!$O:$O,0),1),""))</f>
        <v/>
      </c>
    </row>
    <row r="478">
      <c r="A478" s="10" t="str">
        <f>IFERROR(__xludf.DUMMYFUNCTION("""COMPUTED_VALUE"""),"")</f>
        <v/>
      </c>
      <c r="B478" s="3" t="str">
        <f>IFERROR(__xludf.DUMMYFUNCTION("""COMPUTED_VALUE"""),"")</f>
        <v/>
      </c>
      <c r="C478" s="11" t="str">
        <f>IFERROR(__xludf.DUMMYFUNCTION("""COMPUTED_VALUE"""),"")</f>
        <v/>
      </c>
      <c r="D478" s="11" t="str">
        <f>IFERROR(__xludf.DUMMYFUNCTION("""COMPUTED_VALUE"""),"")</f>
        <v/>
      </c>
      <c r="E478" s="11" t="str">
        <f>IFERROR(__xludf.DUMMYFUNCTION("""COMPUTED_VALUE"""),"")</f>
        <v/>
      </c>
      <c r="F478" s="11" t="str">
        <f>IFERROR(__xludf.DUMMYFUNCTION("""COMPUTED_VALUE"""),"")</f>
        <v/>
      </c>
      <c r="G478" s="11" t="str">
        <f>IFERROR(__xludf.DUMMYFUNCTION("""COMPUTED_VALUE"""),"")</f>
        <v/>
      </c>
      <c r="H478" s="12" t="str">
        <f>IFERROR(__xludf.DUMMYFUNCTION("""COMPUTED_VALUE"""),"")</f>
        <v/>
      </c>
      <c r="I478" s="12" t="str">
        <f>IFERROR(__xludf.DUMMYFUNCTION("""COMPUTED_VALUE"""),"")</f>
        <v/>
      </c>
      <c r="J478" s="13" t="str">
        <f t="shared" si="1"/>
        <v/>
      </c>
      <c r="K478" s="12" t="str">
        <f>IFERROR(IF(A478="","",if($G478="",Reference!$J$2, VLOOKUP($G478,Reference!$I$2:$J$1000,2,false))),"")</f>
        <v/>
      </c>
      <c r="L478" s="12" t="str">
        <f>IF(A478="","", IF(F478="",Reference!$M$2,F478))</f>
        <v/>
      </c>
      <c r="M478" s="14" t="str">
        <f t="shared" si="2"/>
        <v/>
      </c>
      <c r="N478" s="15" t="str">
        <f t="shared" si="3"/>
        <v/>
      </c>
      <c r="O478" s="14" t="str">
        <f t="shared" si="4"/>
        <v/>
      </c>
      <c r="P478" s="16" t="str">
        <f t="array" ref="P478">IF($A478="","", IFERROR(INDEX('BM Data'!$N:$N,MATCH($J478&amp; "-" &amp; $N478,'BM Data'!$O:$O,0),1),""))</f>
        <v/>
      </c>
      <c r="Q478" s="16" t="str">
        <f t="array" ref="Q478">IF($A478="","", IFERROR(INDEX('BM Data'!$J:$J,MATCH($J478&amp; "-" &amp; $N478,'BM Data'!$O:$O,0),1),""))</f>
        <v/>
      </c>
    </row>
    <row r="479">
      <c r="A479" s="10" t="str">
        <f>IFERROR(__xludf.DUMMYFUNCTION("""COMPUTED_VALUE"""),"")</f>
        <v/>
      </c>
      <c r="B479" s="3" t="str">
        <f>IFERROR(__xludf.DUMMYFUNCTION("""COMPUTED_VALUE"""),"")</f>
        <v/>
      </c>
      <c r="C479" s="11" t="str">
        <f>IFERROR(__xludf.DUMMYFUNCTION("""COMPUTED_VALUE"""),"")</f>
        <v/>
      </c>
      <c r="D479" s="11" t="str">
        <f>IFERROR(__xludf.DUMMYFUNCTION("""COMPUTED_VALUE"""),"")</f>
        <v/>
      </c>
      <c r="E479" s="11" t="str">
        <f>IFERROR(__xludf.DUMMYFUNCTION("""COMPUTED_VALUE"""),"")</f>
        <v/>
      </c>
      <c r="F479" s="11" t="str">
        <f>IFERROR(__xludf.DUMMYFUNCTION("""COMPUTED_VALUE"""),"")</f>
        <v/>
      </c>
      <c r="G479" s="11" t="str">
        <f>IFERROR(__xludf.DUMMYFUNCTION("""COMPUTED_VALUE"""),"")</f>
        <v/>
      </c>
      <c r="H479" s="12" t="str">
        <f>IFERROR(__xludf.DUMMYFUNCTION("""COMPUTED_VALUE"""),"")</f>
        <v/>
      </c>
      <c r="I479" s="12" t="str">
        <f>IFERROR(__xludf.DUMMYFUNCTION("""COMPUTED_VALUE"""),"")</f>
        <v/>
      </c>
      <c r="J479" s="13" t="str">
        <f t="shared" si="1"/>
        <v/>
      </c>
      <c r="K479" s="12" t="str">
        <f>IFERROR(IF(A479="","",if($G479="",Reference!$J$2, VLOOKUP($G479,Reference!$I$2:$J$1000,2,false))),"")</f>
        <v/>
      </c>
      <c r="L479" s="12" t="str">
        <f>IF(A479="","", IF(F479="",Reference!$M$2,F479))</f>
        <v/>
      </c>
      <c r="M479" s="14" t="str">
        <f t="shared" si="2"/>
        <v/>
      </c>
      <c r="N479" s="15" t="str">
        <f t="shared" si="3"/>
        <v/>
      </c>
      <c r="O479" s="14" t="str">
        <f t="shared" si="4"/>
        <v/>
      </c>
      <c r="P479" s="16" t="str">
        <f t="array" ref="P479">IF($A479="","", IFERROR(INDEX('BM Data'!$N:$N,MATCH($J479&amp; "-" &amp; $N479,'BM Data'!$O:$O,0),1),""))</f>
        <v/>
      </c>
      <c r="Q479" s="16" t="str">
        <f t="array" ref="Q479">IF($A479="","", IFERROR(INDEX('BM Data'!$J:$J,MATCH($J479&amp; "-" &amp; $N479,'BM Data'!$O:$O,0),1),""))</f>
        <v/>
      </c>
    </row>
    <row r="480">
      <c r="A480" s="10" t="str">
        <f>IFERROR(__xludf.DUMMYFUNCTION("""COMPUTED_VALUE"""),"")</f>
        <v/>
      </c>
      <c r="B480" s="3" t="str">
        <f>IFERROR(__xludf.DUMMYFUNCTION("""COMPUTED_VALUE"""),"")</f>
        <v/>
      </c>
      <c r="C480" s="11" t="str">
        <f>IFERROR(__xludf.DUMMYFUNCTION("""COMPUTED_VALUE"""),"")</f>
        <v/>
      </c>
      <c r="D480" s="11" t="str">
        <f>IFERROR(__xludf.DUMMYFUNCTION("""COMPUTED_VALUE"""),"")</f>
        <v/>
      </c>
      <c r="E480" s="11" t="str">
        <f>IFERROR(__xludf.DUMMYFUNCTION("""COMPUTED_VALUE"""),"")</f>
        <v/>
      </c>
      <c r="F480" s="11" t="str">
        <f>IFERROR(__xludf.DUMMYFUNCTION("""COMPUTED_VALUE"""),"")</f>
        <v/>
      </c>
      <c r="G480" s="11" t="str">
        <f>IFERROR(__xludf.DUMMYFUNCTION("""COMPUTED_VALUE"""),"")</f>
        <v/>
      </c>
      <c r="H480" s="12" t="str">
        <f>IFERROR(__xludf.DUMMYFUNCTION("""COMPUTED_VALUE"""),"")</f>
        <v/>
      </c>
      <c r="I480" s="12" t="str">
        <f>IFERROR(__xludf.DUMMYFUNCTION("""COMPUTED_VALUE"""),"")</f>
        <v/>
      </c>
      <c r="J480" s="13" t="str">
        <f t="shared" si="1"/>
        <v/>
      </c>
      <c r="K480" s="12" t="str">
        <f>IFERROR(IF(A480="","",if($G480="",Reference!$J$2, VLOOKUP($G480,Reference!$I$2:$J$1000,2,false))),"")</f>
        <v/>
      </c>
      <c r="L480" s="12" t="str">
        <f>IF(A480="","", IF(F480="",Reference!$M$2,F480))</f>
        <v/>
      </c>
      <c r="M480" s="14" t="str">
        <f t="shared" si="2"/>
        <v/>
      </c>
      <c r="N480" s="15" t="str">
        <f t="shared" si="3"/>
        <v/>
      </c>
      <c r="O480" s="14" t="str">
        <f t="shared" si="4"/>
        <v/>
      </c>
      <c r="P480" s="16" t="str">
        <f t="array" ref="P480">IF($A480="","", IFERROR(INDEX('BM Data'!$N:$N,MATCH($J480&amp; "-" &amp; $N480,'BM Data'!$O:$O,0),1),""))</f>
        <v/>
      </c>
      <c r="Q480" s="16" t="str">
        <f t="array" ref="Q480">IF($A480="","", IFERROR(INDEX('BM Data'!$J:$J,MATCH($J480&amp; "-" &amp; $N480,'BM Data'!$O:$O,0),1),""))</f>
        <v/>
      </c>
    </row>
    <row r="481">
      <c r="A481" s="10" t="str">
        <f>IFERROR(__xludf.DUMMYFUNCTION("""COMPUTED_VALUE"""),"")</f>
        <v/>
      </c>
      <c r="B481" s="3" t="str">
        <f>IFERROR(__xludf.DUMMYFUNCTION("""COMPUTED_VALUE"""),"")</f>
        <v/>
      </c>
      <c r="C481" s="11" t="str">
        <f>IFERROR(__xludf.DUMMYFUNCTION("""COMPUTED_VALUE"""),"")</f>
        <v/>
      </c>
      <c r="D481" s="11" t="str">
        <f>IFERROR(__xludf.DUMMYFUNCTION("""COMPUTED_VALUE"""),"")</f>
        <v/>
      </c>
      <c r="E481" s="11" t="str">
        <f>IFERROR(__xludf.DUMMYFUNCTION("""COMPUTED_VALUE"""),"")</f>
        <v/>
      </c>
      <c r="F481" s="11" t="str">
        <f>IFERROR(__xludf.DUMMYFUNCTION("""COMPUTED_VALUE"""),"")</f>
        <v/>
      </c>
      <c r="G481" s="11" t="str">
        <f>IFERROR(__xludf.DUMMYFUNCTION("""COMPUTED_VALUE"""),"")</f>
        <v/>
      </c>
      <c r="H481" s="12" t="str">
        <f>IFERROR(__xludf.DUMMYFUNCTION("""COMPUTED_VALUE"""),"")</f>
        <v/>
      </c>
      <c r="I481" s="12" t="str">
        <f>IFERROR(__xludf.DUMMYFUNCTION("""COMPUTED_VALUE"""),"")</f>
        <v/>
      </c>
      <c r="J481" s="13" t="str">
        <f t="shared" si="1"/>
        <v/>
      </c>
      <c r="K481" s="12" t="str">
        <f>IFERROR(IF(A481="","",if($G481="",Reference!$J$2, VLOOKUP($G481,Reference!$I$2:$J$1000,2,false))),"")</f>
        <v/>
      </c>
      <c r="L481" s="12" t="str">
        <f>IF(A481="","", IF(F481="",Reference!$M$2,F481))</f>
        <v/>
      </c>
      <c r="M481" s="14" t="str">
        <f t="shared" si="2"/>
        <v/>
      </c>
      <c r="N481" s="15" t="str">
        <f t="shared" si="3"/>
        <v/>
      </c>
      <c r="O481" s="14" t="str">
        <f t="shared" si="4"/>
        <v/>
      </c>
      <c r="P481" s="16" t="str">
        <f t="array" ref="P481">IF($A481="","", IFERROR(INDEX('BM Data'!$N:$N,MATCH($J481&amp; "-" &amp; $N481,'BM Data'!$O:$O,0),1),""))</f>
        <v/>
      </c>
      <c r="Q481" s="16" t="str">
        <f t="array" ref="Q481">IF($A481="","", IFERROR(INDEX('BM Data'!$J:$J,MATCH($J481&amp; "-" &amp; $N481,'BM Data'!$O:$O,0),1),""))</f>
        <v/>
      </c>
    </row>
    <row r="482">
      <c r="A482" s="10" t="str">
        <f>IFERROR(__xludf.DUMMYFUNCTION("""COMPUTED_VALUE"""),"")</f>
        <v/>
      </c>
      <c r="B482" s="3" t="str">
        <f>IFERROR(__xludf.DUMMYFUNCTION("""COMPUTED_VALUE"""),"")</f>
        <v/>
      </c>
      <c r="C482" s="11" t="str">
        <f>IFERROR(__xludf.DUMMYFUNCTION("""COMPUTED_VALUE"""),"")</f>
        <v/>
      </c>
      <c r="D482" s="11" t="str">
        <f>IFERROR(__xludf.DUMMYFUNCTION("""COMPUTED_VALUE"""),"")</f>
        <v/>
      </c>
      <c r="E482" s="11" t="str">
        <f>IFERROR(__xludf.DUMMYFUNCTION("""COMPUTED_VALUE"""),"")</f>
        <v/>
      </c>
      <c r="F482" s="11" t="str">
        <f>IFERROR(__xludf.DUMMYFUNCTION("""COMPUTED_VALUE"""),"")</f>
        <v/>
      </c>
      <c r="G482" s="11" t="str">
        <f>IFERROR(__xludf.DUMMYFUNCTION("""COMPUTED_VALUE"""),"")</f>
        <v/>
      </c>
      <c r="H482" s="12" t="str">
        <f>IFERROR(__xludf.DUMMYFUNCTION("""COMPUTED_VALUE"""),"")</f>
        <v/>
      </c>
      <c r="I482" s="12" t="str">
        <f>IFERROR(__xludf.DUMMYFUNCTION("""COMPUTED_VALUE"""),"")</f>
        <v/>
      </c>
      <c r="J482" s="13" t="str">
        <f t="shared" si="1"/>
        <v/>
      </c>
      <c r="K482" s="12" t="str">
        <f>IFERROR(IF(A482="","",if($G482="",Reference!$J$2, VLOOKUP($G482,Reference!$I$2:$J$1000,2,false))),"")</f>
        <v/>
      </c>
      <c r="L482" s="12" t="str">
        <f>IF(A482="","", IF(F482="",Reference!$M$2,F482))</f>
        <v/>
      </c>
      <c r="M482" s="14" t="str">
        <f t="shared" si="2"/>
        <v/>
      </c>
      <c r="N482" s="15" t="str">
        <f t="shared" si="3"/>
        <v/>
      </c>
      <c r="O482" s="14" t="str">
        <f t="shared" si="4"/>
        <v/>
      </c>
      <c r="P482" s="16" t="str">
        <f t="array" ref="P482">IF($A482="","", IFERROR(INDEX('BM Data'!$N:$N,MATCH($J482&amp; "-" &amp; $N482,'BM Data'!$O:$O,0),1),""))</f>
        <v/>
      </c>
      <c r="Q482" s="16" t="str">
        <f t="array" ref="Q482">IF($A482="","", IFERROR(INDEX('BM Data'!$J:$J,MATCH($J482&amp; "-" &amp; $N482,'BM Data'!$O:$O,0),1),""))</f>
        <v/>
      </c>
    </row>
    <row r="483">
      <c r="A483" s="10" t="str">
        <f>IFERROR(__xludf.DUMMYFUNCTION("""COMPUTED_VALUE"""),"")</f>
        <v/>
      </c>
      <c r="B483" s="3" t="str">
        <f>IFERROR(__xludf.DUMMYFUNCTION("""COMPUTED_VALUE"""),"")</f>
        <v/>
      </c>
      <c r="C483" s="11" t="str">
        <f>IFERROR(__xludf.DUMMYFUNCTION("""COMPUTED_VALUE"""),"")</f>
        <v/>
      </c>
      <c r="D483" s="11" t="str">
        <f>IFERROR(__xludf.DUMMYFUNCTION("""COMPUTED_VALUE"""),"")</f>
        <v/>
      </c>
      <c r="E483" s="11" t="str">
        <f>IFERROR(__xludf.DUMMYFUNCTION("""COMPUTED_VALUE"""),"")</f>
        <v/>
      </c>
      <c r="F483" s="11" t="str">
        <f>IFERROR(__xludf.DUMMYFUNCTION("""COMPUTED_VALUE"""),"")</f>
        <v/>
      </c>
      <c r="G483" s="11" t="str">
        <f>IFERROR(__xludf.DUMMYFUNCTION("""COMPUTED_VALUE"""),"")</f>
        <v/>
      </c>
      <c r="H483" s="12" t="str">
        <f>IFERROR(__xludf.DUMMYFUNCTION("""COMPUTED_VALUE"""),"")</f>
        <v/>
      </c>
      <c r="I483" s="12" t="str">
        <f>IFERROR(__xludf.DUMMYFUNCTION("""COMPUTED_VALUE"""),"")</f>
        <v/>
      </c>
      <c r="J483" s="13" t="str">
        <f t="shared" si="1"/>
        <v/>
      </c>
      <c r="K483" s="12" t="str">
        <f>IFERROR(IF(A483="","",if($G483="",Reference!$J$2, VLOOKUP($G483,Reference!$I$2:$J$1000,2,false))),"")</f>
        <v/>
      </c>
      <c r="L483" s="12" t="str">
        <f>IF(A483="","", IF(F483="",Reference!$M$2,F483))</f>
        <v/>
      </c>
      <c r="M483" s="14" t="str">
        <f t="shared" si="2"/>
        <v/>
      </c>
      <c r="N483" s="15" t="str">
        <f t="shared" si="3"/>
        <v/>
      </c>
      <c r="O483" s="14" t="str">
        <f t="shared" si="4"/>
        <v/>
      </c>
      <c r="P483" s="16" t="str">
        <f t="array" ref="P483">IF($A483="","", IFERROR(INDEX('BM Data'!$N:$N,MATCH($J483&amp; "-" &amp; $N483,'BM Data'!$O:$O,0),1),""))</f>
        <v/>
      </c>
      <c r="Q483" s="16" t="str">
        <f t="array" ref="Q483">IF($A483="","", IFERROR(INDEX('BM Data'!$J:$J,MATCH($J483&amp; "-" &amp; $N483,'BM Data'!$O:$O,0),1),""))</f>
        <v/>
      </c>
    </row>
    <row r="484">
      <c r="A484" s="10" t="str">
        <f>IFERROR(__xludf.DUMMYFUNCTION("""COMPUTED_VALUE"""),"")</f>
        <v/>
      </c>
      <c r="B484" s="3" t="str">
        <f>IFERROR(__xludf.DUMMYFUNCTION("""COMPUTED_VALUE"""),"")</f>
        <v/>
      </c>
      <c r="C484" s="11" t="str">
        <f>IFERROR(__xludf.DUMMYFUNCTION("""COMPUTED_VALUE"""),"")</f>
        <v/>
      </c>
      <c r="D484" s="11" t="str">
        <f>IFERROR(__xludf.DUMMYFUNCTION("""COMPUTED_VALUE"""),"")</f>
        <v/>
      </c>
      <c r="E484" s="11" t="str">
        <f>IFERROR(__xludf.DUMMYFUNCTION("""COMPUTED_VALUE"""),"")</f>
        <v/>
      </c>
      <c r="F484" s="11" t="str">
        <f>IFERROR(__xludf.DUMMYFUNCTION("""COMPUTED_VALUE"""),"")</f>
        <v/>
      </c>
      <c r="G484" s="11" t="str">
        <f>IFERROR(__xludf.DUMMYFUNCTION("""COMPUTED_VALUE"""),"")</f>
        <v/>
      </c>
      <c r="H484" s="12" t="str">
        <f>IFERROR(__xludf.DUMMYFUNCTION("""COMPUTED_VALUE"""),"")</f>
        <v/>
      </c>
      <c r="I484" s="12" t="str">
        <f>IFERROR(__xludf.DUMMYFUNCTION("""COMPUTED_VALUE"""),"")</f>
        <v/>
      </c>
      <c r="J484" s="13" t="str">
        <f t="shared" si="1"/>
        <v/>
      </c>
      <c r="K484" s="12" t="str">
        <f>IFERROR(IF(A484="","",if($G484="",Reference!$J$2, VLOOKUP($G484,Reference!$I$2:$J$1000,2,false))),"")</f>
        <v/>
      </c>
      <c r="L484" s="12" t="str">
        <f>IF(A484="","", IF(F484="",Reference!$M$2,F484))</f>
        <v/>
      </c>
      <c r="M484" s="14" t="str">
        <f t="shared" si="2"/>
        <v/>
      </c>
      <c r="N484" s="15" t="str">
        <f t="shared" si="3"/>
        <v/>
      </c>
      <c r="O484" s="14" t="str">
        <f t="shared" si="4"/>
        <v/>
      </c>
      <c r="P484" s="16" t="str">
        <f t="array" ref="P484">IF($A484="","", IFERROR(INDEX('BM Data'!$N:$N,MATCH($J484&amp; "-" &amp; $N484,'BM Data'!$O:$O,0),1),""))</f>
        <v/>
      </c>
      <c r="Q484" s="16" t="str">
        <f t="array" ref="Q484">IF($A484="","", IFERROR(INDEX('BM Data'!$J:$J,MATCH($J484&amp; "-" &amp; $N484,'BM Data'!$O:$O,0),1),""))</f>
        <v/>
      </c>
    </row>
    <row r="485">
      <c r="A485" s="10" t="str">
        <f>IFERROR(__xludf.DUMMYFUNCTION("""COMPUTED_VALUE"""),"")</f>
        <v/>
      </c>
      <c r="B485" s="3" t="str">
        <f>IFERROR(__xludf.DUMMYFUNCTION("""COMPUTED_VALUE"""),"")</f>
        <v/>
      </c>
      <c r="C485" s="11" t="str">
        <f>IFERROR(__xludf.DUMMYFUNCTION("""COMPUTED_VALUE"""),"")</f>
        <v/>
      </c>
      <c r="D485" s="11" t="str">
        <f>IFERROR(__xludf.DUMMYFUNCTION("""COMPUTED_VALUE"""),"")</f>
        <v/>
      </c>
      <c r="E485" s="11" t="str">
        <f>IFERROR(__xludf.DUMMYFUNCTION("""COMPUTED_VALUE"""),"")</f>
        <v/>
      </c>
      <c r="F485" s="11" t="str">
        <f>IFERROR(__xludf.DUMMYFUNCTION("""COMPUTED_VALUE"""),"")</f>
        <v/>
      </c>
      <c r="G485" s="11" t="str">
        <f>IFERROR(__xludf.DUMMYFUNCTION("""COMPUTED_VALUE"""),"")</f>
        <v/>
      </c>
      <c r="H485" s="12" t="str">
        <f>IFERROR(__xludf.DUMMYFUNCTION("""COMPUTED_VALUE"""),"")</f>
        <v/>
      </c>
      <c r="I485" s="12" t="str">
        <f>IFERROR(__xludf.DUMMYFUNCTION("""COMPUTED_VALUE"""),"")</f>
        <v/>
      </c>
      <c r="J485" s="13" t="str">
        <f t="shared" si="1"/>
        <v/>
      </c>
      <c r="K485" s="12" t="str">
        <f>IFERROR(IF(A485="","",if($G485="",Reference!$J$2, VLOOKUP($G485,Reference!$I$2:$J$1000,2,false))),"")</f>
        <v/>
      </c>
      <c r="L485" s="12" t="str">
        <f>IF(A485="","", IF(F485="",Reference!$M$2,F485))</f>
        <v/>
      </c>
      <c r="M485" s="14" t="str">
        <f t="shared" si="2"/>
        <v/>
      </c>
      <c r="N485" s="15" t="str">
        <f t="shared" si="3"/>
        <v/>
      </c>
      <c r="O485" s="14" t="str">
        <f t="shared" si="4"/>
        <v/>
      </c>
      <c r="P485" s="16" t="str">
        <f t="array" ref="P485">IF($A485="","", IFERROR(INDEX('BM Data'!$N:$N,MATCH($J485&amp; "-" &amp; $N485,'BM Data'!$O:$O,0),1),""))</f>
        <v/>
      </c>
      <c r="Q485" s="16" t="str">
        <f t="array" ref="Q485">IF($A485="","", IFERROR(INDEX('BM Data'!$J:$J,MATCH($J485&amp; "-" &amp; $N485,'BM Data'!$O:$O,0),1),""))</f>
        <v/>
      </c>
    </row>
    <row r="486">
      <c r="A486" s="10" t="str">
        <f>IFERROR(__xludf.DUMMYFUNCTION("""COMPUTED_VALUE"""),"")</f>
        <v/>
      </c>
      <c r="B486" s="3" t="str">
        <f>IFERROR(__xludf.DUMMYFUNCTION("""COMPUTED_VALUE"""),"")</f>
        <v/>
      </c>
      <c r="C486" s="11" t="str">
        <f>IFERROR(__xludf.DUMMYFUNCTION("""COMPUTED_VALUE"""),"")</f>
        <v/>
      </c>
      <c r="D486" s="11" t="str">
        <f>IFERROR(__xludf.DUMMYFUNCTION("""COMPUTED_VALUE"""),"")</f>
        <v/>
      </c>
      <c r="E486" s="11" t="str">
        <f>IFERROR(__xludf.DUMMYFUNCTION("""COMPUTED_VALUE"""),"")</f>
        <v/>
      </c>
      <c r="F486" s="11" t="str">
        <f>IFERROR(__xludf.DUMMYFUNCTION("""COMPUTED_VALUE"""),"")</f>
        <v/>
      </c>
      <c r="G486" s="11" t="str">
        <f>IFERROR(__xludf.DUMMYFUNCTION("""COMPUTED_VALUE"""),"")</f>
        <v/>
      </c>
      <c r="H486" s="12" t="str">
        <f>IFERROR(__xludf.DUMMYFUNCTION("""COMPUTED_VALUE"""),"")</f>
        <v/>
      </c>
      <c r="I486" s="12" t="str">
        <f>IFERROR(__xludf.DUMMYFUNCTION("""COMPUTED_VALUE"""),"")</f>
        <v/>
      </c>
      <c r="J486" s="13" t="str">
        <f t="shared" si="1"/>
        <v/>
      </c>
      <c r="K486" s="12" t="str">
        <f>IFERROR(IF(A486="","",if($G486="",Reference!$J$2, VLOOKUP($G486,Reference!$I$2:$J$1000,2,false))),"")</f>
        <v/>
      </c>
      <c r="L486" s="12" t="str">
        <f>IF(A486="","", IF(F486="",Reference!$M$2,F486))</f>
        <v/>
      </c>
      <c r="M486" s="14" t="str">
        <f t="shared" si="2"/>
        <v/>
      </c>
      <c r="N486" s="15" t="str">
        <f t="shared" si="3"/>
        <v/>
      </c>
      <c r="O486" s="14" t="str">
        <f t="shared" si="4"/>
        <v/>
      </c>
      <c r="P486" s="16" t="str">
        <f t="array" ref="P486">IF($A486="","", IFERROR(INDEX('BM Data'!$N:$N,MATCH($J486&amp; "-" &amp; $N486,'BM Data'!$O:$O,0),1),""))</f>
        <v/>
      </c>
      <c r="Q486" s="16" t="str">
        <f t="array" ref="Q486">IF($A486="","", IFERROR(INDEX('BM Data'!$J:$J,MATCH($J486&amp; "-" &amp; $N486,'BM Data'!$O:$O,0),1),""))</f>
        <v/>
      </c>
    </row>
    <row r="487">
      <c r="A487" s="10" t="str">
        <f>IFERROR(__xludf.DUMMYFUNCTION("""COMPUTED_VALUE"""),"")</f>
        <v/>
      </c>
      <c r="B487" s="3" t="str">
        <f>IFERROR(__xludf.DUMMYFUNCTION("""COMPUTED_VALUE"""),"")</f>
        <v/>
      </c>
      <c r="C487" s="11" t="str">
        <f>IFERROR(__xludf.DUMMYFUNCTION("""COMPUTED_VALUE"""),"")</f>
        <v/>
      </c>
      <c r="D487" s="11" t="str">
        <f>IFERROR(__xludf.DUMMYFUNCTION("""COMPUTED_VALUE"""),"")</f>
        <v/>
      </c>
      <c r="E487" s="11" t="str">
        <f>IFERROR(__xludf.DUMMYFUNCTION("""COMPUTED_VALUE"""),"")</f>
        <v/>
      </c>
      <c r="F487" s="11" t="str">
        <f>IFERROR(__xludf.DUMMYFUNCTION("""COMPUTED_VALUE"""),"")</f>
        <v/>
      </c>
      <c r="G487" s="11" t="str">
        <f>IFERROR(__xludf.DUMMYFUNCTION("""COMPUTED_VALUE"""),"")</f>
        <v/>
      </c>
      <c r="H487" s="12" t="str">
        <f>IFERROR(__xludf.DUMMYFUNCTION("""COMPUTED_VALUE"""),"")</f>
        <v/>
      </c>
      <c r="I487" s="12" t="str">
        <f>IFERROR(__xludf.DUMMYFUNCTION("""COMPUTED_VALUE"""),"")</f>
        <v/>
      </c>
      <c r="J487" s="13" t="str">
        <f t="shared" si="1"/>
        <v/>
      </c>
      <c r="K487" s="12" t="str">
        <f>IFERROR(IF(A487="","",if($G487="",Reference!$J$2, VLOOKUP($G487,Reference!$I$2:$J$1000,2,false))),"")</f>
        <v/>
      </c>
      <c r="L487" s="12" t="str">
        <f>IF(A487="","", IF(F487="",Reference!$M$2,F487))</f>
        <v/>
      </c>
      <c r="M487" s="14" t="str">
        <f t="shared" si="2"/>
        <v/>
      </c>
      <c r="N487" s="15" t="str">
        <f t="shared" si="3"/>
        <v/>
      </c>
      <c r="O487" s="14" t="str">
        <f t="shared" si="4"/>
        <v/>
      </c>
      <c r="P487" s="16" t="str">
        <f t="array" ref="P487">IF($A487="","", IFERROR(INDEX('BM Data'!$N:$N,MATCH($J487&amp; "-" &amp; $N487,'BM Data'!$O:$O,0),1),""))</f>
        <v/>
      </c>
      <c r="Q487" s="16" t="str">
        <f t="array" ref="Q487">IF($A487="","", IFERROR(INDEX('BM Data'!$J:$J,MATCH($J487&amp; "-" &amp; $N487,'BM Data'!$O:$O,0),1),""))</f>
        <v/>
      </c>
    </row>
    <row r="488">
      <c r="A488" s="10" t="str">
        <f>IFERROR(__xludf.DUMMYFUNCTION("""COMPUTED_VALUE"""),"")</f>
        <v/>
      </c>
      <c r="B488" s="3" t="str">
        <f>IFERROR(__xludf.DUMMYFUNCTION("""COMPUTED_VALUE"""),"")</f>
        <v/>
      </c>
      <c r="C488" s="11" t="str">
        <f>IFERROR(__xludf.DUMMYFUNCTION("""COMPUTED_VALUE"""),"")</f>
        <v/>
      </c>
      <c r="D488" s="11" t="str">
        <f>IFERROR(__xludf.DUMMYFUNCTION("""COMPUTED_VALUE"""),"")</f>
        <v/>
      </c>
      <c r="E488" s="11" t="str">
        <f>IFERROR(__xludf.DUMMYFUNCTION("""COMPUTED_VALUE"""),"")</f>
        <v/>
      </c>
      <c r="F488" s="11" t="str">
        <f>IFERROR(__xludf.DUMMYFUNCTION("""COMPUTED_VALUE"""),"")</f>
        <v/>
      </c>
      <c r="G488" s="11" t="str">
        <f>IFERROR(__xludf.DUMMYFUNCTION("""COMPUTED_VALUE"""),"")</f>
        <v/>
      </c>
      <c r="H488" s="12" t="str">
        <f>IFERROR(__xludf.DUMMYFUNCTION("""COMPUTED_VALUE"""),"")</f>
        <v/>
      </c>
      <c r="I488" s="12" t="str">
        <f>IFERROR(__xludf.DUMMYFUNCTION("""COMPUTED_VALUE"""),"")</f>
        <v/>
      </c>
      <c r="J488" s="13" t="str">
        <f t="shared" si="1"/>
        <v/>
      </c>
      <c r="K488" s="12" t="str">
        <f>IFERROR(IF(A488="","",if($G488="",Reference!$J$2, VLOOKUP($G488,Reference!$I$2:$J$1000,2,false))),"")</f>
        <v/>
      </c>
      <c r="L488" s="12" t="str">
        <f>IF(A488="","", IF(F488="",Reference!$M$2,F488))</f>
        <v/>
      </c>
      <c r="M488" s="14" t="str">
        <f t="shared" si="2"/>
        <v/>
      </c>
      <c r="N488" s="15" t="str">
        <f t="shared" si="3"/>
        <v/>
      </c>
      <c r="O488" s="14" t="str">
        <f t="shared" si="4"/>
        <v/>
      </c>
      <c r="P488" s="16" t="str">
        <f t="array" ref="P488">IF($A488="","", IFERROR(INDEX('BM Data'!$N:$N,MATCH($J488&amp; "-" &amp; $N488,'BM Data'!$O:$O,0),1),""))</f>
        <v/>
      </c>
      <c r="Q488" s="16" t="str">
        <f t="array" ref="Q488">IF($A488="","", IFERROR(INDEX('BM Data'!$J:$J,MATCH($J488&amp; "-" &amp; $N488,'BM Data'!$O:$O,0),1),""))</f>
        <v/>
      </c>
    </row>
    <row r="489">
      <c r="A489" s="10" t="str">
        <f>IFERROR(__xludf.DUMMYFUNCTION("""COMPUTED_VALUE"""),"")</f>
        <v/>
      </c>
      <c r="B489" s="3" t="str">
        <f>IFERROR(__xludf.DUMMYFUNCTION("""COMPUTED_VALUE"""),"")</f>
        <v/>
      </c>
      <c r="C489" s="11" t="str">
        <f>IFERROR(__xludf.DUMMYFUNCTION("""COMPUTED_VALUE"""),"")</f>
        <v/>
      </c>
      <c r="D489" s="11" t="str">
        <f>IFERROR(__xludf.DUMMYFUNCTION("""COMPUTED_VALUE"""),"")</f>
        <v/>
      </c>
      <c r="E489" s="11" t="str">
        <f>IFERROR(__xludf.DUMMYFUNCTION("""COMPUTED_VALUE"""),"")</f>
        <v/>
      </c>
      <c r="F489" s="11" t="str">
        <f>IFERROR(__xludf.DUMMYFUNCTION("""COMPUTED_VALUE"""),"")</f>
        <v/>
      </c>
      <c r="G489" s="11" t="str">
        <f>IFERROR(__xludf.DUMMYFUNCTION("""COMPUTED_VALUE"""),"")</f>
        <v/>
      </c>
      <c r="H489" s="12" t="str">
        <f>IFERROR(__xludf.DUMMYFUNCTION("""COMPUTED_VALUE"""),"")</f>
        <v/>
      </c>
      <c r="I489" s="12" t="str">
        <f>IFERROR(__xludf.DUMMYFUNCTION("""COMPUTED_VALUE"""),"")</f>
        <v/>
      </c>
      <c r="J489" s="13" t="str">
        <f t="shared" si="1"/>
        <v/>
      </c>
      <c r="K489" s="12" t="str">
        <f>IFERROR(IF(A489="","",if($G489="",Reference!$J$2, VLOOKUP($G489,Reference!$I$2:$J$1000,2,false))),"")</f>
        <v/>
      </c>
      <c r="L489" s="12" t="str">
        <f>IF(A489="","", IF(F489="",Reference!$M$2,F489))</f>
        <v/>
      </c>
      <c r="M489" s="14" t="str">
        <f t="shared" si="2"/>
        <v/>
      </c>
      <c r="N489" s="15" t="str">
        <f t="shared" si="3"/>
        <v/>
      </c>
      <c r="O489" s="14" t="str">
        <f t="shared" si="4"/>
        <v/>
      </c>
      <c r="P489" s="16" t="str">
        <f t="array" ref="P489">IF($A489="","", IFERROR(INDEX('BM Data'!$N:$N,MATCH($J489&amp; "-" &amp; $N489,'BM Data'!$O:$O,0),1),""))</f>
        <v/>
      </c>
      <c r="Q489" s="16" t="str">
        <f t="array" ref="Q489">IF($A489="","", IFERROR(INDEX('BM Data'!$J:$J,MATCH($J489&amp; "-" &amp; $N489,'BM Data'!$O:$O,0),1),""))</f>
        <v/>
      </c>
    </row>
    <row r="490">
      <c r="A490" s="10" t="str">
        <f>IFERROR(__xludf.DUMMYFUNCTION("""COMPUTED_VALUE"""),"")</f>
        <v/>
      </c>
      <c r="B490" s="3" t="str">
        <f>IFERROR(__xludf.DUMMYFUNCTION("""COMPUTED_VALUE"""),"")</f>
        <v/>
      </c>
      <c r="C490" s="11" t="str">
        <f>IFERROR(__xludf.DUMMYFUNCTION("""COMPUTED_VALUE"""),"")</f>
        <v/>
      </c>
      <c r="D490" s="11" t="str">
        <f>IFERROR(__xludf.DUMMYFUNCTION("""COMPUTED_VALUE"""),"")</f>
        <v/>
      </c>
      <c r="E490" s="11" t="str">
        <f>IFERROR(__xludf.DUMMYFUNCTION("""COMPUTED_VALUE"""),"")</f>
        <v/>
      </c>
      <c r="F490" s="11" t="str">
        <f>IFERROR(__xludf.DUMMYFUNCTION("""COMPUTED_VALUE"""),"")</f>
        <v/>
      </c>
      <c r="G490" s="11" t="str">
        <f>IFERROR(__xludf.DUMMYFUNCTION("""COMPUTED_VALUE"""),"")</f>
        <v/>
      </c>
      <c r="H490" s="12" t="str">
        <f>IFERROR(__xludf.DUMMYFUNCTION("""COMPUTED_VALUE"""),"")</f>
        <v/>
      </c>
      <c r="I490" s="12" t="str">
        <f>IFERROR(__xludf.DUMMYFUNCTION("""COMPUTED_VALUE"""),"")</f>
        <v/>
      </c>
      <c r="J490" s="13" t="str">
        <f t="shared" si="1"/>
        <v/>
      </c>
      <c r="K490" s="12" t="str">
        <f>IFERROR(IF(A490="","",if($G490="",Reference!$J$2, VLOOKUP($G490,Reference!$I$2:$J$1000,2,false))),"")</f>
        <v/>
      </c>
      <c r="L490" s="12" t="str">
        <f>IF(A490="","", IF(F490="",Reference!$M$2,F490))</f>
        <v/>
      </c>
      <c r="M490" s="14" t="str">
        <f t="shared" si="2"/>
        <v/>
      </c>
      <c r="N490" s="15" t="str">
        <f t="shared" si="3"/>
        <v/>
      </c>
      <c r="O490" s="14" t="str">
        <f t="shared" si="4"/>
        <v/>
      </c>
      <c r="P490" s="16" t="str">
        <f t="array" ref="P490">IF($A490="","", IFERROR(INDEX('BM Data'!$N:$N,MATCH($J490&amp; "-" &amp; $N490,'BM Data'!$O:$O,0),1),""))</f>
        <v/>
      </c>
      <c r="Q490" s="16" t="str">
        <f t="array" ref="Q490">IF($A490="","", IFERROR(INDEX('BM Data'!$J:$J,MATCH($J490&amp; "-" &amp; $N490,'BM Data'!$O:$O,0),1),""))</f>
        <v/>
      </c>
    </row>
    <row r="491">
      <c r="A491" s="10" t="str">
        <f>IFERROR(__xludf.DUMMYFUNCTION("""COMPUTED_VALUE"""),"")</f>
        <v/>
      </c>
      <c r="B491" s="3" t="str">
        <f>IFERROR(__xludf.DUMMYFUNCTION("""COMPUTED_VALUE"""),"")</f>
        <v/>
      </c>
      <c r="C491" s="11" t="str">
        <f>IFERROR(__xludf.DUMMYFUNCTION("""COMPUTED_VALUE"""),"")</f>
        <v/>
      </c>
      <c r="D491" s="11" t="str">
        <f>IFERROR(__xludf.DUMMYFUNCTION("""COMPUTED_VALUE"""),"")</f>
        <v/>
      </c>
      <c r="E491" s="11" t="str">
        <f>IFERROR(__xludf.DUMMYFUNCTION("""COMPUTED_VALUE"""),"")</f>
        <v/>
      </c>
      <c r="F491" s="11" t="str">
        <f>IFERROR(__xludf.DUMMYFUNCTION("""COMPUTED_VALUE"""),"")</f>
        <v/>
      </c>
      <c r="G491" s="11" t="str">
        <f>IFERROR(__xludf.DUMMYFUNCTION("""COMPUTED_VALUE"""),"")</f>
        <v/>
      </c>
      <c r="H491" s="12" t="str">
        <f>IFERROR(__xludf.DUMMYFUNCTION("""COMPUTED_VALUE"""),"")</f>
        <v/>
      </c>
      <c r="I491" s="12" t="str">
        <f>IFERROR(__xludf.DUMMYFUNCTION("""COMPUTED_VALUE"""),"")</f>
        <v/>
      </c>
      <c r="J491" s="13" t="str">
        <f t="shared" si="1"/>
        <v/>
      </c>
      <c r="K491" s="12" t="str">
        <f>IFERROR(IF(A491="","",if($G491="",Reference!$J$2, VLOOKUP($G491,Reference!$I$2:$J$1000,2,false))),"")</f>
        <v/>
      </c>
      <c r="L491" s="12" t="str">
        <f>IF(A491="","", IF(F491="",Reference!$M$2,F491))</f>
        <v/>
      </c>
      <c r="M491" s="14" t="str">
        <f t="shared" si="2"/>
        <v/>
      </c>
      <c r="N491" s="15" t="str">
        <f t="shared" si="3"/>
        <v/>
      </c>
      <c r="O491" s="14" t="str">
        <f t="shared" si="4"/>
        <v/>
      </c>
      <c r="P491" s="16" t="str">
        <f t="array" ref="P491">IF($A491="","", IFERROR(INDEX('BM Data'!$N:$N,MATCH($J491&amp; "-" &amp; $N491,'BM Data'!$O:$O,0),1),""))</f>
        <v/>
      </c>
      <c r="Q491" s="16" t="str">
        <f t="array" ref="Q491">IF($A491="","", IFERROR(INDEX('BM Data'!$J:$J,MATCH($J491&amp; "-" &amp; $N491,'BM Data'!$O:$O,0),1),""))</f>
        <v/>
      </c>
    </row>
    <row r="492">
      <c r="A492" s="10" t="str">
        <f>IFERROR(__xludf.DUMMYFUNCTION("""COMPUTED_VALUE"""),"")</f>
        <v/>
      </c>
      <c r="B492" s="3" t="str">
        <f>IFERROR(__xludf.DUMMYFUNCTION("""COMPUTED_VALUE"""),"")</f>
        <v/>
      </c>
      <c r="C492" s="11" t="str">
        <f>IFERROR(__xludf.DUMMYFUNCTION("""COMPUTED_VALUE"""),"")</f>
        <v/>
      </c>
      <c r="D492" s="11" t="str">
        <f>IFERROR(__xludf.DUMMYFUNCTION("""COMPUTED_VALUE"""),"")</f>
        <v/>
      </c>
      <c r="E492" s="11" t="str">
        <f>IFERROR(__xludf.DUMMYFUNCTION("""COMPUTED_VALUE"""),"")</f>
        <v/>
      </c>
      <c r="F492" s="11" t="str">
        <f>IFERROR(__xludf.DUMMYFUNCTION("""COMPUTED_VALUE"""),"")</f>
        <v/>
      </c>
      <c r="G492" s="11" t="str">
        <f>IFERROR(__xludf.DUMMYFUNCTION("""COMPUTED_VALUE"""),"")</f>
        <v/>
      </c>
      <c r="H492" s="12" t="str">
        <f>IFERROR(__xludf.DUMMYFUNCTION("""COMPUTED_VALUE"""),"")</f>
        <v/>
      </c>
      <c r="I492" s="12" t="str">
        <f>IFERROR(__xludf.DUMMYFUNCTION("""COMPUTED_VALUE"""),"")</f>
        <v/>
      </c>
      <c r="J492" s="13" t="str">
        <f t="shared" si="1"/>
        <v/>
      </c>
      <c r="K492" s="12" t="str">
        <f>IFERROR(IF(A492="","",if($G492="",Reference!$J$2, VLOOKUP($G492,Reference!$I$2:$J$1000,2,false))),"")</f>
        <v/>
      </c>
      <c r="L492" s="12" t="str">
        <f>IF(A492="","", IF(F492="",Reference!$M$2,F492))</f>
        <v/>
      </c>
      <c r="M492" s="14" t="str">
        <f t="shared" si="2"/>
        <v/>
      </c>
      <c r="N492" s="15" t="str">
        <f t="shared" si="3"/>
        <v/>
      </c>
      <c r="O492" s="14" t="str">
        <f t="shared" si="4"/>
        <v/>
      </c>
      <c r="P492" s="16" t="str">
        <f t="array" ref="P492">IF($A492="","", IFERROR(INDEX('BM Data'!$N:$N,MATCH($J492&amp; "-" &amp; $N492,'BM Data'!$O:$O,0),1),""))</f>
        <v/>
      </c>
      <c r="Q492" s="16" t="str">
        <f t="array" ref="Q492">IF($A492="","", IFERROR(INDEX('BM Data'!$J:$J,MATCH($J492&amp; "-" &amp; $N492,'BM Data'!$O:$O,0),1),""))</f>
        <v/>
      </c>
    </row>
    <row r="493">
      <c r="A493" s="10" t="str">
        <f>IFERROR(__xludf.DUMMYFUNCTION("""COMPUTED_VALUE"""),"")</f>
        <v/>
      </c>
      <c r="B493" s="3" t="str">
        <f>IFERROR(__xludf.DUMMYFUNCTION("""COMPUTED_VALUE"""),"")</f>
        <v/>
      </c>
      <c r="C493" s="11" t="str">
        <f>IFERROR(__xludf.DUMMYFUNCTION("""COMPUTED_VALUE"""),"")</f>
        <v/>
      </c>
      <c r="D493" s="11" t="str">
        <f>IFERROR(__xludf.DUMMYFUNCTION("""COMPUTED_VALUE"""),"")</f>
        <v/>
      </c>
      <c r="E493" s="11" t="str">
        <f>IFERROR(__xludf.DUMMYFUNCTION("""COMPUTED_VALUE"""),"")</f>
        <v/>
      </c>
      <c r="F493" s="11" t="str">
        <f>IFERROR(__xludf.DUMMYFUNCTION("""COMPUTED_VALUE"""),"")</f>
        <v/>
      </c>
      <c r="G493" s="11" t="str">
        <f>IFERROR(__xludf.DUMMYFUNCTION("""COMPUTED_VALUE"""),"")</f>
        <v/>
      </c>
      <c r="H493" s="12" t="str">
        <f>IFERROR(__xludf.DUMMYFUNCTION("""COMPUTED_VALUE"""),"")</f>
        <v/>
      </c>
      <c r="I493" s="12" t="str">
        <f>IFERROR(__xludf.DUMMYFUNCTION("""COMPUTED_VALUE"""),"")</f>
        <v/>
      </c>
      <c r="J493" s="13" t="str">
        <f t="shared" si="1"/>
        <v/>
      </c>
      <c r="K493" s="12" t="str">
        <f>IFERROR(IF(A493="","",if($G493="",Reference!$J$2, VLOOKUP($G493,Reference!$I$2:$J$1000,2,false))),"")</f>
        <v/>
      </c>
      <c r="L493" s="12" t="str">
        <f>IF(A493="","", IF(F493="",Reference!$M$2,F493))</f>
        <v/>
      </c>
      <c r="M493" s="14" t="str">
        <f t="shared" si="2"/>
        <v/>
      </c>
      <c r="N493" s="15" t="str">
        <f t="shared" si="3"/>
        <v/>
      </c>
      <c r="O493" s="14" t="str">
        <f t="shared" si="4"/>
        <v/>
      </c>
      <c r="P493" s="16" t="str">
        <f t="array" ref="P493">IF($A493="","", IFERROR(INDEX('BM Data'!$N:$N,MATCH($J493&amp; "-" &amp; $N493,'BM Data'!$O:$O,0),1),""))</f>
        <v/>
      </c>
      <c r="Q493" s="16" t="str">
        <f t="array" ref="Q493">IF($A493="","", IFERROR(INDEX('BM Data'!$J:$J,MATCH($J493&amp; "-" &amp; $N493,'BM Data'!$O:$O,0),1),""))</f>
        <v/>
      </c>
    </row>
    <row r="494">
      <c r="A494" s="10" t="str">
        <f>IFERROR(__xludf.DUMMYFUNCTION("""COMPUTED_VALUE"""),"")</f>
        <v/>
      </c>
      <c r="B494" s="3" t="str">
        <f>IFERROR(__xludf.DUMMYFUNCTION("""COMPUTED_VALUE"""),"")</f>
        <v/>
      </c>
      <c r="C494" s="11" t="str">
        <f>IFERROR(__xludf.DUMMYFUNCTION("""COMPUTED_VALUE"""),"")</f>
        <v/>
      </c>
      <c r="D494" s="11" t="str">
        <f>IFERROR(__xludf.DUMMYFUNCTION("""COMPUTED_VALUE"""),"")</f>
        <v/>
      </c>
      <c r="E494" s="11" t="str">
        <f>IFERROR(__xludf.DUMMYFUNCTION("""COMPUTED_VALUE"""),"")</f>
        <v/>
      </c>
      <c r="F494" s="11" t="str">
        <f>IFERROR(__xludf.DUMMYFUNCTION("""COMPUTED_VALUE"""),"")</f>
        <v/>
      </c>
      <c r="G494" s="11" t="str">
        <f>IFERROR(__xludf.DUMMYFUNCTION("""COMPUTED_VALUE"""),"")</f>
        <v/>
      </c>
      <c r="H494" s="12" t="str">
        <f>IFERROR(__xludf.DUMMYFUNCTION("""COMPUTED_VALUE"""),"")</f>
        <v/>
      </c>
      <c r="I494" s="12" t="str">
        <f>IFERROR(__xludf.DUMMYFUNCTION("""COMPUTED_VALUE"""),"")</f>
        <v/>
      </c>
      <c r="J494" s="13" t="str">
        <f t="shared" si="1"/>
        <v/>
      </c>
      <c r="K494" s="12" t="str">
        <f>IFERROR(IF(A494="","",if($G494="",Reference!$J$2, VLOOKUP($G494,Reference!$I$2:$J$1000,2,false))),"")</f>
        <v/>
      </c>
      <c r="L494" s="12" t="str">
        <f>IF(A494="","", IF(F494="",Reference!$M$2,F494))</f>
        <v/>
      </c>
      <c r="M494" s="14" t="str">
        <f t="shared" si="2"/>
        <v/>
      </c>
      <c r="N494" s="15" t="str">
        <f t="shared" si="3"/>
        <v/>
      </c>
      <c r="O494" s="14" t="str">
        <f t="shared" si="4"/>
        <v/>
      </c>
      <c r="P494" s="16" t="str">
        <f t="array" ref="P494">IF($A494="","", IFERROR(INDEX('BM Data'!$N:$N,MATCH($J494&amp; "-" &amp; $N494,'BM Data'!$O:$O,0),1),""))</f>
        <v/>
      </c>
      <c r="Q494" s="16" t="str">
        <f t="array" ref="Q494">IF($A494="","", IFERROR(INDEX('BM Data'!$J:$J,MATCH($J494&amp; "-" &amp; $N494,'BM Data'!$O:$O,0),1),""))</f>
        <v/>
      </c>
    </row>
    <row r="495">
      <c r="A495" s="10" t="str">
        <f>IFERROR(__xludf.DUMMYFUNCTION("""COMPUTED_VALUE"""),"")</f>
        <v/>
      </c>
      <c r="B495" s="3" t="str">
        <f>IFERROR(__xludf.DUMMYFUNCTION("""COMPUTED_VALUE"""),"")</f>
        <v/>
      </c>
      <c r="C495" s="11" t="str">
        <f>IFERROR(__xludf.DUMMYFUNCTION("""COMPUTED_VALUE"""),"")</f>
        <v/>
      </c>
      <c r="D495" s="11" t="str">
        <f>IFERROR(__xludf.DUMMYFUNCTION("""COMPUTED_VALUE"""),"")</f>
        <v/>
      </c>
      <c r="E495" s="11" t="str">
        <f>IFERROR(__xludf.DUMMYFUNCTION("""COMPUTED_VALUE"""),"")</f>
        <v/>
      </c>
      <c r="F495" s="11" t="str">
        <f>IFERROR(__xludf.DUMMYFUNCTION("""COMPUTED_VALUE"""),"")</f>
        <v/>
      </c>
      <c r="G495" s="11" t="str">
        <f>IFERROR(__xludf.DUMMYFUNCTION("""COMPUTED_VALUE"""),"")</f>
        <v/>
      </c>
      <c r="H495" s="12" t="str">
        <f>IFERROR(__xludf.DUMMYFUNCTION("""COMPUTED_VALUE"""),"")</f>
        <v/>
      </c>
      <c r="I495" s="12" t="str">
        <f>IFERROR(__xludf.DUMMYFUNCTION("""COMPUTED_VALUE"""),"")</f>
        <v/>
      </c>
      <c r="J495" s="13" t="str">
        <f t="shared" si="1"/>
        <v/>
      </c>
      <c r="K495" s="12" t="str">
        <f>IFERROR(IF(A495="","",if($G495="",Reference!$J$2, VLOOKUP($G495,Reference!$I$2:$J$1000,2,false))),"")</f>
        <v/>
      </c>
      <c r="L495" s="12" t="str">
        <f>IF(A495="","", IF(F495="",Reference!$M$2,F495))</f>
        <v/>
      </c>
      <c r="M495" s="14" t="str">
        <f t="shared" si="2"/>
        <v/>
      </c>
      <c r="N495" s="15" t="str">
        <f t="shared" si="3"/>
        <v/>
      </c>
      <c r="O495" s="14" t="str">
        <f t="shared" si="4"/>
        <v/>
      </c>
      <c r="P495" s="16" t="str">
        <f t="array" ref="P495">IF($A495="","", IFERROR(INDEX('BM Data'!$N:$N,MATCH($J495&amp; "-" &amp; $N495,'BM Data'!$O:$O,0),1),""))</f>
        <v/>
      </c>
      <c r="Q495" s="16" t="str">
        <f t="array" ref="Q495">IF($A495="","", IFERROR(INDEX('BM Data'!$J:$J,MATCH($J495&amp; "-" &amp; $N495,'BM Data'!$O:$O,0),1),""))</f>
        <v/>
      </c>
    </row>
    <row r="496">
      <c r="A496" s="10" t="str">
        <f>IFERROR(__xludf.DUMMYFUNCTION("""COMPUTED_VALUE"""),"")</f>
        <v/>
      </c>
      <c r="B496" s="3" t="str">
        <f>IFERROR(__xludf.DUMMYFUNCTION("""COMPUTED_VALUE"""),"")</f>
        <v/>
      </c>
      <c r="C496" s="11" t="str">
        <f>IFERROR(__xludf.DUMMYFUNCTION("""COMPUTED_VALUE"""),"")</f>
        <v/>
      </c>
      <c r="D496" s="11" t="str">
        <f>IFERROR(__xludf.DUMMYFUNCTION("""COMPUTED_VALUE"""),"")</f>
        <v/>
      </c>
      <c r="E496" s="11" t="str">
        <f>IFERROR(__xludf.DUMMYFUNCTION("""COMPUTED_VALUE"""),"")</f>
        <v/>
      </c>
      <c r="F496" s="11" t="str">
        <f>IFERROR(__xludf.DUMMYFUNCTION("""COMPUTED_VALUE"""),"")</f>
        <v/>
      </c>
      <c r="G496" s="11" t="str">
        <f>IFERROR(__xludf.DUMMYFUNCTION("""COMPUTED_VALUE"""),"")</f>
        <v/>
      </c>
      <c r="H496" s="12" t="str">
        <f>IFERROR(__xludf.DUMMYFUNCTION("""COMPUTED_VALUE"""),"")</f>
        <v/>
      </c>
      <c r="I496" s="12" t="str">
        <f>IFERROR(__xludf.DUMMYFUNCTION("""COMPUTED_VALUE"""),"")</f>
        <v/>
      </c>
      <c r="J496" s="13" t="str">
        <f t="shared" si="1"/>
        <v/>
      </c>
      <c r="K496" s="12" t="str">
        <f>IFERROR(IF(A496="","",if($G496="",Reference!$J$2, VLOOKUP($G496,Reference!$I$2:$J$1000,2,false))),"")</f>
        <v/>
      </c>
      <c r="L496" s="12" t="str">
        <f>IF(A496="","", IF(F496="",Reference!$M$2,F496))</f>
        <v/>
      </c>
      <c r="M496" s="14" t="str">
        <f t="shared" si="2"/>
        <v/>
      </c>
      <c r="N496" s="15" t="str">
        <f t="shared" si="3"/>
        <v/>
      </c>
      <c r="O496" s="14" t="str">
        <f t="shared" si="4"/>
        <v/>
      </c>
      <c r="P496" s="16" t="str">
        <f t="array" ref="P496">IF($A496="","", IFERROR(INDEX('BM Data'!$N:$N,MATCH($J496&amp; "-" &amp; $N496,'BM Data'!$O:$O,0),1),""))</f>
        <v/>
      </c>
      <c r="Q496" s="16" t="str">
        <f t="array" ref="Q496">IF($A496="","", IFERROR(INDEX('BM Data'!$J:$J,MATCH($J496&amp; "-" &amp; $N496,'BM Data'!$O:$O,0),1),""))</f>
        <v/>
      </c>
    </row>
    <row r="497">
      <c r="A497" s="10" t="str">
        <f>IFERROR(__xludf.DUMMYFUNCTION("""COMPUTED_VALUE"""),"")</f>
        <v/>
      </c>
      <c r="B497" s="3" t="str">
        <f>IFERROR(__xludf.DUMMYFUNCTION("""COMPUTED_VALUE"""),"")</f>
        <v/>
      </c>
      <c r="C497" s="11" t="str">
        <f>IFERROR(__xludf.DUMMYFUNCTION("""COMPUTED_VALUE"""),"")</f>
        <v/>
      </c>
      <c r="D497" s="11" t="str">
        <f>IFERROR(__xludf.DUMMYFUNCTION("""COMPUTED_VALUE"""),"")</f>
        <v/>
      </c>
      <c r="E497" s="11" t="str">
        <f>IFERROR(__xludf.DUMMYFUNCTION("""COMPUTED_VALUE"""),"")</f>
        <v/>
      </c>
      <c r="F497" s="11" t="str">
        <f>IFERROR(__xludf.DUMMYFUNCTION("""COMPUTED_VALUE"""),"")</f>
        <v/>
      </c>
      <c r="G497" s="11" t="str">
        <f>IFERROR(__xludf.DUMMYFUNCTION("""COMPUTED_VALUE"""),"")</f>
        <v/>
      </c>
      <c r="H497" s="12" t="str">
        <f>IFERROR(__xludf.DUMMYFUNCTION("""COMPUTED_VALUE"""),"")</f>
        <v/>
      </c>
      <c r="I497" s="12" t="str">
        <f>IFERROR(__xludf.DUMMYFUNCTION("""COMPUTED_VALUE"""),"")</f>
        <v/>
      </c>
      <c r="J497" s="13" t="str">
        <f t="shared" si="1"/>
        <v/>
      </c>
      <c r="K497" s="12" t="str">
        <f>IFERROR(IF(A497="","",if($G497="",Reference!$J$2, VLOOKUP($G497,Reference!$I$2:$J$1000,2,false))),"")</f>
        <v/>
      </c>
      <c r="L497" s="12" t="str">
        <f>IF(A497="","", IF(F497="",Reference!$M$2,F497))</f>
        <v/>
      </c>
      <c r="M497" s="14" t="str">
        <f t="shared" si="2"/>
        <v/>
      </c>
      <c r="N497" s="15" t="str">
        <f t="shared" si="3"/>
        <v/>
      </c>
      <c r="O497" s="14" t="str">
        <f t="shared" si="4"/>
        <v/>
      </c>
      <c r="P497" s="16" t="str">
        <f t="array" ref="P497">IF($A497="","", IFERROR(INDEX('BM Data'!$N:$N,MATCH($J497&amp; "-" &amp; $N497,'BM Data'!$O:$O,0),1),""))</f>
        <v/>
      </c>
      <c r="Q497" s="16" t="str">
        <f t="array" ref="Q497">IF($A497="","", IFERROR(INDEX('BM Data'!$J:$J,MATCH($J497&amp; "-" &amp; $N497,'BM Data'!$O:$O,0),1),""))</f>
        <v/>
      </c>
    </row>
    <row r="498">
      <c r="A498" s="10" t="str">
        <f>IFERROR(__xludf.DUMMYFUNCTION("""COMPUTED_VALUE"""),"")</f>
        <v/>
      </c>
      <c r="B498" s="3" t="str">
        <f>IFERROR(__xludf.DUMMYFUNCTION("""COMPUTED_VALUE"""),"")</f>
        <v/>
      </c>
      <c r="C498" s="11" t="str">
        <f>IFERROR(__xludf.DUMMYFUNCTION("""COMPUTED_VALUE"""),"")</f>
        <v/>
      </c>
      <c r="D498" s="11" t="str">
        <f>IFERROR(__xludf.DUMMYFUNCTION("""COMPUTED_VALUE"""),"")</f>
        <v/>
      </c>
      <c r="E498" s="11" t="str">
        <f>IFERROR(__xludf.DUMMYFUNCTION("""COMPUTED_VALUE"""),"")</f>
        <v/>
      </c>
      <c r="F498" s="11" t="str">
        <f>IFERROR(__xludf.DUMMYFUNCTION("""COMPUTED_VALUE"""),"")</f>
        <v/>
      </c>
      <c r="G498" s="11" t="str">
        <f>IFERROR(__xludf.DUMMYFUNCTION("""COMPUTED_VALUE"""),"")</f>
        <v/>
      </c>
      <c r="H498" s="12" t="str">
        <f>IFERROR(__xludf.DUMMYFUNCTION("""COMPUTED_VALUE"""),"")</f>
        <v/>
      </c>
      <c r="I498" s="12" t="str">
        <f>IFERROR(__xludf.DUMMYFUNCTION("""COMPUTED_VALUE"""),"")</f>
        <v/>
      </c>
      <c r="J498" s="13" t="str">
        <f t="shared" si="1"/>
        <v/>
      </c>
      <c r="K498" s="12" t="str">
        <f>IFERROR(IF(A498="","",if($G498="",Reference!$J$2, VLOOKUP($G498,Reference!$I$2:$J$1000,2,false))),"")</f>
        <v/>
      </c>
      <c r="L498" s="12" t="str">
        <f>IF(A498="","", IF(F498="",Reference!$M$2,F498))</f>
        <v/>
      </c>
      <c r="M498" s="14" t="str">
        <f t="shared" si="2"/>
        <v/>
      </c>
      <c r="N498" s="15" t="str">
        <f t="shared" si="3"/>
        <v/>
      </c>
      <c r="O498" s="14" t="str">
        <f t="shared" si="4"/>
        <v/>
      </c>
      <c r="P498" s="16" t="str">
        <f t="array" ref="P498">IF($A498="","", IFERROR(INDEX('BM Data'!$N:$N,MATCH($J498&amp; "-" &amp; $N498,'BM Data'!$O:$O,0),1),""))</f>
        <v/>
      </c>
      <c r="Q498" s="16" t="str">
        <f t="array" ref="Q498">IF($A498="","", IFERROR(INDEX('BM Data'!$J:$J,MATCH($J498&amp; "-" &amp; $N498,'BM Data'!$O:$O,0),1),""))</f>
        <v/>
      </c>
    </row>
    <row r="499">
      <c r="A499" s="10" t="str">
        <f>IFERROR(__xludf.DUMMYFUNCTION("""COMPUTED_VALUE"""),"")</f>
        <v/>
      </c>
      <c r="B499" s="3" t="str">
        <f>IFERROR(__xludf.DUMMYFUNCTION("""COMPUTED_VALUE"""),"")</f>
        <v/>
      </c>
      <c r="C499" s="11" t="str">
        <f>IFERROR(__xludf.DUMMYFUNCTION("""COMPUTED_VALUE"""),"")</f>
        <v/>
      </c>
      <c r="D499" s="11" t="str">
        <f>IFERROR(__xludf.DUMMYFUNCTION("""COMPUTED_VALUE"""),"")</f>
        <v/>
      </c>
      <c r="E499" s="11" t="str">
        <f>IFERROR(__xludf.DUMMYFUNCTION("""COMPUTED_VALUE"""),"")</f>
        <v/>
      </c>
      <c r="F499" s="11" t="str">
        <f>IFERROR(__xludf.DUMMYFUNCTION("""COMPUTED_VALUE"""),"")</f>
        <v/>
      </c>
      <c r="G499" s="11" t="str">
        <f>IFERROR(__xludf.DUMMYFUNCTION("""COMPUTED_VALUE"""),"")</f>
        <v/>
      </c>
      <c r="H499" s="12" t="str">
        <f>IFERROR(__xludf.DUMMYFUNCTION("""COMPUTED_VALUE"""),"")</f>
        <v/>
      </c>
      <c r="I499" s="12" t="str">
        <f>IFERROR(__xludf.DUMMYFUNCTION("""COMPUTED_VALUE"""),"")</f>
        <v/>
      </c>
      <c r="J499" s="13" t="str">
        <f t="shared" si="1"/>
        <v/>
      </c>
      <c r="K499" s="12" t="str">
        <f>IFERROR(IF(A499="","",if($G499="",Reference!$J$2, VLOOKUP($G499,Reference!$I$2:$J$1000,2,false))),"")</f>
        <v/>
      </c>
      <c r="L499" s="12" t="str">
        <f>IF(A499="","", IF(F499="",Reference!$M$2,F499))</f>
        <v/>
      </c>
      <c r="M499" s="14" t="str">
        <f t="shared" si="2"/>
        <v/>
      </c>
      <c r="N499" s="15" t="str">
        <f t="shared" si="3"/>
        <v/>
      </c>
      <c r="O499" s="14" t="str">
        <f t="shared" si="4"/>
        <v/>
      </c>
      <c r="P499" s="16" t="str">
        <f t="array" ref="P499">IF($A499="","", IFERROR(INDEX('BM Data'!$N:$N,MATCH($J499&amp; "-" &amp; $N499,'BM Data'!$O:$O,0),1),""))</f>
        <v/>
      </c>
      <c r="Q499" s="16" t="str">
        <f t="array" ref="Q499">IF($A499="","", IFERROR(INDEX('BM Data'!$J:$J,MATCH($J499&amp; "-" &amp; $N499,'BM Data'!$O:$O,0),1),""))</f>
        <v/>
      </c>
    </row>
    <row r="500">
      <c r="A500" s="10" t="str">
        <f>IFERROR(__xludf.DUMMYFUNCTION("""COMPUTED_VALUE"""),"")</f>
        <v/>
      </c>
      <c r="B500" s="3" t="str">
        <f>IFERROR(__xludf.DUMMYFUNCTION("""COMPUTED_VALUE"""),"")</f>
        <v/>
      </c>
      <c r="C500" s="11" t="str">
        <f>IFERROR(__xludf.DUMMYFUNCTION("""COMPUTED_VALUE"""),"")</f>
        <v/>
      </c>
      <c r="D500" s="11" t="str">
        <f>IFERROR(__xludf.DUMMYFUNCTION("""COMPUTED_VALUE"""),"")</f>
        <v/>
      </c>
      <c r="E500" s="11" t="str">
        <f>IFERROR(__xludf.DUMMYFUNCTION("""COMPUTED_VALUE"""),"")</f>
        <v/>
      </c>
      <c r="F500" s="11" t="str">
        <f>IFERROR(__xludf.DUMMYFUNCTION("""COMPUTED_VALUE"""),"")</f>
        <v/>
      </c>
      <c r="G500" s="11" t="str">
        <f>IFERROR(__xludf.DUMMYFUNCTION("""COMPUTED_VALUE"""),"")</f>
        <v/>
      </c>
      <c r="H500" s="12" t="str">
        <f>IFERROR(__xludf.DUMMYFUNCTION("""COMPUTED_VALUE"""),"")</f>
        <v/>
      </c>
      <c r="I500" s="12" t="str">
        <f>IFERROR(__xludf.DUMMYFUNCTION("""COMPUTED_VALUE"""),"")</f>
        <v/>
      </c>
      <c r="J500" s="13" t="str">
        <f t="shared" si="1"/>
        <v/>
      </c>
      <c r="K500" s="12" t="str">
        <f>IFERROR(IF(A500="","",if($G500="",Reference!$J$2, VLOOKUP($G500,Reference!$I$2:$J$1000,2,false))),"")</f>
        <v/>
      </c>
      <c r="L500" s="12" t="str">
        <f>IF(A500="","", IF(F500="",Reference!$M$2,F500))</f>
        <v/>
      </c>
      <c r="M500" s="14" t="str">
        <f t="shared" si="2"/>
        <v/>
      </c>
      <c r="N500" s="15" t="str">
        <f t="shared" si="3"/>
        <v/>
      </c>
      <c r="O500" s="14" t="str">
        <f t="shared" si="4"/>
        <v/>
      </c>
      <c r="P500" s="16" t="str">
        <f t="array" ref="P500">IF($A500="","", IFERROR(INDEX('BM Data'!$N:$N,MATCH($J500&amp; "-" &amp; $N500,'BM Data'!$O:$O,0),1),""))</f>
        <v/>
      </c>
      <c r="Q500" s="16" t="str">
        <f t="array" ref="Q500">IF($A500="","", IFERROR(INDEX('BM Data'!$J:$J,MATCH($J500&amp; "-" &amp; $N500,'BM Data'!$O:$O,0),1),""))</f>
        <v/>
      </c>
    </row>
    <row r="501">
      <c r="A501" s="10" t="str">
        <f>IFERROR(__xludf.DUMMYFUNCTION("""COMPUTED_VALUE"""),"")</f>
        <v/>
      </c>
      <c r="B501" s="3" t="str">
        <f>IFERROR(__xludf.DUMMYFUNCTION("""COMPUTED_VALUE"""),"")</f>
        <v/>
      </c>
      <c r="C501" s="11" t="str">
        <f>IFERROR(__xludf.DUMMYFUNCTION("""COMPUTED_VALUE"""),"")</f>
        <v/>
      </c>
      <c r="D501" s="11" t="str">
        <f>IFERROR(__xludf.DUMMYFUNCTION("""COMPUTED_VALUE"""),"")</f>
        <v/>
      </c>
      <c r="E501" s="11" t="str">
        <f>IFERROR(__xludf.DUMMYFUNCTION("""COMPUTED_VALUE"""),"")</f>
        <v/>
      </c>
      <c r="F501" s="11" t="str">
        <f>IFERROR(__xludf.DUMMYFUNCTION("""COMPUTED_VALUE"""),"")</f>
        <v/>
      </c>
      <c r="G501" s="11" t="str">
        <f>IFERROR(__xludf.DUMMYFUNCTION("""COMPUTED_VALUE"""),"")</f>
        <v/>
      </c>
      <c r="H501" s="12" t="str">
        <f>IFERROR(__xludf.DUMMYFUNCTION("""COMPUTED_VALUE"""),"")</f>
        <v/>
      </c>
      <c r="I501" s="12" t="str">
        <f>IFERROR(__xludf.DUMMYFUNCTION("""COMPUTED_VALUE"""),"")</f>
        <v/>
      </c>
      <c r="J501" s="13" t="str">
        <f t="shared" si="1"/>
        <v/>
      </c>
      <c r="K501" s="12" t="str">
        <f>IFERROR(IF(A501="","",if($G501="",Reference!$J$2, VLOOKUP($G501,Reference!$I$2:$J$1000,2,false))),"")</f>
        <v/>
      </c>
      <c r="L501" s="12" t="str">
        <f>IF(A501="","", IF(F501="",Reference!$M$2,F501))</f>
        <v/>
      </c>
      <c r="M501" s="14" t="str">
        <f t="shared" si="2"/>
        <v/>
      </c>
      <c r="N501" s="15" t="str">
        <f t="shared" si="3"/>
        <v/>
      </c>
      <c r="O501" s="14" t="str">
        <f t="shared" si="4"/>
        <v/>
      </c>
      <c r="P501" s="16" t="str">
        <f t="array" ref="P501">IF($A501="","", IFERROR(INDEX('BM Data'!$N:$N,MATCH($J501&amp; "-" &amp; $N501,'BM Data'!$O:$O,0),1),""))</f>
        <v/>
      </c>
      <c r="Q501" s="16" t="str">
        <f t="array" ref="Q501">IF($A501="","", IFERROR(INDEX('BM Data'!$J:$J,MATCH($J501&amp; "-" &amp; $N501,'BM Data'!$O:$O,0),1),""))</f>
        <v/>
      </c>
    </row>
    <row r="502">
      <c r="A502" s="10" t="str">
        <f>IFERROR(__xludf.DUMMYFUNCTION("""COMPUTED_VALUE"""),"")</f>
        <v/>
      </c>
      <c r="B502" s="3" t="str">
        <f>IFERROR(__xludf.DUMMYFUNCTION("""COMPUTED_VALUE"""),"")</f>
        <v/>
      </c>
      <c r="C502" s="11" t="str">
        <f>IFERROR(__xludf.DUMMYFUNCTION("""COMPUTED_VALUE"""),"")</f>
        <v/>
      </c>
      <c r="D502" s="11" t="str">
        <f>IFERROR(__xludf.DUMMYFUNCTION("""COMPUTED_VALUE"""),"")</f>
        <v/>
      </c>
      <c r="E502" s="11" t="str">
        <f>IFERROR(__xludf.DUMMYFUNCTION("""COMPUTED_VALUE"""),"")</f>
        <v/>
      </c>
      <c r="F502" s="11" t="str">
        <f>IFERROR(__xludf.DUMMYFUNCTION("""COMPUTED_VALUE"""),"")</f>
        <v/>
      </c>
      <c r="G502" s="11" t="str">
        <f>IFERROR(__xludf.DUMMYFUNCTION("""COMPUTED_VALUE"""),"")</f>
        <v/>
      </c>
      <c r="H502" s="12" t="str">
        <f>IFERROR(__xludf.DUMMYFUNCTION("""COMPUTED_VALUE"""),"")</f>
        <v/>
      </c>
      <c r="I502" s="12" t="str">
        <f>IFERROR(__xludf.DUMMYFUNCTION("""COMPUTED_VALUE"""),"")</f>
        <v/>
      </c>
      <c r="J502" s="13" t="str">
        <f t="shared" si="1"/>
        <v/>
      </c>
      <c r="K502" s="12" t="str">
        <f>IFERROR(IF(A502="","",if($G502="",Reference!$J$2, VLOOKUP($G502,Reference!$I$2:$J$1000,2,false))),"")</f>
        <v/>
      </c>
      <c r="L502" s="12" t="str">
        <f>IF(A502="","", IF(F502="",Reference!$M$2,F502))</f>
        <v/>
      </c>
      <c r="M502" s="14" t="str">
        <f t="shared" si="2"/>
        <v/>
      </c>
      <c r="N502" s="15" t="str">
        <f t="shared" si="3"/>
        <v/>
      </c>
      <c r="O502" s="14" t="str">
        <f t="shared" si="4"/>
        <v/>
      </c>
      <c r="P502" s="16" t="str">
        <f t="array" ref="P502">IF($A502="","", IFERROR(INDEX('BM Data'!$N:$N,MATCH($J502&amp; "-" &amp; $N502,'BM Data'!$O:$O,0),1),""))</f>
        <v/>
      </c>
      <c r="Q502" s="16" t="str">
        <f t="array" ref="Q502">IF($A502="","", IFERROR(INDEX('BM Data'!$J:$J,MATCH($J502&amp; "-" &amp; $N502,'BM Data'!$O:$O,0),1),""))</f>
        <v/>
      </c>
    </row>
    <row r="503">
      <c r="A503" s="10" t="str">
        <f>IFERROR(__xludf.DUMMYFUNCTION("""COMPUTED_VALUE"""),"")</f>
        <v/>
      </c>
      <c r="B503" s="3" t="str">
        <f>IFERROR(__xludf.DUMMYFUNCTION("""COMPUTED_VALUE"""),"")</f>
        <v/>
      </c>
      <c r="C503" s="11" t="str">
        <f>IFERROR(__xludf.DUMMYFUNCTION("""COMPUTED_VALUE"""),"")</f>
        <v/>
      </c>
      <c r="D503" s="11" t="str">
        <f>IFERROR(__xludf.DUMMYFUNCTION("""COMPUTED_VALUE"""),"")</f>
        <v/>
      </c>
      <c r="E503" s="11" t="str">
        <f>IFERROR(__xludf.DUMMYFUNCTION("""COMPUTED_VALUE"""),"")</f>
        <v/>
      </c>
      <c r="F503" s="11" t="str">
        <f>IFERROR(__xludf.DUMMYFUNCTION("""COMPUTED_VALUE"""),"")</f>
        <v/>
      </c>
      <c r="G503" s="11" t="str">
        <f>IFERROR(__xludf.DUMMYFUNCTION("""COMPUTED_VALUE"""),"")</f>
        <v/>
      </c>
      <c r="H503" s="12" t="str">
        <f>IFERROR(__xludf.DUMMYFUNCTION("""COMPUTED_VALUE"""),"")</f>
        <v/>
      </c>
      <c r="I503" s="12" t="str">
        <f>IFERROR(__xludf.DUMMYFUNCTION("""COMPUTED_VALUE"""),"")</f>
        <v/>
      </c>
      <c r="J503" s="13" t="str">
        <f t="shared" si="1"/>
        <v/>
      </c>
      <c r="K503" s="12" t="str">
        <f>IFERROR(IF(A503="","",if($G503="",Reference!$J$2, VLOOKUP($G503,Reference!$I$2:$J$1000,2,false))),"")</f>
        <v/>
      </c>
      <c r="L503" s="12" t="str">
        <f>IF(A503="","", IF(F503="",Reference!$M$2,F503))</f>
        <v/>
      </c>
      <c r="M503" s="14" t="str">
        <f t="shared" si="2"/>
        <v/>
      </c>
      <c r="N503" s="15" t="str">
        <f t="shared" si="3"/>
        <v/>
      </c>
      <c r="O503" s="14" t="str">
        <f t="shared" si="4"/>
        <v/>
      </c>
      <c r="P503" s="16" t="str">
        <f t="array" ref="P503">IF($A503="","", IFERROR(INDEX('BM Data'!$N:$N,MATCH($J503&amp; "-" &amp; $N503,'BM Data'!$O:$O,0),1),""))</f>
        <v/>
      </c>
      <c r="Q503" s="16" t="str">
        <f t="array" ref="Q503">IF($A503="","", IFERROR(INDEX('BM Data'!$J:$J,MATCH($J503&amp; "-" &amp; $N503,'BM Data'!$O:$O,0),1),""))</f>
        <v/>
      </c>
    </row>
    <row r="504">
      <c r="A504" s="10" t="str">
        <f>IFERROR(__xludf.DUMMYFUNCTION("""COMPUTED_VALUE"""),"")</f>
        <v/>
      </c>
      <c r="B504" s="3" t="str">
        <f>IFERROR(__xludf.DUMMYFUNCTION("""COMPUTED_VALUE"""),"")</f>
        <v/>
      </c>
      <c r="C504" s="11" t="str">
        <f>IFERROR(__xludf.DUMMYFUNCTION("""COMPUTED_VALUE"""),"")</f>
        <v/>
      </c>
      <c r="D504" s="11" t="str">
        <f>IFERROR(__xludf.DUMMYFUNCTION("""COMPUTED_VALUE"""),"")</f>
        <v/>
      </c>
      <c r="E504" s="11" t="str">
        <f>IFERROR(__xludf.DUMMYFUNCTION("""COMPUTED_VALUE"""),"")</f>
        <v/>
      </c>
      <c r="F504" s="11" t="str">
        <f>IFERROR(__xludf.DUMMYFUNCTION("""COMPUTED_VALUE"""),"")</f>
        <v/>
      </c>
      <c r="G504" s="11" t="str">
        <f>IFERROR(__xludf.DUMMYFUNCTION("""COMPUTED_VALUE"""),"")</f>
        <v/>
      </c>
      <c r="H504" s="12" t="str">
        <f>IFERROR(__xludf.DUMMYFUNCTION("""COMPUTED_VALUE"""),"")</f>
        <v/>
      </c>
      <c r="I504" s="12" t="str">
        <f>IFERROR(__xludf.DUMMYFUNCTION("""COMPUTED_VALUE"""),"")</f>
        <v/>
      </c>
      <c r="J504" s="13" t="str">
        <f t="shared" si="1"/>
        <v/>
      </c>
      <c r="K504" s="12" t="str">
        <f>IFERROR(IF(A504="","",if($G504="",Reference!$J$2, VLOOKUP($G504,Reference!$I$2:$J$1000,2,false))),"")</f>
        <v/>
      </c>
      <c r="L504" s="12" t="str">
        <f>IF(A504="","", IF(F504="",Reference!$M$2,F504))</f>
        <v/>
      </c>
      <c r="M504" s="14" t="str">
        <f t="shared" si="2"/>
        <v/>
      </c>
      <c r="N504" s="15" t="str">
        <f t="shared" si="3"/>
        <v/>
      </c>
      <c r="O504" s="14" t="str">
        <f t="shared" si="4"/>
        <v/>
      </c>
      <c r="P504" s="16" t="str">
        <f t="array" ref="P504">IF($A504="","", IFERROR(INDEX('BM Data'!$N:$N,MATCH($J504&amp; "-" &amp; $N504,'BM Data'!$O:$O,0),1),""))</f>
        <v/>
      </c>
      <c r="Q504" s="16" t="str">
        <f t="array" ref="Q504">IF($A504="","", IFERROR(INDEX('BM Data'!$J:$J,MATCH($J504&amp; "-" &amp; $N504,'BM Data'!$O:$O,0),1),""))</f>
        <v/>
      </c>
    </row>
    <row r="505">
      <c r="A505" s="10" t="str">
        <f>IFERROR(__xludf.DUMMYFUNCTION("""COMPUTED_VALUE"""),"")</f>
        <v/>
      </c>
      <c r="B505" s="3" t="str">
        <f>IFERROR(__xludf.DUMMYFUNCTION("""COMPUTED_VALUE"""),"")</f>
        <v/>
      </c>
      <c r="C505" s="11" t="str">
        <f>IFERROR(__xludf.DUMMYFUNCTION("""COMPUTED_VALUE"""),"")</f>
        <v/>
      </c>
      <c r="D505" s="11" t="str">
        <f>IFERROR(__xludf.DUMMYFUNCTION("""COMPUTED_VALUE"""),"")</f>
        <v/>
      </c>
      <c r="E505" s="11" t="str">
        <f>IFERROR(__xludf.DUMMYFUNCTION("""COMPUTED_VALUE"""),"")</f>
        <v/>
      </c>
      <c r="F505" s="11" t="str">
        <f>IFERROR(__xludf.DUMMYFUNCTION("""COMPUTED_VALUE"""),"")</f>
        <v/>
      </c>
      <c r="G505" s="11" t="str">
        <f>IFERROR(__xludf.DUMMYFUNCTION("""COMPUTED_VALUE"""),"")</f>
        <v/>
      </c>
      <c r="H505" s="12" t="str">
        <f>IFERROR(__xludf.DUMMYFUNCTION("""COMPUTED_VALUE"""),"")</f>
        <v/>
      </c>
      <c r="I505" s="12" t="str">
        <f>IFERROR(__xludf.DUMMYFUNCTION("""COMPUTED_VALUE"""),"")</f>
        <v/>
      </c>
      <c r="J505" s="13" t="str">
        <f t="shared" si="1"/>
        <v/>
      </c>
      <c r="K505" s="12" t="str">
        <f>IFERROR(IF(A505="","",if($G505="",Reference!$J$2, VLOOKUP($G505,Reference!$I$2:$J$1000,2,false))),"")</f>
        <v/>
      </c>
      <c r="L505" s="12" t="str">
        <f>IF(A505="","", IF(F505="",Reference!$M$2,F505))</f>
        <v/>
      </c>
      <c r="M505" s="14" t="str">
        <f t="shared" si="2"/>
        <v/>
      </c>
      <c r="N505" s="15" t="str">
        <f t="shared" si="3"/>
        <v/>
      </c>
      <c r="O505" s="14" t="str">
        <f t="shared" si="4"/>
        <v/>
      </c>
      <c r="P505" s="16" t="str">
        <f t="array" ref="P505">IF($A505="","", IFERROR(INDEX('BM Data'!$N:$N,MATCH($J505&amp; "-" &amp; $N505,'BM Data'!$O:$O,0),1),""))</f>
        <v/>
      </c>
      <c r="Q505" s="16" t="str">
        <f t="array" ref="Q505">IF($A505="","", IFERROR(INDEX('BM Data'!$J:$J,MATCH($J505&amp; "-" &amp; $N505,'BM Data'!$O:$O,0),1),""))</f>
        <v/>
      </c>
    </row>
    <row r="506">
      <c r="A506" s="10" t="str">
        <f>IFERROR(__xludf.DUMMYFUNCTION("""COMPUTED_VALUE"""),"")</f>
        <v/>
      </c>
      <c r="B506" s="3" t="str">
        <f>IFERROR(__xludf.DUMMYFUNCTION("""COMPUTED_VALUE"""),"")</f>
        <v/>
      </c>
      <c r="C506" s="11" t="str">
        <f>IFERROR(__xludf.DUMMYFUNCTION("""COMPUTED_VALUE"""),"")</f>
        <v/>
      </c>
      <c r="D506" s="11" t="str">
        <f>IFERROR(__xludf.DUMMYFUNCTION("""COMPUTED_VALUE"""),"")</f>
        <v/>
      </c>
      <c r="E506" s="11" t="str">
        <f>IFERROR(__xludf.DUMMYFUNCTION("""COMPUTED_VALUE"""),"")</f>
        <v/>
      </c>
      <c r="F506" s="11" t="str">
        <f>IFERROR(__xludf.DUMMYFUNCTION("""COMPUTED_VALUE"""),"")</f>
        <v/>
      </c>
      <c r="G506" s="11" t="str">
        <f>IFERROR(__xludf.DUMMYFUNCTION("""COMPUTED_VALUE"""),"")</f>
        <v/>
      </c>
      <c r="H506" s="12" t="str">
        <f>IFERROR(__xludf.DUMMYFUNCTION("""COMPUTED_VALUE"""),"")</f>
        <v/>
      </c>
      <c r="I506" s="12" t="str">
        <f>IFERROR(__xludf.DUMMYFUNCTION("""COMPUTED_VALUE"""),"")</f>
        <v/>
      </c>
      <c r="J506" s="13" t="str">
        <f t="shared" si="1"/>
        <v/>
      </c>
      <c r="K506" s="12" t="str">
        <f>IFERROR(IF(A506="","",if($G506="",Reference!$J$2, VLOOKUP($G506,Reference!$I$2:$J$1000,2,false))),"")</f>
        <v/>
      </c>
      <c r="L506" s="12" t="str">
        <f>IF(A506="","", IF(F506="",Reference!$M$2,F506))</f>
        <v/>
      </c>
      <c r="M506" s="14" t="str">
        <f t="shared" si="2"/>
        <v/>
      </c>
      <c r="N506" s="15" t="str">
        <f t="shared" si="3"/>
        <v/>
      </c>
      <c r="O506" s="14" t="str">
        <f t="shared" si="4"/>
        <v/>
      </c>
      <c r="P506" s="16" t="str">
        <f t="array" ref="P506">IF($A506="","", IFERROR(INDEX('BM Data'!$N:$N,MATCH($J506&amp; "-" &amp; $N506,'BM Data'!$O:$O,0),1),""))</f>
        <v/>
      </c>
      <c r="Q506" s="16" t="str">
        <f t="array" ref="Q506">IF($A506="","", IFERROR(INDEX('BM Data'!$J:$J,MATCH($J506&amp; "-" &amp; $N506,'BM Data'!$O:$O,0),1),""))</f>
        <v/>
      </c>
    </row>
    <row r="507">
      <c r="A507" s="10" t="str">
        <f>IFERROR(__xludf.DUMMYFUNCTION("""COMPUTED_VALUE"""),"")</f>
        <v/>
      </c>
      <c r="B507" s="3" t="str">
        <f>IFERROR(__xludf.DUMMYFUNCTION("""COMPUTED_VALUE"""),"")</f>
        <v/>
      </c>
      <c r="C507" s="11" t="str">
        <f>IFERROR(__xludf.DUMMYFUNCTION("""COMPUTED_VALUE"""),"")</f>
        <v/>
      </c>
      <c r="D507" s="11" t="str">
        <f>IFERROR(__xludf.DUMMYFUNCTION("""COMPUTED_VALUE"""),"")</f>
        <v/>
      </c>
      <c r="E507" s="11" t="str">
        <f>IFERROR(__xludf.DUMMYFUNCTION("""COMPUTED_VALUE"""),"")</f>
        <v/>
      </c>
      <c r="F507" s="11" t="str">
        <f>IFERROR(__xludf.DUMMYFUNCTION("""COMPUTED_VALUE"""),"")</f>
        <v/>
      </c>
      <c r="G507" s="11" t="str">
        <f>IFERROR(__xludf.DUMMYFUNCTION("""COMPUTED_VALUE"""),"")</f>
        <v/>
      </c>
      <c r="H507" s="12" t="str">
        <f>IFERROR(__xludf.DUMMYFUNCTION("""COMPUTED_VALUE"""),"")</f>
        <v/>
      </c>
      <c r="I507" s="12" t="str">
        <f>IFERROR(__xludf.DUMMYFUNCTION("""COMPUTED_VALUE"""),"")</f>
        <v/>
      </c>
      <c r="J507" s="13" t="str">
        <f t="shared" si="1"/>
        <v/>
      </c>
      <c r="K507" s="12" t="str">
        <f>IFERROR(IF(A507="","",if($G507="",Reference!$J$2, VLOOKUP($G507,Reference!$I$2:$J$1000,2,false))),"")</f>
        <v/>
      </c>
      <c r="L507" s="12" t="str">
        <f>IF(A507="","", IF(F507="",Reference!$M$2,F507))</f>
        <v/>
      </c>
      <c r="M507" s="14" t="str">
        <f t="shared" si="2"/>
        <v/>
      </c>
      <c r="N507" s="15" t="str">
        <f t="shared" si="3"/>
        <v/>
      </c>
      <c r="O507" s="14" t="str">
        <f t="shared" si="4"/>
        <v/>
      </c>
      <c r="P507" s="16" t="str">
        <f t="array" ref="P507">IF($A507="","", IFERROR(INDEX('BM Data'!$N:$N,MATCH($J507&amp; "-" &amp; $N507,'BM Data'!$O:$O,0),1),""))</f>
        <v/>
      </c>
      <c r="Q507" s="16" t="str">
        <f t="array" ref="Q507">IF($A507="","", IFERROR(INDEX('BM Data'!$J:$J,MATCH($J507&amp; "-" &amp; $N507,'BM Data'!$O:$O,0),1),""))</f>
        <v/>
      </c>
    </row>
    <row r="508">
      <c r="A508" s="10" t="str">
        <f>IFERROR(__xludf.DUMMYFUNCTION("""COMPUTED_VALUE"""),"")</f>
        <v/>
      </c>
      <c r="B508" s="3" t="str">
        <f>IFERROR(__xludf.DUMMYFUNCTION("""COMPUTED_VALUE"""),"")</f>
        <v/>
      </c>
      <c r="C508" s="11" t="str">
        <f>IFERROR(__xludf.DUMMYFUNCTION("""COMPUTED_VALUE"""),"")</f>
        <v/>
      </c>
      <c r="D508" s="11" t="str">
        <f>IFERROR(__xludf.DUMMYFUNCTION("""COMPUTED_VALUE"""),"")</f>
        <v/>
      </c>
      <c r="E508" s="11" t="str">
        <f>IFERROR(__xludf.DUMMYFUNCTION("""COMPUTED_VALUE"""),"")</f>
        <v/>
      </c>
      <c r="F508" s="11" t="str">
        <f>IFERROR(__xludf.DUMMYFUNCTION("""COMPUTED_VALUE"""),"")</f>
        <v/>
      </c>
      <c r="G508" s="11" t="str">
        <f>IFERROR(__xludf.DUMMYFUNCTION("""COMPUTED_VALUE"""),"")</f>
        <v/>
      </c>
      <c r="H508" s="12" t="str">
        <f>IFERROR(__xludf.DUMMYFUNCTION("""COMPUTED_VALUE"""),"")</f>
        <v/>
      </c>
      <c r="I508" s="12" t="str">
        <f>IFERROR(__xludf.DUMMYFUNCTION("""COMPUTED_VALUE"""),"")</f>
        <v/>
      </c>
      <c r="J508" s="13" t="str">
        <f t="shared" si="1"/>
        <v/>
      </c>
      <c r="K508" s="12" t="str">
        <f>IFERROR(IF(A508="","",if($G508="",Reference!$J$2, VLOOKUP($G508,Reference!$I$2:$J$1000,2,false))),"")</f>
        <v/>
      </c>
      <c r="L508" s="12" t="str">
        <f>IF(A508="","", IF(F508="",Reference!$M$2,F508))</f>
        <v/>
      </c>
      <c r="M508" s="14" t="str">
        <f t="shared" si="2"/>
        <v/>
      </c>
      <c r="N508" s="15" t="str">
        <f t="shared" si="3"/>
        <v/>
      </c>
      <c r="O508" s="14" t="str">
        <f t="shared" si="4"/>
        <v/>
      </c>
      <c r="P508" s="16" t="str">
        <f t="array" ref="P508">IF($A508="","", IFERROR(INDEX('BM Data'!$N:$N,MATCH($J508&amp; "-" &amp; $N508,'BM Data'!$O:$O,0),1),""))</f>
        <v/>
      </c>
      <c r="Q508" s="16" t="str">
        <f t="array" ref="Q508">IF($A508="","", IFERROR(INDEX('BM Data'!$J:$J,MATCH($J508&amp; "-" &amp; $N508,'BM Data'!$O:$O,0),1),""))</f>
        <v/>
      </c>
    </row>
    <row r="509">
      <c r="A509" s="10" t="str">
        <f>IFERROR(__xludf.DUMMYFUNCTION("""COMPUTED_VALUE"""),"")</f>
        <v/>
      </c>
      <c r="B509" s="3" t="str">
        <f>IFERROR(__xludf.DUMMYFUNCTION("""COMPUTED_VALUE"""),"")</f>
        <v/>
      </c>
      <c r="C509" s="11" t="str">
        <f>IFERROR(__xludf.DUMMYFUNCTION("""COMPUTED_VALUE"""),"")</f>
        <v/>
      </c>
      <c r="D509" s="11" t="str">
        <f>IFERROR(__xludf.DUMMYFUNCTION("""COMPUTED_VALUE"""),"")</f>
        <v/>
      </c>
      <c r="E509" s="11" t="str">
        <f>IFERROR(__xludf.DUMMYFUNCTION("""COMPUTED_VALUE"""),"")</f>
        <v/>
      </c>
      <c r="F509" s="11" t="str">
        <f>IFERROR(__xludf.DUMMYFUNCTION("""COMPUTED_VALUE"""),"")</f>
        <v/>
      </c>
      <c r="G509" s="11" t="str">
        <f>IFERROR(__xludf.DUMMYFUNCTION("""COMPUTED_VALUE"""),"")</f>
        <v/>
      </c>
      <c r="H509" s="12" t="str">
        <f>IFERROR(__xludf.DUMMYFUNCTION("""COMPUTED_VALUE"""),"")</f>
        <v/>
      </c>
      <c r="I509" s="12" t="str">
        <f>IFERROR(__xludf.DUMMYFUNCTION("""COMPUTED_VALUE"""),"")</f>
        <v/>
      </c>
      <c r="J509" s="13" t="str">
        <f t="shared" si="1"/>
        <v/>
      </c>
      <c r="K509" s="12" t="str">
        <f>IFERROR(IF(A509="","",if($G509="",Reference!$J$2, VLOOKUP($G509,Reference!$I$2:$J$1000,2,false))),"")</f>
        <v/>
      </c>
      <c r="L509" s="12" t="str">
        <f>IF(A509="","", IF(F509="",Reference!$M$2,F509))</f>
        <v/>
      </c>
      <c r="M509" s="14" t="str">
        <f t="shared" si="2"/>
        <v/>
      </c>
      <c r="N509" s="15" t="str">
        <f t="shared" si="3"/>
        <v/>
      </c>
      <c r="O509" s="14" t="str">
        <f t="shared" si="4"/>
        <v/>
      </c>
      <c r="P509" s="16" t="str">
        <f t="array" ref="P509">IF($A509="","", IFERROR(INDEX('BM Data'!$N:$N,MATCH($J509&amp; "-" &amp; $N509,'BM Data'!$O:$O,0),1),""))</f>
        <v/>
      </c>
      <c r="Q509" s="16" t="str">
        <f t="array" ref="Q509">IF($A509="","", IFERROR(INDEX('BM Data'!$J:$J,MATCH($J509&amp; "-" &amp; $N509,'BM Data'!$O:$O,0),1),""))</f>
        <v/>
      </c>
    </row>
    <row r="510">
      <c r="A510" s="10" t="str">
        <f>IFERROR(__xludf.DUMMYFUNCTION("""COMPUTED_VALUE"""),"")</f>
        <v/>
      </c>
      <c r="B510" s="3" t="str">
        <f>IFERROR(__xludf.DUMMYFUNCTION("""COMPUTED_VALUE"""),"")</f>
        <v/>
      </c>
      <c r="C510" s="11" t="str">
        <f>IFERROR(__xludf.DUMMYFUNCTION("""COMPUTED_VALUE"""),"")</f>
        <v/>
      </c>
      <c r="D510" s="11" t="str">
        <f>IFERROR(__xludf.DUMMYFUNCTION("""COMPUTED_VALUE"""),"")</f>
        <v/>
      </c>
      <c r="E510" s="11" t="str">
        <f>IFERROR(__xludf.DUMMYFUNCTION("""COMPUTED_VALUE"""),"")</f>
        <v/>
      </c>
      <c r="F510" s="11" t="str">
        <f>IFERROR(__xludf.DUMMYFUNCTION("""COMPUTED_VALUE"""),"")</f>
        <v/>
      </c>
      <c r="G510" s="11" t="str">
        <f>IFERROR(__xludf.DUMMYFUNCTION("""COMPUTED_VALUE"""),"")</f>
        <v/>
      </c>
      <c r="H510" s="12" t="str">
        <f>IFERROR(__xludf.DUMMYFUNCTION("""COMPUTED_VALUE"""),"")</f>
        <v/>
      </c>
      <c r="I510" s="12" t="str">
        <f>IFERROR(__xludf.DUMMYFUNCTION("""COMPUTED_VALUE"""),"")</f>
        <v/>
      </c>
      <c r="J510" s="13" t="str">
        <f t="shared" si="1"/>
        <v/>
      </c>
      <c r="K510" s="12" t="str">
        <f>IFERROR(IF(A510="","",if($G510="",Reference!$J$2, VLOOKUP($G510,Reference!$I$2:$J$1000,2,false))),"")</f>
        <v/>
      </c>
      <c r="L510" s="12" t="str">
        <f>IF(A510="","", IF(F510="",Reference!$M$2,F510))</f>
        <v/>
      </c>
      <c r="M510" s="14" t="str">
        <f t="shared" si="2"/>
        <v/>
      </c>
      <c r="N510" s="15" t="str">
        <f t="shared" si="3"/>
        <v/>
      </c>
      <c r="O510" s="14" t="str">
        <f t="shared" si="4"/>
        <v/>
      </c>
      <c r="P510" s="16" t="str">
        <f t="array" ref="P510">IF($A510="","", IFERROR(INDEX('BM Data'!$N:$N,MATCH($J510&amp; "-" &amp; $N510,'BM Data'!$O:$O,0),1),""))</f>
        <v/>
      </c>
      <c r="Q510" s="16" t="str">
        <f t="array" ref="Q510">IF($A510="","", IFERROR(INDEX('BM Data'!$J:$J,MATCH($J510&amp; "-" &amp; $N510,'BM Data'!$O:$O,0),1),""))</f>
        <v/>
      </c>
    </row>
    <row r="511">
      <c r="A511" s="10" t="str">
        <f>IFERROR(__xludf.DUMMYFUNCTION("""COMPUTED_VALUE"""),"")</f>
        <v/>
      </c>
      <c r="B511" s="3" t="str">
        <f>IFERROR(__xludf.DUMMYFUNCTION("""COMPUTED_VALUE"""),"")</f>
        <v/>
      </c>
      <c r="C511" s="11" t="str">
        <f>IFERROR(__xludf.DUMMYFUNCTION("""COMPUTED_VALUE"""),"")</f>
        <v/>
      </c>
      <c r="D511" s="11" t="str">
        <f>IFERROR(__xludf.DUMMYFUNCTION("""COMPUTED_VALUE"""),"")</f>
        <v/>
      </c>
      <c r="E511" s="11" t="str">
        <f>IFERROR(__xludf.DUMMYFUNCTION("""COMPUTED_VALUE"""),"")</f>
        <v/>
      </c>
      <c r="F511" s="11" t="str">
        <f>IFERROR(__xludf.DUMMYFUNCTION("""COMPUTED_VALUE"""),"")</f>
        <v/>
      </c>
      <c r="G511" s="11" t="str">
        <f>IFERROR(__xludf.DUMMYFUNCTION("""COMPUTED_VALUE"""),"")</f>
        <v/>
      </c>
      <c r="H511" s="12" t="str">
        <f>IFERROR(__xludf.DUMMYFUNCTION("""COMPUTED_VALUE"""),"")</f>
        <v/>
      </c>
      <c r="I511" s="12" t="str">
        <f>IFERROR(__xludf.DUMMYFUNCTION("""COMPUTED_VALUE"""),"")</f>
        <v/>
      </c>
      <c r="J511" s="13" t="str">
        <f t="shared" si="1"/>
        <v/>
      </c>
      <c r="K511" s="12" t="str">
        <f>IFERROR(IF(A511="","",if($G511="",Reference!$J$2, VLOOKUP($G511,Reference!$I$2:$J$1000,2,false))),"")</f>
        <v/>
      </c>
      <c r="L511" s="12" t="str">
        <f>IF(A511="","", IF(F511="",Reference!$M$2,F511))</f>
        <v/>
      </c>
      <c r="M511" s="14" t="str">
        <f t="shared" si="2"/>
        <v/>
      </c>
      <c r="N511" s="15" t="str">
        <f t="shared" si="3"/>
        <v/>
      </c>
      <c r="O511" s="14" t="str">
        <f t="shared" si="4"/>
        <v/>
      </c>
      <c r="P511" s="16" t="str">
        <f t="array" ref="P511">IF($A511="","", IFERROR(INDEX('BM Data'!$N:$N,MATCH($J511&amp; "-" &amp; $N511,'BM Data'!$O:$O,0),1),""))</f>
        <v/>
      </c>
      <c r="Q511" s="16" t="str">
        <f t="array" ref="Q511">IF($A511="","", IFERROR(INDEX('BM Data'!$J:$J,MATCH($J511&amp; "-" &amp; $N511,'BM Data'!$O:$O,0),1),""))</f>
        <v/>
      </c>
    </row>
    <row r="512">
      <c r="A512" s="10" t="str">
        <f>IFERROR(__xludf.DUMMYFUNCTION("""COMPUTED_VALUE"""),"")</f>
        <v/>
      </c>
      <c r="B512" s="3" t="str">
        <f>IFERROR(__xludf.DUMMYFUNCTION("""COMPUTED_VALUE"""),"")</f>
        <v/>
      </c>
      <c r="C512" s="11" t="str">
        <f>IFERROR(__xludf.DUMMYFUNCTION("""COMPUTED_VALUE"""),"")</f>
        <v/>
      </c>
      <c r="D512" s="11" t="str">
        <f>IFERROR(__xludf.DUMMYFUNCTION("""COMPUTED_VALUE"""),"")</f>
        <v/>
      </c>
      <c r="E512" s="11" t="str">
        <f>IFERROR(__xludf.DUMMYFUNCTION("""COMPUTED_VALUE"""),"")</f>
        <v/>
      </c>
      <c r="F512" s="11" t="str">
        <f>IFERROR(__xludf.DUMMYFUNCTION("""COMPUTED_VALUE"""),"")</f>
        <v/>
      </c>
      <c r="G512" s="11" t="str">
        <f>IFERROR(__xludf.DUMMYFUNCTION("""COMPUTED_VALUE"""),"")</f>
        <v/>
      </c>
      <c r="H512" s="12" t="str">
        <f>IFERROR(__xludf.DUMMYFUNCTION("""COMPUTED_VALUE"""),"")</f>
        <v/>
      </c>
      <c r="I512" s="12" t="str">
        <f>IFERROR(__xludf.DUMMYFUNCTION("""COMPUTED_VALUE"""),"")</f>
        <v/>
      </c>
      <c r="J512" s="13" t="str">
        <f t="shared" si="1"/>
        <v/>
      </c>
      <c r="K512" s="12" t="str">
        <f>IFERROR(IF(A512="","",if($G512="",Reference!$J$2, VLOOKUP($G512,Reference!$I$2:$J$1000,2,false))),"")</f>
        <v/>
      </c>
      <c r="L512" s="12" t="str">
        <f>IF(A512="","", IF(F512="",Reference!$M$2,F512))</f>
        <v/>
      </c>
      <c r="M512" s="14" t="str">
        <f t="shared" si="2"/>
        <v/>
      </c>
      <c r="N512" s="15" t="str">
        <f t="shared" si="3"/>
        <v/>
      </c>
      <c r="O512" s="14" t="str">
        <f t="shared" si="4"/>
        <v/>
      </c>
      <c r="P512" s="16" t="str">
        <f t="array" ref="P512">IF($A512="","", IFERROR(INDEX('BM Data'!$N:$N,MATCH($J512&amp; "-" &amp; $N512,'BM Data'!$O:$O,0),1),""))</f>
        <v/>
      </c>
      <c r="Q512" s="16" t="str">
        <f t="array" ref="Q512">IF($A512="","", IFERROR(INDEX('BM Data'!$J:$J,MATCH($J512&amp; "-" &amp; $N512,'BM Data'!$O:$O,0),1),""))</f>
        <v/>
      </c>
    </row>
    <row r="513">
      <c r="A513" s="10" t="str">
        <f>IFERROR(__xludf.DUMMYFUNCTION("""COMPUTED_VALUE"""),"")</f>
        <v/>
      </c>
      <c r="B513" s="3" t="str">
        <f>IFERROR(__xludf.DUMMYFUNCTION("""COMPUTED_VALUE"""),"")</f>
        <v/>
      </c>
      <c r="C513" s="11" t="str">
        <f>IFERROR(__xludf.DUMMYFUNCTION("""COMPUTED_VALUE"""),"")</f>
        <v/>
      </c>
      <c r="D513" s="11" t="str">
        <f>IFERROR(__xludf.DUMMYFUNCTION("""COMPUTED_VALUE"""),"")</f>
        <v/>
      </c>
      <c r="E513" s="11" t="str">
        <f>IFERROR(__xludf.DUMMYFUNCTION("""COMPUTED_VALUE"""),"")</f>
        <v/>
      </c>
      <c r="F513" s="11" t="str">
        <f>IFERROR(__xludf.DUMMYFUNCTION("""COMPUTED_VALUE"""),"")</f>
        <v/>
      </c>
      <c r="G513" s="11" t="str">
        <f>IFERROR(__xludf.DUMMYFUNCTION("""COMPUTED_VALUE"""),"")</f>
        <v/>
      </c>
      <c r="H513" s="12" t="str">
        <f>IFERROR(__xludf.DUMMYFUNCTION("""COMPUTED_VALUE"""),"")</f>
        <v/>
      </c>
      <c r="I513" s="12" t="str">
        <f>IFERROR(__xludf.DUMMYFUNCTION("""COMPUTED_VALUE"""),"")</f>
        <v/>
      </c>
      <c r="J513" s="13" t="str">
        <f t="shared" si="1"/>
        <v/>
      </c>
      <c r="K513" s="12" t="str">
        <f>IFERROR(IF(A513="","",if($G513="",Reference!$J$2, VLOOKUP($G513,Reference!$I$2:$J$1000,2,false))),"")</f>
        <v/>
      </c>
      <c r="L513" s="12" t="str">
        <f>IF(A513="","", IF(F513="",Reference!$M$2,F513))</f>
        <v/>
      </c>
      <c r="M513" s="14" t="str">
        <f t="shared" si="2"/>
        <v/>
      </c>
      <c r="N513" s="15" t="str">
        <f t="shared" si="3"/>
        <v/>
      </c>
      <c r="O513" s="14" t="str">
        <f t="shared" si="4"/>
        <v/>
      </c>
      <c r="P513" s="16" t="str">
        <f t="array" ref="P513">IF($A513="","", IFERROR(INDEX('BM Data'!$N:$N,MATCH($J513&amp; "-" &amp; $N513,'BM Data'!$O:$O,0),1),""))</f>
        <v/>
      </c>
      <c r="Q513" s="16" t="str">
        <f t="array" ref="Q513">IF($A513="","", IFERROR(INDEX('BM Data'!$J:$J,MATCH($J513&amp; "-" &amp; $N513,'BM Data'!$O:$O,0),1),""))</f>
        <v/>
      </c>
    </row>
    <row r="514">
      <c r="A514" s="10" t="str">
        <f>IFERROR(__xludf.DUMMYFUNCTION("""COMPUTED_VALUE"""),"")</f>
        <v/>
      </c>
      <c r="B514" s="3" t="str">
        <f>IFERROR(__xludf.DUMMYFUNCTION("""COMPUTED_VALUE"""),"")</f>
        <v/>
      </c>
      <c r="C514" s="11" t="str">
        <f>IFERROR(__xludf.DUMMYFUNCTION("""COMPUTED_VALUE"""),"")</f>
        <v/>
      </c>
      <c r="D514" s="11" t="str">
        <f>IFERROR(__xludf.DUMMYFUNCTION("""COMPUTED_VALUE"""),"")</f>
        <v/>
      </c>
      <c r="E514" s="11" t="str">
        <f>IFERROR(__xludf.DUMMYFUNCTION("""COMPUTED_VALUE"""),"")</f>
        <v/>
      </c>
      <c r="F514" s="11" t="str">
        <f>IFERROR(__xludf.DUMMYFUNCTION("""COMPUTED_VALUE"""),"")</f>
        <v/>
      </c>
      <c r="G514" s="11" t="str">
        <f>IFERROR(__xludf.DUMMYFUNCTION("""COMPUTED_VALUE"""),"")</f>
        <v/>
      </c>
      <c r="H514" s="12" t="str">
        <f>IFERROR(__xludf.DUMMYFUNCTION("""COMPUTED_VALUE"""),"")</f>
        <v/>
      </c>
      <c r="I514" s="12" t="str">
        <f>IFERROR(__xludf.DUMMYFUNCTION("""COMPUTED_VALUE"""),"")</f>
        <v/>
      </c>
      <c r="J514" s="13" t="str">
        <f t="shared" si="1"/>
        <v/>
      </c>
      <c r="K514" s="12" t="str">
        <f>IFERROR(IF(A514="","",if($G514="",Reference!$J$2, VLOOKUP($G514,Reference!$I$2:$J$1000,2,false))),"")</f>
        <v/>
      </c>
      <c r="L514" s="12" t="str">
        <f>IF(A514="","", IF(F514="",Reference!$M$2,F514))</f>
        <v/>
      </c>
      <c r="M514" s="14" t="str">
        <f t="shared" si="2"/>
        <v/>
      </c>
      <c r="N514" s="15" t="str">
        <f t="shared" si="3"/>
        <v/>
      </c>
      <c r="O514" s="14" t="str">
        <f t="shared" si="4"/>
        <v/>
      </c>
      <c r="P514" s="16" t="str">
        <f t="array" ref="P514">IF($A514="","", IFERROR(INDEX('BM Data'!$N:$N,MATCH($J514&amp; "-" &amp; $N514,'BM Data'!$O:$O,0),1),""))</f>
        <v/>
      </c>
      <c r="Q514" s="16" t="str">
        <f t="array" ref="Q514">IF($A514="","", IFERROR(INDEX('BM Data'!$J:$J,MATCH($J514&amp; "-" &amp; $N514,'BM Data'!$O:$O,0),1),""))</f>
        <v/>
      </c>
    </row>
    <row r="515">
      <c r="A515" s="10" t="str">
        <f>IFERROR(__xludf.DUMMYFUNCTION("""COMPUTED_VALUE"""),"")</f>
        <v/>
      </c>
      <c r="B515" s="3" t="str">
        <f>IFERROR(__xludf.DUMMYFUNCTION("""COMPUTED_VALUE"""),"")</f>
        <v/>
      </c>
      <c r="C515" s="11" t="str">
        <f>IFERROR(__xludf.DUMMYFUNCTION("""COMPUTED_VALUE"""),"")</f>
        <v/>
      </c>
      <c r="D515" s="11" t="str">
        <f>IFERROR(__xludf.DUMMYFUNCTION("""COMPUTED_VALUE"""),"")</f>
        <v/>
      </c>
      <c r="E515" s="11" t="str">
        <f>IFERROR(__xludf.DUMMYFUNCTION("""COMPUTED_VALUE"""),"")</f>
        <v/>
      </c>
      <c r="F515" s="11" t="str">
        <f>IFERROR(__xludf.DUMMYFUNCTION("""COMPUTED_VALUE"""),"")</f>
        <v/>
      </c>
      <c r="G515" s="11" t="str">
        <f>IFERROR(__xludf.DUMMYFUNCTION("""COMPUTED_VALUE"""),"")</f>
        <v/>
      </c>
      <c r="H515" s="12" t="str">
        <f>IFERROR(__xludf.DUMMYFUNCTION("""COMPUTED_VALUE"""),"")</f>
        <v/>
      </c>
      <c r="I515" s="12" t="str">
        <f>IFERROR(__xludf.DUMMYFUNCTION("""COMPUTED_VALUE"""),"")</f>
        <v/>
      </c>
      <c r="J515" s="13" t="str">
        <f t="shared" si="1"/>
        <v/>
      </c>
      <c r="K515" s="12" t="str">
        <f>IFERROR(IF(A515="","",if($G515="",Reference!$J$2, VLOOKUP($G515,Reference!$I$2:$J$1000,2,false))),"")</f>
        <v/>
      </c>
      <c r="L515" s="12" t="str">
        <f>IF(A515="","", IF(F515="",Reference!$M$2,F515))</f>
        <v/>
      </c>
      <c r="M515" s="14" t="str">
        <f t="shared" si="2"/>
        <v/>
      </c>
      <c r="N515" s="15" t="str">
        <f t="shared" si="3"/>
        <v/>
      </c>
      <c r="O515" s="14" t="str">
        <f t="shared" si="4"/>
        <v/>
      </c>
      <c r="P515" s="16" t="str">
        <f t="array" ref="P515">IF($A515="","", IFERROR(INDEX('BM Data'!$N:$N,MATCH($J515&amp; "-" &amp; $N515,'BM Data'!$O:$O,0),1),""))</f>
        <v/>
      </c>
      <c r="Q515" s="16" t="str">
        <f t="array" ref="Q515">IF($A515="","", IFERROR(INDEX('BM Data'!$J:$J,MATCH($J515&amp; "-" &amp; $N515,'BM Data'!$O:$O,0),1),""))</f>
        <v/>
      </c>
    </row>
    <row r="516">
      <c r="A516" s="10" t="str">
        <f>IFERROR(__xludf.DUMMYFUNCTION("""COMPUTED_VALUE"""),"")</f>
        <v/>
      </c>
      <c r="B516" s="3" t="str">
        <f>IFERROR(__xludf.DUMMYFUNCTION("""COMPUTED_VALUE"""),"")</f>
        <v/>
      </c>
      <c r="C516" s="11" t="str">
        <f>IFERROR(__xludf.DUMMYFUNCTION("""COMPUTED_VALUE"""),"")</f>
        <v/>
      </c>
      <c r="D516" s="11" t="str">
        <f>IFERROR(__xludf.DUMMYFUNCTION("""COMPUTED_VALUE"""),"")</f>
        <v/>
      </c>
      <c r="E516" s="11" t="str">
        <f>IFERROR(__xludf.DUMMYFUNCTION("""COMPUTED_VALUE"""),"")</f>
        <v/>
      </c>
      <c r="F516" s="11" t="str">
        <f>IFERROR(__xludf.DUMMYFUNCTION("""COMPUTED_VALUE"""),"")</f>
        <v/>
      </c>
      <c r="G516" s="11" t="str">
        <f>IFERROR(__xludf.DUMMYFUNCTION("""COMPUTED_VALUE"""),"")</f>
        <v/>
      </c>
      <c r="H516" s="12" t="str">
        <f>IFERROR(__xludf.DUMMYFUNCTION("""COMPUTED_VALUE"""),"")</f>
        <v/>
      </c>
      <c r="I516" s="12" t="str">
        <f>IFERROR(__xludf.DUMMYFUNCTION("""COMPUTED_VALUE"""),"")</f>
        <v/>
      </c>
      <c r="J516" s="13" t="str">
        <f t="shared" si="1"/>
        <v/>
      </c>
      <c r="K516" s="12" t="str">
        <f>IFERROR(IF(A516="","",if($G516="",Reference!$J$2, VLOOKUP($G516,Reference!$I$2:$J$1000,2,false))),"")</f>
        <v/>
      </c>
      <c r="L516" s="12" t="str">
        <f>IF(A516="","", IF(F516="",Reference!$M$2,F516))</f>
        <v/>
      </c>
      <c r="M516" s="14" t="str">
        <f t="shared" si="2"/>
        <v/>
      </c>
      <c r="N516" s="15" t="str">
        <f t="shared" si="3"/>
        <v/>
      </c>
      <c r="O516" s="14" t="str">
        <f t="shared" si="4"/>
        <v/>
      </c>
      <c r="P516" s="16" t="str">
        <f t="array" ref="P516">IF($A516="","", IFERROR(INDEX('BM Data'!$N:$N,MATCH($J516&amp; "-" &amp; $N516,'BM Data'!$O:$O,0),1),""))</f>
        <v/>
      </c>
      <c r="Q516" s="16" t="str">
        <f t="array" ref="Q516">IF($A516="","", IFERROR(INDEX('BM Data'!$J:$J,MATCH($J516&amp; "-" &amp; $N516,'BM Data'!$O:$O,0),1),""))</f>
        <v/>
      </c>
    </row>
    <row r="517">
      <c r="A517" s="10" t="str">
        <f>IFERROR(__xludf.DUMMYFUNCTION("""COMPUTED_VALUE"""),"")</f>
        <v/>
      </c>
      <c r="B517" s="3" t="str">
        <f>IFERROR(__xludf.DUMMYFUNCTION("""COMPUTED_VALUE"""),"")</f>
        <v/>
      </c>
      <c r="C517" s="11" t="str">
        <f>IFERROR(__xludf.DUMMYFUNCTION("""COMPUTED_VALUE"""),"")</f>
        <v/>
      </c>
      <c r="D517" s="11" t="str">
        <f>IFERROR(__xludf.DUMMYFUNCTION("""COMPUTED_VALUE"""),"")</f>
        <v/>
      </c>
      <c r="E517" s="11" t="str">
        <f>IFERROR(__xludf.DUMMYFUNCTION("""COMPUTED_VALUE"""),"")</f>
        <v/>
      </c>
      <c r="F517" s="11" t="str">
        <f>IFERROR(__xludf.DUMMYFUNCTION("""COMPUTED_VALUE"""),"")</f>
        <v/>
      </c>
      <c r="G517" s="11" t="str">
        <f>IFERROR(__xludf.DUMMYFUNCTION("""COMPUTED_VALUE"""),"")</f>
        <v/>
      </c>
      <c r="H517" s="12" t="str">
        <f>IFERROR(__xludf.DUMMYFUNCTION("""COMPUTED_VALUE"""),"")</f>
        <v/>
      </c>
      <c r="I517" s="12" t="str">
        <f>IFERROR(__xludf.DUMMYFUNCTION("""COMPUTED_VALUE"""),"")</f>
        <v/>
      </c>
      <c r="J517" s="13" t="str">
        <f t="shared" si="1"/>
        <v/>
      </c>
      <c r="K517" s="12" t="str">
        <f>IFERROR(IF(A517="","",if($G517="",Reference!$J$2, VLOOKUP($G517,Reference!$I$2:$J$1000,2,false))),"")</f>
        <v/>
      </c>
      <c r="L517" s="12" t="str">
        <f>IF(A517="","", IF(F517="",Reference!$M$2,F517))</f>
        <v/>
      </c>
      <c r="M517" s="14" t="str">
        <f t="shared" si="2"/>
        <v/>
      </c>
      <c r="N517" s="15" t="str">
        <f t="shared" si="3"/>
        <v/>
      </c>
      <c r="O517" s="14" t="str">
        <f t="shared" si="4"/>
        <v/>
      </c>
      <c r="P517" s="16" t="str">
        <f t="array" ref="P517">IF($A517="","", IFERROR(INDEX('BM Data'!$N:$N,MATCH($J517&amp; "-" &amp; $N517,'BM Data'!$O:$O,0),1),""))</f>
        <v/>
      </c>
      <c r="Q517" s="16" t="str">
        <f t="array" ref="Q517">IF($A517="","", IFERROR(INDEX('BM Data'!$J:$J,MATCH($J517&amp; "-" &amp; $N517,'BM Data'!$O:$O,0),1),""))</f>
        <v/>
      </c>
    </row>
    <row r="518">
      <c r="A518" s="10" t="str">
        <f>IFERROR(__xludf.DUMMYFUNCTION("""COMPUTED_VALUE"""),"")</f>
        <v/>
      </c>
      <c r="B518" s="3" t="str">
        <f>IFERROR(__xludf.DUMMYFUNCTION("""COMPUTED_VALUE"""),"")</f>
        <v/>
      </c>
      <c r="C518" s="11" t="str">
        <f>IFERROR(__xludf.DUMMYFUNCTION("""COMPUTED_VALUE"""),"")</f>
        <v/>
      </c>
      <c r="D518" s="11" t="str">
        <f>IFERROR(__xludf.DUMMYFUNCTION("""COMPUTED_VALUE"""),"")</f>
        <v/>
      </c>
      <c r="E518" s="11" t="str">
        <f>IFERROR(__xludf.DUMMYFUNCTION("""COMPUTED_VALUE"""),"")</f>
        <v/>
      </c>
      <c r="F518" s="11" t="str">
        <f>IFERROR(__xludf.DUMMYFUNCTION("""COMPUTED_VALUE"""),"")</f>
        <v/>
      </c>
      <c r="G518" s="11" t="str">
        <f>IFERROR(__xludf.DUMMYFUNCTION("""COMPUTED_VALUE"""),"")</f>
        <v/>
      </c>
      <c r="H518" s="12" t="str">
        <f>IFERROR(__xludf.DUMMYFUNCTION("""COMPUTED_VALUE"""),"")</f>
        <v/>
      </c>
      <c r="I518" s="12" t="str">
        <f>IFERROR(__xludf.DUMMYFUNCTION("""COMPUTED_VALUE"""),"")</f>
        <v/>
      </c>
      <c r="J518" s="13" t="str">
        <f t="shared" si="1"/>
        <v/>
      </c>
      <c r="K518" s="12" t="str">
        <f>IFERROR(IF(A518="","",if($G518="",Reference!$J$2, VLOOKUP($G518,Reference!$I$2:$J$1000,2,false))),"")</f>
        <v/>
      </c>
      <c r="L518" s="12" t="str">
        <f>IF(A518="","", IF(F518="",Reference!$M$2,F518))</f>
        <v/>
      </c>
      <c r="M518" s="14" t="str">
        <f t="shared" si="2"/>
        <v/>
      </c>
      <c r="N518" s="15" t="str">
        <f t="shared" si="3"/>
        <v/>
      </c>
      <c r="O518" s="14" t="str">
        <f t="shared" si="4"/>
        <v/>
      </c>
      <c r="P518" s="16" t="str">
        <f t="array" ref="P518">IF($A518="","", IFERROR(INDEX('BM Data'!$N:$N,MATCH($J518&amp; "-" &amp; $N518,'BM Data'!$O:$O,0),1),""))</f>
        <v/>
      </c>
      <c r="Q518" s="16" t="str">
        <f t="array" ref="Q518">IF($A518="","", IFERROR(INDEX('BM Data'!$J:$J,MATCH($J518&amp; "-" &amp; $N518,'BM Data'!$O:$O,0),1),""))</f>
        <v/>
      </c>
    </row>
    <row r="519">
      <c r="A519" s="10" t="str">
        <f>IFERROR(__xludf.DUMMYFUNCTION("""COMPUTED_VALUE"""),"")</f>
        <v/>
      </c>
      <c r="B519" s="3" t="str">
        <f>IFERROR(__xludf.DUMMYFUNCTION("""COMPUTED_VALUE"""),"")</f>
        <v/>
      </c>
      <c r="C519" s="11" t="str">
        <f>IFERROR(__xludf.DUMMYFUNCTION("""COMPUTED_VALUE"""),"")</f>
        <v/>
      </c>
      <c r="D519" s="11" t="str">
        <f>IFERROR(__xludf.DUMMYFUNCTION("""COMPUTED_VALUE"""),"")</f>
        <v/>
      </c>
      <c r="E519" s="11" t="str">
        <f>IFERROR(__xludf.DUMMYFUNCTION("""COMPUTED_VALUE"""),"")</f>
        <v/>
      </c>
      <c r="F519" s="11" t="str">
        <f>IFERROR(__xludf.DUMMYFUNCTION("""COMPUTED_VALUE"""),"")</f>
        <v/>
      </c>
      <c r="G519" s="11" t="str">
        <f>IFERROR(__xludf.DUMMYFUNCTION("""COMPUTED_VALUE"""),"")</f>
        <v/>
      </c>
      <c r="H519" s="12" t="str">
        <f>IFERROR(__xludf.DUMMYFUNCTION("""COMPUTED_VALUE"""),"")</f>
        <v/>
      </c>
      <c r="I519" s="12" t="str">
        <f>IFERROR(__xludf.DUMMYFUNCTION("""COMPUTED_VALUE"""),"")</f>
        <v/>
      </c>
      <c r="J519" s="13" t="str">
        <f t="shared" si="1"/>
        <v/>
      </c>
      <c r="K519" s="12" t="str">
        <f>IFERROR(IF(A519="","",if($G519="",Reference!$J$2, VLOOKUP($G519,Reference!$I$2:$J$1000,2,false))),"")</f>
        <v/>
      </c>
      <c r="L519" s="12" t="str">
        <f>IF(A519="","", IF(F519="",Reference!$M$2,F519))</f>
        <v/>
      </c>
      <c r="M519" s="14" t="str">
        <f t="shared" si="2"/>
        <v/>
      </c>
      <c r="N519" s="15" t="str">
        <f t="shared" si="3"/>
        <v/>
      </c>
      <c r="O519" s="14" t="str">
        <f t="shared" si="4"/>
        <v/>
      </c>
      <c r="P519" s="16" t="str">
        <f t="array" ref="P519">IF($A519="","", IFERROR(INDEX('BM Data'!$N:$N,MATCH($J519&amp; "-" &amp; $N519,'BM Data'!$O:$O,0),1),""))</f>
        <v/>
      </c>
      <c r="Q519" s="16" t="str">
        <f t="array" ref="Q519">IF($A519="","", IFERROR(INDEX('BM Data'!$J:$J,MATCH($J519&amp; "-" &amp; $N519,'BM Data'!$O:$O,0),1),""))</f>
        <v/>
      </c>
    </row>
    <row r="520">
      <c r="A520" s="10" t="str">
        <f>IFERROR(__xludf.DUMMYFUNCTION("""COMPUTED_VALUE"""),"")</f>
        <v/>
      </c>
      <c r="B520" s="3" t="str">
        <f>IFERROR(__xludf.DUMMYFUNCTION("""COMPUTED_VALUE"""),"")</f>
        <v/>
      </c>
      <c r="C520" s="11" t="str">
        <f>IFERROR(__xludf.DUMMYFUNCTION("""COMPUTED_VALUE"""),"")</f>
        <v/>
      </c>
      <c r="D520" s="11" t="str">
        <f>IFERROR(__xludf.DUMMYFUNCTION("""COMPUTED_VALUE"""),"")</f>
        <v/>
      </c>
      <c r="E520" s="11" t="str">
        <f>IFERROR(__xludf.DUMMYFUNCTION("""COMPUTED_VALUE"""),"")</f>
        <v/>
      </c>
      <c r="F520" s="11" t="str">
        <f>IFERROR(__xludf.DUMMYFUNCTION("""COMPUTED_VALUE"""),"")</f>
        <v/>
      </c>
      <c r="G520" s="11" t="str">
        <f>IFERROR(__xludf.DUMMYFUNCTION("""COMPUTED_VALUE"""),"")</f>
        <v/>
      </c>
      <c r="H520" s="12" t="str">
        <f>IFERROR(__xludf.DUMMYFUNCTION("""COMPUTED_VALUE"""),"")</f>
        <v/>
      </c>
      <c r="I520" s="12" t="str">
        <f>IFERROR(__xludf.DUMMYFUNCTION("""COMPUTED_VALUE"""),"")</f>
        <v/>
      </c>
      <c r="J520" s="13" t="str">
        <f t="shared" si="1"/>
        <v/>
      </c>
      <c r="K520" s="12" t="str">
        <f>IFERROR(IF(A520="","",if($G520="",Reference!$J$2, VLOOKUP($G520,Reference!$I$2:$J$1000,2,false))),"")</f>
        <v/>
      </c>
      <c r="L520" s="12" t="str">
        <f>IF(A520="","", IF(F520="",Reference!$M$2,F520))</f>
        <v/>
      </c>
      <c r="M520" s="14" t="str">
        <f t="shared" si="2"/>
        <v/>
      </c>
      <c r="N520" s="15" t="str">
        <f t="shared" si="3"/>
        <v/>
      </c>
      <c r="O520" s="14" t="str">
        <f t="shared" si="4"/>
        <v/>
      </c>
      <c r="P520" s="16" t="str">
        <f t="array" ref="P520">IF($A520="","", IFERROR(INDEX('BM Data'!$N:$N,MATCH($J520&amp; "-" &amp; $N520,'BM Data'!$O:$O,0),1),""))</f>
        <v/>
      </c>
      <c r="Q520" s="16" t="str">
        <f t="array" ref="Q520">IF($A520="","", IFERROR(INDEX('BM Data'!$J:$J,MATCH($J520&amp; "-" &amp; $N520,'BM Data'!$O:$O,0),1),""))</f>
        <v/>
      </c>
    </row>
    <row r="521">
      <c r="A521" s="10" t="str">
        <f>IFERROR(__xludf.DUMMYFUNCTION("""COMPUTED_VALUE"""),"")</f>
        <v/>
      </c>
      <c r="B521" s="3" t="str">
        <f>IFERROR(__xludf.DUMMYFUNCTION("""COMPUTED_VALUE"""),"")</f>
        <v/>
      </c>
      <c r="C521" s="11" t="str">
        <f>IFERROR(__xludf.DUMMYFUNCTION("""COMPUTED_VALUE"""),"")</f>
        <v/>
      </c>
      <c r="D521" s="11" t="str">
        <f>IFERROR(__xludf.DUMMYFUNCTION("""COMPUTED_VALUE"""),"")</f>
        <v/>
      </c>
      <c r="E521" s="11" t="str">
        <f>IFERROR(__xludf.DUMMYFUNCTION("""COMPUTED_VALUE"""),"")</f>
        <v/>
      </c>
      <c r="F521" s="11" t="str">
        <f>IFERROR(__xludf.DUMMYFUNCTION("""COMPUTED_VALUE"""),"")</f>
        <v/>
      </c>
      <c r="G521" s="11" t="str">
        <f>IFERROR(__xludf.DUMMYFUNCTION("""COMPUTED_VALUE"""),"")</f>
        <v/>
      </c>
      <c r="H521" s="12" t="str">
        <f>IFERROR(__xludf.DUMMYFUNCTION("""COMPUTED_VALUE"""),"")</f>
        <v/>
      </c>
      <c r="I521" s="12" t="str">
        <f>IFERROR(__xludf.DUMMYFUNCTION("""COMPUTED_VALUE"""),"")</f>
        <v/>
      </c>
      <c r="J521" s="13" t="str">
        <f t="shared" si="1"/>
        <v/>
      </c>
      <c r="K521" s="12" t="str">
        <f>IFERROR(IF(A521="","",if($G521="",Reference!$J$2, VLOOKUP($G521,Reference!$I$2:$J$1000,2,false))),"")</f>
        <v/>
      </c>
      <c r="L521" s="12" t="str">
        <f>IF(A521="","", IF(F521="",Reference!$M$2,F521))</f>
        <v/>
      </c>
      <c r="M521" s="14" t="str">
        <f t="shared" si="2"/>
        <v/>
      </c>
      <c r="N521" s="15" t="str">
        <f t="shared" si="3"/>
        <v/>
      </c>
      <c r="O521" s="14" t="str">
        <f t="shared" si="4"/>
        <v/>
      </c>
      <c r="P521" s="16" t="str">
        <f t="array" ref="P521">IF($A521="","", IFERROR(INDEX('BM Data'!$N:$N,MATCH($J521&amp; "-" &amp; $N521,'BM Data'!$O:$O,0),1),""))</f>
        <v/>
      </c>
      <c r="Q521" s="16" t="str">
        <f t="array" ref="Q521">IF($A521="","", IFERROR(INDEX('BM Data'!$J:$J,MATCH($J521&amp; "-" &amp; $N521,'BM Data'!$O:$O,0),1),""))</f>
        <v/>
      </c>
    </row>
    <row r="522">
      <c r="A522" s="10" t="str">
        <f>IFERROR(__xludf.DUMMYFUNCTION("""COMPUTED_VALUE"""),"")</f>
        <v/>
      </c>
      <c r="B522" s="3" t="str">
        <f>IFERROR(__xludf.DUMMYFUNCTION("""COMPUTED_VALUE"""),"")</f>
        <v/>
      </c>
      <c r="C522" s="11" t="str">
        <f>IFERROR(__xludf.DUMMYFUNCTION("""COMPUTED_VALUE"""),"")</f>
        <v/>
      </c>
      <c r="D522" s="11" t="str">
        <f>IFERROR(__xludf.DUMMYFUNCTION("""COMPUTED_VALUE"""),"")</f>
        <v/>
      </c>
      <c r="E522" s="11" t="str">
        <f>IFERROR(__xludf.DUMMYFUNCTION("""COMPUTED_VALUE"""),"")</f>
        <v/>
      </c>
      <c r="F522" s="11" t="str">
        <f>IFERROR(__xludf.DUMMYFUNCTION("""COMPUTED_VALUE"""),"")</f>
        <v/>
      </c>
      <c r="G522" s="11" t="str">
        <f>IFERROR(__xludf.DUMMYFUNCTION("""COMPUTED_VALUE"""),"")</f>
        <v/>
      </c>
      <c r="H522" s="12" t="str">
        <f>IFERROR(__xludf.DUMMYFUNCTION("""COMPUTED_VALUE"""),"")</f>
        <v/>
      </c>
      <c r="I522" s="12" t="str">
        <f>IFERROR(__xludf.DUMMYFUNCTION("""COMPUTED_VALUE"""),"")</f>
        <v/>
      </c>
      <c r="J522" s="13" t="str">
        <f t="shared" si="1"/>
        <v/>
      </c>
      <c r="K522" s="12" t="str">
        <f>IFERROR(IF(A522="","",if($G522="",Reference!$J$2, VLOOKUP($G522,Reference!$I$2:$J$1000,2,false))),"")</f>
        <v/>
      </c>
      <c r="L522" s="12" t="str">
        <f>IF(A522="","", IF(F522="",Reference!$M$2,F522))</f>
        <v/>
      </c>
      <c r="M522" s="14" t="str">
        <f t="shared" si="2"/>
        <v/>
      </c>
      <c r="N522" s="15" t="str">
        <f t="shared" si="3"/>
        <v/>
      </c>
      <c r="O522" s="14" t="str">
        <f t="shared" si="4"/>
        <v/>
      </c>
      <c r="P522" s="16" t="str">
        <f t="array" ref="P522">IF($A522="","", IFERROR(INDEX('BM Data'!$N:$N,MATCH($J522&amp; "-" &amp; $N522,'BM Data'!$O:$O,0),1),""))</f>
        <v/>
      </c>
      <c r="Q522" s="16" t="str">
        <f t="array" ref="Q522">IF($A522="","", IFERROR(INDEX('BM Data'!$J:$J,MATCH($J522&amp; "-" &amp; $N522,'BM Data'!$O:$O,0),1),""))</f>
        <v/>
      </c>
    </row>
    <row r="523">
      <c r="A523" s="10" t="str">
        <f>IFERROR(__xludf.DUMMYFUNCTION("""COMPUTED_VALUE"""),"")</f>
        <v/>
      </c>
      <c r="B523" s="3" t="str">
        <f>IFERROR(__xludf.DUMMYFUNCTION("""COMPUTED_VALUE"""),"")</f>
        <v/>
      </c>
      <c r="C523" s="11" t="str">
        <f>IFERROR(__xludf.DUMMYFUNCTION("""COMPUTED_VALUE"""),"")</f>
        <v/>
      </c>
      <c r="D523" s="11" t="str">
        <f>IFERROR(__xludf.DUMMYFUNCTION("""COMPUTED_VALUE"""),"")</f>
        <v/>
      </c>
      <c r="E523" s="11" t="str">
        <f>IFERROR(__xludf.DUMMYFUNCTION("""COMPUTED_VALUE"""),"")</f>
        <v/>
      </c>
      <c r="F523" s="11" t="str">
        <f>IFERROR(__xludf.DUMMYFUNCTION("""COMPUTED_VALUE"""),"")</f>
        <v/>
      </c>
      <c r="G523" s="11" t="str">
        <f>IFERROR(__xludf.DUMMYFUNCTION("""COMPUTED_VALUE"""),"")</f>
        <v/>
      </c>
      <c r="H523" s="12" t="str">
        <f>IFERROR(__xludf.DUMMYFUNCTION("""COMPUTED_VALUE"""),"")</f>
        <v/>
      </c>
      <c r="I523" s="12" t="str">
        <f>IFERROR(__xludf.DUMMYFUNCTION("""COMPUTED_VALUE"""),"")</f>
        <v/>
      </c>
      <c r="J523" s="13" t="str">
        <f t="shared" si="1"/>
        <v/>
      </c>
      <c r="K523" s="12" t="str">
        <f>IFERROR(IF(A523="","",if($G523="",Reference!$J$2, VLOOKUP($G523,Reference!$I$2:$J$1000,2,false))),"")</f>
        <v/>
      </c>
      <c r="L523" s="12" t="str">
        <f>IF(A523="","", IF(F523="",Reference!$M$2,F523))</f>
        <v/>
      </c>
      <c r="M523" s="14" t="str">
        <f t="shared" si="2"/>
        <v/>
      </c>
      <c r="N523" s="15" t="str">
        <f t="shared" si="3"/>
        <v/>
      </c>
      <c r="O523" s="14" t="str">
        <f t="shared" si="4"/>
        <v/>
      </c>
      <c r="P523" s="16" t="str">
        <f t="array" ref="P523">IF($A523="","", IFERROR(INDEX('BM Data'!$N:$N,MATCH($J523&amp; "-" &amp; $N523,'BM Data'!$O:$O,0),1),""))</f>
        <v/>
      </c>
      <c r="Q523" s="16" t="str">
        <f t="array" ref="Q523">IF($A523="","", IFERROR(INDEX('BM Data'!$J:$J,MATCH($J523&amp; "-" &amp; $N523,'BM Data'!$O:$O,0),1),""))</f>
        <v/>
      </c>
    </row>
    <row r="524">
      <c r="A524" s="10" t="str">
        <f>IFERROR(__xludf.DUMMYFUNCTION("""COMPUTED_VALUE"""),"")</f>
        <v/>
      </c>
      <c r="B524" s="3" t="str">
        <f>IFERROR(__xludf.DUMMYFUNCTION("""COMPUTED_VALUE"""),"")</f>
        <v/>
      </c>
      <c r="C524" s="11" t="str">
        <f>IFERROR(__xludf.DUMMYFUNCTION("""COMPUTED_VALUE"""),"")</f>
        <v/>
      </c>
      <c r="D524" s="11" t="str">
        <f>IFERROR(__xludf.DUMMYFUNCTION("""COMPUTED_VALUE"""),"")</f>
        <v/>
      </c>
      <c r="E524" s="11" t="str">
        <f>IFERROR(__xludf.DUMMYFUNCTION("""COMPUTED_VALUE"""),"")</f>
        <v/>
      </c>
      <c r="F524" s="11" t="str">
        <f>IFERROR(__xludf.DUMMYFUNCTION("""COMPUTED_VALUE"""),"")</f>
        <v/>
      </c>
      <c r="G524" s="11" t="str">
        <f>IFERROR(__xludf.DUMMYFUNCTION("""COMPUTED_VALUE"""),"")</f>
        <v/>
      </c>
      <c r="H524" s="12" t="str">
        <f>IFERROR(__xludf.DUMMYFUNCTION("""COMPUTED_VALUE"""),"")</f>
        <v/>
      </c>
      <c r="I524" s="12" t="str">
        <f>IFERROR(__xludf.DUMMYFUNCTION("""COMPUTED_VALUE"""),"")</f>
        <v/>
      </c>
      <c r="J524" s="13" t="str">
        <f t="shared" si="1"/>
        <v/>
      </c>
      <c r="K524" s="12" t="str">
        <f>IFERROR(IF(A524="","",if($G524="",Reference!$J$2, VLOOKUP($G524,Reference!$I$2:$J$1000,2,false))),"")</f>
        <v/>
      </c>
      <c r="L524" s="12" t="str">
        <f>IF(A524="","", IF(F524="",Reference!$M$2,F524))</f>
        <v/>
      </c>
      <c r="M524" s="14" t="str">
        <f t="shared" si="2"/>
        <v/>
      </c>
      <c r="N524" s="15" t="str">
        <f t="shared" si="3"/>
        <v/>
      </c>
      <c r="O524" s="14" t="str">
        <f t="shared" si="4"/>
        <v/>
      </c>
      <c r="P524" s="16" t="str">
        <f t="array" ref="P524">IF($A524="","", IFERROR(INDEX('BM Data'!$N:$N,MATCH($J524&amp; "-" &amp; $N524,'BM Data'!$O:$O,0),1),""))</f>
        <v/>
      </c>
      <c r="Q524" s="16" t="str">
        <f t="array" ref="Q524">IF($A524="","", IFERROR(INDEX('BM Data'!$J:$J,MATCH($J524&amp; "-" &amp; $N524,'BM Data'!$O:$O,0),1),""))</f>
        <v/>
      </c>
    </row>
    <row r="525">
      <c r="A525" s="10" t="str">
        <f>IFERROR(__xludf.DUMMYFUNCTION("""COMPUTED_VALUE"""),"")</f>
        <v/>
      </c>
      <c r="B525" s="3" t="str">
        <f>IFERROR(__xludf.DUMMYFUNCTION("""COMPUTED_VALUE"""),"")</f>
        <v/>
      </c>
      <c r="C525" s="11" t="str">
        <f>IFERROR(__xludf.DUMMYFUNCTION("""COMPUTED_VALUE"""),"")</f>
        <v/>
      </c>
      <c r="D525" s="11" t="str">
        <f>IFERROR(__xludf.DUMMYFUNCTION("""COMPUTED_VALUE"""),"")</f>
        <v/>
      </c>
      <c r="E525" s="11" t="str">
        <f>IFERROR(__xludf.DUMMYFUNCTION("""COMPUTED_VALUE"""),"")</f>
        <v/>
      </c>
      <c r="F525" s="11" t="str">
        <f>IFERROR(__xludf.DUMMYFUNCTION("""COMPUTED_VALUE"""),"")</f>
        <v/>
      </c>
      <c r="G525" s="11" t="str">
        <f>IFERROR(__xludf.DUMMYFUNCTION("""COMPUTED_VALUE"""),"")</f>
        <v/>
      </c>
      <c r="H525" s="12" t="str">
        <f>IFERROR(__xludf.DUMMYFUNCTION("""COMPUTED_VALUE"""),"")</f>
        <v/>
      </c>
      <c r="I525" s="12" t="str">
        <f>IFERROR(__xludf.DUMMYFUNCTION("""COMPUTED_VALUE"""),"")</f>
        <v/>
      </c>
      <c r="J525" s="13" t="str">
        <f t="shared" si="1"/>
        <v/>
      </c>
      <c r="K525" s="12" t="str">
        <f>IFERROR(IF(A525="","",if($G525="",Reference!$J$2, VLOOKUP($G525,Reference!$I$2:$J$1000,2,false))),"")</f>
        <v/>
      </c>
      <c r="L525" s="12" t="str">
        <f>IF(A525="","", IF(F525="",Reference!$M$2,F525))</f>
        <v/>
      </c>
      <c r="M525" s="14" t="str">
        <f t="shared" si="2"/>
        <v/>
      </c>
      <c r="N525" s="15" t="str">
        <f t="shared" si="3"/>
        <v/>
      </c>
      <c r="O525" s="14" t="str">
        <f t="shared" si="4"/>
        <v/>
      </c>
      <c r="P525" s="16" t="str">
        <f t="array" ref="P525">IF($A525="","", IFERROR(INDEX('BM Data'!$N:$N,MATCH($J525&amp; "-" &amp; $N525,'BM Data'!$O:$O,0),1),""))</f>
        <v/>
      </c>
      <c r="Q525" s="16" t="str">
        <f t="array" ref="Q525">IF($A525="","", IFERROR(INDEX('BM Data'!$J:$J,MATCH($J525&amp; "-" &amp; $N525,'BM Data'!$O:$O,0),1),""))</f>
        <v/>
      </c>
    </row>
    <row r="526">
      <c r="A526" s="10" t="str">
        <f>IFERROR(__xludf.DUMMYFUNCTION("""COMPUTED_VALUE"""),"")</f>
        <v/>
      </c>
      <c r="B526" s="3" t="str">
        <f>IFERROR(__xludf.DUMMYFUNCTION("""COMPUTED_VALUE"""),"")</f>
        <v/>
      </c>
      <c r="C526" s="11" t="str">
        <f>IFERROR(__xludf.DUMMYFUNCTION("""COMPUTED_VALUE"""),"")</f>
        <v/>
      </c>
      <c r="D526" s="11" t="str">
        <f>IFERROR(__xludf.DUMMYFUNCTION("""COMPUTED_VALUE"""),"")</f>
        <v/>
      </c>
      <c r="E526" s="11" t="str">
        <f>IFERROR(__xludf.DUMMYFUNCTION("""COMPUTED_VALUE"""),"")</f>
        <v/>
      </c>
      <c r="F526" s="11" t="str">
        <f>IFERROR(__xludf.DUMMYFUNCTION("""COMPUTED_VALUE"""),"")</f>
        <v/>
      </c>
      <c r="G526" s="11" t="str">
        <f>IFERROR(__xludf.DUMMYFUNCTION("""COMPUTED_VALUE"""),"")</f>
        <v/>
      </c>
      <c r="H526" s="12" t="str">
        <f>IFERROR(__xludf.DUMMYFUNCTION("""COMPUTED_VALUE"""),"")</f>
        <v/>
      </c>
      <c r="I526" s="12" t="str">
        <f>IFERROR(__xludf.DUMMYFUNCTION("""COMPUTED_VALUE"""),"")</f>
        <v/>
      </c>
      <c r="J526" s="13" t="str">
        <f t="shared" si="1"/>
        <v/>
      </c>
      <c r="K526" s="12" t="str">
        <f>IFERROR(IF(A526="","",if($G526="",Reference!$J$2, VLOOKUP($G526,Reference!$I$2:$J$1000,2,false))),"")</f>
        <v/>
      </c>
      <c r="L526" s="12" t="str">
        <f>IF(A526="","", IF(F526="",Reference!$M$2,F526))</f>
        <v/>
      </c>
      <c r="M526" s="14" t="str">
        <f t="shared" si="2"/>
        <v/>
      </c>
      <c r="N526" s="15" t="str">
        <f t="shared" si="3"/>
        <v/>
      </c>
      <c r="O526" s="14" t="str">
        <f t="shared" si="4"/>
        <v/>
      </c>
      <c r="P526" s="16" t="str">
        <f t="array" ref="P526">IF($A526="","", IFERROR(INDEX('BM Data'!$N:$N,MATCH($J526&amp; "-" &amp; $N526,'BM Data'!$O:$O,0),1),""))</f>
        <v/>
      </c>
      <c r="Q526" s="16" t="str">
        <f t="array" ref="Q526">IF($A526="","", IFERROR(INDEX('BM Data'!$J:$J,MATCH($J526&amp; "-" &amp; $N526,'BM Data'!$O:$O,0),1),""))</f>
        <v/>
      </c>
    </row>
    <row r="527">
      <c r="A527" s="10" t="str">
        <f>IFERROR(__xludf.DUMMYFUNCTION("""COMPUTED_VALUE"""),"")</f>
        <v/>
      </c>
      <c r="B527" s="3" t="str">
        <f>IFERROR(__xludf.DUMMYFUNCTION("""COMPUTED_VALUE"""),"")</f>
        <v/>
      </c>
      <c r="C527" s="11" t="str">
        <f>IFERROR(__xludf.DUMMYFUNCTION("""COMPUTED_VALUE"""),"")</f>
        <v/>
      </c>
      <c r="D527" s="11" t="str">
        <f>IFERROR(__xludf.DUMMYFUNCTION("""COMPUTED_VALUE"""),"")</f>
        <v/>
      </c>
      <c r="E527" s="11" t="str">
        <f>IFERROR(__xludf.DUMMYFUNCTION("""COMPUTED_VALUE"""),"")</f>
        <v/>
      </c>
      <c r="F527" s="11" t="str">
        <f>IFERROR(__xludf.DUMMYFUNCTION("""COMPUTED_VALUE"""),"")</f>
        <v/>
      </c>
      <c r="G527" s="11" t="str">
        <f>IFERROR(__xludf.DUMMYFUNCTION("""COMPUTED_VALUE"""),"")</f>
        <v/>
      </c>
      <c r="H527" s="12" t="str">
        <f>IFERROR(__xludf.DUMMYFUNCTION("""COMPUTED_VALUE"""),"")</f>
        <v/>
      </c>
      <c r="I527" s="12" t="str">
        <f>IFERROR(__xludf.DUMMYFUNCTION("""COMPUTED_VALUE"""),"")</f>
        <v/>
      </c>
      <c r="J527" s="13" t="str">
        <f t="shared" si="1"/>
        <v/>
      </c>
      <c r="K527" s="12" t="str">
        <f>IFERROR(IF(A527="","",if($G527="",Reference!$J$2, VLOOKUP($G527,Reference!$I$2:$J$1000,2,false))),"")</f>
        <v/>
      </c>
      <c r="L527" s="12" t="str">
        <f>IF(A527="","", IF(F527="",Reference!$M$2,F527))</f>
        <v/>
      </c>
      <c r="M527" s="14" t="str">
        <f t="shared" si="2"/>
        <v/>
      </c>
      <c r="N527" s="15" t="str">
        <f t="shared" si="3"/>
        <v/>
      </c>
      <c r="O527" s="14" t="str">
        <f t="shared" si="4"/>
        <v/>
      </c>
      <c r="P527" s="16" t="str">
        <f t="array" ref="P527">IF($A527="","", IFERROR(INDEX('BM Data'!$N:$N,MATCH($J527&amp; "-" &amp; $N527,'BM Data'!$O:$O,0),1),""))</f>
        <v/>
      </c>
      <c r="Q527" s="16" t="str">
        <f t="array" ref="Q527">IF($A527="","", IFERROR(INDEX('BM Data'!$J:$J,MATCH($J527&amp; "-" &amp; $N527,'BM Data'!$O:$O,0),1),""))</f>
        <v/>
      </c>
    </row>
    <row r="528">
      <c r="A528" s="10" t="str">
        <f>IFERROR(__xludf.DUMMYFUNCTION("""COMPUTED_VALUE"""),"")</f>
        <v/>
      </c>
      <c r="B528" s="3" t="str">
        <f>IFERROR(__xludf.DUMMYFUNCTION("""COMPUTED_VALUE"""),"")</f>
        <v/>
      </c>
      <c r="C528" s="11" t="str">
        <f>IFERROR(__xludf.DUMMYFUNCTION("""COMPUTED_VALUE"""),"")</f>
        <v/>
      </c>
      <c r="D528" s="11" t="str">
        <f>IFERROR(__xludf.DUMMYFUNCTION("""COMPUTED_VALUE"""),"")</f>
        <v/>
      </c>
      <c r="E528" s="11" t="str">
        <f>IFERROR(__xludf.DUMMYFUNCTION("""COMPUTED_VALUE"""),"")</f>
        <v/>
      </c>
      <c r="F528" s="11" t="str">
        <f>IFERROR(__xludf.DUMMYFUNCTION("""COMPUTED_VALUE"""),"")</f>
        <v/>
      </c>
      <c r="G528" s="11" t="str">
        <f>IFERROR(__xludf.DUMMYFUNCTION("""COMPUTED_VALUE"""),"")</f>
        <v/>
      </c>
      <c r="H528" s="12" t="str">
        <f>IFERROR(__xludf.DUMMYFUNCTION("""COMPUTED_VALUE"""),"")</f>
        <v/>
      </c>
      <c r="I528" s="12" t="str">
        <f>IFERROR(__xludf.DUMMYFUNCTION("""COMPUTED_VALUE"""),"")</f>
        <v/>
      </c>
      <c r="J528" s="13" t="str">
        <f t="shared" si="1"/>
        <v/>
      </c>
      <c r="K528" s="12" t="str">
        <f>IFERROR(IF(A528="","",if($G528="",Reference!$J$2, VLOOKUP($G528,Reference!$I$2:$J$1000,2,false))),"")</f>
        <v/>
      </c>
      <c r="L528" s="12" t="str">
        <f>IF(A528="","", IF(F528="",Reference!$M$2,F528))</f>
        <v/>
      </c>
      <c r="M528" s="14" t="str">
        <f t="shared" si="2"/>
        <v/>
      </c>
      <c r="N528" s="15" t="str">
        <f t="shared" si="3"/>
        <v/>
      </c>
      <c r="O528" s="14" t="str">
        <f t="shared" si="4"/>
        <v/>
      </c>
      <c r="P528" s="16" t="str">
        <f t="array" ref="P528">IF($A528="","", IFERROR(INDEX('BM Data'!$N:$N,MATCH($J528&amp; "-" &amp; $N528,'BM Data'!$O:$O,0),1),""))</f>
        <v/>
      </c>
      <c r="Q528" s="16" t="str">
        <f t="array" ref="Q528">IF($A528="","", IFERROR(INDEX('BM Data'!$J:$J,MATCH($J528&amp; "-" &amp; $N528,'BM Data'!$O:$O,0),1),""))</f>
        <v/>
      </c>
    </row>
    <row r="529">
      <c r="A529" s="10" t="str">
        <f>IFERROR(__xludf.DUMMYFUNCTION("""COMPUTED_VALUE"""),"")</f>
        <v/>
      </c>
      <c r="B529" s="3" t="str">
        <f>IFERROR(__xludf.DUMMYFUNCTION("""COMPUTED_VALUE"""),"")</f>
        <v/>
      </c>
      <c r="C529" s="11" t="str">
        <f>IFERROR(__xludf.DUMMYFUNCTION("""COMPUTED_VALUE"""),"")</f>
        <v/>
      </c>
      <c r="D529" s="11" t="str">
        <f>IFERROR(__xludf.DUMMYFUNCTION("""COMPUTED_VALUE"""),"")</f>
        <v/>
      </c>
      <c r="E529" s="11" t="str">
        <f>IFERROR(__xludf.DUMMYFUNCTION("""COMPUTED_VALUE"""),"")</f>
        <v/>
      </c>
      <c r="F529" s="11" t="str">
        <f>IFERROR(__xludf.DUMMYFUNCTION("""COMPUTED_VALUE"""),"")</f>
        <v/>
      </c>
      <c r="G529" s="11" t="str">
        <f>IFERROR(__xludf.DUMMYFUNCTION("""COMPUTED_VALUE"""),"")</f>
        <v/>
      </c>
      <c r="H529" s="12" t="str">
        <f>IFERROR(__xludf.DUMMYFUNCTION("""COMPUTED_VALUE"""),"")</f>
        <v/>
      </c>
      <c r="I529" s="12" t="str">
        <f>IFERROR(__xludf.DUMMYFUNCTION("""COMPUTED_VALUE"""),"")</f>
        <v/>
      </c>
      <c r="J529" s="13" t="str">
        <f t="shared" si="1"/>
        <v/>
      </c>
      <c r="K529" s="12" t="str">
        <f>IFERROR(IF(A529="","",if($G529="",Reference!$J$2, VLOOKUP($G529,Reference!$I$2:$J$1000,2,false))),"")</f>
        <v/>
      </c>
      <c r="L529" s="12" t="str">
        <f>IF(A529="","", IF(F529="",Reference!$M$2,F529))</f>
        <v/>
      </c>
      <c r="M529" s="14" t="str">
        <f t="shared" si="2"/>
        <v/>
      </c>
      <c r="N529" s="15" t="str">
        <f t="shared" si="3"/>
        <v/>
      </c>
      <c r="O529" s="14" t="str">
        <f t="shared" si="4"/>
        <v/>
      </c>
      <c r="P529" s="16" t="str">
        <f t="array" ref="P529">IF($A529="","", IFERROR(INDEX('BM Data'!$N:$N,MATCH($J529&amp; "-" &amp; $N529,'BM Data'!$O:$O,0),1),""))</f>
        <v/>
      </c>
      <c r="Q529" s="16" t="str">
        <f t="array" ref="Q529">IF($A529="","", IFERROR(INDEX('BM Data'!$J:$J,MATCH($J529&amp; "-" &amp; $N529,'BM Data'!$O:$O,0),1),""))</f>
        <v/>
      </c>
    </row>
    <row r="530">
      <c r="A530" s="10" t="str">
        <f>IFERROR(__xludf.DUMMYFUNCTION("""COMPUTED_VALUE"""),"")</f>
        <v/>
      </c>
      <c r="B530" s="3" t="str">
        <f>IFERROR(__xludf.DUMMYFUNCTION("""COMPUTED_VALUE"""),"")</f>
        <v/>
      </c>
      <c r="C530" s="11" t="str">
        <f>IFERROR(__xludf.DUMMYFUNCTION("""COMPUTED_VALUE"""),"")</f>
        <v/>
      </c>
      <c r="D530" s="11" t="str">
        <f>IFERROR(__xludf.DUMMYFUNCTION("""COMPUTED_VALUE"""),"")</f>
        <v/>
      </c>
      <c r="E530" s="11" t="str">
        <f>IFERROR(__xludf.DUMMYFUNCTION("""COMPUTED_VALUE"""),"")</f>
        <v/>
      </c>
      <c r="F530" s="11" t="str">
        <f>IFERROR(__xludf.DUMMYFUNCTION("""COMPUTED_VALUE"""),"")</f>
        <v/>
      </c>
      <c r="G530" s="11" t="str">
        <f>IFERROR(__xludf.DUMMYFUNCTION("""COMPUTED_VALUE"""),"")</f>
        <v/>
      </c>
      <c r="H530" s="12" t="str">
        <f>IFERROR(__xludf.DUMMYFUNCTION("""COMPUTED_VALUE"""),"")</f>
        <v/>
      </c>
      <c r="I530" s="12" t="str">
        <f>IFERROR(__xludf.DUMMYFUNCTION("""COMPUTED_VALUE"""),"")</f>
        <v/>
      </c>
      <c r="J530" s="13" t="str">
        <f t="shared" si="1"/>
        <v/>
      </c>
      <c r="K530" s="12" t="str">
        <f>IFERROR(IF(A530="","",if($G530="",Reference!$J$2, VLOOKUP($G530,Reference!$I$2:$J$1000,2,false))),"")</f>
        <v/>
      </c>
      <c r="L530" s="12" t="str">
        <f>IF(A530="","", IF(F530="",Reference!$M$2,F530))</f>
        <v/>
      </c>
      <c r="M530" s="14" t="str">
        <f t="shared" si="2"/>
        <v/>
      </c>
      <c r="N530" s="15" t="str">
        <f t="shared" si="3"/>
        <v/>
      </c>
      <c r="O530" s="14" t="str">
        <f t="shared" si="4"/>
        <v/>
      </c>
      <c r="P530" s="16" t="str">
        <f t="array" ref="P530">IF($A530="","", IFERROR(INDEX('BM Data'!$N:$N,MATCH($J530&amp; "-" &amp; $N530,'BM Data'!$O:$O,0),1),""))</f>
        <v/>
      </c>
      <c r="Q530" s="16" t="str">
        <f t="array" ref="Q530">IF($A530="","", IFERROR(INDEX('BM Data'!$J:$J,MATCH($J530&amp; "-" &amp; $N530,'BM Data'!$O:$O,0),1),""))</f>
        <v/>
      </c>
    </row>
    <row r="531">
      <c r="A531" s="10" t="str">
        <f>IFERROR(__xludf.DUMMYFUNCTION("""COMPUTED_VALUE"""),"")</f>
        <v/>
      </c>
      <c r="B531" s="3" t="str">
        <f>IFERROR(__xludf.DUMMYFUNCTION("""COMPUTED_VALUE"""),"")</f>
        <v/>
      </c>
      <c r="C531" s="11" t="str">
        <f>IFERROR(__xludf.DUMMYFUNCTION("""COMPUTED_VALUE"""),"")</f>
        <v/>
      </c>
      <c r="D531" s="11" t="str">
        <f>IFERROR(__xludf.DUMMYFUNCTION("""COMPUTED_VALUE"""),"")</f>
        <v/>
      </c>
      <c r="E531" s="11" t="str">
        <f>IFERROR(__xludf.DUMMYFUNCTION("""COMPUTED_VALUE"""),"")</f>
        <v/>
      </c>
      <c r="F531" s="11" t="str">
        <f>IFERROR(__xludf.DUMMYFUNCTION("""COMPUTED_VALUE"""),"")</f>
        <v/>
      </c>
      <c r="G531" s="11" t="str">
        <f>IFERROR(__xludf.DUMMYFUNCTION("""COMPUTED_VALUE"""),"")</f>
        <v/>
      </c>
      <c r="H531" s="12" t="str">
        <f>IFERROR(__xludf.DUMMYFUNCTION("""COMPUTED_VALUE"""),"")</f>
        <v/>
      </c>
      <c r="I531" s="12" t="str">
        <f>IFERROR(__xludf.DUMMYFUNCTION("""COMPUTED_VALUE"""),"")</f>
        <v/>
      </c>
      <c r="J531" s="13" t="str">
        <f t="shared" si="1"/>
        <v/>
      </c>
      <c r="K531" s="12" t="str">
        <f>IFERROR(IF(A531="","",if($G531="",Reference!$J$2, VLOOKUP($G531,Reference!$I$2:$J$1000,2,false))),"")</f>
        <v/>
      </c>
      <c r="L531" s="12" t="str">
        <f>IF(A531="","", IF(F531="",Reference!$M$2,F531))</f>
        <v/>
      </c>
      <c r="M531" s="14" t="str">
        <f t="shared" si="2"/>
        <v/>
      </c>
      <c r="N531" s="15" t="str">
        <f t="shared" si="3"/>
        <v/>
      </c>
      <c r="O531" s="14" t="str">
        <f t="shared" si="4"/>
        <v/>
      </c>
      <c r="P531" s="16" t="str">
        <f t="array" ref="P531">IF($A531="","", IFERROR(INDEX('BM Data'!$N:$N,MATCH($J531&amp; "-" &amp; $N531,'BM Data'!$O:$O,0),1),""))</f>
        <v/>
      </c>
      <c r="Q531" s="16" t="str">
        <f t="array" ref="Q531">IF($A531="","", IFERROR(INDEX('BM Data'!$J:$J,MATCH($J531&amp; "-" &amp; $N531,'BM Data'!$O:$O,0),1),""))</f>
        <v/>
      </c>
    </row>
    <row r="532">
      <c r="A532" s="10" t="str">
        <f>IFERROR(__xludf.DUMMYFUNCTION("""COMPUTED_VALUE"""),"")</f>
        <v/>
      </c>
      <c r="B532" s="3" t="str">
        <f>IFERROR(__xludf.DUMMYFUNCTION("""COMPUTED_VALUE"""),"")</f>
        <v/>
      </c>
      <c r="C532" s="11" t="str">
        <f>IFERROR(__xludf.DUMMYFUNCTION("""COMPUTED_VALUE"""),"")</f>
        <v/>
      </c>
      <c r="D532" s="11" t="str">
        <f>IFERROR(__xludf.DUMMYFUNCTION("""COMPUTED_VALUE"""),"")</f>
        <v/>
      </c>
      <c r="E532" s="11" t="str">
        <f>IFERROR(__xludf.DUMMYFUNCTION("""COMPUTED_VALUE"""),"")</f>
        <v/>
      </c>
      <c r="F532" s="11" t="str">
        <f>IFERROR(__xludf.DUMMYFUNCTION("""COMPUTED_VALUE"""),"")</f>
        <v/>
      </c>
      <c r="G532" s="11" t="str">
        <f>IFERROR(__xludf.DUMMYFUNCTION("""COMPUTED_VALUE"""),"")</f>
        <v/>
      </c>
      <c r="H532" s="12" t="str">
        <f>IFERROR(__xludf.DUMMYFUNCTION("""COMPUTED_VALUE"""),"")</f>
        <v/>
      </c>
      <c r="I532" s="12" t="str">
        <f>IFERROR(__xludf.DUMMYFUNCTION("""COMPUTED_VALUE"""),"")</f>
        <v/>
      </c>
      <c r="J532" s="13" t="str">
        <f t="shared" si="1"/>
        <v/>
      </c>
      <c r="K532" s="12" t="str">
        <f>IFERROR(IF(A532="","",if($G532="",Reference!$J$2, VLOOKUP($G532,Reference!$I$2:$J$1000,2,false))),"")</f>
        <v/>
      </c>
      <c r="L532" s="12" t="str">
        <f>IF(A532="","", IF(F532="",Reference!$M$2,F532))</f>
        <v/>
      </c>
      <c r="M532" s="14" t="str">
        <f t="shared" si="2"/>
        <v/>
      </c>
      <c r="N532" s="15" t="str">
        <f t="shared" si="3"/>
        <v/>
      </c>
      <c r="O532" s="14" t="str">
        <f t="shared" si="4"/>
        <v/>
      </c>
      <c r="P532" s="16" t="str">
        <f t="array" ref="P532">IF($A532="","", IFERROR(INDEX('BM Data'!$N:$N,MATCH($J532&amp; "-" &amp; $N532,'BM Data'!$O:$O,0),1),""))</f>
        <v/>
      </c>
      <c r="Q532" s="16" t="str">
        <f t="array" ref="Q532">IF($A532="","", IFERROR(INDEX('BM Data'!$J:$J,MATCH($J532&amp; "-" &amp; $N532,'BM Data'!$O:$O,0),1),""))</f>
        <v/>
      </c>
    </row>
    <row r="533">
      <c r="A533" s="10" t="str">
        <f>IFERROR(__xludf.DUMMYFUNCTION("""COMPUTED_VALUE"""),"")</f>
        <v/>
      </c>
      <c r="B533" s="3" t="str">
        <f>IFERROR(__xludf.DUMMYFUNCTION("""COMPUTED_VALUE"""),"")</f>
        <v/>
      </c>
      <c r="C533" s="11" t="str">
        <f>IFERROR(__xludf.DUMMYFUNCTION("""COMPUTED_VALUE"""),"")</f>
        <v/>
      </c>
      <c r="D533" s="11" t="str">
        <f>IFERROR(__xludf.DUMMYFUNCTION("""COMPUTED_VALUE"""),"")</f>
        <v/>
      </c>
      <c r="E533" s="11" t="str">
        <f>IFERROR(__xludf.DUMMYFUNCTION("""COMPUTED_VALUE"""),"")</f>
        <v/>
      </c>
      <c r="F533" s="11" t="str">
        <f>IFERROR(__xludf.DUMMYFUNCTION("""COMPUTED_VALUE"""),"")</f>
        <v/>
      </c>
      <c r="G533" s="11" t="str">
        <f>IFERROR(__xludf.DUMMYFUNCTION("""COMPUTED_VALUE"""),"")</f>
        <v/>
      </c>
      <c r="H533" s="12" t="str">
        <f>IFERROR(__xludf.DUMMYFUNCTION("""COMPUTED_VALUE"""),"")</f>
        <v/>
      </c>
      <c r="I533" s="12" t="str">
        <f>IFERROR(__xludf.DUMMYFUNCTION("""COMPUTED_VALUE"""),"")</f>
        <v/>
      </c>
      <c r="J533" s="13" t="str">
        <f t="shared" si="1"/>
        <v/>
      </c>
      <c r="K533" s="12" t="str">
        <f>IFERROR(IF(A533="","",if($G533="",Reference!$J$2, VLOOKUP($G533,Reference!$I$2:$J$1000,2,false))),"")</f>
        <v/>
      </c>
      <c r="L533" s="12" t="str">
        <f>IF(A533="","", IF(F533="",Reference!$M$2,F533))</f>
        <v/>
      </c>
      <c r="M533" s="14" t="str">
        <f t="shared" si="2"/>
        <v/>
      </c>
      <c r="N533" s="15" t="str">
        <f t="shared" si="3"/>
        <v/>
      </c>
      <c r="O533" s="14" t="str">
        <f t="shared" si="4"/>
        <v/>
      </c>
      <c r="P533" s="16" t="str">
        <f t="array" ref="P533">IF($A533="","", IFERROR(INDEX('BM Data'!$N:$N,MATCH($J533&amp; "-" &amp; $N533,'BM Data'!$O:$O,0),1),""))</f>
        <v/>
      </c>
      <c r="Q533" s="16" t="str">
        <f t="array" ref="Q533">IF($A533="","", IFERROR(INDEX('BM Data'!$J:$J,MATCH($J533&amp; "-" &amp; $N533,'BM Data'!$O:$O,0),1),""))</f>
        <v/>
      </c>
    </row>
    <row r="534">
      <c r="A534" s="10" t="str">
        <f>IFERROR(__xludf.DUMMYFUNCTION("""COMPUTED_VALUE"""),"")</f>
        <v/>
      </c>
      <c r="B534" s="3" t="str">
        <f>IFERROR(__xludf.DUMMYFUNCTION("""COMPUTED_VALUE"""),"")</f>
        <v/>
      </c>
      <c r="C534" s="11" t="str">
        <f>IFERROR(__xludf.DUMMYFUNCTION("""COMPUTED_VALUE"""),"")</f>
        <v/>
      </c>
      <c r="D534" s="11" t="str">
        <f>IFERROR(__xludf.DUMMYFUNCTION("""COMPUTED_VALUE"""),"")</f>
        <v/>
      </c>
      <c r="E534" s="11" t="str">
        <f>IFERROR(__xludf.DUMMYFUNCTION("""COMPUTED_VALUE"""),"")</f>
        <v/>
      </c>
      <c r="F534" s="11" t="str">
        <f>IFERROR(__xludf.DUMMYFUNCTION("""COMPUTED_VALUE"""),"")</f>
        <v/>
      </c>
      <c r="G534" s="11" t="str">
        <f>IFERROR(__xludf.DUMMYFUNCTION("""COMPUTED_VALUE"""),"")</f>
        <v/>
      </c>
      <c r="H534" s="12" t="str">
        <f>IFERROR(__xludf.DUMMYFUNCTION("""COMPUTED_VALUE"""),"")</f>
        <v/>
      </c>
      <c r="I534" s="12" t="str">
        <f>IFERROR(__xludf.DUMMYFUNCTION("""COMPUTED_VALUE"""),"")</f>
        <v/>
      </c>
      <c r="J534" s="13" t="str">
        <f t="shared" si="1"/>
        <v/>
      </c>
      <c r="K534" s="12" t="str">
        <f>IFERROR(IF(A534="","",if($G534="",Reference!$J$2, VLOOKUP($G534,Reference!$I$2:$J$1000,2,false))),"")</f>
        <v/>
      </c>
      <c r="L534" s="12" t="str">
        <f>IF(A534="","", IF(F534="",Reference!$M$2,F534))</f>
        <v/>
      </c>
      <c r="M534" s="14" t="str">
        <f t="shared" si="2"/>
        <v/>
      </c>
      <c r="N534" s="15" t="str">
        <f t="shared" si="3"/>
        <v/>
      </c>
      <c r="O534" s="14" t="str">
        <f t="shared" si="4"/>
        <v/>
      </c>
      <c r="P534" s="16" t="str">
        <f t="array" ref="P534">IF($A534="","", IFERROR(INDEX('BM Data'!$N:$N,MATCH($J534&amp; "-" &amp; $N534,'BM Data'!$O:$O,0),1),""))</f>
        <v/>
      </c>
      <c r="Q534" s="16" t="str">
        <f t="array" ref="Q534">IF($A534="","", IFERROR(INDEX('BM Data'!$J:$J,MATCH($J534&amp; "-" &amp; $N534,'BM Data'!$O:$O,0),1),""))</f>
        <v/>
      </c>
    </row>
    <row r="535">
      <c r="A535" s="10" t="str">
        <f>IFERROR(__xludf.DUMMYFUNCTION("""COMPUTED_VALUE"""),"")</f>
        <v/>
      </c>
      <c r="B535" s="3" t="str">
        <f>IFERROR(__xludf.DUMMYFUNCTION("""COMPUTED_VALUE"""),"")</f>
        <v/>
      </c>
      <c r="C535" s="11" t="str">
        <f>IFERROR(__xludf.DUMMYFUNCTION("""COMPUTED_VALUE"""),"")</f>
        <v/>
      </c>
      <c r="D535" s="11" t="str">
        <f>IFERROR(__xludf.DUMMYFUNCTION("""COMPUTED_VALUE"""),"")</f>
        <v/>
      </c>
      <c r="E535" s="11" t="str">
        <f>IFERROR(__xludf.DUMMYFUNCTION("""COMPUTED_VALUE"""),"")</f>
        <v/>
      </c>
      <c r="F535" s="11" t="str">
        <f>IFERROR(__xludf.DUMMYFUNCTION("""COMPUTED_VALUE"""),"")</f>
        <v/>
      </c>
      <c r="G535" s="11" t="str">
        <f>IFERROR(__xludf.DUMMYFUNCTION("""COMPUTED_VALUE"""),"")</f>
        <v/>
      </c>
      <c r="H535" s="12" t="str">
        <f>IFERROR(__xludf.DUMMYFUNCTION("""COMPUTED_VALUE"""),"")</f>
        <v/>
      </c>
      <c r="I535" s="12" t="str">
        <f>IFERROR(__xludf.DUMMYFUNCTION("""COMPUTED_VALUE"""),"")</f>
        <v/>
      </c>
      <c r="J535" s="13" t="str">
        <f t="shared" si="1"/>
        <v/>
      </c>
      <c r="K535" s="12" t="str">
        <f>IFERROR(IF(A535="","",if($G535="",Reference!$J$2, VLOOKUP($G535,Reference!$I$2:$J$1000,2,false))),"")</f>
        <v/>
      </c>
      <c r="L535" s="12" t="str">
        <f>IF(A535="","", IF(F535="",Reference!$M$2,F535))</f>
        <v/>
      </c>
      <c r="M535" s="14" t="str">
        <f t="shared" si="2"/>
        <v/>
      </c>
      <c r="N535" s="15" t="str">
        <f t="shared" si="3"/>
        <v/>
      </c>
      <c r="O535" s="14" t="str">
        <f t="shared" si="4"/>
        <v/>
      </c>
      <c r="P535" s="16" t="str">
        <f t="array" ref="P535">IF($A535="","", IFERROR(INDEX('BM Data'!$N:$N,MATCH($J535&amp; "-" &amp; $N535,'BM Data'!$O:$O,0),1),""))</f>
        <v/>
      </c>
      <c r="Q535" s="16" t="str">
        <f t="array" ref="Q535">IF($A535="","", IFERROR(INDEX('BM Data'!$J:$J,MATCH($J535&amp; "-" &amp; $N535,'BM Data'!$O:$O,0),1),""))</f>
        <v/>
      </c>
    </row>
    <row r="536">
      <c r="A536" s="10" t="str">
        <f>IFERROR(__xludf.DUMMYFUNCTION("""COMPUTED_VALUE"""),"")</f>
        <v/>
      </c>
      <c r="B536" s="3" t="str">
        <f>IFERROR(__xludf.DUMMYFUNCTION("""COMPUTED_VALUE"""),"")</f>
        <v/>
      </c>
      <c r="C536" s="11" t="str">
        <f>IFERROR(__xludf.DUMMYFUNCTION("""COMPUTED_VALUE"""),"")</f>
        <v/>
      </c>
      <c r="D536" s="11" t="str">
        <f>IFERROR(__xludf.DUMMYFUNCTION("""COMPUTED_VALUE"""),"")</f>
        <v/>
      </c>
      <c r="E536" s="11" t="str">
        <f>IFERROR(__xludf.DUMMYFUNCTION("""COMPUTED_VALUE"""),"")</f>
        <v/>
      </c>
      <c r="F536" s="11" t="str">
        <f>IFERROR(__xludf.DUMMYFUNCTION("""COMPUTED_VALUE"""),"")</f>
        <v/>
      </c>
      <c r="G536" s="11" t="str">
        <f>IFERROR(__xludf.DUMMYFUNCTION("""COMPUTED_VALUE"""),"")</f>
        <v/>
      </c>
      <c r="H536" s="12" t="str">
        <f>IFERROR(__xludf.DUMMYFUNCTION("""COMPUTED_VALUE"""),"")</f>
        <v/>
      </c>
      <c r="I536" s="12" t="str">
        <f>IFERROR(__xludf.DUMMYFUNCTION("""COMPUTED_VALUE"""),"")</f>
        <v/>
      </c>
      <c r="J536" s="13" t="str">
        <f t="shared" si="1"/>
        <v/>
      </c>
      <c r="K536" s="12" t="str">
        <f>IFERROR(IF(A536="","",if($G536="",Reference!$J$2, VLOOKUP($G536,Reference!$I$2:$J$1000,2,false))),"")</f>
        <v/>
      </c>
      <c r="L536" s="12" t="str">
        <f>IF(A536="","", IF(F536="",Reference!$M$2,F536))</f>
        <v/>
      </c>
      <c r="M536" s="14" t="str">
        <f t="shared" si="2"/>
        <v/>
      </c>
      <c r="N536" s="15" t="str">
        <f t="shared" si="3"/>
        <v/>
      </c>
      <c r="O536" s="14" t="str">
        <f t="shared" si="4"/>
        <v/>
      </c>
      <c r="P536" s="16" t="str">
        <f t="array" ref="P536">IF($A536="","", IFERROR(INDEX('BM Data'!$N:$N,MATCH($J536&amp; "-" &amp; $N536,'BM Data'!$O:$O,0),1),""))</f>
        <v/>
      </c>
      <c r="Q536" s="16" t="str">
        <f t="array" ref="Q536">IF($A536="","", IFERROR(INDEX('BM Data'!$J:$J,MATCH($J536&amp; "-" &amp; $N536,'BM Data'!$O:$O,0),1),""))</f>
        <v/>
      </c>
    </row>
    <row r="537">
      <c r="A537" s="10" t="str">
        <f>IFERROR(__xludf.DUMMYFUNCTION("""COMPUTED_VALUE"""),"")</f>
        <v/>
      </c>
      <c r="B537" s="3" t="str">
        <f>IFERROR(__xludf.DUMMYFUNCTION("""COMPUTED_VALUE"""),"")</f>
        <v/>
      </c>
      <c r="C537" s="11" t="str">
        <f>IFERROR(__xludf.DUMMYFUNCTION("""COMPUTED_VALUE"""),"")</f>
        <v/>
      </c>
      <c r="D537" s="11" t="str">
        <f>IFERROR(__xludf.DUMMYFUNCTION("""COMPUTED_VALUE"""),"")</f>
        <v/>
      </c>
      <c r="E537" s="11" t="str">
        <f>IFERROR(__xludf.DUMMYFUNCTION("""COMPUTED_VALUE"""),"")</f>
        <v/>
      </c>
      <c r="F537" s="11" t="str">
        <f>IFERROR(__xludf.DUMMYFUNCTION("""COMPUTED_VALUE"""),"")</f>
        <v/>
      </c>
      <c r="G537" s="11" t="str">
        <f>IFERROR(__xludf.DUMMYFUNCTION("""COMPUTED_VALUE"""),"")</f>
        <v/>
      </c>
      <c r="H537" s="12" t="str">
        <f>IFERROR(__xludf.DUMMYFUNCTION("""COMPUTED_VALUE"""),"")</f>
        <v/>
      </c>
      <c r="I537" s="12" t="str">
        <f>IFERROR(__xludf.DUMMYFUNCTION("""COMPUTED_VALUE"""),"")</f>
        <v/>
      </c>
      <c r="J537" s="13" t="str">
        <f t="shared" si="1"/>
        <v/>
      </c>
      <c r="K537" s="12" t="str">
        <f>IFERROR(IF(A537="","",if($G537="",Reference!$J$2, VLOOKUP($G537,Reference!$I$2:$J$1000,2,false))),"")</f>
        <v/>
      </c>
      <c r="L537" s="12" t="str">
        <f>IF(A537="","", IF(F537="",Reference!$M$2,F537))</f>
        <v/>
      </c>
      <c r="M537" s="14" t="str">
        <f t="shared" si="2"/>
        <v/>
      </c>
      <c r="N537" s="15" t="str">
        <f t="shared" si="3"/>
        <v/>
      </c>
      <c r="O537" s="14" t="str">
        <f t="shared" si="4"/>
        <v/>
      </c>
      <c r="P537" s="16" t="str">
        <f t="array" ref="P537">IF($A537="","", IFERROR(INDEX('BM Data'!$N:$N,MATCH($J537&amp; "-" &amp; $N537,'BM Data'!$O:$O,0),1),""))</f>
        <v/>
      </c>
      <c r="Q537" s="16" t="str">
        <f t="array" ref="Q537">IF($A537="","", IFERROR(INDEX('BM Data'!$J:$J,MATCH($J537&amp; "-" &amp; $N537,'BM Data'!$O:$O,0),1),""))</f>
        <v/>
      </c>
    </row>
    <row r="538">
      <c r="A538" s="10" t="str">
        <f>IFERROR(__xludf.DUMMYFUNCTION("""COMPUTED_VALUE"""),"")</f>
        <v/>
      </c>
      <c r="B538" s="3" t="str">
        <f>IFERROR(__xludf.DUMMYFUNCTION("""COMPUTED_VALUE"""),"")</f>
        <v/>
      </c>
      <c r="C538" s="11" t="str">
        <f>IFERROR(__xludf.DUMMYFUNCTION("""COMPUTED_VALUE"""),"")</f>
        <v/>
      </c>
      <c r="D538" s="11" t="str">
        <f>IFERROR(__xludf.DUMMYFUNCTION("""COMPUTED_VALUE"""),"")</f>
        <v/>
      </c>
      <c r="E538" s="11" t="str">
        <f>IFERROR(__xludf.DUMMYFUNCTION("""COMPUTED_VALUE"""),"")</f>
        <v/>
      </c>
      <c r="F538" s="11" t="str">
        <f>IFERROR(__xludf.DUMMYFUNCTION("""COMPUTED_VALUE"""),"")</f>
        <v/>
      </c>
      <c r="G538" s="11" t="str">
        <f>IFERROR(__xludf.DUMMYFUNCTION("""COMPUTED_VALUE"""),"")</f>
        <v/>
      </c>
      <c r="H538" s="12" t="str">
        <f>IFERROR(__xludf.DUMMYFUNCTION("""COMPUTED_VALUE"""),"")</f>
        <v/>
      </c>
      <c r="I538" s="12" t="str">
        <f>IFERROR(__xludf.DUMMYFUNCTION("""COMPUTED_VALUE"""),"")</f>
        <v/>
      </c>
      <c r="J538" s="13" t="str">
        <f t="shared" si="1"/>
        <v/>
      </c>
      <c r="K538" s="12" t="str">
        <f>IFERROR(IF(A538="","",if($G538="",Reference!$J$2, VLOOKUP($G538,Reference!$I$2:$J$1000,2,false))),"")</f>
        <v/>
      </c>
      <c r="L538" s="12" t="str">
        <f>IF(A538="","", IF(F538="",Reference!$M$2,F538))</f>
        <v/>
      </c>
      <c r="M538" s="14" t="str">
        <f t="shared" si="2"/>
        <v/>
      </c>
      <c r="N538" s="15" t="str">
        <f t="shared" si="3"/>
        <v/>
      </c>
      <c r="O538" s="14" t="str">
        <f t="shared" si="4"/>
        <v/>
      </c>
      <c r="P538" s="16" t="str">
        <f t="array" ref="P538">IF($A538="","", IFERROR(INDEX('BM Data'!$N:$N,MATCH($J538&amp; "-" &amp; $N538,'BM Data'!$O:$O,0),1),""))</f>
        <v/>
      </c>
      <c r="Q538" s="16" t="str">
        <f t="array" ref="Q538">IF($A538="","", IFERROR(INDEX('BM Data'!$J:$J,MATCH($J538&amp; "-" &amp; $N538,'BM Data'!$O:$O,0),1),""))</f>
        <v/>
      </c>
    </row>
    <row r="539">
      <c r="A539" s="10" t="str">
        <f>IFERROR(__xludf.DUMMYFUNCTION("""COMPUTED_VALUE"""),"")</f>
        <v/>
      </c>
      <c r="B539" s="3" t="str">
        <f>IFERROR(__xludf.DUMMYFUNCTION("""COMPUTED_VALUE"""),"")</f>
        <v/>
      </c>
      <c r="C539" s="11" t="str">
        <f>IFERROR(__xludf.DUMMYFUNCTION("""COMPUTED_VALUE"""),"")</f>
        <v/>
      </c>
      <c r="D539" s="11" t="str">
        <f>IFERROR(__xludf.DUMMYFUNCTION("""COMPUTED_VALUE"""),"")</f>
        <v/>
      </c>
      <c r="E539" s="11" t="str">
        <f>IFERROR(__xludf.DUMMYFUNCTION("""COMPUTED_VALUE"""),"")</f>
        <v/>
      </c>
      <c r="F539" s="11" t="str">
        <f>IFERROR(__xludf.DUMMYFUNCTION("""COMPUTED_VALUE"""),"")</f>
        <v/>
      </c>
      <c r="G539" s="11" t="str">
        <f>IFERROR(__xludf.DUMMYFUNCTION("""COMPUTED_VALUE"""),"")</f>
        <v/>
      </c>
      <c r="H539" s="12" t="str">
        <f>IFERROR(__xludf.DUMMYFUNCTION("""COMPUTED_VALUE"""),"")</f>
        <v/>
      </c>
      <c r="I539" s="12" t="str">
        <f>IFERROR(__xludf.DUMMYFUNCTION("""COMPUTED_VALUE"""),"")</f>
        <v/>
      </c>
      <c r="J539" s="13" t="str">
        <f t="shared" si="1"/>
        <v/>
      </c>
      <c r="K539" s="12" t="str">
        <f>IFERROR(IF(A539="","",if($G539="",Reference!$J$2, VLOOKUP($G539,Reference!$I$2:$J$1000,2,false))),"")</f>
        <v/>
      </c>
      <c r="L539" s="12" t="str">
        <f>IF(A539="","", IF(F539="",Reference!$M$2,F539))</f>
        <v/>
      </c>
      <c r="M539" s="14" t="str">
        <f t="shared" si="2"/>
        <v/>
      </c>
      <c r="N539" s="15" t="str">
        <f t="shared" si="3"/>
        <v/>
      </c>
      <c r="O539" s="14" t="str">
        <f t="shared" si="4"/>
        <v/>
      </c>
      <c r="P539" s="16" t="str">
        <f t="array" ref="P539">IF($A539="","", IFERROR(INDEX('BM Data'!$N:$N,MATCH($J539&amp; "-" &amp; $N539,'BM Data'!$O:$O,0),1),""))</f>
        <v/>
      </c>
      <c r="Q539" s="16" t="str">
        <f t="array" ref="Q539">IF($A539="","", IFERROR(INDEX('BM Data'!$J:$J,MATCH($J539&amp; "-" &amp; $N539,'BM Data'!$O:$O,0),1),""))</f>
        <v/>
      </c>
    </row>
    <row r="540">
      <c r="A540" s="10" t="str">
        <f>IFERROR(__xludf.DUMMYFUNCTION("""COMPUTED_VALUE"""),"")</f>
        <v/>
      </c>
      <c r="B540" s="3" t="str">
        <f>IFERROR(__xludf.DUMMYFUNCTION("""COMPUTED_VALUE"""),"")</f>
        <v/>
      </c>
      <c r="C540" s="11" t="str">
        <f>IFERROR(__xludf.DUMMYFUNCTION("""COMPUTED_VALUE"""),"")</f>
        <v/>
      </c>
      <c r="D540" s="11" t="str">
        <f>IFERROR(__xludf.DUMMYFUNCTION("""COMPUTED_VALUE"""),"")</f>
        <v/>
      </c>
      <c r="E540" s="11" t="str">
        <f>IFERROR(__xludf.DUMMYFUNCTION("""COMPUTED_VALUE"""),"")</f>
        <v/>
      </c>
      <c r="F540" s="11" t="str">
        <f>IFERROR(__xludf.DUMMYFUNCTION("""COMPUTED_VALUE"""),"")</f>
        <v/>
      </c>
      <c r="G540" s="11" t="str">
        <f>IFERROR(__xludf.DUMMYFUNCTION("""COMPUTED_VALUE"""),"")</f>
        <v/>
      </c>
      <c r="H540" s="12" t="str">
        <f>IFERROR(__xludf.DUMMYFUNCTION("""COMPUTED_VALUE"""),"")</f>
        <v/>
      </c>
      <c r="I540" s="12" t="str">
        <f>IFERROR(__xludf.DUMMYFUNCTION("""COMPUTED_VALUE"""),"")</f>
        <v/>
      </c>
      <c r="J540" s="13" t="str">
        <f t="shared" si="1"/>
        <v/>
      </c>
      <c r="K540" s="12" t="str">
        <f>IFERROR(IF(A540="","",if($G540="",Reference!$J$2, VLOOKUP($G540,Reference!$I$2:$J$1000,2,false))),"")</f>
        <v/>
      </c>
      <c r="L540" s="12" t="str">
        <f>IF(A540="","", IF(F540="",Reference!$M$2,F540))</f>
        <v/>
      </c>
      <c r="M540" s="14" t="str">
        <f t="shared" si="2"/>
        <v/>
      </c>
      <c r="N540" s="15" t="str">
        <f t="shared" si="3"/>
        <v/>
      </c>
      <c r="O540" s="14" t="str">
        <f t="shared" si="4"/>
        <v/>
      </c>
      <c r="P540" s="16" t="str">
        <f t="array" ref="P540">IF($A540="","", IFERROR(INDEX('BM Data'!$N:$N,MATCH($J540&amp; "-" &amp; $N540,'BM Data'!$O:$O,0),1),""))</f>
        <v/>
      </c>
      <c r="Q540" s="16" t="str">
        <f t="array" ref="Q540">IF($A540="","", IFERROR(INDEX('BM Data'!$J:$J,MATCH($J540&amp; "-" &amp; $N540,'BM Data'!$O:$O,0),1),""))</f>
        <v/>
      </c>
    </row>
    <row r="541">
      <c r="A541" s="10" t="str">
        <f>IFERROR(__xludf.DUMMYFUNCTION("""COMPUTED_VALUE"""),"")</f>
        <v/>
      </c>
      <c r="B541" s="3" t="str">
        <f>IFERROR(__xludf.DUMMYFUNCTION("""COMPUTED_VALUE"""),"")</f>
        <v/>
      </c>
      <c r="C541" s="11" t="str">
        <f>IFERROR(__xludf.DUMMYFUNCTION("""COMPUTED_VALUE"""),"")</f>
        <v/>
      </c>
      <c r="D541" s="11" t="str">
        <f>IFERROR(__xludf.DUMMYFUNCTION("""COMPUTED_VALUE"""),"")</f>
        <v/>
      </c>
      <c r="E541" s="11" t="str">
        <f>IFERROR(__xludf.DUMMYFUNCTION("""COMPUTED_VALUE"""),"")</f>
        <v/>
      </c>
      <c r="F541" s="11" t="str">
        <f>IFERROR(__xludf.DUMMYFUNCTION("""COMPUTED_VALUE"""),"")</f>
        <v/>
      </c>
      <c r="G541" s="11" t="str">
        <f>IFERROR(__xludf.DUMMYFUNCTION("""COMPUTED_VALUE"""),"")</f>
        <v/>
      </c>
      <c r="H541" s="12" t="str">
        <f>IFERROR(__xludf.DUMMYFUNCTION("""COMPUTED_VALUE"""),"")</f>
        <v/>
      </c>
      <c r="I541" s="12" t="str">
        <f>IFERROR(__xludf.DUMMYFUNCTION("""COMPUTED_VALUE"""),"")</f>
        <v/>
      </c>
      <c r="J541" s="13" t="str">
        <f t="shared" si="1"/>
        <v/>
      </c>
      <c r="K541" s="12" t="str">
        <f>IFERROR(IF(A541="","",if($G541="",Reference!$J$2, VLOOKUP($G541,Reference!$I$2:$J$1000,2,false))),"")</f>
        <v/>
      </c>
      <c r="L541" s="12" t="str">
        <f>IF(A541="","", IF(F541="",Reference!$M$2,F541))</f>
        <v/>
      </c>
      <c r="M541" s="14" t="str">
        <f t="shared" si="2"/>
        <v/>
      </c>
      <c r="N541" s="15" t="str">
        <f t="shared" si="3"/>
        <v/>
      </c>
      <c r="O541" s="14" t="str">
        <f t="shared" si="4"/>
        <v/>
      </c>
      <c r="P541" s="16" t="str">
        <f t="array" ref="P541">IF($A541="","", IFERROR(INDEX('BM Data'!$N:$N,MATCH($J541&amp; "-" &amp; $N541,'BM Data'!$O:$O,0),1),""))</f>
        <v/>
      </c>
      <c r="Q541" s="16" t="str">
        <f t="array" ref="Q541">IF($A541="","", IFERROR(INDEX('BM Data'!$J:$J,MATCH($J541&amp; "-" &amp; $N541,'BM Data'!$O:$O,0),1),""))</f>
        <v/>
      </c>
    </row>
    <row r="542">
      <c r="A542" s="10" t="str">
        <f>IFERROR(__xludf.DUMMYFUNCTION("""COMPUTED_VALUE"""),"")</f>
        <v/>
      </c>
      <c r="B542" s="3" t="str">
        <f>IFERROR(__xludf.DUMMYFUNCTION("""COMPUTED_VALUE"""),"")</f>
        <v/>
      </c>
      <c r="C542" s="11" t="str">
        <f>IFERROR(__xludf.DUMMYFUNCTION("""COMPUTED_VALUE"""),"")</f>
        <v/>
      </c>
      <c r="D542" s="11" t="str">
        <f>IFERROR(__xludf.DUMMYFUNCTION("""COMPUTED_VALUE"""),"")</f>
        <v/>
      </c>
      <c r="E542" s="11" t="str">
        <f>IFERROR(__xludf.DUMMYFUNCTION("""COMPUTED_VALUE"""),"")</f>
        <v/>
      </c>
      <c r="F542" s="11" t="str">
        <f>IFERROR(__xludf.DUMMYFUNCTION("""COMPUTED_VALUE"""),"")</f>
        <v/>
      </c>
      <c r="G542" s="11" t="str">
        <f>IFERROR(__xludf.DUMMYFUNCTION("""COMPUTED_VALUE"""),"")</f>
        <v/>
      </c>
      <c r="H542" s="12" t="str">
        <f>IFERROR(__xludf.DUMMYFUNCTION("""COMPUTED_VALUE"""),"")</f>
        <v/>
      </c>
      <c r="I542" s="12" t="str">
        <f>IFERROR(__xludf.DUMMYFUNCTION("""COMPUTED_VALUE"""),"")</f>
        <v/>
      </c>
      <c r="J542" s="13" t="str">
        <f t="shared" si="1"/>
        <v/>
      </c>
      <c r="K542" s="12" t="str">
        <f>IFERROR(IF(A542="","",if($G542="",Reference!$J$2, VLOOKUP($G542,Reference!$I$2:$J$1000,2,false))),"")</f>
        <v/>
      </c>
      <c r="L542" s="12" t="str">
        <f>IF(A542="","", IF(F542="",Reference!$M$2,F542))</f>
        <v/>
      </c>
      <c r="M542" s="14" t="str">
        <f t="shared" si="2"/>
        <v/>
      </c>
      <c r="N542" s="15" t="str">
        <f t="shared" si="3"/>
        <v/>
      </c>
      <c r="O542" s="14" t="str">
        <f t="shared" si="4"/>
        <v/>
      </c>
      <c r="P542" s="16" t="str">
        <f t="array" ref="P542">IF($A542="","", IFERROR(INDEX('BM Data'!$N:$N,MATCH($J542&amp; "-" &amp; $N542,'BM Data'!$O:$O,0),1),""))</f>
        <v/>
      </c>
      <c r="Q542" s="16" t="str">
        <f t="array" ref="Q542">IF($A542="","", IFERROR(INDEX('BM Data'!$J:$J,MATCH($J542&amp; "-" &amp; $N542,'BM Data'!$O:$O,0),1),""))</f>
        <v/>
      </c>
    </row>
    <row r="543">
      <c r="A543" s="10" t="str">
        <f>IFERROR(__xludf.DUMMYFUNCTION("""COMPUTED_VALUE"""),"")</f>
        <v/>
      </c>
      <c r="B543" s="3" t="str">
        <f>IFERROR(__xludf.DUMMYFUNCTION("""COMPUTED_VALUE"""),"")</f>
        <v/>
      </c>
      <c r="C543" s="11" t="str">
        <f>IFERROR(__xludf.DUMMYFUNCTION("""COMPUTED_VALUE"""),"")</f>
        <v/>
      </c>
      <c r="D543" s="11" t="str">
        <f>IFERROR(__xludf.DUMMYFUNCTION("""COMPUTED_VALUE"""),"")</f>
        <v/>
      </c>
      <c r="E543" s="11" t="str">
        <f>IFERROR(__xludf.DUMMYFUNCTION("""COMPUTED_VALUE"""),"")</f>
        <v/>
      </c>
      <c r="F543" s="11" t="str">
        <f>IFERROR(__xludf.DUMMYFUNCTION("""COMPUTED_VALUE"""),"")</f>
        <v/>
      </c>
      <c r="G543" s="11" t="str">
        <f>IFERROR(__xludf.DUMMYFUNCTION("""COMPUTED_VALUE"""),"")</f>
        <v/>
      </c>
      <c r="H543" s="12" t="str">
        <f>IFERROR(__xludf.DUMMYFUNCTION("""COMPUTED_VALUE"""),"")</f>
        <v/>
      </c>
      <c r="I543" s="12" t="str">
        <f>IFERROR(__xludf.DUMMYFUNCTION("""COMPUTED_VALUE"""),"")</f>
        <v/>
      </c>
      <c r="J543" s="13" t="str">
        <f t="shared" si="1"/>
        <v/>
      </c>
      <c r="K543" s="12" t="str">
        <f>IFERROR(IF(A543="","",if($G543="",Reference!$J$2, VLOOKUP($G543,Reference!$I$2:$J$1000,2,false))),"")</f>
        <v/>
      </c>
      <c r="L543" s="12" t="str">
        <f>IF(A543="","", IF(F543="",Reference!$M$2,F543))</f>
        <v/>
      </c>
      <c r="M543" s="14" t="str">
        <f t="shared" si="2"/>
        <v/>
      </c>
      <c r="N543" s="15" t="str">
        <f t="shared" si="3"/>
        <v/>
      </c>
      <c r="O543" s="14" t="str">
        <f t="shared" si="4"/>
        <v/>
      </c>
      <c r="P543" s="16" t="str">
        <f t="array" ref="P543">IF($A543="","", IFERROR(INDEX('BM Data'!$N:$N,MATCH($J543&amp; "-" &amp; $N543,'BM Data'!$O:$O,0),1),""))</f>
        <v/>
      </c>
      <c r="Q543" s="16" t="str">
        <f t="array" ref="Q543">IF($A543="","", IFERROR(INDEX('BM Data'!$J:$J,MATCH($J543&amp; "-" &amp; $N543,'BM Data'!$O:$O,0),1),""))</f>
        <v/>
      </c>
    </row>
    <row r="544">
      <c r="A544" s="10" t="str">
        <f>IFERROR(__xludf.DUMMYFUNCTION("""COMPUTED_VALUE"""),"")</f>
        <v/>
      </c>
      <c r="B544" s="3" t="str">
        <f>IFERROR(__xludf.DUMMYFUNCTION("""COMPUTED_VALUE"""),"")</f>
        <v/>
      </c>
      <c r="C544" s="11" t="str">
        <f>IFERROR(__xludf.DUMMYFUNCTION("""COMPUTED_VALUE"""),"")</f>
        <v/>
      </c>
      <c r="D544" s="11" t="str">
        <f>IFERROR(__xludf.DUMMYFUNCTION("""COMPUTED_VALUE"""),"")</f>
        <v/>
      </c>
      <c r="E544" s="11" t="str">
        <f>IFERROR(__xludf.DUMMYFUNCTION("""COMPUTED_VALUE"""),"")</f>
        <v/>
      </c>
      <c r="F544" s="11" t="str">
        <f>IFERROR(__xludf.DUMMYFUNCTION("""COMPUTED_VALUE"""),"")</f>
        <v/>
      </c>
      <c r="G544" s="11" t="str">
        <f>IFERROR(__xludf.DUMMYFUNCTION("""COMPUTED_VALUE"""),"")</f>
        <v/>
      </c>
      <c r="H544" s="12" t="str">
        <f>IFERROR(__xludf.DUMMYFUNCTION("""COMPUTED_VALUE"""),"")</f>
        <v/>
      </c>
      <c r="I544" s="12" t="str">
        <f>IFERROR(__xludf.DUMMYFUNCTION("""COMPUTED_VALUE"""),"")</f>
        <v/>
      </c>
      <c r="J544" s="13" t="str">
        <f t="shared" si="1"/>
        <v/>
      </c>
      <c r="K544" s="12" t="str">
        <f>IFERROR(IF(A544="","",if($G544="",Reference!$J$2, VLOOKUP($G544,Reference!$I$2:$J$1000,2,false))),"")</f>
        <v/>
      </c>
      <c r="L544" s="12" t="str">
        <f>IF(A544="","", IF(F544="",Reference!$M$2,F544))</f>
        <v/>
      </c>
      <c r="M544" s="14" t="str">
        <f t="shared" si="2"/>
        <v/>
      </c>
      <c r="N544" s="15" t="str">
        <f t="shared" si="3"/>
        <v/>
      </c>
      <c r="O544" s="14" t="str">
        <f t="shared" si="4"/>
        <v/>
      </c>
      <c r="P544" s="16" t="str">
        <f t="array" ref="P544">IF($A544="","", IFERROR(INDEX('BM Data'!$N:$N,MATCH($J544&amp; "-" &amp; $N544,'BM Data'!$O:$O,0),1),""))</f>
        <v/>
      </c>
      <c r="Q544" s="16" t="str">
        <f t="array" ref="Q544">IF($A544="","", IFERROR(INDEX('BM Data'!$J:$J,MATCH($J544&amp; "-" &amp; $N544,'BM Data'!$O:$O,0),1),""))</f>
        <v/>
      </c>
    </row>
    <row r="545">
      <c r="A545" s="10" t="str">
        <f>IFERROR(__xludf.DUMMYFUNCTION("""COMPUTED_VALUE"""),"")</f>
        <v/>
      </c>
      <c r="B545" s="3" t="str">
        <f>IFERROR(__xludf.DUMMYFUNCTION("""COMPUTED_VALUE"""),"")</f>
        <v/>
      </c>
      <c r="C545" s="11" t="str">
        <f>IFERROR(__xludf.DUMMYFUNCTION("""COMPUTED_VALUE"""),"")</f>
        <v/>
      </c>
      <c r="D545" s="11" t="str">
        <f>IFERROR(__xludf.DUMMYFUNCTION("""COMPUTED_VALUE"""),"")</f>
        <v/>
      </c>
      <c r="E545" s="11" t="str">
        <f>IFERROR(__xludf.DUMMYFUNCTION("""COMPUTED_VALUE"""),"")</f>
        <v/>
      </c>
      <c r="F545" s="11" t="str">
        <f>IFERROR(__xludf.DUMMYFUNCTION("""COMPUTED_VALUE"""),"")</f>
        <v/>
      </c>
      <c r="G545" s="11" t="str">
        <f>IFERROR(__xludf.DUMMYFUNCTION("""COMPUTED_VALUE"""),"")</f>
        <v/>
      </c>
      <c r="H545" s="12" t="str">
        <f>IFERROR(__xludf.DUMMYFUNCTION("""COMPUTED_VALUE"""),"")</f>
        <v/>
      </c>
      <c r="I545" s="12" t="str">
        <f>IFERROR(__xludf.DUMMYFUNCTION("""COMPUTED_VALUE"""),"")</f>
        <v/>
      </c>
      <c r="J545" s="13" t="str">
        <f t="shared" si="1"/>
        <v/>
      </c>
      <c r="K545" s="12" t="str">
        <f>IFERROR(IF(A545="","",if($G545="",Reference!$J$2, VLOOKUP($G545,Reference!$I$2:$J$1000,2,false))),"")</f>
        <v/>
      </c>
      <c r="L545" s="12" t="str">
        <f>IF(A545="","", IF(F545="",Reference!$M$2,F545))</f>
        <v/>
      </c>
      <c r="M545" s="14" t="str">
        <f t="shared" si="2"/>
        <v/>
      </c>
      <c r="N545" s="15" t="str">
        <f t="shared" si="3"/>
        <v/>
      </c>
      <c r="O545" s="14" t="str">
        <f t="shared" si="4"/>
        <v/>
      </c>
      <c r="P545" s="16" t="str">
        <f t="array" ref="P545">IF($A545="","", IFERROR(INDEX('BM Data'!$N:$N,MATCH($J545&amp; "-" &amp; $N545,'BM Data'!$O:$O,0),1),""))</f>
        <v/>
      </c>
      <c r="Q545" s="16" t="str">
        <f t="array" ref="Q545">IF($A545="","", IFERROR(INDEX('BM Data'!$J:$J,MATCH($J545&amp; "-" &amp; $N545,'BM Data'!$O:$O,0),1),""))</f>
        <v/>
      </c>
    </row>
    <row r="546">
      <c r="A546" s="10" t="str">
        <f>IFERROR(__xludf.DUMMYFUNCTION("""COMPUTED_VALUE"""),"")</f>
        <v/>
      </c>
      <c r="B546" s="3" t="str">
        <f>IFERROR(__xludf.DUMMYFUNCTION("""COMPUTED_VALUE"""),"")</f>
        <v/>
      </c>
      <c r="C546" s="11" t="str">
        <f>IFERROR(__xludf.DUMMYFUNCTION("""COMPUTED_VALUE"""),"")</f>
        <v/>
      </c>
      <c r="D546" s="11" t="str">
        <f>IFERROR(__xludf.DUMMYFUNCTION("""COMPUTED_VALUE"""),"")</f>
        <v/>
      </c>
      <c r="E546" s="11" t="str">
        <f>IFERROR(__xludf.DUMMYFUNCTION("""COMPUTED_VALUE"""),"")</f>
        <v/>
      </c>
      <c r="F546" s="11" t="str">
        <f>IFERROR(__xludf.DUMMYFUNCTION("""COMPUTED_VALUE"""),"")</f>
        <v/>
      </c>
      <c r="G546" s="11" t="str">
        <f>IFERROR(__xludf.DUMMYFUNCTION("""COMPUTED_VALUE"""),"")</f>
        <v/>
      </c>
      <c r="H546" s="12" t="str">
        <f>IFERROR(__xludf.DUMMYFUNCTION("""COMPUTED_VALUE"""),"")</f>
        <v/>
      </c>
      <c r="I546" s="12" t="str">
        <f>IFERROR(__xludf.DUMMYFUNCTION("""COMPUTED_VALUE"""),"")</f>
        <v/>
      </c>
      <c r="J546" s="13" t="str">
        <f t="shared" si="1"/>
        <v/>
      </c>
      <c r="K546" s="12" t="str">
        <f>IFERROR(IF(A546="","",if($G546="",Reference!$J$2, VLOOKUP($G546,Reference!$I$2:$J$1000,2,false))),"")</f>
        <v/>
      </c>
      <c r="L546" s="12" t="str">
        <f>IF(A546="","", IF(F546="",Reference!$M$2,F546))</f>
        <v/>
      </c>
      <c r="M546" s="14" t="str">
        <f t="shared" si="2"/>
        <v/>
      </c>
      <c r="N546" s="15" t="str">
        <f t="shared" si="3"/>
        <v/>
      </c>
      <c r="O546" s="14" t="str">
        <f t="shared" si="4"/>
        <v/>
      </c>
      <c r="P546" s="16" t="str">
        <f t="array" ref="P546">IF($A546="","", IFERROR(INDEX('BM Data'!$N:$N,MATCH($J546&amp; "-" &amp; $N546,'BM Data'!$O:$O,0),1),""))</f>
        <v/>
      </c>
      <c r="Q546" s="16" t="str">
        <f t="array" ref="Q546">IF($A546="","", IFERROR(INDEX('BM Data'!$J:$J,MATCH($J546&amp; "-" &amp; $N546,'BM Data'!$O:$O,0),1),""))</f>
        <v/>
      </c>
    </row>
    <row r="547">
      <c r="A547" s="10" t="str">
        <f>IFERROR(__xludf.DUMMYFUNCTION("""COMPUTED_VALUE"""),"")</f>
        <v/>
      </c>
      <c r="B547" s="3" t="str">
        <f>IFERROR(__xludf.DUMMYFUNCTION("""COMPUTED_VALUE"""),"")</f>
        <v/>
      </c>
      <c r="C547" s="11" t="str">
        <f>IFERROR(__xludf.DUMMYFUNCTION("""COMPUTED_VALUE"""),"")</f>
        <v/>
      </c>
      <c r="D547" s="11" t="str">
        <f>IFERROR(__xludf.DUMMYFUNCTION("""COMPUTED_VALUE"""),"")</f>
        <v/>
      </c>
      <c r="E547" s="11" t="str">
        <f>IFERROR(__xludf.DUMMYFUNCTION("""COMPUTED_VALUE"""),"")</f>
        <v/>
      </c>
      <c r="F547" s="11" t="str">
        <f>IFERROR(__xludf.DUMMYFUNCTION("""COMPUTED_VALUE"""),"")</f>
        <v/>
      </c>
      <c r="G547" s="11" t="str">
        <f>IFERROR(__xludf.DUMMYFUNCTION("""COMPUTED_VALUE"""),"")</f>
        <v/>
      </c>
      <c r="H547" s="12" t="str">
        <f>IFERROR(__xludf.DUMMYFUNCTION("""COMPUTED_VALUE"""),"")</f>
        <v/>
      </c>
      <c r="I547" s="12" t="str">
        <f>IFERROR(__xludf.DUMMYFUNCTION("""COMPUTED_VALUE"""),"")</f>
        <v/>
      </c>
      <c r="J547" s="13" t="str">
        <f t="shared" si="1"/>
        <v/>
      </c>
      <c r="K547" s="12" t="str">
        <f>IFERROR(IF(A547="","",if($G547="",Reference!$J$2, VLOOKUP($G547,Reference!$I$2:$J$1000,2,false))),"")</f>
        <v/>
      </c>
      <c r="L547" s="12" t="str">
        <f>IF(A547="","", IF(F547="",Reference!$M$2,F547))</f>
        <v/>
      </c>
      <c r="M547" s="14" t="str">
        <f t="shared" si="2"/>
        <v/>
      </c>
      <c r="N547" s="15" t="str">
        <f t="shared" si="3"/>
        <v/>
      </c>
      <c r="O547" s="14" t="str">
        <f t="shared" si="4"/>
        <v/>
      </c>
      <c r="P547" s="16" t="str">
        <f t="array" ref="P547">IF($A547="","", IFERROR(INDEX('BM Data'!$N:$N,MATCH($J547&amp; "-" &amp; $N547,'BM Data'!$O:$O,0),1),""))</f>
        <v/>
      </c>
      <c r="Q547" s="16" t="str">
        <f t="array" ref="Q547">IF($A547="","", IFERROR(INDEX('BM Data'!$J:$J,MATCH($J547&amp; "-" &amp; $N547,'BM Data'!$O:$O,0),1),""))</f>
        <v/>
      </c>
    </row>
    <row r="548">
      <c r="A548" s="10" t="str">
        <f>IFERROR(__xludf.DUMMYFUNCTION("""COMPUTED_VALUE"""),"")</f>
        <v/>
      </c>
      <c r="B548" s="3" t="str">
        <f>IFERROR(__xludf.DUMMYFUNCTION("""COMPUTED_VALUE"""),"")</f>
        <v/>
      </c>
      <c r="C548" s="11" t="str">
        <f>IFERROR(__xludf.DUMMYFUNCTION("""COMPUTED_VALUE"""),"")</f>
        <v/>
      </c>
      <c r="D548" s="11" t="str">
        <f>IFERROR(__xludf.DUMMYFUNCTION("""COMPUTED_VALUE"""),"")</f>
        <v/>
      </c>
      <c r="E548" s="11" t="str">
        <f>IFERROR(__xludf.DUMMYFUNCTION("""COMPUTED_VALUE"""),"")</f>
        <v/>
      </c>
      <c r="F548" s="11" t="str">
        <f>IFERROR(__xludf.DUMMYFUNCTION("""COMPUTED_VALUE"""),"")</f>
        <v/>
      </c>
      <c r="G548" s="11" t="str">
        <f>IFERROR(__xludf.DUMMYFUNCTION("""COMPUTED_VALUE"""),"")</f>
        <v/>
      </c>
      <c r="H548" s="12" t="str">
        <f>IFERROR(__xludf.DUMMYFUNCTION("""COMPUTED_VALUE"""),"")</f>
        <v/>
      </c>
      <c r="I548" s="12" t="str">
        <f>IFERROR(__xludf.DUMMYFUNCTION("""COMPUTED_VALUE"""),"")</f>
        <v/>
      </c>
      <c r="J548" s="13" t="str">
        <f t="shared" si="1"/>
        <v/>
      </c>
      <c r="K548" s="12" t="str">
        <f>IFERROR(IF(A548="","",if($G548="",Reference!$J$2, VLOOKUP($G548,Reference!$I$2:$J$1000,2,false))),"")</f>
        <v/>
      </c>
      <c r="L548" s="12" t="str">
        <f>IF(A548="","", IF(F548="",Reference!$M$2,F548))</f>
        <v/>
      </c>
      <c r="M548" s="14" t="str">
        <f t="shared" si="2"/>
        <v/>
      </c>
      <c r="N548" s="15" t="str">
        <f t="shared" si="3"/>
        <v/>
      </c>
      <c r="O548" s="14" t="str">
        <f t="shared" si="4"/>
        <v/>
      </c>
      <c r="P548" s="16" t="str">
        <f t="array" ref="P548">IF($A548="","", IFERROR(INDEX('BM Data'!$N:$N,MATCH($J548&amp; "-" &amp; $N548,'BM Data'!$O:$O,0),1),""))</f>
        <v/>
      </c>
      <c r="Q548" s="16" t="str">
        <f t="array" ref="Q548">IF($A548="","", IFERROR(INDEX('BM Data'!$J:$J,MATCH($J548&amp; "-" &amp; $N548,'BM Data'!$O:$O,0),1),""))</f>
        <v/>
      </c>
    </row>
    <row r="549">
      <c r="A549" s="10" t="str">
        <f>IFERROR(__xludf.DUMMYFUNCTION("""COMPUTED_VALUE"""),"")</f>
        <v/>
      </c>
      <c r="B549" s="3" t="str">
        <f>IFERROR(__xludf.DUMMYFUNCTION("""COMPUTED_VALUE"""),"")</f>
        <v/>
      </c>
      <c r="C549" s="11" t="str">
        <f>IFERROR(__xludf.DUMMYFUNCTION("""COMPUTED_VALUE"""),"")</f>
        <v/>
      </c>
      <c r="D549" s="11" t="str">
        <f>IFERROR(__xludf.DUMMYFUNCTION("""COMPUTED_VALUE"""),"")</f>
        <v/>
      </c>
      <c r="E549" s="11" t="str">
        <f>IFERROR(__xludf.DUMMYFUNCTION("""COMPUTED_VALUE"""),"")</f>
        <v/>
      </c>
      <c r="F549" s="11" t="str">
        <f>IFERROR(__xludf.DUMMYFUNCTION("""COMPUTED_VALUE"""),"")</f>
        <v/>
      </c>
      <c r="G549" s="11" t="str">
        <f>IFERROR(__xludf.DUMMYFUNCTION("""COMPUTED_VALUE"""),"")</f>
        <v/>
      </c>
      <c r="H549" s="12" t="str">
        <f>IFERROR(__xludf.DUMMYFUNCTION("""COMPUTED_VALUE"""),"")</f>
        <v/>
      </c>
      <c r="I549" s="12" t="str">
        <f>IFERROR(__xludf.DUMMYFUNCTION("""COMPUTED_VALUE"""),"")</f>
        <v/>
      </c>
      <c r="J549" s="13" t="str">
        <f t="shared" si="1"/>
        <v/>
      </c>
      <c r="K549" s="12" t="str">
        <f>IFERROR(IF(A549="","",if($G549="",Reference!$J$2, VLOOKUP($G549,Reference!$I$2:$J$1000,2,false))),"")</f>
        <v/>
      </c>
      <c r="L549" s="12" t="str">
        <f>IF(A549="","", IF(F549="",Reference!$M$2,F549))</f>
        <v/>
      </c>
      <c r="M549" s="14" t="str">
        <f t="shared" si="2"/>
        <v/>
      </c>
      <c r="N549" s="15" t="str">
        <f t="shared" si="3"/>
        <v/>
      </c>
      <c r="O549" s="14" t="str">
        <f t="shared" si="4"/>
        <v/>
      </c>
      <c r="P549" s="16" t="str">
        <f t="array" ref="P549">IF($A549="","", IFERROR(INDEX('BM Data'!$N:$N,MATCH($J549&amp; "-" &amp; $N549,'BM Data'!$O:$O,0),1),""))</f>
        <v/>
      </c>
      <c r="Q549" s="16" t="str">
        <f t="array" ref="Q549">IF($A549="","", IFERROR(INDEX('BM Data'!$J:$J,MATCH($J549&amp; "-" &amp; $N549,'BM Data'!$O:$O,0),1),""))</f>
        <v/>
      </c>
    </row>
    <row r="550">
      <c r="A550" s="10" t="str">
        <f>IFERROR(__xludf.DUMMYFUNCTION("""COMPUTED_VALUE"""),"")</f>
        <v/>
      </c>
      <c r="B550" s="3" t="str">
        <f>IFERROR(__xludf.DUMMYFUNCTION("""COMPUTED_VALUE"""),"")</f>
        <v/>
      </c>
      <c r="C550" s="11" t="str">
        <f>IFERROR(__xludf.DUMMYFUNCTION("""COMPUTED_VALUE"""),"")</f>
        <v/>
      </c>
      <c r="D550" s="11" t="str">
        <f>IFERROR(__xludf.DUMMYFUNCTION("""COMPUTED_VALUE"""),"")</f>
        <v/>
      </c>
      <c r="E550" s="11" t="str">
        <f>IFERROR(__xludf.DUMMYFUNCTION("""COMPUTED_VALUE"""),"")</f>
        <v/>
      </c>
      <c r="F550" s="11" t="str">
        <f>IFERROR(__xludf.DUMMYFUNCTION("""COMPUTED_VALUE"""),"")</f>
        <v/>
      </c>
      <c r="G550" s="11" t="str">
        <f>IFERROR(__xludf.DUMMYFUNCTION("""COMPUTED_VALUE"""),"")</f>
        <v/>
      </c>
      <c r="H550" s="12" t="str">
        <f>IFERROR(__xludf.DUMMYFUNCTION("""COMPUTED_VALUE"""),"")</f>
        <v/>
      </c>
      <c r="I550" s="12" t="str">
        <f>IFERROR(__xludf.DUMMYFUNCTION("""COMPUTED_VALUE"""),"")</f>
        <v/>
      </c>
      <c r="J550" s="13" t="str">
        <f t="shared" si="1"/>
        <v/>
      </c>
      <c r="K550" s="12" t="str">
        <f>IFERROR(IF(A550="","",if($G550="",Reference!$J$2, VLOOKUP($G550,Reference!$I$2:$J$1000,2,false))),"")</f>
        <v/>
      </c>
      <c r="L550" s="12" t="str">
        <f>IF(A550="","", IF(F550="",Reference!$M$2,F550))</f>
        <v/>
      </c>
      <c r="M550" s="14" t="str">
        <f t="shared" si="2"/>
        <v/>
      </c>
      <c r="N550" s="15" t="str">
        <f t="shared" si="3"/>
        <v/>
      </c>
      <c r="O550" s="14" t="str">
        <f t="shared" si="4"/>
        <v/>
      </c>
      <c r="P550" s="16" t="str">
        <f t="array" ref="P550">IF($A550="","", IFERROR(INDEX('BM Data'!$N:$N,MATCH($J550&amp; "-" &amp; $N550,'BM Data'!$O:$O,0),1),""))</f>
        <v/>
      </c>
      <c r="Q550" s="16" t="str">
        <f t="array" ref="Q550">IF($A550="","", IFERROR(INDEX('BM Data'!$J:$J,MATCH($J550&amp; "-" &amp; $N550,'BM Data'!$O:$O,0),1),""))</f>
        <v/>
      </c>
    </row>
    <row r="551">
      <c r="A551" s="10" t="str">
        <f>IFERROR(__xludf.DUMMYFUNCTION("""COMPUTED_VALUE"""),"")</f>
        <v/>
      </c>
      <c r="B551" s="3" t="str">
        <f>IFERROR(__xludf.DUMMYFUNCTION("""COMPUTED_VALUE"""),"")</f>
        <v/>
      </c>
      <c r="C551" s="11" t="str">
        <f>IFERROR(__xludf.DUMMYFUNCTION("""COMPUTED_VALUE"""),"")</f>
        <v/>
      </c>
      <c r="D551" s="11" t="str">
        <f>IFERROR(__xludf.DUMMYFUNCTION("""COMPUTED_VALUE"""),"")</f>
        <v/>
      </c>
      <c r="E551" s="11" t="str">
        <f>IFERROR(__xludf.DUMMYFUNCTION("""COMPUTED_VALUE"""),"")</f>
        <v/>
      </c>
      <c r="F551" s="11" t="str">
        <f>IFERROR(__xludf.DUMMYFUNCTION("""COMPUTED_VALUE"""),"")</f>
        <v/>
      </c>
      <c r="G551" s="11" t="str">
        <f>IFERROR(__xludf.DUMMYFUNCTION("""COMPUTED_VALUE"""),"")</f>
        <v/>
      </c>
      <c r="H551" s="12" t="str">
        <f>IFERROR(__xludf.DUMMYFUNCTION("""COMPUTED_VALUE"""),"")</f>
        <v/>
      </c>
      <c r="I551" s="12" t="str">
        <f>IFERROR(__xludf.DUMMYFUNCTION("""COMPUTED_VALUE"""),"")</f>
        <v/>
      </c>
      <c r="J551" s="13" t="str">
        <f t="shared" si="1"/>
        <v/>
      </c>
      <c r="K551" s="12" t="str">
        <f>IFERROR(IF(A551="","",if($G551="",Reference!$J$2, VLOOKUP($G551,Reference!$I$2:$J$1000,2,false))),"")</f>
        <v/>
      </c>
      <c r="L551" s="12" t="str">
        <f>IF(A551="","", IF(F551="",Reference!$M$2,F551))</f>
        <v/>
      </c>
      <c r="M551" s="14" t="str">
        <f t="shared" si="2"/>
        <v/>
      </c>
      <c r="N551" s="15" t="str">
        <f t="shared" si="3"/>
        <v/>
      </c>
      <c r="O551" s="14" t="str">
        <f t="shared" si="4"/>
        <v/>
      </c>
      <c r="P551" s="16" t="str">
        <f t="array" ref="P551">IF($A551="","", IFERROR(INDEX('BM Data'!$N:$N,MATCH($J551&amp; "-" &amp; $N551,'BM Data'!$O:$O,0),1),""))</f>
        <v/>
      </c>
      <c r="Q551" s="16" t="str">
        <f t="array" ref="Q551">IF($A551="","", IFERROR(INDEX('BM Data'!$J:$J,MATCH($J551&amp; "-" &amp; $N551,'BM Data'!$O:$O,0),1),""))</f>
        <v/>
      </c>
    </row>
    <row r="552">
      <c r="A552" s="10" t="str">
        <f>IFERROR(__xludf.DUMMYFUNCTION("""COMPUTED_VALUE"""),"")</f>
        <v/>
      </c>
      <c r="B552" s="3" t="str">
        <f>IFERROR(__xludf.DUMMYFUNCTION("""COMPUTED_VALUE"""),"")</f>
        <v/>
      </c>
      <c r="C552" s="11" t="str">
        <f>IFERROR(__xludf.DUMMYFUNCTION("""COMPUTED_VALUE"""),"")</f>
        <v/>
      </c>
      <c r="D552" s="11" t="str">
        <f>IFERROR(__xludf.DUMMYFUNCTION("""COMPUTED_VALUE"""),"")</f>
        <v/>
      </c>
      <c r="E552" s="11" t="str">
        <f>IFERROR(__xludf.DUMMYFUNCTION("""COMPUTED_VALUE"""),"")</f>
        <v/>
      </c>
      <c r="F552" s="11" t="str">
        <f>IFERROR(__xludf.DUMMYFUNCTION("""COMPUTED_VALUE"""),"")</f>
        <v/>
      </c>
      <c r="G552" s="11" t="str">
        <f>IFERROR(__xludf.DUMMYFUNCTION("""COMPUTED_VALUE"""),"")</f>
        <v/>
      </c>
      <c r="H552" s="12" t="str">
        <f>IFERROR(__xludf.DUMMYFUNCTION("""COMPUTED_VALUE"""),"")</f>
        <v/>
      </c>
      <c r="I552" s="12" t="str">
        <f>IFERROR(__xludf.DUMMYFUNCTION("""COMPUTED_VALUE"""),"")</f>
        <v/>
      </c>
      <c r="J552" s="13" t="str">
        <f t="shared" si="1"/>
        <v/>
      </c>
      <c r="K552" s="12" t="str">
        <f>IFERROR(IF(A552="","",if($G552="",Reference!$J$2, VLOOKUP($G552,Reference!$I$2:$J$1000,2,false))),"")</f>
        <v/>
      </c>
      <c r="L552" s="12" t="str">
        <f>IF(A552="","", IF(F552="",Reference!$M$2,F552))</f>
        <v/>
      </c>
      <c r="M552" s="14" t="str">
        <f t="shared" si="2"/>
        <v/>
      </c>
      <c r="N552" s="15" t="str">
        <f t="shared" si="3"/>
        <v/>
      </c>
      <c r="O552" s="14" t="str">
        <f t="shared" si="4"/>
        <v/>
      </c>
      <c r="P552" s="16" t="str">
        <f t="array" ref="P552">IF($A552="","", IFERROR(INDEX('BM Data'!$N:$N,MATCH($J552&amp; "-" &amp; $N552,'BM Data'!$O:$O,0),1),""))</f>
        <v/>
      </c>
      <c r="Q552" s="16" t="str">
        <f t="array" ref="Q552">IF($A552="","", IFERROR(INDEX('BM Data'!$J:$J,MATCH($J552&amp; "-" &amp; $N552,'BM Data'!$O:$O,0),1),""))</f>
        <v/>
      </c>
    </row>
    <row r="553">
      <c r="A553" s="10" t="str">
        <f>IFERROR(__xludf.DUMMYFUNCTION("""COMPUTED_VALUE"""),"")</f>
        <v/>
      </c>
      <c r="B553" s="3" t="str">
        <f>IFERROR(__xludf.DUMMYFUNCTION("""COMPUTED_VALUE"""),"")</f>
        <v/>
      </c>
      <c r="C553" s="11" t="str">
        <f>IFERROR(__xludf.DUMMYFUNCTION("""COMPUTED_VALUE"""),"")</f>
        <v/>
      </c>
      <c r="D553" s="11" t="str">
        <f>IFERROR(__xludf.DUMMYFUNCTION("""COMPUTED_VALUE"""),"")</f>
        <v/>
      </c>
      <c r="E553" s="11" t="str">
        <f>IFERROR(__xludf.DUMMYFUNCTION("""COMPUTED_VALUE"""),"")</f>
        <v/>
      </c>
      <c r="F553" s="11" t="str">
        <f>IFERROR(__xludf.DUMMYFUNCTION("""COMPUTED_VALUE"""),"")</f>
        <v/>
      </c>
      <c r="G553" s="11" t="str">
        <f>IFERROR(__xludf.DUMMYFUNCTION("""COMPUTED_VALUE"""),"")</f>
        <v/>
      </c>
      <c r="H553" s="12" t="str">
        <f>IFERROR(__xludf.DUMMYFUNCTION("""COMPUTED_VALUE"""),"")</f>
        <v/>
      </c>
      <c r="I553" s="12" t="str">
        <f>IFERROR(__xludf.DUMMYFUNCTION("""COMPUTED_VALUE"""),"")</f>
        <v/>
      </c>
      <c r="J553" s="13" t="str">
        <f t="shared" si="1"/>
        <v/>
      </c>
      <c r="K553" s="12" t="str">
        <f>IFERROR(IF(A553="","",if($G553="",Reference!$J$2, VLOOKUP($G553,Reference!$I$2:$J$1000,2,false))),"")</f>
        <v/>
      </c>
      <c r="L553" s="12" t="str">
        <f>IF(A553="","", IF(F553="",Reference!$M$2,F553))</f>
        <v/>
      </c>
      <c r="M553" s="14" t="str">
        <f t="shared" si="2"/>
        <v/>
      </c>
      <c r="N553" s="15" t="str">
        <f t="shared" si="3"/>
        <v/>
      </c>
      <c r="O553" s="14" t="str">
        <f t="shared" si="4"/>
        <v/>
      </c>
      <c r="P553" s="16" t="str">
        <f t="array" ref="P553">IF($A553="","", IFERROR(INDEX('BM Data'!$N:$N,MATCH($J553&amp; "-" &amp; $N553,'BM Data'!$O:$O,0),1),""))</f>
        <v/>
      </c>
      <c r="Q553" s="16" t="str">
        <f t="array" ref="Q553">IF($A553="","", IFERROR(INDEX('BM Data'!$J:$J,MATCH($J553&amp; "-" &amp; $N553,'BM Data'!$O:$O,0),1),""))</f>
        <v/>
      </c>
    </row>
    <row r="554">
      <c r="A554" s="10" t="str">
        <f>IFERROR(__xludf.DUMMYFUNCTION("""COMPUTED_VALUE"""),"")</f>
        <v/>
      </c>
      <c r="B554" s="3" t="str">
        <f>IFERROR(__xludf.DUMMYFUNCTION("""COMPUTED_VALUE"""),"")</f>
        <v/>
      </c>
      <c r="C554" s="11" t="str">
        <f>IFERROR(__xludf.DUMMYFUNCTION("""COMPUTED_VALUE"""),"")</f>
        <v/>
      </c>
      <c r="D554" s="11" t="str">
        <f>IFERROR(__xludf.DUMMYFUNCTION("""COMPUTED_VALUE"""),"")</f>
        <v/>
      </c>
      <c r="E554" s="11" t="str">
        <f>IFERROR(__xludf.DUMMYFUNCTION("""COMPUTED_VALUE"""),"")</f>
        <v/>
      </c>
      <c r="F554" s="11" t="str">
        <f>IFERROR(__xludf.DUMMYFUNCTION("""COMPUTED_VALUE"""),"")</f>
        <v/>
      </c>
      <c r="G554" s="11" t="str">
        <f>IFERROR(__xludf.DUMMYFUNCTION("""COMPUTED_VALUE"""),"")</f>
        <v/>
      </c>
      <c r="H554" s="12" t="str">
        <f>IFERROR(__xludf.DUMMYFUNCTION("""COMPUTED_VALUE"""),"")</f>
        <v/>
      </c>
      <c r="I554" s="12" t="str">
        <f>IFERROR(__xludf.DUMMYFUNCTION("""COMPUTED_VALUE"""),"")</f>
        <v/>
      </c>
      <c r="J554" s="13" t="str">
        <f t="shared" si="1"/>
        <v/>
      </c>
      <c r="K554" s="12" t="str">
        <f>IFERROR(IF(A554="","",if($G554="",Reference!$J$2, VLOOKUP($G554,Reference!$I$2:$J$1000,2,false))),"")</f>
        <v/>
      </c>
      <c r="L554" s="12" t="str">
        <f>IF(A554="","", IF(F554="",Reference!$M$2,F554))</f>
        <v/>
      </c>
      <c r="M554" s="14" t="str">
        <f t="shared" si="2"/>
        <v/>
      </c>
      <c r="N554" s="15" t="str">
        <f t="shared" si="3"/>
        <v/>
      </c>
      <c r="O554" s="14" t="str">
        <f t="shared" si="4"/>
        <v/>
      </c>
      <c r="P554" s="16" t="str">
        <f t="array" ref="P554">IF($A554="","", IFERROR(INDEX('BM Data'!$N:$N,MATCH($J554&amp; "-" &amp; $N554,'BM Data'!$O:$O,0),1),""))</f>
        <v/>
      </c>
      <c r="Q554" s="16" t="str">
        <f t="array" ref="Q554">IF($A554="","", IFERROR(INDEX('BM Data'!$J:$J,MATCH($J554&amp; "-" &amp; $N554,'BM Data'!$O:$O,0),1),""))</f>
        <v/>
      </c>
    </row>
    <row r="555">
      <c r="A555" s="10" t="str">
        <f>IFERROR(__xludf.DUMMYFUNCTION("""COMPUTED_VALUE"""),"")</f>
        <v/>
      </c>
      <c r="B555" s="3" t="str">
        <f>IFERROR(__xludf.DUMMYFUNCTION("""COMPUTED_VALUE"""),"")</f>
        <v/>
      </c>
      <c r="C555" s="11" t="str">
        <f>IFERROR(__xludf.DUMMYFUNCTION("""COMPUTED_VALUE"""),"")</f>
        <v/>
      </c>
      <c r="D555" s="11" t="str">
        <f>IFERROR(__xludf.DUMMYFUNCTION("""COMPUTED_VALUE"""),"")</f>
        <v/>
      </c>
      <c r="E555" s="11" t="str">
        <f>IFERROR(__xludf.DUMMYFUNCTION("""COMPUTED_VALUE"""),"")</f>
        <v/>
      </c>
      <c r="F555" s="11" t="str">
        <f>IFERROR(__xludf.DUMMYFUNCTION("""COMPUTED_VALUE"""),"")</f>
        <v/>
      </c>
      <c r="G555" s="11" t="str">
        <f>IFERROR(__xludf.DUMMYFUNCTION("""COMPUTED_VALUE"""),"")</f>
        <v/>
      </c>
      <c r="H555" s="12" t="str">
        <f>IFERROR(__xludf.DUMMYFUNCTION("""COMPUTED_VALUE"""),"")</f>
        <v/>
      </c>
      <c r="I555" s="12" t="str">
        <f>IFERROR(__xludf.DUMMYFUNCTION("""COMPUTED_VALUE"""),"")</f>
        <v/>
      </c>
      <c r="J555" s="13" t="str">
        <f t="shared" si="1"/>
        <v/>
      </c>
      <c r="K555" s="12" t="str">
        <f>IFERROR(IF(A555="","",if($G555="",Reference!$J$2, VLOOKUP($G555,Reference!$I$2:$J$1000,2,false))),"")</f>
        <v/>
      </c>
      <c r="L555" s="12" t="str">
        <f>IF(A555="","", IF(F555="",Reference!$M$2,F555))</f>
        <v/>
      </c>
      <c r="M555" s="14" t="str">
        <f t="shared" si="2"/>
        <v/>
      </c>
      <c r="N555" s="15" t="str">
        <f t="shared" si="3"/>
        <v/>
      </c>
      <c r="O555" s="14" t="str">
        <f t="shared" si="4"/>
        <v/>
      </c>
      <c r="P555" s="16" t="str">
        <f t="array" ref="P555">IF($A555="","", IFERROR(INDEX('BM Data'!$N:$N,MATCH($J555&amp; "-" &amp; $N555,'BM Data'!$O:$O,0),1),""))</f>
        <v/>
      </c>
      <c r="Q555" s="16" t="str">
        <f t="array" ref="Q555">IF($A555="","", IFERROR(INDEX('BM Data'!$J:$J,MATCH($J555&amp; "-" &amp; $N555,'BM Data'!$O:$O,0),1),""))</f>
        <v/>
      </c>
    </row>
    <row r="556">
      <c r="A556" s="10" t="str">
        <f>IFERROR(__xludf.DUMMYFUNCTION("""COMPUTED_VALUE"""),"")</f>
        <v/>
      </c>
      <c r="B556" s="3" t="str">
        <f>IFERROR(__xludf.DUMMYFUNCTION("""COMPUTED_VALUE"""),"")</f>
        <v/>
      </c>
      <c r="C556" s="11" t="str">
        <f>IFERROR(__xludf.DUMMYFUNCTION("""COMPUTED_VALUE"""),"")</f>
        <v/>
      </c>
      <c r="D556" s="11" t="str">
        <f>IFERROR(__xludf.DUMMYFUNCTION("""COMPUTED_VALUE"""),"")</f>
        <v/>
      </c>
      <c r="E556" s="11" t="str">
        <f>IFERROR(__xludf.DUMMYFUNCTION("""COMPUTED_VALUE"""),"")</f>
        <v/>
      </c>
      <c r="F556" s="11" t="str">
        <f>IFERROR(__xludf.DUMMYFUNCTION("""COMPUTED_VALUE"""),"")</f>
        <v/>
      </c>
      <c r="G556" s="11" t="str">
        <f>IFERROR(__xludf.DUMMYFUNCTION("""COMPUTED_VALUE"""),"")</f>
        <v/>
      </c>
      <c r="H556" s="12" t="str">
        <f>IFERROR(__xludf.DUMMYFUNCTION("""COMPUTED_VALUE"""),"")</f>
        <v/>
      </c>
      <c r="I556" s="12" t="str">
        <f>IFERROR(__xludf.DUMMYFUNCTION("""COMPUTED_VALUE"""),"")</f>
        <v/>
      </c>
      <c r="J556" s="13" t="str">
        <f t="shared" si="1"/>
        <v/>
      </c>
      <c r="K556" s="12" t="str">
        <f>IFERROR(IF(A556="","",if($G556="",Reference!$J$2, VLOOKUP($G556,Reference!$I$2:$J$1000,2,false))),"")</f>
        <v/>
      </c>
      <c r="L556" s="12" t="str">
        <f>IF(A556="","", IF(F556="",Reference!$M$2,F556))</f>
        <v/>
      </c>
      <c r="M556" s="14" t="str">
        <f t="shared" si="2"/>
        <v/>
      </c>
      <c r="N556" s="15" t="str">
        <f t="shared" si="3"/>
        <v/>
      </c>
      <c r="O556" s="14" t="str">
        <f t="shared" si="4"/>
        <v/>
      </c>
      <c r="P556" s="16" t="str">
        <f t="array" ref="P556">IF($A556="","", IFERROR(INDEX('BM Data'!$N:$N,MATCH($J556&amp; "-" &amp; $N556,'BM Data'!$O:$O,0),1),""))</f>
        <v/>
      </c>
      <c r="Q556" s="16" t="str">
        <f t="array" ref="Q556">IF($A556="","", IFERROR(INDEX('BM Data'!$J:$J,MATCH($J556&amp; "-" &amp; $N556,'BM Data'!$O:$O,0),1),""))</f>
        <v/>
      </c>
    </row>
    <row r="557">
      <c r="A557" s="10" t="str">
        <f>IFERROR(__xludf.DUMMYFUNCTION("""COMPUTED_VALUE"""),"")</f>
        <v/>
      </c>
      <c r="B557" s="3" t="str">
        <f>IFERROR(__xludf.DUMMYFUNCTION("""COMPUTED_VALUE"""),"")</f>
        <v/>
      </c>
      <c r="C557" s="11" t="str">
        <f>IFERROR(__xludf.DUMMYFUNCTION("""COMPUTED_VALUE"""),"")</f>
        <v/>
      </c>
      <c r="D557" s="11" t="str">
        <f>IFERROR(__xludf.DUMMYFUNCTION("""COMPUTED_VALUE"""),"")</f>
        <v/>
      </c>
      <c r="E557" s="11" t="str">
        <f>IFERROR(__xludf.DUMMYFUNCTION("""COMPUTED_VALUE"""),"")</f>
        <v/>
      </c>
      <c r="F557" s="11" t="str">
        <f>IFERROR(__xludf.DUMMYFUNCTION("""COMPUTED_VALUE"""),"")</f>
        <v/>
      </c>
      <c r="G557" s="11" t="str">
        <f>IFERROR(__xludf.DUMMYFUNCTION("""COMPUTED_VALUE"""),"")</f>
        <v/>
      </c>
      <c r="H557" s="12" t="str">
        <f>IFERROR(__xludf.DUMMYFUNCTION("""COMPUTED_VALUE"""),"")</f>
        <v/>
      </c>
      <c r="I557" s="12" t="str">
        <f>IFERROR(__xludf.DUMMYFUNCTION("""COMPUTED_VALUE"""),"")</f>
        <v/>
      </c>
      <c r="J557" s="13" t="str">
        <f t="shared" si="1"/>
        <v/>
      </c>
      <c r="K557" s="12" t="str">
        <f>IFERROR(IF(A557="","",if($G557="",Reference!$J$2, VLOOKUP($G557,Reference!$I$2:$J$1000,2,false))),"")</f>
        <v/>
      </c>
      <c r="L557" s="12" t="str">
        <f>IF(A557="","", IF(F557="",Reference!$M$2,F557))</f>
        <v/>
      </c>
      <c r="M557" s="14" t="str">
        <f t="shared" si="2"/>
        <v/>
      </c>
      <c r="N557" s="15" t="str">
        <f t="shared" si="3"/>
        <v/>
      </c>
      <c r="O557" s="14" t="str">
        <f t="shared" si="4"/>
        <v/>
      </c>
      <c r="P557" s="16" t="str">
        <f t="array" ref="P557">IF($A557="","", IFERROR(INDEX('BM Data'!$N:$N,MATCH($J557&amp; "-" &amp; $N557,'BM Data'!$O:$O,0),1),""))</f>
        <v/>
      </c>
      <c r="Q557" s="16" t="str">
        <f t="array" ref="Q557">IF($A557="","", IFERROR(INDEX('BM Data'!$J:$J,MATCH($J557&amp; "-" &amp; $N557,'BM Data'!$O:$O,0),1),""))</f>
        <v/>
      </c>
    </row>
    <row r="558">
      <c r="A558" s="10" t="str">
        <f>IFERROR(__xludf.DUMMYFUNCTION("""COMPUTED_VALUE"""),"")</f>
        <v/>
      </c>
      <c r="B558" s="3" t="str">
        <f>IFERROR(__xludf.DUMMYFUNCTION("""COMPUTED_VALUE"""),"")</f>
        <v/>
      </c>
      <c r="C558" s="11" t="str">
        <f>IFERROR(__xludf.DUMMYFUNCTION("""COMPUTED_VALUE"""),"")</f>
        <v/>
      </c>
      <c r="D558" s="11" t="str">
        <f>IFERROR(__xludf.DUMMYFUNCTION("""COMPUTED_VALUE"""),"")</f>
        <v/>
      </c>
      <c r="E558" s="11" t="str">
        <f>IFERROR(__xludf.DUMMYFUNCTION("""COMPUTED_VALUE"""),"")</f>
        <v/>
      </c>
      <c r="F558" s="11" t="str">
        <f>IFERROR(__xludf.DUMMYFUNCTION("""COMPUTED_VALUE"""),"")</f>
        <v/>
      </c>
      <c r="G558" s="11" t="str">
        <f>IFERROR(__xludf.DUMMYFUNCTION("""COMPUTED_VALUE"""),"")</f>
        <v/>
      </c>
      <c r="H558" s="12" t="str">
        <f>IFERROR(__xludf.DUMMYFUNCTION("""COMPUTED_VALUE"""),"")</f>
        <v/>
      </c>
      <c r="I558" s="12" t="str">
        <f>IFERROR(__xludf.DUMMYFUNCTION("""COMPUTED_VALUE"""),"")</f>
        <v/>
      </c>
      <c r="J558" s="13" t="str">
        <f t="shared" si="1"/>
        <v/>
      </c>
      <c r="K558" s="12" t="str">
        <f>IFERROR(IF(A558="","",if($G558="",Reference!$J$2, VLOOKUP($G558,Reference!$I$2:$J$1000,2,false))),"")</f>
        <v/>
      </c>
      <c r="L558" s="12" t="str">
        <f>IF(A558="","", IF(F558="",Reference!$M$2,F558))</f>
        <v/>
      </c>
      <c r="M558" s="14" t="str">
        <f t="shared" si="2"/>
        <v/>
      </c>
      <c r="N558" s="15" t="str">
        <f t="shared" si="3"/>
        <v/>
      </c>
      <c r="O558" s="14" t="str">
        <f t="shared" si="4"/>
        <v/>
      </c>
      <c r="P558" s="16" t="str">
        <f t="array" ref="P558">IF($A558="","", IFERROR(INDEX('BM Data'!$N:$N,MATCH($J558&amp; "-" &amp; $N558,'BM Data'!$O:$O,0),1),""))</f>
        <v/>
      </c>
      <c r="Q558" s="16" t="str">
        <f t="array" ref="Q558">IF($A558="","", IFERROR(INDEX('BM Data'!$J:$J,MATCH($J558&amp; "-" &amp; $N558,'BM Data'!$O:$O,0),1),""))</f>
        <v/>
      </c>
    </row>
    <row r="559">
      <c r="A559" s="10" t="str">
        <f>IFERROR(__xludf.DUMMYFUNCTION("""COMPUTED_VALUE"""),"")</f>
        <v/>
      </c>
      <c r="B559" s="3" t="str">
        <f>IFERROR(__xludf.DUMMYFUNCTION("""COMPUTED_VALUE"""),"")</f>
        <v/>
      </c>
      <c r="C559" s="11" t="str">
        <f>IFERROR(__xludf.DUMMYFUNCTION("""COMPUTED_VALUE"""),"")</f>
        <v/>
      </c>
      <c r="D559" s="11" t="str">
        <f>IFERROR(__xludf.DUMMYFUNCTION("""COMPUTED_VALUE"""),"")</f>
        <v/>
      </c>
      <c r="E559" s="11" t="str">
        <f>IFERROR(__xludf.DUMMYFUNCTION("""COMPUTED_VALUE"""),"")</f>
        <v/>
      </c>
      <c r="F559" s="11" t="str">
        <f>IFERROR(__xludf.DUMMYFUNCTION("""COMPUTED_VALUE"""),"")</f>
        <v/>
      </c>
      <c r="G559" s="11" t="str">
        <f>IFERROR(__xludf.DUMMYFUNCTION("""COMPUTED_VALUE"""),"")</f>
        <v/>
      </c>
      <c r="H559" s="12" t="str">
        <f>IFERROR(__xludf.DUMMYFUNCTION("""COMPUTED_VALUE"""),"")</f>
        <v/>
      </c>
      <c r="I559" s="12" t="str">
        <f>IFERROR(__xludf.DUMMYFUNCTION("""COMPUTED_VALUE"""),"")</f>
        <v/>
      </c>
      <c r="J559" s="13" t="str">
        <f t="shared" si="1"/>
        <v/>
      </c>
      <c r="K559" s="12" t="str">
        <f>IFERROR(IF(A559="","",if($G559="",Reference!$J$2, VLOOKUP($G559,Reference!$I$2:$J$1000,2,false))),"")</f>
        <v/>
      </c>
      <c r="L559" s="12" t="str">
        <f>IF(A559="","", IF(F559="",Reference!$M$2,F559))</f>
        <v/>
      </c>
      <c r="M559" s="14" t="str">
        <f t="shared" si="2"/>
        <v/>
      </c>
      <c r="N559" s="15" t="str">
        <f t="shared" si="3"/>
        <v/>
      </c>
      <c r="O559" s="14" t="str">
        <f t="shared" si="4"/>
        <v/>
      </c>
      <c r="P559" s="16" t="str">
        <f t="array" ref="P559">IF($A559="","", IFERROR(INDEX('BM Data'!$N:$N,MATCH($J559&amp; "-" &amp; $N559,'BM Data'!$O:$O,0),1),""))</f>
        <v/>
      </c>
      <c r="Q559" s="16" t="str">
        <f t="array" ref="Q559">IF($A559="","", IFERROR(INDEX('BM Data'!$J:$J,MATCH($J559&amp; "-" &amp; $N559,'BM Data'!$O:$O,0),1),""))</f>
        <v/>
      </c>
    </row>
    <row r="560">
      <c r="A560" s="10" t="str">
        <f>IFERROR(__xludf.DUMMYFUNCTION("""COMPUTED_VALUE"""),"")</f>
        <v/>
      </c>
      <c r="B560" s="3" t="str">
        <f>IFERROR(__xludf.DUMMYFUNCTION("""COMPUTED_VALUE"""),"")</f>
        <v/>
      </c>
      <c r="C560" s="11" t="str">
        <f>IFERROR(__xludf.DUMMYFUNCTION("""COMPUTED_VALUE"""),"")</f>
        <v/>
      </c>
      <c r="D560" s="11" t="str">
        <f>IFERROR(__xludf.DUMMYFUNCTION("""COMPUTED_VALUE"""),"")</f>
        <v/>
      </c>
      <c r="E560" s="11" t="str">
        <f>IFERROR(__xludf.DUMMYFUNCTION("""COMPUTED_VALUE"""),"")</f>
        <v/>
      </c>
      <c r="F560" s="11" t="str">
        <f>IFERROR(__xludf.DUMMYFUNCTION("""COMPUTED_VALUE"""),"")</f>
        <v/>
      </c>
      <c r="G560" s="11" t="str">
        <f>IFERROR(__xludf.DUMMYFUNCTION("""COMPUTED_VALUE"""),"")</f>
        <v/>
      </c>
      <c r="H560" s="12" t="str">
        <f>IFERROR(__xludf.DUMMYFUNCTION("""COMPUTED_VALUE"""),"")</f>
        <v/>
      </c>
      <c r="I560" s="12" t="str">
        <f>IFERROR(__xludf.DUMMYFUNCTION("""COMPUTED_VALUE"""),"")</f>
        <v/>
      </c>
      <c r="J560" s="13" t="str">
        <f t="shared" si="1"/>
        <v/>
      </c>
      <c r="K560" s="12" t="str">
        <f>IFERROR(IF(A560="","",if($G560="",Reference!$J$2, VLOOKUP($G560,Reference!$I$2:$J$1000,2,false))),"")</f>
        <v/>
      </c>
      <c r="L560" s="12" t="str">
        <f>IF(A560="","", IF(F560="",Reference!$M$2,F560))</f>
        <v/>
      </c>
      <c r="M560" s="14" t="str">
        <f t="shared" si="2"/>
        <v/>
      </c>
      <c r="N560" s="15" t="str">
        <f t="shared" si="3"/>
        <v/>
      </c>
      <c r="O560" s="14" t="str">
        <f t="shared" si="4"/>
        <v/>
      </c>
      <c r="P560" s="16" t="str">
        <f t="array" ref="P560">IF($A560="","", IFERROR(INDEX('BM Data'!$N:$N,MATCH($J560&amp; "-" &amp; $N560,'BM Data'!$O:$O,0),1),""))</f>
        <v/>
      </c>
      <c r="Q560" s="16" t="str">
        <f t="array" ref="Q560">IF($A560="","", IFERROR(INDEX('BM Data'!$J:$J,MATCH($J560&amp; "-" &amp; $N560,'BM Data'!$O:$O,0),1),""))</f>
        <v/>
      </c>
    </row>
    <row r="561">
      <c r="A561" s="10" t="str">
        <f>IFERROR(__xludf.DUMMYFUNCTION("""COMPUTED_VALUE"""),"")</f>
        <v/>
      </c>
      <c r="B561" s="3" t="str">
        <f>IFERROR(__xludf.DUMMYFUNCTION("""COMPUTED_VALUE"""),"")</f>
        <v/>
      </c>
      <c r="C561" s="11" t="str">
        <f>IFERROR(__xludf.DUMMYFUNCTION("""COMPUTED_VALUE"""),"")</f>
        <v/>
      </c>
      <c r="D561" s="11" t="str">
        <f>IFERROR(__xludf.DUMMYFUNCTION("""COMPUTED_VALUE"""),"")</f>
        <v/>
      </c>
      <c r="E561" s="11" t="str">
        <f>IFERROR(__xludf.DUMMYFUNCTION("""COMPUTED_VALUE"""),"")</f>
        <v/>
      </c>
      <c r="F561" s="11" t="str">
        <f>IFERROR(__xludf.DUMMYFUNCTION("""COMPUTED_VALUE"""),"")</f>
        <v/>
      </c>
      <c r="G561" s="11" t="str">
        <f>IFERROR(__xludf.DUMMYFUNCTION("""COMPUTED_VALUE"""),"")</f>
        <v/>
      </c>
      <c r="H561" s="12" t="str">
        <f>IFERROR(__xludf.DUMMYFUNCTION("""COMPUTED_VALUE"""),"")</f>
        <v/>
      </c>
      <c r="I561" s="12" t="str">
        <f>IFERROR(__xludf.DUMMYFUNCTION("""COMPUTED_VALUE"""),"")</f>
        <v/>
      </c>
      <c r="J561" s="13" t="str">
        <f t="shared" si="1"/>
        <v/>
      </c>
      <c r="K561" s="12" t="str">
        <f>IFERROR(IF(A561="","",if($G561="",Reference!$J$2, VLOOKUP($G561,Reference!$I$2:$J$1000,2,false))),"")</f>
        <v/>
      </c>
      <c r="L561" s="12" t="str">
        <f>IF(A561="","", IF(F561="",Reference!$M$2,F561))</f>
        <v/>
      </c>
      <c r="M561" s="14" t="str">
        <f t="shared" si="2"/>
        <v/>
      </c>
      <c r="N561" s="15" t="str">
        <f t="shared" si="3"/>
        <v/>
      </c>
      <c r="O561" s="14" t="str">
        <f t="shared" si="4"/>
        <v/>
      </c>
      <c r="P561" s="16" t="str">
        <f t="array" ref="P561">IF($A561="","", IFERROR(INDEX('BM Data'!$N:$N,MATCH($J561&amp; "-" &amp; $N561,'BM Data'!$O:$O,0),1),""))</f>
        <v/>
      </c>
      <c r="Q561" s="16" t="str">
        <f t="array" ref="Q561">IF($A561="","", IFERROR(INDEX('BM Data'!$J:$J,MATCH($J561&amp; "-" &amp; $N561,'BM Data'!$O:$O,0),1),""))</f>
        <v/>
      </c>
    </row>
    <row r="562">
      <c r="A562" s="10" t="str">
        <f>IFERROR(__xludf.DUMMYFUNCTION("""COMPUTED_VALUE"""),"")</f>
        <v/>
      </c>
      <c r="B562" s="3" t="str">
        <f>IFERROR(__xludf.DUMMYFUNCTION("""COMPUTED_VALUE"""),"")</f>
        <v/>
      </c>
      <c r="C562" s="11" t="str">
        <f>IFERROR(__xludf.DUMMYFUNCTION("""COMPUTED_VALUE"""),"")</f>
        <v/>
      </c>
      <c r="D562" s="11" t="str">
        <f>IFERROR(__xludf.DUMMYFUNCTION("""COMPUTED_VALUE"""),"")</f>
        <v/>
      </c>
      <c r="E562" s="11" t="str">
        <f>IFERROR(__xludf.DUMMYFUNCTION("""COMPUTED_VALUE"""),"")</f>
        <v/>
      </c>
      <c r="F562" s="11" t="str">
        <f>IFERROR(__xludf.DUMMYFUNCTION("""COMPUTED_VALUE"""),"")</f>
        <v/>
      </c>
      <c r="G562" s="11" t="str">
        <f>IFERROR(__xludf.DUMMYFUNCTION("""COMPUTED_VALUE"""),"")</f>
        <v/>
      </c>
      <c r="H562" s="12" t="str">
        <f>IFERROR(__xludf.DUMMYFUNCTION("""COMPUTED_VALUE"""),"")</f>
        <v/>
      </c>
      <c r="I562" s="12" t="str">
        <f>IFERROR(__xludf.DUMMYFUNCTION("""COMPUTED_VALUE"""),"")</f>
        <v/>
      </c>
      <c r="J562" s="13" t="str">
        <f t="shared" si="1"/>
        <v/>
      </c>
      <c r="K562" s="12" t="str">
        <f>IFERROR(IF(A562="","",if($G562="",Reference!$J$2, VLOOKUP($G562,Reference!$I$2:$J$1000,2,false))),"")</f>
        <v/>
      </c>
      <c r="L562" s="12" t="str">
        <f>IF(A562="","", IF(F562="",Reference!$M$2,F562))</f>
        <v/>
      </c>
      <c r="M562" s="14" t="str">
        <f t="shared" si="2"/>
        <v/>
      </c>
      <c r="N562" s="15" t="str">
        <f t="shared" si="3"/>
        <v/>
      </c>
      <c r="O562" s="14" t="str">
        <f t="shared" si="4"/>
        <v/>
      </c>
      <c r="P562" s="16" t="str">
        <f t="array" ref="P562">IF($A562="","", IFERROR(INDEX('BM Data'!$N:$N,MATCH($J562&amp; "-" &amp; $N562,'BM Data'!$O:$O,0),1),""))</f>
        <v/>
      </c>
      <c r="Q562" s="16" t="str">
        <f t="array" ref="Q562">IF($A562="","", IFERROR(INDEX('BM Data'!$J:$J,MATCH($J562&amp; "-" &amp; $N562,'BM Data'!$O:$O,0),1),""))</f>
        <v/>
      </c>
    </row>
    <row r="563">
      <c r="A563" s="10" t="str">
        <f>IFERROR(__xludf.DUMMYFUNCTION("""COMPUTED_VALUE"""),"")</f>
        <v/>
      </c>
      <c r="B563" s="3" t="str">
        <f>IFERROR(__xludf.DUMMYFUNCTION("""COMPUTED_VALUE"""),"")</f>
        <v/>
      </c>
      <c r="C563" s="11" t="str">
        <f>IFERROR(__xludf.DUMMYFUNCTION("""COMPUTED_VALUE"""),"")</f>
        <v/>
      </c>
      <c r="D563" s="11" t="str">
        <f>IFERROR(__xludf.DUMMYFUNCTION("""COMPUTED_VALUE"""),"")</f>
        <v/>
      </c>
      <c r="E563" s="11" t="str">
        <f>IFERROR(__xludf.DUMMYFUNCTION("""COMPUTED_VALUE"""),"")</f>
        <v/>
      </c>
      <c r="F563" s="11" t="str">
        <f>IFERROR(__xludf.DUMMYFUNCTION("""COMPUTED_VALUE"""),"")</f>
        <v/>
      </c>
      <c r="G563" s="11" t="str">
        <f>IFERROR(__xludf.DUMMYFUNCTION("""COMPUTED_VALUE"""),"")</f>
        <v/>
      </c>
      <c r="H563" s="12" t="str">
        <f>IFERROR(__xludf.DUMMYFUNCTION("""COMPUTED_VALUE"""),"")</f>
        <v/>
      </c>
      <c r="I563" s="12" t="str">
        <f>IFERROR(__xludf.DUMMYFUNCTION("""COMPUTED_VALUE"""),"")</f>
        <v/>
      </c>
      <c r="J563" s="13" t="str">
        <f t="shared" si="1"/>
        <v/>
      </c>
      <c r="K563" s="12" t="str">
        <f>IFERROR(IF(A563="","",if($G563="",Reference!$J$2, VLOOKUP($G563,Reference!$I$2:$J$1000,2,false))),"")</f>
        <v/>
      </c>
      <c r="L563" s="12" t="str">
        <f>IF(A563="","", IF(F563="",Reference!$M$2,F563))</f>
        <v/>
      </c>
      <c r="M563" s="14" t="str">
        <f t="shared" si="2"/>
        <v/>
      </c>
      <c r="N563" s="15" t="str">
        <f t="shared" si="3"/>
        <v/>
      </c>
      <c r="O563" s="14" t="str">
        <f t="shared" si="4"/>
        <v/>
      </c>
      <c r="P563" s="16" t="str">
        <f t="array" ref="P563">IF($A563="","", IFERROR(INDEX('BM Data'!$N:$N,MATCH($J563&amp; "-" &amp; $N563,'BM Data'!$O:$O,0),1),""))</f>
        <v/>
      </c>
      <c r="Q563" s="16" t="str">
        <f t="array" ref="Q563">IF($A563="","", IFERROR(INDEX('BM Data'!$J:$J,MATCH($J563&amp; "-" &amp; $N563,'BM Data'!$O:$O,0),1),""))</f>
        <v/>
      </c>
    </row>
    <row r="564">
      <c r="A564" s="10" t="str">
        <f>IFERROR(__xludf.DUMMYFUNCTION("""COMPUTED_VALUE"""),"")</f>
        <v/>
      </c>
      <c r="B564" s="3" t="str">
        <f>IFERROR(__xludf.DUMMYFUNCTION("""COMPUTED_VALUE"""),"")</f>
        <v/>
      </c>
      <c r="C564" s="11" t="str">
        <f>IFERROR(__xludf.DUMMYFUNCTION("""COMPUTED_VALUE"""),"")</f>
        <v/>
      </c>
      <c r="D564" s="11" t="str">
        <f>IFERROR(__xludf.DUMMYFUNCTION("""COMPUTED_VALUE"""),"")</f>
        <v/>
      </c>
      <c r="E564" s="11" t="str">
        <f>IFERROR(__xludf.DUMMYFUNCTION("""COMPUTED_VALUE"""),"")</f>
        <v/>
      </c>
      <c r="F564" s="11" t="str">
        <f>IFERROR(__xludf.DUMMYFUNCTION("""COMPUTED_VALUE"""),"")</f>
        <v/>
      </c>
      <c r="G564" s="11" t="str">
        <f>IFERROR(__xludf.DUMMYFUNCTION("""COMPUTED_VALUE"""),"")</f>
        <v/>
      </c>
      <c r="H564" s="12" t="str">
        <f>IFERROR(__xludf.DUMMYFUNCTION("""COMPUTED_VALUE"""),"")</f>
        <v/>
      </c>
      <c r="I564" s="12" t="str">
        <f>IFERROR(__xludf.DUMMYFUNCTION("""COMPUTED_VALUE"""),"")</f>
        <v/>
      </c>
      <c r="J564" s="13" t="str">
        <f t="shared" si="1"/>
        <v/>
      </c>
      <c r="K564" s="12" t="str">
        <f>IFERROR(IF(A564="","",if($G564="",Reference!$J$2, VLOOKUP($G564,Reference!$I$2:$J$1000,2,false))),"")</f>
        <v/>
      </c>
      <c r="L564" s="12" t="str">
        <f>IF(A564="","", IF(F564="",Reference!$M$2,F564))</f>
        <v/>
      </c>
      <c r="M564" s="14" t="str">
        <f t="shared" si="2"/>
        <v/>
      </c>
      <c r="N564" s="15" t="str">
        <f t="shared" si="3"/>
        <v/>
      </c>
      <c r="O564" s="14" t="str">
        <f t="shared" si="4"/>
        <v/>
      </c>
      <c r="P564" s="16" t="str">
        <f t="array" ref="P564">IF($A564="","", IFERROR(INDEX('BM Data'!$N:$N,MATCH($J564&amp; "-" &amp; $N564,'BM Data'!$O:$O,0),1),""))</f>
        <v/>
      </c>
      <c r="Q564" s="16" t="str">
        <f t="array" ref="Q564">IF($A564="","", IFERROR(INDEX('BM Data'!$J:$J,MATCH($J564&amp; "-" &amp; $N564,'BM Data'!$O:$O,0),1),""))</f>
        <v/>
      </c>
    </row>
    <row r="565">
      <c r="A565" s="10" t="str">
        <f>IFERROR(__xludf.DUMMYFUNCTION("""COMPUTED_VALUE"""),"")</f>
        <v/>
      </c>
      <c r="B565" s="3" t="str">
        <f>IFERROR(__xludf.DUMMYFUNCTION("""COMPUTED_VALUE"""),"")</f>
        <v/>
      </c>
      <c r="C565" s="11" t="str">
        <f>IFERROR(__xludf.DUMMYFUNCTION("""COMPUTED_VALUE"""),"")</f>
        <v/>
      </c>
      <c r="D565" s="11" t="str">
        <f>IFERROR(__xludf.DUMMYFUNCTION("""COMPUTED_VALUE"""),"")</f>
        <v/>
      </c>
      <c r="E565" s="11" t="str">
        <f>IFERROR(__xludf.DUMMYFUNCTION("""COMPUTED_VALUE"""),"")</f>
        <v/>
      </c>
      <c r="F565" s="11" t="str">
        <f>IFERROR(__xludf.DUMMYFUNCTION("""COMPUTED_VALUE"""),"")</f>
        <v/>
      </c>
      <c r="G565" s="11" t="str">
        <f>IFERROR(__xludf.DUMMYFUNCTION("""COMPUTED_VALUE"""),"")</f>
        <v/>
      </c>
      <c r="H565" s="12" t="str">
        <f>IFERROR(__xludf.DUMMYFUNCTION("""COMPUTED_VALUE"""),"")</f>
        <v/>
      </c>
      <c r="I565" s="12" t="str">
        <f>IFERROR(__xludf.DUMMYFUNCTION("""COMPUTED_VALUE"""),"")</f>
        <v/>
      </c>
      <c r="J565" s="13" t="str">
        <f t="shared" si="1"/>
        <v/>
      </c>
      <c r="K565" s="12" t="str">
        <f>IFERROR(IF(A565="","",if($G565="",Reference!$J$2, VLOOKUP($G565,Reference!$I$2:$J$1000,2,false))),"")</f>
        <v/>
      </c>
      <c r="L565" s="12" t="str">
        <f>IF(A565="","", IF(F565="",Reference!$M$2,F565))</f>
        <v/>
      </c>
      <c r="M565" s="14" t="str">
        <f t="shared" si="2"/>
        <v/>
      </c>
      <c r="N565" s="15" t="str">
        <f t="shared" si="3"/>
        <v/>
      </c>
      <c r="O565" s="14" t="str">
        <f t="shared" si="4"/>
        <v/>
      </c>
      <c r="P565" s="16" t="str">
        <f t="array" ref="P565">IF($A565="","", IFERROR(INDEX('BM Data'!$N:$N,MATCH($J565&amp; "-" &amp; $N565,'BM Data'!$O:$O,0),1),""))</f>
        <v/>
      </c>
      <c r="Q565" s="16" t="str">
        <f t="array" ref="Q565">IF($A565="","", IFERROR(INDEX('BM Data'!$J:$J,MATCH($J565&amp; "-" &amp; $N565,'BM Data'!$O:$O,0),1),""))</f>
        <v/>
      </c>
    </row>
    <row r="566">
      <c r="A566" s="10" t="str">
        <f>IFERROR(__xludf.DUMMYFUNCTION("""COMPUTED_VALUE"""),"")</f>
        <v/>
      </c>
      <c r="B566" s="3" t="str">
        <f>IFERROR(__xludf.DUMMYFUNCTION("""COMPUTED_VALUE"""),"")</f>
        <v/>
      </c>
      <c r="C566" s="11" t="str">
        <f>IFERROR(__xludf.DUMMYFUNCTION("""COMPUTED_VALUE"""),"")</f>
        <v/>
      </c>
      <c r="D566" s="11" t="str">
        <f>IFERROR(__xludf.DUMMYFUNCTION("""COMPUTED_VALUE"""),"")</f>
        <v/>
      </c>
      <c r="E566" s="11" t="str">
        <f>IFERROR(__xludf.DUMMYFUNCTION("""COMPUTED_VALUE"""),"")</f>
        <v/>
      </c>
      <c r="F566" s="11" t="str">
        <f>IFERROR(__xludf.DUMMYFUNCTION("""COMPUTED_VALUE"""),"")</f>
        <v/>
      </c>
      <c r="G566" s="11" t="str">
        <f>IFERROR(__xludf.DUMMYFUNCTION("""COMPUTED_VALUE"""),"")</f>
        <v/>
      </c>
      <c r="H566" s="12" t="str">
        <f>IFERROR(__xludf.DUMMYFUNCTION("""COMPUTED_VALUE"""),"")</f>
        <v/>
      </c>
      <c r="I566" s="12" t="str">
        <f>IFERROR(__xludf.DUMMYFUNCTION("""COMPUTED_VALUE"""),"")</f>
        <v/>
      </c>
      <c r="J566" s="13" t="str">
        <f t="shared" si="1"/>
        <v/>
      </c>
      <c r="K566" s="12" t="str">
        <f>IFERROR(IF(A566="","",if($G566="",Reference!$J$2, VLOOKUP($G566,Reference!$I$2:$J$1000,2,false))),"")</f>
        <v/>
      </c>
      <c r="L566" s="12" t="str">
        <f>IF(A566="","", IF(F566="",Reference!$M$2,F566))</f>
        <v/>
      </c>
      <c r="M566" s="14" t="str">
        <f t="shared" si="2"/>
        <v/>
      </c>
      <c r="N566" s="15" t="str">
        <f t="shared" si="3"/>
        <v/>
      </c>
      <c r="O566" s="14" t="str">
        <f t="shared" si="4"/>
        <v/>
      </c>
      <c r="P566" s="16" t="str">
        <f t="array" ref="P566">IF($A566="","", IFERROR(INDEX('BM Data'!$N:$N,MATCH($J566&amp; "-" &amp; $N566,'BM Data'!$O:$O,0),1),""))</f>
        <v/>
      </c>
      <c r="Q566" s="16" t="str">
        <f t="array" ref="Q566">IF($A566="","", IFERROR(INDEX('BM Data'!$J:$J,MATCH($J566&amp; "-" &amp; $N566,'BM Data'!$O:$O,0),1),""))</f>
        <v/>
      </c>
    </row>
    <row r="567">
      <c r="A567" s="10" t="str">
        <f>IFERROR(__xludf.DUMMYFUNCTION("""COMPUTED_VALUE"""),"")</f>
        <v/>
      </c>
      <c r="B567" s="3" t="str">
        <f>IFERROR(__xludf.DUMMYFUNCTION("""COMPUTED_VALUE"""),"")</f>
        <v/>
      </c>
      <c r="C567" s="11" t="str">
        <f>IFERROR(__xludf.DUMMYFUNCTION("""COMPUTED_VALUE"""),"")</f>
        <v/>
      </c>
      <c r="D567" s="11" t="str">
        <f>IFERROR(__xludf.DUMMYFUNCTION("""COMPUTED_VALUE"""),"")</f>
        <v/>
      </c>
      <c r="E567" s="11" t="str">
        <f>IFERROR(__xludf.DUMMYFUNCTION("""COMPUTED_VALUE"""),"")</f>
        <v/>
      </c>
      <c r="F567" s="11" t="str">
        <f>IFERROR(__xludf.DUMMYFUNCTION("""COMPUTED_VALUE"""),"")</f>
        <v/>
      </c>
      <c r="G567" s="11" t="str">
        <f>IFERROR(__xludf.DUMMYFUNCTION("""COMPUTED_VALUE"""),"")</f>
        <v/>
      </c>
      <c r="H567" s="12" t="str">
        <f>IFERROR(__xludf.DUMMYFUNCTION("""COMPUTED_VALUE"""),"")</f>
        <v/>
      </c>
      <c r="I567" s="12" t="str">
        <f>IFERROR(__xludf.DUMMYFUNCTION("""COMPUTED_VALUE"""),"")</f>
        <v/>
      </c>
      <c r="J567" s="13" t="str">
        <f t="shared" si="1"/>
        <v/>
      </c>
      <c r="K567" s="12" t="str">
        <f>IFERROR(IF(A567="","",if($G567="",Reference!$J$2, VLOOKUP($G567,Reference!$I$2:$J$1000,2,false))),"")</f>
        <v/>
      </c>
      <c r="L567" s="12" t="str">
        <f>IF(A567="","", IF(F567="",Reference!$M$2,F567))</f>
        <v/>
      </c>
      <c r="M567" s="14" t="str">
        <f t="shared" si="2"/>
        <v/>
      </c>
      <c r="N567" s="15" t="str">
        <f t="shared" si="3"/>
        <v/>
      </c>
      <c r="O567" s="14" t="str">
        <f t="shared" si="4"/>
        <v/>
      </c>
      <c r="P567" s="16" t="str">
        <f t="array" ref="P567">IF($A567="","", IFERROR(INDEX('BM Data'!$N:$N,MATCH($J567&amp; "-" &amp; $N567,'BM Data'!$O:$O,0),1),""))</f>
        <v/>
      </c>
      <c r="Q567" s="16" t="str">
        <f t="array" ref="Q567">IF($A567="","", IFERROR(INDEX('BM Data'!$J:$J,MATCH($J567&amp; "-" &amp; $N567,'BM Data'!$O:$O,0),1),""))</f>
        <v/>
      </c>
    </row>
    <row r="568">
      <c r="A568" s="10" t="str">
        <f>IFERROR(__xludf.DUMMYFUNCTION("""COMPUTED_VALUE"""),"")</f>
        <v/>
      </c>
      <c r="B568" s="3" t="str">
        <f>IFERROR(__xludf.DUMMYFUNCTION("""COMPUTED_VALUE"""),"")</f>
        <v/>
      </c>
      <c r="C568" s="11" t="str">
        <f>IFERROR(__xludf.DUMMYFUNCTION("""COMPUTED_VALUE"""),"")</f>
        <v/>
      </c>
      <c r="D568" s="11" t="str">
        <f>IFERROR(__xludf.DUMMYFUNCTION("""COMPUTED_VALUE"""),"")</f>
        <v/>
      </c>
      <c r="E568" s="11" t="str">
        <f>IFERROR(__xludf.DUMMYFUNCTION("""COMPUTED_VALUE"""),"")</f>
        <v/>
      </c>
      <c r="F568" s="11" t="str">
        <f>IFERROR(__xludf.DUMMYFUNCTION("""COMPUTED_VALUE"""),"")</f>
        <v/>
      </c>
      <c r="G568" s="11" t="str">
        <f>IFERROR(__xludf.DUMMYFUNCTION("""COMPUTED_VALUE"""),"")</f>
        <v/>
      </c>
      <c r="H568" s="12" t="str">
        <f>IFERROR(__xludf.DUMMYFUNCTION("""COMPUTED_VALUE"""),"")</f>
        <v/>
      </c>
      <c r="I568" s="12" t="str">
        <f>IFERROR(__xludf.DUMMYFUNCTION("""COMPUTED_VALUE"""),"")</f>
        <v/>
      </c>
      <c r="J568" s="13" t="str">
        <f t="shared" si="1"/>
        <v/>
      </c>
      <c r="K568" s="12" t="str">
        <f>IFERROR(IF(A568="","",if($G568="",Reference!$J$2, VLOOKUP($G568,Reference!$I$2:$J$1000,2,false))),"")</f>
        <v/>
      </c>
      <c r="L568" s="12" t="str">
        <f>IF(A568="","", IF(F568="",Reference!$M$2,F568))</f>
        <v/>
      </c>
      <c r="M568" s="14" t="str">
        <f t="shared" si="2"/>
        <v/>
      </c>
      <c r="N568" s="15" t="str">
        <f t="shared" si="3"/>
        <v/>
      </c>
      <c r="O568" s="14" t="str">
        <f t="shared" si="4"/>
        <v/>
      </c>
      <c r="P568" s="16" t="str">
        <f t="array" ref="P568">IF($A568="","", IFERROR(INDEX('BM Data'!$N:$N,MATCH($J568&amp; "-" &amp; $N568,'BM Data'!$O:$O,0),1),""))</f>
        <v/>
      </c>
      <c r="Q568" s="16" t="str">
        <f t="array" ref="Q568">IF($A568="","", IFERROR(INDEX('BM Data'!$J:$J,MATCH($J568&amp; "-" &amp; $N568,'BM Data'!$O:$O,0),1),""))</f>
        <v/>
      </c>
    </row>
    <row r="569">
      <c r="A569" s="10" t="str">
        <f>IFERROR(__xludf.DUMMYFUNCTION("""COMPUTED_VALUE"""),"")</f>
        <v/>
      </c>
      <c r="B569" s="3" t="str">
        <f>IFERROR(__xludf.DUMMYFUNCTION("""COMPUTED_VALUE"""),"")</f>
        <v/>
      </c>
      <c r="C569" s="11" t="str">
        <f>IFERROR(__xludf.DUMMYFUNCTION("""COMPUTED_VALUE"""),"")</f>
        <v/>
      </c>
      <c r="D569" s="11" t="str">
        <f>IFERROR(__xludf.DUMMYFUNCTION("""COMPUTED_VALUE"""),"")</f>
        <v/>
      </c>
      <c r="E569" s="11" t="str">
        <f>IFERROR(__xludf.DUMMYFUNCTION("""COMPUTED_VALUE"""),"")</f>
        <v/>
      </c>
      <c r="F569" s="11" t="str">
        <f>IFERROR(__xludf.DUMMYFUNCTION("""COMPUTED_VALUE"""),"")</f>
        <v/>
      </c>
      <c r="G569" s="11" t="str">
        <f>IFERROR(__xludf.DUMMYFUNCTION("""COMPUTED_VALUE"""),"")</f>
        <v/>
      </c>
      <c r="H569" s="12" t="str">
        <f>IFERROR(__xludf.DUMMYFUNCTION("""COMPUTED_VALUE"""),"")</f>
        <v/>
      </c>
      <c r="I569" s="12" t="str">
        <f>IFERROR(__xludf.DUMMYFUNCTION("""COMPUTED_VALUE"""),"")</f>
        <v/>
      </c>
      <c r="J569" s="13" t="str">
        <f t="shared" si="1"/>
        <v/>
      </c>
      <c r="K569" s="12" t="str">
        <f>IFERROR(IF(A569="","",if($G569="",Reference!$J$2, VLOOKUP($G569,Reference!$I$2:$J$1000,2,false))),"")</f>
        <v/>
      </c>
      <c r="L569" s="12" t="str">
        <f>IF(A569="","", IF(F569="",Reference!$M$2,F569))</f>
        <v/>
      </c>
      <c r="M569" s="14" t="str">
        <f t="shared" si="2"/>
        <v/>
      </c>
      <c r="N569" s="15" t="str">
        <f t="shared" si="3"/>
        <v/>
      </c>
      <c r="O569" s="14" t="str">
        <f t="shared" si="4"/>
        <v/>
      </c>
      <c r="P569" s="16" t="str">
        <f t="array" ref="P569">IF($A569="","", IFERROR(INDEX('BM Data'!$N:$N,MATCH($J569&amp; "-" &amp; $N569,'BM Data'!$O:$O,0),1),""))</f>
        <v/>
      </c>
      <c r="Q569" s="16" t="str">
        <f t="array" ref="Q569">IF($A569="","", IFERROR(INDEX('BM Data'!$J:$J,MATCH($J569&amp; "-" &amp; $N569,'BM Data'!$O:$O,0),1),""))</f>
        <v/>
      </c>
    </row>
    <row r="570">
      <c r="A570" s="10" t="str">
        <f>IFERROR(__xludf.DUMMYFUNCTION("""COMPUTED_VALUE"""),"")</f>
        <v/>
      </c>
      <c r="B570" s="3" t="str">
        <f>IFERROR(__xludf.DUMMYFUNCTION("""COMPUTED_VALUE"""),"")</f>
        <v/>
      </c>
      <c r="C570" s="11" t="str">
        <f>IFERROR(__xludf.DUMMYFUNCTION("""COMPUTED_VALUE"""),"")</f>
        <v/>
      </c>
      <c r="D570" s="11" t="str">
        <f>IFERROR(__xludf.DUMMYFUNCTION("""COMPUTED_VALUE"""),"")</f>
        <v/>
      </c>
      <c r="E570" s="11" t="str">
        <f>IFERROR(__xludf.DUMMYFUNCTION("""COMPUTED_VALUE"""),"")</f>
        <v/>
      </c>
      <c r="F570" s="11" t="str">
        <f>IFERROR(__xludf.DUMMYFUNCTION("""COMPUTED_VALUE"""),"")</f>
        <v/>
      </c>
      <c r="G570" s="11" t="str">
        <f>IFERROR(__xludf.DUMMYFUNCTION("""COMPUTED_VALUE"""),"")</f>
        <v/>
      </c>
      <c r="H570" s="12" t="str">
        <f>IFERROR(__xludf.DUMMYFUNCTION("""COMPUTED_VALUE"""),"")</f>
        <v/>
      </c>
      <c r="I570" s="12" t="str">
        <f>IFERROR(__xludf.DUMMYFUNCTION("""COMPUTED_VALUE"""),"")</f>
        <v/>
      </c>
      <c r="J570" s="13" t="str">
        <f t="shared" si="1"/>
        <v/>
      </c>
      <c r="K570" s="12" t="str">
        <f>IFERROR(IF(A570="","",if($G570="",Reference!$J$2, VLOOKUP($G570,Reference!$I$2:$J$1000,2,false))),"")</f>
        <v/>
      </c>
      <c r="L570" s="12" t="str">
        <f>IF(A570="","", IF(F570="",Reference!$M$2,F570))</f>
        <v/>
      </c>
      <c r="M570" s="14" t="str">
        <f t="shared" si="2"/>
        <v/>
      </c>
      <c r="N570" s="15" t="str">
        <f t="shared" si="3"/>
        <v/>
      </c>
      <c r="O570" s="14" t="str">
        <f t="shared" si="4"/>
        <v/>
      </c>
      <c r="P570" s="16" t="str">
        <f t="array" ref="P570">IF($A570="","", IFERROR(INDEX('BM Data'!$N:$N,MATCH($J570&amp; "-" &amp; $N570,'BM Data'!$O:$O,0),1),""))</f>
        <v/>
      </c>
      <c r="Q570" s="16" t="str">
        <f t="array" ref="Q570">IF($A570="","", IFERROR(INDEX('BM Data'!$J:$J,MATCH($J570&amp; "-" &amp; $N570,'BM Data'!$O:$O,0),1),""))</f>
        <v/>
      </c>
    </row>
    <row r="571">
      <c r="A571" s="10" t="str">
        <f>IFERROR(__xludf.DUMMYFUNCTION("""COMPUTED_VALUE"""),"")</f>
        <v/>
      </c>
      <c r="B571" s="3" t="str">
        <f>IFERROR(__xludf.DUMMYFUNCTION("""COMPUTED_VALUE"""),"")</f>
        <v/>
      </c>
      <c r="C571" s="11" t="str">
        <f>IFERROR(__xludf.DUMMYFUNCTION("""COMPUTED_VALUE"""),"")</f>
        <v/>
      </c>
      <c r="D571" s="11" t="str">
        <f>IFERROR(__xludf.DUMMYFUNCTION("""COMPUTED_VALUE"""),"")</f>
        <v/>
      </c>
      <c r="E571" s="11" t="str">
        <f>IFERROR(__xludf.DUMMYFUNCTION("""COMPUTED_VALUE"""),"")</f>
        <v/>
      </c>
      <c r="F571" s="11" t="str">
        <f>IFERROR(__xludf.DUMMYFUNCTION("""COMPUTED_VALUE"""),"")</f>
        <v/>
      </c>
      <c r="G571" s="11" t="str">
        <f>IFERROR(__xludf.DUMMYFUNCTION("""COMPUTED_VALUE"""),"")</f>
        <v/>
      </c>
      <c r="H571" s="12" t="str">
        <f>IFERROR(__xludf.DUMMYFUNCTION("""COMPUTED_VALUE"""),"")</f>
        <v/>
      </c>
      <c r="I571" s="12" t="str">
        <f>IFERROR(__xludf.DUMMYFUNCTION("""COMPUTED_VALUE"""),"")</f>
        <v/>
      </c>
      <c r="J571" s="13" t="str">
        <f t="shared" si="1"/>
        <v/>
      </c>
      <c r="K571" s="12" t="str">
        <f>IFERROR(IF(A571="","",if($G571="",Reference!$J$2, VLOOKUP($G571,Reference!$I$2:$J$1000,2,false))),"")</f>
        <v/>
      </c>
      <c r="L571" s="12" t="str">
        <f>IF(A571="","", IF(F571="",Reference!$M$2,F571))</f>
        <v/>
      </c>
      <c r="M571" s="14" t="str">
        <f t="shared" si="2"/>
        <v/>
      </c>
      <c r="N571" s="15" t="str">
        <f t="shared" si="3"/>
        <v/>
      </c>
      <c r="O571" s="14" t="str">
        <f t="shared" si="4"/>
        <v/>
      </c>
      <c r="P571" s="16" t="str">
        <f t="array" ref="P571">IF($A571="","", IFERROR(INDEX('BM Data'!$N:$N,MATCH($J571&amp; "-" &amp; $N571,'BM Data'!$O:$O,0),1),""))</f>
        <v/>
      </c>
      <c r="Q571" s="16" t="str">
        <f t="array" ref="Q571">IF($A571="","", IFERROR(INDEX('BM Data'!$J:$J,MATCH($J571&amp; "-" &amp; $N571,'BM Data'!$O:$O,0),1),""))</f>
        <v/>
      </c>
    </row>
    <row r="572">
      <c r="A572" s="10" t="str">
        <f>IFERROR(__xludf.DUMMYFUNCTION("""COMPUTED_VALUE"""),"")</f>
        <v/>
      </c>
      <c r="B572" s="3" t="str">
        <f>IFERROR(__xludf.DUMMYFUNCTION("""COMPUTED_VALUE"""),"")</f>
        <v/>
      </c>
      <c r="C572" s="11" t="str">
        <f>IFERROR(__xludf.DUMMYFUNCTION("""COMPUTED_VALUE"""),"")</f>
        <v/>
      </c>
      <c r="D572" s="11" t="str">
        <f>IFERROR(__xludf.DUMMYFUNCTION("""COMPUTED_VALUE"""),"")</f>
        <v/>
      </c>
      <c r="E572" s="11" t="str">
        <f>IFERROR(__xludf.DUMMYFUNCTION("""COMPUTED_VALUE"""),"")</f>
        <v/>
      </c>
      <c r="F572" s="11" t="str">
        <f>IFERROR(__xludf.DUMMYFUNCTION("""COMPUTED_VALUE"""),"")</f>
        <v/>
      </c>
      <c r="G572" s="11" t="str">
        <f>IFERROR(__xludf.DUMMYFUNCTION("""COMPUTED_VALUE"""),"")</f>
        <v/>
      </c>
      <c r="H572" s="12" t="str">
        <f>IFERROR(__xludf.DUMMYFUNCTION("""COMPUTED_VALUE"""),"")</f>
        <v/>
      </c>
      <c r="I572" s="12" t="str">
        <f>IFERROR(__xludf.DUMMYFUNCTION("""COMPUTED_VALUE"""),"")</f>
        <v/>
      </c>
      <c r="J572" s="13" t="str">
        <f t="shared" si="1"/>
        <v/>
      </c>
      <c r="K572" s="12" t="str">
        <f>IFERROR(IF(A572="","",if($G572="",Reference!$J$2, VLOOKUP($G572,Reference!$I$2:$J$1000,2,false))),"")</f>
        <v/>
      </c>
      <c r="L572" s="12" t="str">
        <f>IF(A572="","", IF(F572="",Reference!$M$2,F572))</f>
        <v/>
      </c>
      <c r="M572" s="14" t="str">
        <f t="shared" si="2"/>
        <v/>
      </c>
      <c r="N572" s="15" t="str">
        <f t="shared" si="3"/>
        <v/>
      </c>
      <c r="O572" s="14" t="str">
        <f t="shared" si="4"/>
        <v/>
      </c>
      <c r="P572" s="16" t="str">
        <f t="array" ref="P572">IF($A572="","", IFERROR(INDEX('BM Data'!$N:$N,MATCH($J572&amp; "-" &amp; $N572,'BM Data'!$O:$O,0),1),""))</f>
        <v/>
      </c>
      <c r="Q572" s="16" t="str">
        <f t="array" ref="Q572">IF($A572="","", IFERROR(INDEX('BM Data'!$J:$J,MATCH($J572&amp; "-" &amp; $N572,'BM Data'!$O:$O,0),1),""))</f>
        <v/>
      </c>
    </row>
    <row r="573">
      <c r="A573" s="10" t="str">
        <f>IFERROR(__xludf.DUMMYFUNCTION("""COMPUTED_VALUE"""),"")</f>
        <v/>
      </c>
      <c r="B573" s="3" t="str">
        <f>IFERROR(__xludf.DUMMYFUNCTION("""COMPUTED_VALUE"""),"")</f>
        <v/>
      </c>
      <c r="C573" s="11" t="str">
        <f>IFERROR(__xludf.DUMMYFUNCTION("""COMPUTED_VALUE"""),"")</f>
        <v/>
      </c>
      <c r="D573" s="11" t="str">
        <f>IFERROR(__xludf.DUMMYFUNCTION("""COMPUTED_VALUE"""),"")</f>
        <v/>
      </c>
      <c r="E573" s="11" t="str">
        <f>IFERROR(__xludf.DUMMYFUNCTION("""COMPUTED_VALUE"""),"")</f>
        <v/>
      </c>
      <c r="F573" s="11" t="str">
        <f>IFERROR(__xludf.DUMMYFUNCTION("""COMPUTED_VALUE"""),"")</f>
        <v/>
      </c>
      <c r="G573" s="11" t="str">
        <f>IFERROR(__xludf.DUMMYFUNCTION("""COMPUTED_VALUE"""),"")</f>
        <v/>
      </c>
      <c r="H573" s="12" t="str">
        <f>IFERROR(__xludf.DUMMYFUNCTION("""COMPUTED_VALUE"""),"")</f>
        <v/>
      </c>
      <c r="I573" s="12" t="str">
        <f>IFERROR(__xludf.DUMMYFUNCTION("""COMPUTED_VALUE"""),"")</f>
        <v/>
      </c>
      <c r="J573" s="13" t="str">
        <f t="shared" si="1"/>
        <v/>
      </c>
      <c r="K573" s="12" t="str">
        <f>IFERROR(IF(A573="","",if($G573="",Reference!$J$2, VLOOKUP($G573,Reference!$I$2:$J$1000,2,false))),"")</f>
        <v/>
      </c>
      <c r="L573" s="12" t="str">
        <f>IF(A573="","", IF(F573="",Reference!$M$2,F573))</f>
        <v/>
      </c>
      <c r="M573" s="14" t="str">
        <f t="shared" si="2"/>
        <v/>
      </c>
      <c r="N573" s="15" t="str">
        <f t="shared" si="3"/>
        <v/>
      </c>
      <c r="O573" s="14" t="str">
        <f t="shared" si="4"/>
        <v/>
      </c>
      <c r="P573" s="16" t="str">
        <f t="array" ref="P573">IF($A573="","", IFERROR(INDEX('BM Data'!$N:$N,MATCH($J573&amp; "-" &amp; $N573,'BM Data'!$O:$O,0),1),""))</f>
        <v/>
      </c>
      <c r="Q573" s="16" t="str">
        <f t="array" ref="Q573">IF($A573="","", IFERROR(INDEX('BM Data'!$J:$J,MATCH($J573&amp; "-" &amp; $N573,'BM Data'!$O:$O,0),1),""))</f>
        <v/>
      </c>
    </row>
    <row r="574">
      <c r="A574" s="10" t="str">
        <f>IFERROR(__xludf.DUMMYFUNCTION("""COMPUTED_VALUE"""),"")</f>
        <v/>
      </c>
      <c r="B574" s="3" t="str">
        <f>IFERROR(__xludf.DUMMYFUNCTION("""COMPUTED_VALUE"""),"")</f>
        <v/>
      </c>
      <c r="C574" s="11" t="str">
        <f>IFERROR(__xludf.DUMMYFUNCTION("""COMPUTED_VALUE"""),"")</f>
        <v/>
      </c>
      <c r="D574" s="11" t="str">
        <f>IFERROR(__xludf.DUMMYFUNCTION("""COMPUTED_VALUE"""),"")</f>
        <v/>
      </c>
      <c r="E574" s="11" t="str">
        <f>IFERROR(__xludf.DUMMYFUNCTION("""COMPUTED_VALUE"""),"")</f>
        <v/>
      </c>
      <c r="F574" s="11" t="str">
        <f>IFERROR(__xludf.DUMMYFUNCTION("""COMPUTED_VALUE"""),"")</f>
        <v/>
      </c>
      <c r="G574" s="11" t="str">
        <f>IFERROR(__xludf.DUMMYFUNCTION("""COMPUTED_VALUE"""),"")</f>
        <v/>
      </c>
      <c r="H574" s="12" t="str">
        <f>IFERROR(__xludf.DUMMYFUNCTION("""COMPUTED_VALUE"""),"")</f>
        <v/>
      </c>
      <c r="I574" s="12" t="str">
        <f>IFERROR(__xludf.DUMMYFUNCTION("""COMPUTED_VALUE"""),"")</f>
        <v/>
      </c>
      <c r="J574" s="13" t="str">
        <f t="shared" si="1"/>
        <v/>
      </c>
      <c r="K574" s="12" t="str">
        <f>IFERROR(IF(A574="","",if($G574="",Reference!$J$2, VLOOKUP($G574,Reference!$I$2:$J$1000,2,false))),"")</f>
        <v/>
      </c>
      <c r="L574" s="12" t="str">
        <f>IF(A574="","", IF(F574="",Reference!$M$2,F574))</f>
        <v/>
      </c>
      <c r="M574" s="14" t="str">
        <f t="shared" si="2"/>
        <v/>
      </c>
      <c r="N574" s="15" t="str">
        <f t="shared" si="3"/>
        <v/>
      </c>
      <c r="O574" s="14" t="str">
        <f t="shared" si="4"/>
        <v/>
      </c>
      <c r="P574" s="16" t="str">
        <f t="array" ref="P574">IF($A574="","", IFERROR(INDEX('BM Data'!$N:$N,MATCH($J574&amp; "-" &amp; $N574,'BM Data'!$O:$O,0),1),""))</f>
        <v/>
      </c>
      <c r="Q574" s="16" t="str">
        <f t="array" ref="Q574">IF($A574="","", IFERROR(INDEX('BM Data'!$J:$J,MATCH($J574&amp; "-" &amp; $N574,'BM Data'!$O:$O,0),1),""))</f>
        <v/>
      </c>
    </row>
    <row r="575">
      <c r="A575" s="10" t="str">
        <f>IFERROR(__xludf.DUMMYFUNCTION("""COMPUTED_VALUE"""),"")</f>
        <v/>
      </c>
      <c r="B575" s="3" t="str">
        <f>IFERROR(__xludf.DUMMYFUNCTION("""COMPUTED_VALUE"""),"")</f>
        <v/>
      </c>
      <c r="C575" s="11" t="str">
        <f>IFERROR(__xludf.DUMMYFUNCTION("""COMPUTED_VALUE"""),"")</f>
        <v/>
      </c>
      <c r="D575" s="11" t="str">
        <f>IFERROR(__xludf.DUMMYFUNCTION("""COMPUTED_VALUE"""),"")</f>
        <v/>
      </c>
      <c r="E575" s="11" t="str">
        <f>IFERROR(__xludf.DUMMYFUNCTION("""COMPUTED_VALUE"""),"")</f>
        <v/>
      </c>
      <c r="F575" s="11" t="str">
        <f>IFERROR(__xludf.DUMMYFUNCTION("""COMPUTED_VALUE"""),"")</f>
        <v/>
      </c>
      <c r="G575" s="11" t="str">
        <f>IFERROR(__xludf.DUMMYFUNCTION("""COMPUTED_VALUE"""),"")</f>
        <v/>
      </c>
      <c r="H575" s="12" t="str">
        <f>IFERROR(__xludf.DUMMYFUNCTION("""COMPUTED_VALUE"""),"")</f>
        <v/>
      </c>
      <c r="I575" s="12" t="str">
        <f>IFERROR(__xludf.DUMMYFUNCTION("""COMPUTED_VALUE"""),"")</f>
        <v/>
      </c>
      <c r="J575" s="13" t="str">
        <f t="shared" si="1"/>
        <v/>
      </c>
      <c r="K575" s="12" t="str">
        <f>IFERROR(IF(A575="","",if($G575="",Reference!$J$2, VLOOKUP($G575,Reference!$I$2:$J$1000,2,false))),"")</f>
        <v/>
      </c>
      <c r="L575" s="12" t="str">
        <f>IF(A575="","", IF(F575="",Reference!$M$2,F575))</f>
        <v/>
      </c>
      <c r="M575" s="14" t="str">
        <f t="shared" si="2"/>
        <v/>
      </c>
      <c r="N575" s="15" t="str">
        <f t="shared" si="3"/>
        <v/>
      </c>
      <c r="O575" s="14" t="str">
        <f t="shared" si="4"/>
        <v/>
      </c>
      <c r="P575" s="16" t="str">
        <f t="array" ref="P575">IF($A575="","", IFERROR(INDEX('BM Data'!$N:$N,MATCH($J575&amp; "-" &amp; $N575,'BM Data'!$O:$O,0),1),""))</f>
        <v/>
      </c>
      <c r="Q575" s="16" t="str">
        <f t="array" ref="Q575">IF($A575="","", IFERROR(INDEX('BM Data'!$J:$J,MATCH($J575&amp; "-" &amp; $N575,'BM Data'!$O:$O,0),1),""))</f>
        <v/>
      </c>
    </row>
    <row r="576">
      <c r="A576" s="10" t="str">
        <f>IFERROR(__xludf.DUMMYFUNCTION("""COMPUTED_VALUE"""),"")</f>
        <v/>
      </c>
      <c r="B576" s="3" t="str">
        <f>IFERROR(__xludf.DUMMYFUNCTION("""COMPUTED_VALUE"""),"")</f>
        <v/>
      </c>
      <c r="C576" s="11" t="str">
        <f>IFERROR(__xludf.DUMMYFUNCTION("""COMPUTED_VALUE"""),"")</f>
        <v/>
      </c>
      <c r="D576" s="11" t="str">
        <f>IFERROR(__xludf.DUMMYFUNCTION("""COMPUTED_VALUE"""),"")</f>
        <v/>
      </c>
      <c r="E576" s="11" t="str">
        <f>IFERROR(__xludf.DUMMYFUNCTION("""COMPUTED_VALUE"""),"")</f>
        <v/>
      </c>
      <c r="F576" s="11" t="str">
        <f>IFERROR(__xludf.DUMMYFUNCTION("""COMPUTED_VALUE"""),"")</f>
        <v/>
      </c>
      <c r="G576" s="11" t="str">
        <f>IFERROR(__xludf.DUMMYFUNCTION("""COMPUTED_VALUE"""),"")</f>
        <v/>
      </c>
      <c r="H576" s="12" t="str">
        <f>IFERROR(__xludf.DUMMYFUNCTION("""COMPUTED_VALUE"""),"")</f>
        <v/>
      </c>
      <c r="I576" s="12" t="str">
        <f>IFERROR(__xludf.DUMMYFUNCTION("""COMPUTED_VALUE"""),"")</f>
        <v/>
      </c>
      <c r="J576" s="13" t="str">
        <f t="shared" si="1"/>
        <v/>
      </c>
      <c r="K576" s="12" t="str">
        <f>IFERROR(IF(A576="","",if($G576="",Reference!$J$2, VLOOKUP($G576,Reference!$I$2:$J$1000,2,false))),"")</f>
        <v/>
      </c>
      <c r="L576" s="12" t="str">
        <f>IF(A576="","", IF(F576="",Reference!$M$2,F576))</f>
        <v/>
      </c>
      <c r="M576" s="14" t="str">
        <f t="shared" si="2"/>
        <v/>
      </c>
      <c r="N576" s="15" t="str">
        <f t="shared" si="3"/>
        <v/>
      </c>
      <c r="O576" s="14" t="str">
        <f t="shared" si="4"/>
        <v/>
      </c>
      <c r="P576" s="16" t="str">
        <f t="array" ref="P576">IF($A576="","", IFERROR(INDEX('BM Data'!$N:$N,MATCH($J576&amp; "-" &amp; $N576,'BM Data'!$O:$O,0),1),""))</f>
        <v/>
      </c>
      <c r="Q576" s="16" t="str">
        <f t="array" ref="Q576">IF($A576="","", IFERROR(INDEX('BM Data'!$J:$J,MATCH($J576&amp; "-" &amp; $N576,'BM Data'!$O:$O,0),1),""))</f>
        <v/>
      </c>
    </row>
    <row r="577">
      <c r="A577" s="10" t="str">
        <f>IFERROR(__xludf.DUMMYFUNCTION("""COMPUTED_VALUE"""),"")</f>
        <v/>
      </c>
      <c r="B577" s="3" t="str">
        <f>IFERROR(__xludf.DUMMYFUNCTION("""COMPUTED_VALUE"""),"")</f>
        <v/>
      </c>
      <c r="C577" s="11" t="str">
        <f>IFERROR(__xludf.DUMMYFUNCTION("""COMPUTED_VALUE"""),"")</f>
        <v/>
      </c>
      <c r="D577" s="11" t="str">
        <f>IFERROR(__xludf.DUMMYFUNCTION("""COMPUTED_VALUE"""),"")</f>
        <v/>
      </c>
      <c r="E577" s="11" t="str">
        <f>IFERROR(__xludf.DUMMYFUNCTION("""COMPUTED_VALUE"""),"")</f>
        <v/>
      </c>
      <c r="F577" s="11" t="str">
        <f>IFERROR(__xludf.DUMMYFUNCTION("""COMPUTED_VALUE"""),"")</f>
        <v/>
      </c>
      <c r="G577" s="11" t="str">
        <f>IFERROR(__xludf.DUMMYFUNCTION("""COMPUTED_VALUE"""),"")</f>
        <v/>
      </c>
      <c r="H577" s="12" t="str">
        <f>IFERROR(__xludf.DUMMYFUNCTION("""COMPUTED_VALUE"""),"")</f>
        <v/>
      </c>
      <c r="I577" s="12" t="str">
        <f>IFERROR(__xludf.DUMMYFUNCTION("""COMPUTED_VALUE"""),"")</f>
        <v/>
      </c>
      <c r="J577" s="13" t="str">
        <f t="shared" si="1"/>
        <v/>
      </c>
      <c r="K577" s="12" t="str">
        <f>IFERROR(IF(A577="","",if($G577="",Reference!$J$2, VLOOKUP($G577,Reference!$I$2:$J$1000,2,false))),"")</f>
        <v/>
      </c>
      <c r="L577" s="12" t="str">
        <f>IF(A577="","", IF(F577="",Reference!$M$2,F577))</f>
        <v/>
      </c>
      <c r="M577" s="14" t="str">
        <f t="shared" si="2"/>
        <v/>
      </c>
      <c r="N577" s="15" t="str">
        <f t="shared" si="3"/>
        <v/>
      </c>
      <c r="O577" s="14" t="str">
        <f t="shared" si="4"/>
        <v/>
      </c>
      <c r="P577" s="16" t="str">
        <f t="array" ref="P577">IF($A577="","", IFERROR(INDEX('BM Data'!$N:$N,MATCH($J577&amp; "-" &amp; $N577,'BM Data'!$O:$O,0),1),""))</f>
        <v/>
      </c>
      <c r="Q577" s="16" t="str">
        <f t="array" ref="Q577">IF($A577="","", IFERROR(INDEX('BM Data'!$J:$J,MATCH($J577&amp; "-" &amp; $N577,'BM Data'!$O:$O,0),1),""))</f>
        <v/>
      </c>
    </row>
    <row r="578">
      <c r="A578" s="10" t="str">
        <f>IFERROR(__xludf.DUMMYFUNCTION("""COMPUTED_VALUE"""),"")</f>
        <v/>
      </c>
      <c r="B578" s="3" t="str">
        <f>IFERROR(__xludf.DUMMYFUNCTION("""COMPUTED_VALUE"""),"")</f>
        <v/>
      </c>
      <c r="C578" s="11" t="str">
        <f>IFERROR(__xludf.DUMMYFUNCTION("""COMPUTED_VALUE"""),"")</f>
        <v/>
      </c>
      <c r="D578" s="11" t="str">
        <f>IFERROR(__xludf.DUMMYFUNCTION("""COMPUTED_VALUE"""),"")</f>
        <v/>
      </c>
      <c r="E578" s="11" t="str">
        <f>IFERROR(__xludf.DUMMYFUNCTION("""COMPUTED_VALUE"""),"")</f>
        <v/>
      </c>
      <c r="F578" s="11" t="str">
        <f>IFERROR(__xludf.DUMMYFUNCTION("""COMPUTED_VALUE"""),"")</f>
        <v/>
      </c>
      <c r="G578" s="11" t="str">
        <f>IFERROR(__xludf.DUMMYFUNCTION("""COMPUTED_VALUE"""),"")</f>
        <v/>
      </c>
      <c r="H578" s="12" t="str">
        <f>IFERROR(__xludf.DUMMYFUNCTION("""COMPUTED_VALUE"""),"")</f>
        <v/>
      </c>
      <c r="I578" s="12" t="str">
        <f>IFERROR(__xludf.DUMMYFUNCTION("""COMPUTED_VALUE"""),"")</f>
        <v/>
      </c>
      <c r="J578" s="13" t="str">
        <f t="shared" si="1"/>
        <v/>
      </c>
      <c r="K578" s="12" t="str">
        <f>IFERROR(IF(A578="","",if($G578="",Reference!$J$2, VLOOKUP($G578,Reference!$I$2:$J$1000,2,false))),"")</f>
        <v/>
      </c>
      <c r="L578" s="12" t="str">
        <f>IF(A578="","", IF(F578="",Reference!$M$2,F578))</f>
        <v/>
      </c>
      <c r="M578" s="14" t="str">
        <f t="shared" si="2"/>
        <v/>
      </c>
      <c r="N578" s="15" t="str">
        <f t="shared" si="3"/>
        <v/>
      </c>
      <c r="O578" s="14" t="str">
        <f t="shared" si="4"/>
        <v/>
      </c>
      <c r="P578" s="16" t="str">
        <f t="array" ref="P578">IF($A578="","", IFERROR(INDEX('BM Data'!$N:$N,MATCH($J578&amp; "-" &amp; $N578,'BM Data'!$O:$O,0),1),""))</f>
        <v/>
      </c>
      <c r="Q578" s="16" t="str">
        <f t="array" ref="Q578">IF($A578="","", IFERROR(INDEX('BM Data'!$J:$J,MATCH($J578&amp; "-" &amp; $N578,'BM Data'!$O:$O,0),1),""))</f>
        <v/>
      </c>
    </row>
    <row r="579">
      <c r="A579" s="10" t="str">
        <f>IFERROR(__xludf.DUMMYFUNCTION("""COMPUTED_VALUE"""),"")</f>
        <v/>
      </c>
      <c r="B579" s="3" t="str">
        <f>IFERROR(__xludf.DUMMYFUNCTION("""COMPUTED_VALUE"""),"")</f>
        <v/>
      </c>
      <c r="C579" s="11" t="str">
        <f>IFERROR(__xludf.DUMMYFUNCTION("""COMPUTED_VALUE"""),"")</f>
        <v/>
      </c>
      <c r="D579" s="11" t="str">
        <f>IFERROR(__xludf.DUMMYFUNCTION("""COMPUTED_VALUE"""),"")</f>
        <v/>
      </c>
      <c r="E579" s="11" t="str">
        <f>IFERROR(__xludf.DUMMYFUNCTION("""COMPUTED_VALUE"""),"")</f>
        <v/>
      </c>
      <c r="F579" s="11" t="str">
        <f>IFERROR(__xludf.DUMMYFUNCTION("""COMPUTED_VALUE"""),"")</f>
        <v/>
      </c>
      <c r="G579" s="11" t="str">
        <f>IFERROR(__xludf.DUMMYFUNCTION("""COMPUTED_VALUE"""),"")</f>
        <v/>
      </c>
      <c r="H579" s="12" t="str">
        <f>IFERROR(__xludf.DUMMYFUNCTION("""COMPUTED_VALUE"""),"")</f>
        <v/>
      </c>
      <c r="I579" s="12" t="str">
        <f>IFERROR(__xludf.DUMMYFUNCTION("""COMPUTED_VALUE"""),"")</f>
        <v/>
      </c>
      <c r="J579" s="13" t="str">
        <f t="shared" si="1"/>
        <v/>
      </c>
      <c r="K579" s="12" t="str">
        <f>IFERROR(IF(A579="","",if($G579="",Reference!$J$2, VLOOKUP($G579,Reference!$I$2:$J$1000,2,false))),"")</f>
        <v/>
      </c>
      <c r="L579" s="12" t="str">
        <f>IF(A579="","", IF(F579="",Reference!$M$2,F579))</f>
        <v/>
      </c>
      <c r="M579" s="14" t="str">
        <f t="shared" si="2"/>
        <v/>
      </c>
      <c r="N579" s="15" t="str">
        <f t="shared" si="3"/>
        <v/>
      </c>
      <c r="O579" s="14" t="str">
        <f t="shared" si="4"/>
        <v/>
      </c>
      <c r="P579" s="16" t="str">
        <f t="array" ref="P579">IF($A579="","", IFERROR(INDEX('BM Data'!$N:$N,MATCH($J579&amp; "-" &amp; $N579,'BM Data'!$O:$O,0),1),""))</f>
        <v/>
      </c>
      <c r="Q579" s="16" t="str">
        <f t="array" ref="Q579">IF($A579="","", IFERROR(INDEX('BM Data'!$J:$J,MATCH($J579&amp; "-" &amp; $N579,'BM Data'!$O:$O,0),1),""))</f>
        <v/>
      </c>
    </row>
    <row r="580">
      <c r="A580" s="10" t="str">
        <f>IFERROR(__xludf.DUMMYFUNCTION("""COMPUTED_VALUE"""),"")</f>
        <v/>
      </c>
      <c r="B580" s="3" t="str">
        <f>IFERROR(__xludf.DUMMYFUNCTION("""COMPUTED_VALUE"""),"")</f>
        <v/>
      </c>
      <c r="C580" s="11" t="str">
        <f>IFERROR(__xludf.DUMMYFUNCTION("""COMPUTED_VALUE"""),"")</f>
        <v/>
      </c>
      <c r="D580" s="11" t="str">
        <f>IFERROR(__xludf.DUMMYFUNCTION("""COMPUTED_VALUE"""),"")</f>
        <v/>
      </c>
      <c r="E580" s="11" t="str">
        <f>IFERROR(__xludf.DUMMYFUNCTION("""COMPUTED_VALUE"""),"")</f>
        <v/>
      </c>
      <c r="F580" s="11" t="str">
        <f>IFERROR(__xludf.DUMMYFUNCTION("""COMPUTED_VALUE"""),"")</f>
        <v/>
      </c>
      <c r="G580" s="11" t="str">
        <f>IFERROR(__xludf.DUMMYFUNCTION("""COMPUTED_VALUE"""),"")</f>
        <v/>
      </c>
      <c r="H580" s="12" t="str">
        <f>IFERROR(__xludf.DUMMYFUNCTION("""COMPUTED_VALUE"""),"")</f>
        <v/>
      </c>
      <c r="I580" s="12" t="str">
        <f>IFERROR(__xludf.DUMMYFUNCTION("""COMPUTED_VALUE"""),"")</f>
        <v/>
      </c>
      <c r="J580" s="13" t="str">
        <f t="shared" si="1"/>
        <v/>
      </c>
      <c r="K580" s="12" t="str">
        <f>IFERROR(IF(A580="","",if($G580="",Reference!$J$2, VLOOKUP($G580,Reference!$I$2:$J$1000,2,false))),"")</f>
        <v/>
      </c>
      <c r="L580" s="12" t="str">
        <f>IF(A580="","", IF(F580="",Reference!$M$2,F580))</f>
        <v/>
      </c>
      <c r="M580" s="14" t="str">
        <f t="shared" si="2"/>
        <v/>
      </c>
      <c r="N580" s="15" t="str">
        <f t="shared" si="3"/>
        <v/>
      </c>
      <c r="O580" s="14" t="str">
        <f t="shared" si="4"/>
        <v/>
      </c>
      <c r="P580" s="16" t="str">
        <f t="array" ref="P580">IF($A580="","", IFERROR(INDEX('BM Data'!$N:$N,MATCH($J580&amp; "-" &amp; $N580,'BM Data'!$O:$O,0),1),""))</f>
        <v/>
      </c>
      <c r="Q580" s="16" t="str">
        <f t="array" ref="Q580">IF($A580="","", IFERROR(INDEX('BM Data'!$J:$J,MATCH($J580&amp; "-" &amp; $N580,'BM Data'!$O:$O,0),1),""))</f>
        <v/>
      </c>
    </row>
    <row r="581">
      <c r="A581" s="10" t="str">
        <f>IFERROR(__xludf.DUMMYFUNCTION("""COMPUTED_VALUE"""),"")</f>
        <v/>
      </c>
      <c r="B581" s="3" t="str">
        <f>IFERROR(__xludf.DUMMYFUNCTION("""COMPUTED_VALUE"""),"")</f>
        <v/>
      </c>
      <c r="C581" s="11" t="str">
        <f>IFERROR(__xludf.DUMMYFUNCTION("""COMPUTED_VALUE"""),"")</f>
        <v/>
      </c>
      <c r="D581" s="11" t="str">
        <f>IFERROR(__xludf.DUMMYFUNCTION("""COMPUTED_VALUE"""),"")</f>
        <v/>
      </c>
      <c r="E581" s="11" t="str">
        <f>IFERROR(__xludf.DUMMYFUNCTION("""COMPUTED_VALUE"""),"")</f>
        <v/>
      </c>
      <c r="F581" s="11" t="str">
        <f>IFERROR(__xludf.DUMMYFUNCTION("""COMPUTED_VALUE"""),"")</f>
        <v/>
      </c>
      <c r="G581" s="11" t="str">
        <f>IFERROR(__xludf.DUMMYFUNCTION("""COMPUTED_VALUE"""),"")</f>
        <v/>
      </c>
      <c r="H581" s="12" t="str">
        <f>IFERROR(__xludf.DUMMYFUNCTION("""COMPUTED_VALUE"""),"")</f>
        <v/>
      </c>
      <c r="I581" s="12" t="str">
        <f>IFERROR(__xludf.DUMMYFUNCTION("""COMPUTED_VALUE"""),"")</f>
        <v/>
      </c>
      <c r="J581" s="13" t="str">
        <f t="shared" si="1"/>
        <v/>
      </c>
      <c r="K581" s="12" t="str">
        <f>IFERROR(IF(A581="","",if($G581="",Reference!$J$2, VLOOKUP($G581,Reference!$I$2:$J$1000,2,false))),"")</f>
        <v/>
      </c>
      <c r="L581" s="12" t="str">
        <f>IF(A581="","", IF(F581="",Reference!$M$2,F581))</f>
        <v/>
      </c>
      <c r="M581" s="14" t="str">
        <f t="shared" si="2"/>
        <v/>
      </c>
      <c r="N581" s="15" t="str">
        <f t="shared" si="3"/>
        <v/>
      </c>
      <c r="O581" s="14" t="str">
        <f t="shared" si="4"/>
        <v/>
      </c>
      <c r="P581" s="16" t="str">
        <f t="array" ref="P581">IF($A581="","", IFERROR(INDEX('BM Data'!$N:$N,MATCH($J581&amp; "-" &amp; $N581,'BM Data'!$O:$O,0),1),""))</f>
        <v/>
      </c>
      <c r="Q581" s="16" t="str">
        <f t="array" ref="Q581">IF($A581="","", IFERROR(INDEX('BM Data'!$J:$J,MATCH($J581&amp; "-" &amp; $N581,'BM Data'!$O:$O,0),1),""))</f>
        <v/>
      </c>
    </row>
    <row r="582">
      <c r="A582" s="10" t="str">
        <f>IFERROR(__xludf.DUMMYFUNCTION("""COMPUTED_VALUE"""),"")</f>
        <v/>
      </c>
      <c r="B582" s="3" t="str">
        <f>IFERROR(__xludf.DUMMYFUNCTION("""COMPUTED_VALUE"""),"")</f>
        <v/>
      </c>
      <c r="C582" s="11" t="str">
        <f>IFERROR(__xludf.DUMMYFUNCTION("""COMPUTED_VALUE"""),"")</f>
        <v/>
      </c>
      <c r="D582" s="11" t="str">
        <f>IFERROR(__xludf.DUMMYFUNCTION("""COMPUTED_VALUE"""),"")</f>
        <v/>
      </c>
      <c r="E582" s="11" t="str">
        <f>IFERROR(__xludf.DUMMYFUNCTION("""COMPUTED_VALUE"""),"")</f>
        <v/>
      </c>
      <c r="F582" s="11" t="str">
        <f>IFERROR(__xludf.DUMMYFUNCTION("""COMPUTED_VALUE"""),"")</f>
        <v/>
      </c>
      <c r="G582" s="11" t="str">
        <f>IFERROR(__xludf.DUMMYFUNCTION("""COMPUTED_VALUE"""),"")</f>
        <v/>
      </c>
      <c r="H582" s="12" t="str">
        <f>IFERROR(__xludf.DUMMYFUNCTION("""COMPUTED_VALUE"""),"")</f>
        <v/>
      </c>
      <c r="I582" s="12" t="str">
        <f>IFERROR(__xludf.DUMMYFUNCTION("""COMPUTED_VALUE"""),"")</f>
        <v/>
      </c>
      <c r="J582" s="13" t="str">
        <f t="shared" si="1"/>
        <v/>
      </c>
      <c r="K582" s="12" t="str">
        <f>IFERROR(IF(A582="","",if($G582="",Reference!$J$2, VLOOKUP($G582,Reference!$I$2:$J$1000,2,false))),"")</f>
        <v/>
      </c>
      <c r="L582" s="12" t="str">
        <f>IF(A582="","", IF(F582="",Reference!$M$2,F582))</f>
        <v/>
      </c>
      <c r="M582" s="14" t="str">
        <f t="shared" si="2"/>
        <v/>
      </c>
      <c r="N582" s="15" t="str">
        <f t="shared" si="3"/>
        <v/>
      </c>
      <c r="O582" s="14" t="str">
        <f t="shared" si="4"/>
        <v/>
      </c>
      <c r="P582" s="16" t="str">
        <f t="array" ref="P582">IF($A582="","", IFERROR(INDEX('BM Data'!$N:$N,MATCH($J582&amp; "-" &amp; $N582,'BM Data'!$O:$O,0),1),""))</f>
        <v/>
      </c>
      <c r="Q582" s="16" t="str">
        <f t="array" ref="Q582">IF($A582="","", IFERROR(INDEX('BM Data'!$J:$J,MATCH($J582&amp; "-" &amp; $N582,'BM Data'!$O:$O,0),1),""))</f>
        <v/>
      </c>
    </row>
    <row r="583">
      <c r="A583" s="10" t="str">
        <f>IFERROR(__xludf.DUMMYFUNCTION("""COMPUTED_VALUE"""),"")</f>
        <v/>
      </c>
      <c r="B583" s="3" t="str">
        <f>IFERROR(__xludf.DUMMYFUNCTION("""COMPUTED_VALUE"""),"")</f>
        <v/>
      </c>
      <c r="C583" s="11" t="str">
        <f>IFERROR(__xludf.DUMMYFUNCTION("""COMPUTED_VALUE"""),"")</f>
        <v/>
      </c>
      <c r="D583" s="11" t="str">
        <f>IFERROR(__xludf.DUMMYFUNCTION("""COMPUTED_VALUE"""),"")</f>
        <v/>
      </c>
      <c r="E583" s="11" t="str">
        <f>IFERROR(__xludf.DUMMYFUNCTION("""COMPUTED_VALUE"""),"")</f>
        <v/>
      </c>
      <c r="F583" s="11" t="str">
        <f>IFERROR(__xludf.DUMMYFUNCTION("""COMPUTED_VALUE"""),"")</f>
        <v/>
      </c>
      <c r="G583" s="11" t="str">
        <f>IFERROR(__xludf.DUMMYFUNCTION("""COMPUTED_VALUE"""),"")</f>
        <v/>
      </c>
      <c r="H583" s="12" t="str">
        <f>IFERROR(__xludf.DUMMYFUNCTION("""COMPUTED_VALUE"""),"")</f>
        <v/>
      </c>
      <c r="I583" s="12" t="str">
        <f>IFERROR(__xludf.DUMMYFUNCTION("""COMPUTED_VALUE"""),"")</f>
        <v/>
      </c>
      <c r="J583" s="13" t="str">
        <f t="shared" si="1"/>
        <v/>
      </c>
      <c r="K583" s="12" t="str">
        <f>IFERROR(IF(A583="","",if($G583="",Reference!$J$2, VLOOKUP($G583,Reference!$I$2:$J$1000,2,false))),"")</f>
        <v/>
      </c>
      <c r="L583" s="12" t="str">
        <f>IF(A583="","", IF(F583="",Reference!$M$2,F583))</f>
        <v/>
      </c>
      <c r="M583" s="14" t="str">
        <f t="shared" si="2"/>
        <v/>
      </c>
      <c r="N583" s="15" t="str">
        <f t="shared" si="3"/>
        <v/>
      </c>
      <c r="O583" s="14" t="str">
        <f t="shared" si="4"/>
        <v/>
      </c>
      <c r="P583" s="16" t="str">
        <f t="array" ref="P583">IF($A583="","", IFERROR(INDEX('BM Data'!$N:$N,MATCH($J583&amp; "-" &amp; $N583,'BM Data'!$O:$O,0),1),""))</f>
        <v/>
      </c>
      <c r="Q583" s="16" t="str">
        <f t="array" ref="Q583">IF($A583="","", IFERROR(INDEX('BM Data'!$J:$J,MATCH($J583&amp; "-" &amp; $N583,'BM Data'!$O:$O,0),1),""))</f>
        <v/>
      </c>
    </row>
    <row r="584">
      <c r="A584" s="10" t="str">
        <f>IFERROR(__xludf.DUMMYFUNCTION("""COMPUTED_VALUE"""),"")</f>
        <v/>
      </c>
      <c r="B584" s="3" t="str">
        <f>IFERROR(__xludf.DUMMYFUNCTION("""COMPUTED_VALUE"""),"")</f>
        <v/>
      </c>
      <c r="C584" s="11" t="str">
        <f>IFERROR(__xludf.DUMMYFUNCTION("""COMPUTED_VALUE"""),"")</f>
        <v/>
      </c>
      <c r="D584" s="11" t="str">
        <f>IFERROR(__xludf.DUMMYFUNCTION("""COMPUTED_VALUE"""),"")</f>
        <v/>
      </c>
      <c r="E584" s="11" t="str">
        <f>IFERROR(__xludf.DUMMYFUNCTION("""COMPUTED_VALUE"""),"")</f>
        <v/>
      </c>
      <c r="F584" s="11" t="str">
        <f>IFERROR(__xludf.DUMMYFUNCTION("""COMPUTED_VALUE"""),"")</f>
        <v/>
      </c>
      <c r="G584" s="11" t="str">
        <f>IFERROR(__xludf.DUMMYFUNCTION("""COMPUTED_VALUE"""),"")</f>
        <v/>
      </c>
      <c r="H584" s="12" t="str">
        <f>IFERROR(__xludf.DUMMYFUNCTION("""COMPUTED_VALUE"""),"")</f>
        <v/>
      </c>
      <c r="I584" s="12" t="str">
        <f>IFERROR(__xludf.DUMMYFUNCTION("""COMPUTED_VALUE"""),"")</f>
        <v/>
      </c>
      <c r="J584" s="13" t="str">
        <f t="shared" si="1"/>
        <v/>
      </c>
      <c r="K584" s="12" t="str">
        <f>IFERROR(IF(A584="","",if($G584="",Reference!$J$2, VLOOKUP($G584,Reference!$I$2:$J$1000,2,false))),"")</f>
        <v/>
      </c>
      <c r="L584" s="12" t="str">
        <f>IF(A584="","", IF(F584="",Reference!$M$2,F584))</f>
        <v/>
      </c>
      <c r="M584" s="14" t="str">
        <f t="shared" si="2"/>
        <v/>
      </c>
      <c r="N584" s="15" t="str">
        <f t="shared" si="3"/>
        <v/>
      </c>
      <c r="O584" s="14" t="str">
        <f t="shared" si="4"/>
        <v/>
      </c>
      <c r="P584" s="16" t="str">
        <f t="array" ref="P584">IF($A584="","", IFERROR(INDEX('BM Data'!$N:$N,MATCH($J584&amp; "-" &amp; $N584,'BM Data'!$O:$O,0),1),""))</f>
        <v/>
      </c>
      <c r="Q584" s="16" t="str">
        <f t="array" ref="Q584">IF($A584="","", IFERROR(INDEX('BM Data'!$J:$J,MATCH($J584&amp; "-" &amp; $N584,'BM Data'!$O:$O,0),1),""))</f>
        <v/>
      </c>
    </row>
    <row r="585">
      <c r="A585" s="10" t="str">
        <f>IFERROR(__xludf.DUMMYFUNCTION("""COMPUTED_VALUE"""),"")</f>
        <v/>
      </c>
      <c r="B585" s="3" t="str">
        <f>IFERROR(__xludf.DUMMYFUNCTION("""COMPUTED_VALUE"""),"")</f>
        <v/>
      </c>
      <c r="C585" s="11" t="str">
        <f>IFERROR(__xludf.DUMMYFUNCTION("""COMPUTED_VALUE"""),"")</f>
        <v/>
      </c>
      <c r="D585" s="11" t="str">
        <f>IFERROR(__xludf.DUMMYFUNCTION("""COMPUTED_VALUE"""),"")</f>
        <v/>
      </c>
      <c r="E585" s="11" t="str">
        <f>IFERROR(__xludf.DUMMYFUNCTION("""COMPUTED_VALUE"""),"")</f>
        <v/>
      </c>
      <c r="F585" s="11" t="str">
        <f>IFERROR(__xludf.DUMMYFUNCTION("""COMPUTED_VALUE"""),"")</f>
        <v/>
      </c>
      <c r="G585" s="11" t="str">
        <f>IFERROR(__xludf.DUMMYFUNCTION("""COMPUTED_VALUE"""),"")</f>
        <v/>
      </c>
      <c r="H585" s="12" t="str">
        <f>IFERROR(__xludf.DUMMYFUNCTION("""COMPUTED_VALUE"""),"")</f>
        <v/>
      </c>
      <c r="I585" s="12" t="str">
        <f>IFERROR(__xludf.DUMMYFUNCTION("""COMPUTED_VALUE"""),"")</f>
        <v/>
      </c>
      <c r="J585" s="13" t="str">
        <f t="shared" si="1"/>
        <v/>
      </c>
      <c r="K585" s="12" t="str">
        <f>IFERROR(IF(A585="","",if($G585="",Reference!$J$2, VLOOKUP($G585,Reference!$I$2:$J$1000,2,false))),"")</f>
        <v/>
      </c>
      <c r="L585" s="12" t="str">
        <f>IF(A585="","", IF(F585="",Reference!$M$2,F585))</f>
        <v/>
      </c>
      <c r="M585" s="14" t="str">
        <f t="shared" si="2"/>
        <v/>
      </c>
      <c r="N585" s="15" t="str">
        <f t="shared" si="3"/>
        <v/>
      </c>
      <c r="O585" s="14" t="str">
        <f t="shared" si="4"/>
        <v/>
      </c>
      <c r="P585" s="16" t="str">
        <f t="array" ref="P585">IF($A585="","", IFERROR(INDEX('BM Data'!$N:$N,MATCH($J585&amp; "-" &amp; $N585,'BM Data'!$O:$O,0),1),""))</f>
        <v/>
      </c>
      <c r="Q585" s="16" t="str">
        <f t="array" ref="Q585">IF($A585="","", IFERROR(INDEX('BM Data'!$J:$J,MATCH($J585&amp; "-" &amp; $N585,'BM Data'!$O:$O,0),1),""))</f>
        <v/>
      </c>
    </row>
    <row r="586">
      <c r="A586" s="10" t="str">
        <f>IFERROR(__xludf.DUMMYFUNCTION("""COMPUTED_VALUE"""),"")</f>
        <v/>
      </c>
      <c r="B586" s="3" t="str">
        <f>IFERROR(__xludf.DUMMYFUNCTION("""COMPUTED_VALUE"""),"")</f>
        <v/>
      </c>
      <c r="C586" s="11" t="str">
        <f>IFERROR(__xludf.DUMMYFUNCTION("""COMPUTED_VALUE"""),"")</f>
        <v/>
      </c>
      <c r="D586" s="11" t="str">
        <f>IFERROR(__xludf.DUMMYFUNCTION("""COMPUTED_VALUE"""),"")</f>
        <v/>
      </c>
      <c r="E586" s="11" t="str">
        <f>IFERROR(__xludf.DUMMYFUNCTION("""COMPUTED_VALUE"""),"")</f>
        <v/>
      </c>
      <c r="F586" s="11" t="str">
        <f>IFERROR(__xludf.DUMMYFUNCTION("""COMPUTED_VALUE"""),"")</f>
        <v/>
      </c>
      <c r="G586" s="11" t="str">
        <f>IFERROR(__xludf.DUMMYFUNCTION("""COMPUTED_VALUE"""),"")</f>
        <v/>
      </c>
      <c r="H586" s="12" t="str">
        <f>IFERROR(__xludf.DUMMYFUNCTION("""COMPUTED_VALUE"""),"")</f>
        <v/>
      </c>
      <c r="I586" s="12" t="str">
        <f>IFERROR(__xludf.DUMMYFUNCTION("""COMPUTED_VALUE"""),"")</f>
        <v/>
      </c>
      <c r="J586" s="13" t="str">
        <f t="shared" si="1"/>
        <v/>
      </c>
      <c r="K586" s="12" t="str">
        <f>IFERROR(IF(A586="","",if($G586="",Reference!$J$2, VLOOKUP($G586,Reference!$I$2:$J$1000,2,false))),"")</f>
        <v/>
      </c>
      <c r="L586" s="12" t="str">
        <f>IF(A586="","", IF(F586="",Reference!$M$2,F586))</f>
        <v/>
      </c>
      <c r="M586" s="14" t="str">
        <f t="shared" si="2"/>
        <v/>
      </c>
      <c r="N586" s="15" t="str">
        <f t="shared" si="3"/>
        <v/>
      </c>
      <c r="O586" s="14" t="str">
        <f t="shared" si="4"/>
        <v/>
      </c>
      <c r="P586" s="16" t="str">
        <f t="array" ref="P586">IF($A586="","", IFERROR(INDEX('BM Data'!$N:$N,MATCH($J586&amp; "-" &amp; $N586,'BM Data'!$O:$O,0),1),""))</f>
        <v/>
      </c>
      <c r="Q586" s="16" t="str">
        <f t="array" ref="Q586">IF($A586="","", IFERROR(INDEX('BM Data'!$J:$J,MATCH($J586&amp; "-" &amp; $N586,'BM Data'!$O:$O,0),1),""))</f>
        <v/>
      </c>
    </row>
    <row r="587">
      <c r="A587" s="10" t="str">
        <f>IFERROR(__xludf.DUMMYFUNCTION("""COMPUTED_VALUE"""),"")</f>
        <v/>
      </c>
      <c r="B587" s="3" t="str">
        <f>IFERROR(__xludf.DUMMYFUNCTION("""COMPUTED_VALUE"""),"")</f>
        <v/>
      </c>
      <c r="C587" s="11" t="str">
        <f>IFERROR(__xludf.DUMMYFUNCTION("""COMPUTED_VALUE"""),"")</f>
        <v/>
      </c>
      <c r="D587" s="11" t="str">
        <f>IFERROR(__xludf.DUMMYFUNCTION("""COMPUTED_VALUE"""),"")</f>
        <v/>
      </c>
      <c r="E587" s="11" t="str">
        <f>IFERROR(__xludf.DUMMYFUNCTION("""COMPUTED_VALUE"""),"")</f>
        <v/>
      </c>
      <c r="F587" s="11" t="str">
        <f>IFERROR(__xludf.DUMMYFUNCTION("""COMPUTED_VALUE"""),"")</f>
        <v/>
      </c>
      <c r="G587" s="11" t="str">
        <f>IFERROR(__xludf.DUMMYFUNCTION("""COMPUTED_VALUE"""),"")</f>
        <v/>
      </c>
      <c r="H587" s="12" t="str">
        <f>IFERROR(__xludf.DUMMYFUNCTION("""COMPUTED_VALUE"""),"")</f>
        <v/>
      </c>
      <c r="I587" s="12" t="str">
        <f>IFERROR(__xludf.DUMMYFUNCTION("""COMPUTED_VALUE"""),"")</f>
        <v/>
      </c>
      <c r="J587" s="13" t="str">
        <f t="shared" si="1"/>
        <v/>
      </c>
      <c r="K587" s="12" t="str">
        <f>IFERROR(IF(A587="","",if($G587="",Reference!$J$2, VLOOKUP($G587,Reference!$I$2:$J$1000,2,false))),"")</f>
        <v/>
      </c>
      <c r="L587" s="12" t="str">
        <f>IF(A587="","", IF(F587="",Reference!$M$2,F587))</f>
        <v/>
      </c>
      <c r="M587" s="14" t="str">
        <f t="shared" si="2"/>
        <v/>
      </c>
      <c r="N587" s="15" t="str">
        <f t="shared" si="3"/>
        <v/>
      </c>
      <c r="O587" s="14" t="str">
        <f t="shared" si="4"/>
        <v/>
      </c>
      <c r="P587" s="16" t="str">
        <f t="array" ref="P587">IF($A587="","", IFERROR(INDEX('BM Data'!$N:$N,MATCH($J587&amp; "-" &amp; $N587,'BM Data'!$O:$O,0),1),""))</f>
        <v/>
      </c>
      <c r="Q587" s="16" t="str">
        <f t="array" ref="Q587">IF($A587="","", IFERROR(INDEX('BM Data'!$J:$J,MATCH($J587&amp; "-" &amp; $N587,'BM Data'!$O:$O,0),1),""))</f>
        <v/>
      </c>
    </row>
    <row r="588">
      <c r="A588" s="10" t="str">
        <f>IFERROR(__xludf.DUMMYFUNCTION("""COMPUTED_VALUE"""),"")</f>
        <v/>
      </c>
      <c r="B588" s="3" t="str">
        <f>IFERROR(__xludf.DUMMYFUNCTION("""COMPUTED_VALUE"""),"")</f>
        <v/>
      </c>
      <c r="C588" s="11" t="str">
        <f>IFERROR(__xludf.DUMMYFUNCTION("""COMPUTED_VALUE"""),"")</f>
        <v/>
      </c>
      <c r="D588" s="11" t="str">
        <f>IFERROR(__xludf.DUMMYFUNCTION("""COMPUTED_VALUE"""),"")</f>
        <v/>
      </c>
      <c r="E588" s="11" t="str">
        <f>IFERROR(__xludf.DUMMYFUNCTION("""COMPUTED_VALUE"""),"")</f>
        <v/>
      </c>
      <c r="F588" s="11" t="str">
        <f>IFERROR(__xludf.DUMMYFUNCTION("""COMPUTED_VALUE"""),"")</f>
        <v/>
      </c>
      <c r="G588" s="11" t="str">
        <f>IFERROR(__xludf.DUMMYFUNCTION("""COMPUTED_VALUE"""),"")</f>
        <v/>
      </c>
      <c r="H588" s="12" t="str">
        <f>IFERROR(__xludf.DUMMYFUNCTION("""COMPUTED_VALUE"""),"")</f>
        <v/>
      </c>
      <c r="I588" s="12" t="str">
        <f>IFERROR(__xludf.DUMMYFUNCTION("""COMPUTED_VALUE"""),"")</f>
        <v/>
      </c>
      <c r="J588" s="13" t="str">
        <f t="shared" si="1"/>
        <v/>
      </c>
      <c r="K588" s="12" t="str">
        <f>IFERROR(IF(A588="","",if($G588="",Reference!$J$2, VLOOKUP($G588,Reference!$I$2:$J$1000,2,false))),"")</f>
        <v/>
      </c>
      <c r="L588" s="12" t="str">
        <f>IF(A588="","", IF(F588="",Reference!$M$2,F588))</f>
        <v/>
      </c>
      <c r="M588" s="14" t="str">
        <f t="shared" si="2"/>
        <v/>
      </c>
      <c r="N588" s="15" t="str">
        <f t="shared" si="3"/>
        <v/>
      </c>
      <c r="O588" s="14" t="str">
        <f t="shared" si="4"/>
        <v/>
      </c>
      <c r="P588" s="16" t="str">
        <f t="array" ref="P588">IF($A588="","", IFERROR(INDEX('BM Data'!$N:$N,MATCH($J588&amp; "-" &amp; $N588,'BM Data'!$O:$O,0),1),""))</f>
        <v/>
      </c>
      <c r="Q588" s="16" t="str">
        <f t="array" ref="Q588">IF($A588="","", IFERROR(INDEX('BM Data'!$J:$J,MATCH($J588&amp; "-" &amp; $N588,'BM Data'!$O:$O,0),1),""))</f>
        <v/>
      </c>
    </row>
    <row r="589">
      <c r="A589" s="10" t="str">
        <f>IFERROR(__xludf.DUMMYFUNCTION("""COMPUTED_VALUE"""),"")</f>
        <v/>
      </c>
      <c r="B589" s="3" t="str">
        <f>IFERROR(__xludf.DUMMYFUNCTION("""COMPUTED_VALUE"""),"")</f>
        <v/>
      </c>
      <c r="C589" s="11" t="str">
        <f>IFERROR(__xludf.DUMMYFUNCTION("""COMPUTED_VALUE"""),"")</f>
        <v/>
      </c>
      <c r="D589" s="11" t="str">
        <f>IFERROR(__xludf.DUMMYFUNCTION("""COMPUTED_VALUE"""),"")</f>
        <v/>
      </c>
      <c r="E589" s="11" t="str">
        <f>IFERROR(__xludf.DUMMYFUNCTION("""COMPUTED_VALUE"""),"")</f>
        <v/>
      </c>
      <c r="F589" s="11" t="str">
        <f>IFERROR(__xludf.DUMMYFUNCTION("""COMPUTED_VALUE"""),"")</f>
        <v/>
      </c>
      <c r="G589" s="11" t="str">
        <f>IFERROR(__xludf.DUMMYFUNCTION("""COMPUTED_VALUE"""),"")</f>
        <v/>
      </c>
      <c r="H589" s="12" t="str">
        <f>IFERROR(__xludf.DUMMYFUNCTION("""COMPUTED_VALUE"""),"")</f>
        <v/>
      </c>
      <c r="I589" s="12" t="str">
        <f>IFERROR(__xludf.DUMMYFUNCTION("""COMPUTED_VALUE"""),"")</f>
        <v/>
      </c>
      <c r="J589" s="13" t="str">
        <f t="shared" si="1"/>
        <v/>
      </c>
      <c r="K589" s="12" t="str">
        <f>IFERROR(IF(A589="","",if($G589="",Reference!$J$2, VLOOKUP($G589,Reference!$I$2:$J$1000,2,false))),"")</f>
        <v/>
      </c>
      <c r="L589" s="12" t="str">
        <f>IF(A589="","", IF(F589="",Reference!$M$2,F589))</f>
        <v/>
      </c>
      <c r="M589" s="14" t="str">
        <f t="shared" si="2"/>
        <v/>
      </c>
      <c r="N589" s="15" t="str">
        <f t="shared" si="3"/>
        <v/>
      </c>
      <c r="O589" s="14" t="str">
        <f t="shared" si="4"/>
        <v/>
      </c>
      <c r="P589" s="16" t="str">
        <f t="array" ref="P589">IF($A589="","", IFERROR(INDEX('BM Data'!$N:$N,MATCH($J589&amp; "-" &amp; $N589,'BM Data'!$O:$O,0),1),""))</f>
        <v/>
      </c>
      <c r="Q589" s="16" t="str">
        <f t="array" ref="Q589">IF($A589="","", IFERROR(INDEX('BM Data'!$J:$J,MATCH($J589&amp; "-" &amp; $N589,'BM Data'!$O:$O,0),1),""))</f>
        <v/>
      </c>
    </row>
    <row r="590">
      <c r="A590" s="10" t="str">
        <f>IFERROR(__xludf.DUMMYFUNCTION("""COMPUTED_VALUE"""),"")</f>
        <v/>
      </c>
      <c r="B590" s="3" t="str">
        <f>IFERROR(__xludf.DUMMYFUNCTION("""COMPUTED_VALUE"""),"")</f>
        <v/>
      </c>
      <c r="C590" s="11" t="str">
        <f>IFERROR(__xludf.DUMMYFUNCTION("""COMPUTED_VALUE"""),"")</f>
        <v/>
      </c>
      <c r="D590" s="11" t="str">
        <f>IFERROR(__xludf.DUMMYFUNCTION("""COMPUTED_VALUE"""),"")</f>
        <v/>
      </c>
      <c r="E590" s="11" t="str">
        <f>IFERROR(__xludf.DUMMYFUNCTION("""COMPUTED_VALUE"""),"")</f>
        <v/>
      </c>
      <c r="F590" s="11" t="str">
        <f>IFERROR(__xludf.DUMMYFUNCTION("""COMPUTED_VALUE"""),"")</f>
        <v/>
      </c>
      <c r="G590" s="11" t="str">
        <f>IFERROR(__xludf.DUMMYFUNCTION("""COMPUTED_VALUE"""),"")</f>
        <v/>
      </c>
      <c r="H590" s="12" t="str">
        <f>IFERROR(__xludf.DUMMYFUNCTION("""COMPUTED_VALUE"""),"")</f>
        <v/>
      </c>
      <c r="I590" s="12" t="str">
        <f>IFERROR(__xludf.DUMMYFUNCTION("""COMPUTED_VALUE"""),"")</f>
        <v/>
      </c>
      <c r="J590" s="13" t="str">
        <f t="shared" si="1"/>
        <v/>
      </c>
      <c r="K590" s="12" t="str">
        <f>IFERROR(IF(A590="","",if($G590="",Reference!$J$2, VLOOKUP($G590,Reference!$I$2:$J$1000,2,false))),"")</f>
        <v/>
      </c>
      <c r="L590" s="12" t="str">
        <f>IF(A590="","", IF(F590="",Reference!$M$2,F590))</f>
        <v/>
      </c>
      <c r="M590" s="14" t="str">
        <f t="shared" si="2"/>
        <v/>
      </c>
      <c r="N590" s="15" t="str">
        <f t="shared" si="3"/>
        <v/>
      </c>
      <c r="O590" s="14" t="str">
        <f t="shared" si="4"/>
        <v/>
      </c>
      <c r="P590" s="16" t="str">
        <f t="array" ref="P590">IF($A590="","", IFERROR(INDEX('BM Data'!$N:$N,MATCH($J590&amp; "-" &amp; $N590,'BM Data'!$O:$O,0),1),""))</f>
        <v/>
      </c>
      <c r="Q590" s="16" t="str">
        <f t="array" ref="Q590">IF($A590="","", IFERROR(INDEX('BM Data'!$J:$J,MATCH($J590&amp; "-" &amp; $N590,'BM Data'!$O:$O,0),1),""))</f>
        <v/>
      </c>
    </row>
    <row r="591">
      <c r="A591" s="10" t="str">
        <f>IFERROR(__xludf.DUMMYFUNCTION("""COMPUTED_VALUE"""),"")</f>
        <v/>
      </c>
      <c r="B591" s="3" t="str">
        <f>IFERROR(__xludf.DUMMYFUNCTION("""COMPUTED_VALUE"""),"")</f>
        <v/>
      </c>
      <c r="C591" s="11" t="str">
        <f>IFERROR(__xludf.DUMMYFUNCTION("""COMPUTED_VALUE"""),"")</f>
        <v/>
      </c>
      <c r="D591" s="11" t="str">
        <f>IFERROR(__xludf.DUMMYFUNCTION("""COMPUTED_VALUE"""),"")</f>
        <v/>
      </c>
      <c r="E591" s="11" t="str">
        <f>IFERROR(__xludf.DUMMYFUNCTION("""COMPUTED_VALUE"""),"")</f>
        <v/>
      </c>
      <c r="F591" s="11" t="str">
        <f>IFERROR(__xludf.DUMMYFUNCTION("""COMPUTED_VALUE"""),"")</f>
        <v/>
      </c>
      <c r="G591" s="11" t="str">
        <f>IFERROR(__xludf.DUMMYFUNCTION("""COMPUTED_VALUE"""),"")</f>
        <v/>
      </c>
      <c r="H591" s="12" t="str">
        <f>IFERROR(__xludf.DUMMYFUNCTION("""COMPUTED_VALUE"""),"")</f>
        <v/>
      </c>
      <c r="I591" s="12" t="str">
        <f>IFERROR(__xludf.DUMMYFUNCTION("""COMPUTED_VALUE"""),"")</f>
        <v/>
      </c>
      <c r="J591" s="13" t="str">
        <f t="shared" si="1"/>
        <v/>
      </c>
      <c r="K591" s="12" t="str">
        <f>IFERROR(IF(A591="","",if($G591="",Reference!$J$2, VLOOKUP($G591,Reference!$I$2:$J$1000,2,false))),"")</f>
        <v/>
      </c>
      <c r="L591" s="12" t="str">
        <f>IF(A591="","", IF(F591="",Reference!$M$2,F591))</f>
        <v/>
      </c>
      <c r="M591" s="14" t="str">
        <f t="shared" si="2"/>
        <v/>
      </c>
      <c r="N591" s="15" t="str">
        <f t="shared" si="3"/>
        <v/>
      </c>
      <c r="O591" s="14" t="str">
        <f t="shared" si="4"/>
        <v/>
      </c>
      <c r="P591" s="16" t="str">
        <f t="array" ref="P591">IF($A591="","", IFERROR(INDEX('BM Data'!$N:$N,MATCH($J591&amp; "-" &amp; $N591,'BM Data'!$O:$O,0),1),""))</f>
        <v/>
      </c>
      <c r="Q591" s="16" t="str">
        <f t="array" ref="Q591">IF($A591="","", IFERROR(INDEX('BM Data'!$J:$J,MATCH($J591&amp; "-" &amp; $N591,'BM Data'!$O:$O,0),1),""))</f>
        <v/>
      </c>
    </row>
    <row r="592">
      <c r="A592" s="10" t="str">
        <f>IFERROR(__xludf.DUMMYFUNCTION("""COMPUTED_VALUE"""),"")</f>
        <v/>
      </c>
      <c r="B592" s="3" t="str">
        <f>IFERROR(__xludf.DUMMYFUNCTION("""COMPUTED_VALUE"""),"")</f>
        <v/>
      </c>
      <c r="C592" s="11" t="str">
        <f>IFERROR(__xludf.DUMMYFUNCTION("""COMPUTED_VALUE"""),"")</f>
        <v/>
      </c>
      <c r="D592" s="11" t="str">
        <f>IFERROR(__xludf.DUMMYFUNCTION("""COMPUTED_VALUE"""),"")</f>
        <v/>
      </c>
      <c r="E592" s="11" t="str">
        <f>IFERROR(__xludf.DUMMYFUNCTION("""COMPUTED_VALUE"""),"")</f>
        <v/>
      </c>
      <c r="F592" s="11" t="str">
        <f>IFERROR(__xludf.DUMMYFUNCTION("""COMPUTED_VALUE"""),"")</f>
        <v/>
      </c>
      <c r="G592" s="11" t="str">
        <f>IFERROR(__xludf.DUMMYFUNCTION("""COMPUTED_VALUE"""),"")</f>
        <v/>
      </c>
      <c r="H592" s="12" t="str">
        <f>IFERROR(__xludf.DUMMYFUNCTION("""COMPUTED_VALUE"""),"")</f>
        <v/>
      </c>
      <c r="I592" s="12" t="str">
        <f>IFERROR(__xludf.DUMMYFUNCTION("""COMPUTED_VALUE"""),"")</f>
        <v/>
      </c>
      <c r="J592" s="13" t="str">
        <f t="shared" si="1"/>
        <v/>
      </c>
      <c r="K592" s="12" t="str">
        <f>IFERROR(IF(A592="","",if($G592="",Reference!$J$2, VLOOKUP($G592,Reference!$I$2:$J$1000,2,false))),"")</f>
        <v/>
      </c>
      <c r="L592" s="12" t="str">
        <f>IF(A592="","", IF(F592="",Reference!$M$2,F592))</f>
        <v/>
      </c>
      <c r="M592" s="14" t="str">
        <f t="shared" si="2"/>
        <v/>
      </c>
      <c r="N592" s="15" t="str">
        <f t="shared" si="3"/>
        <v/>
      </c>
      <c r="O592" s="14" t="str">
        <f t="shared" si="4"/>
        <v/>
      </c>
      <c r="P592" s="16" t="str">
        <f t="array" ref="P592">IF($A592="","", IFERROR(INDEX('BM Data'!$N:$N,MATCH($J592&amp; "-" &amp; $N592,'BM Data'!$O:$O,0),1),""))</f>
        <v/>
      </c>
      <c r="Q592" s="16" t="str">
        <f t="array" ref="Q592">IF($A592="","", IFERROR(INDEX('BM Data'!$J:$J,MATCH($J592&amp; "-" &amp; $N592,'BM Data'!$O:$O,0),1),""))</f>
        <v/>
      </c>
    </row>
    <row r="593">
      <c r="A593" s="10" t="str">
        <f>IFERROR(__xludf.DUMMYFUNCTION("""COMPUTED_VALUE"""),"")</f>
        <v/>
      </c>
      <c r="B593" s="3" t="str">
        <f>IFERROR(__xludf.DUMMYFUNCTION("""COMPUTED_VALUE"""),"")</f>
        <v/>
      </c>
      <c r="C593" s="11" t="str">
        <f>IFERROR(__xludf.DUMMYFUNCTION("""COMPUTED_VALUE"""),"")</f>
        <v/>
      </c>
      <c r="D593" s="11" t="str">
        <f>IFERROR(__xludf.DUMMYFUNCTION("""COMPUTED_VALUE"""),"")</f>
        <v/>
      </c>
      <c r="E593" s="11" t="str">
        <f>IFERROR(__xludf.DUMMYFUNCTION("""COMPUTED_VALUE"""),"")</f>
        <v/>
      </c>
      <c r="F593" s="11" t="str">
        <f>IFERROR(__xludf.DUMMYFUNCTION("""COMPUTED_VALUE"""),"")</f>
        <v/>
      </c>
      <c r="G593" s="11" t="str">
        <f>IFERROR(__xludf.DUMMYFUNCTION("""COMPUTED_VALUE"""),"")</f>
        <v/>
      </c>
      <c r="H593" s="12" t="str">
        <f>IFERROR(__xludf.DUMMYFUNCTION("""COMPUTED_VALUE"""),"")</f>
        <v/>
      </c>
      <c r="I593" s="12" t="str">
        <f>IFERROR(__xludf.DUMMYFUNCTION("""COMPUTED_VALUE"""),"")</f>
        <v/>
      </c>
      <c r="J593" s="13" t="str">
        <f t="shared" si="1"/>
        <v/>
      </c>
      <c r="K593" s="12" t="str">
        <f>IFERROR(IF(A593="","",if($G593="",Reference!$J$2, VLOOKUP($G593,Reference!$I$2:$J$1000,2,false))),"")</f>
        <v/>
      </c>
      <c r="L593" s="12" t="str">
        <f>IF(A593="","", IF(F593="",Reference!$M$2,F593))</f>
        <v/>
      </c>
      <c r="M593" s="14" t="str">
        <f t="shared" si="2"/>
        <v/>
      </c>
      <c r="N593" s="15" t="str">
        <f t="shared" si="3"/>
        <v/>
      </c>
      <c r="O593" s="14" t="str">
        <f t="shared" si="4"/>
        <v/>
      </c>
      <c r="P593" s="16" t="str">
        <f t="array" ref="P593">IF($A593="","", IFERROR(INDEX('BM Data'!$N:$N,MATCH($J593&amp; "-" &amp; $N593,'BM Data'!$O:$O,0),1),""))</f>
        <v/>
      </c>
      <c r="Q593" s="16" t="str">
        <f t="array" ref="Q593">IF($A593="","", IFERROR(INDEX('BM Data'!$J:$J,MATCH($J593&amp; "-" &amp; $N593,'BM Data'!$O:$O,0),1),""))</f>
        <v/>
      </c>
    </row>
    <row r="594">
      <c r="A594" s="10" t="str">
        <f>IFERROR(__xludf.DUMMYFUNCTION("""COMPUTED_VALUE"""),"")</f>
        <v/>
      </c>
      <c r="B594" s="3" t="str">
        <f>IFERROR(__xludf.DUMMYFUNCTION("""COMPUTED_VALUE"""),"")</f>
        <v/>
      </c>
      <c r="C594" s="11" t="str">
        <f>IFERROR(__xludf.DUMMYFUNCTION("""COMPUTED_VALUE"""),"")</f>
        <v/>
      </c>
      <c r="D594" s="11" t="str">
        <f>IFERROR(__xludf.DUMMYFUNCTION("""COMPUTED_VALUE"""),"")</f>
        <v/>
      </c>
      <c r="E594" s="11" t="str">
        <f>IFERROR(__xludf.DUMMYFUNCTION("""COMPUTED_VALUE"""),"")</f>
        <v/>
      </c>
      <c r="F594" s="11" t="str">
        <f>IFERROR(__xludf.DUMMYFUNCTION("""COMPUTED_VALUE"""),"")</f>
        <v/>
      </c>
      <c r="G594" s="11" t="str">
        <f>IFERROR(__xludf.DUMMYFUNCTION("""COMPUTED_VALUE"""),"")</f>
        <v/>
      </c>
      <c r="H594" s="12" t="str">
        <f>IFERROR(__xludf.DUMMYFUNCTION("""COMPUTED_VALUE"""),"")</f>
        <v/>
      </c>
      <c r="I594" s="12" t="str">
        <f>IFERROR(__xludf.DUMMYFUNCTION("""COMPUTED_VALUE"""),"")</f>
        <v/>
      </c>
      <c r="J594" s="13" t="str">
        <f t="shared" si="1"/>
        <v/>
      </c>
      <c r="K594" s="12" t="str">
        <f>IFERROR(IF(A594="","",if($G594="",Reference!$J$2, VLOOKUP($G594,Reference!$I$2:$J$1000,2,false))),"")</f>
        <v/>
      </c>
      <c r="L594" s="12" t="str">
        <f>IF(A594="","", IF(F594="",Reference!$M$2,F594))</f>
        <v/>
      </c>
      <c r="M594" s="14" t="str">
        <f t="shared" si="2"/>
        <v/>
      </c>
      <c r="N594" s="15" t="str">
        <f t="shared" si="3"/>
        <v/>
      </c>
      <c r="O594" s="14" t="str">
        <f t="shared" si="4"/>
        <v/>
      </c>
      <c r="P594" s="16" t="str">
        <f t="array" ref="P594">IF($A594="","", IFERROR(INDEX('BM Data'!$N:$N,MATCH($J594&amp; "-" &amp; $N594,'BM Data'!$O:$O,0),1),""))</f>
        <v/>
      </c>
      <c r="Q594" s="16" t="str">
        <f t="array" ref="Q594">IF($A594="","", IFERROR(INDEX('BM Data'!$J:$J,MATCH($J594&amp; "-" &amp; $N594,'BM Data'!$O:$O,0),1),""))</f>
        <v/>
      </c>
    </row>
    <row r="595">
      <c r="A595" s="10" t="str">
        <f>IFERROR(__xludf.DUMMYFUNCTION("""COMPUTED_VALUE"""),"")</f>
        <v/>
      </c>
      <c r="B595" s="3" t="str">
        <f>IFERROR(__xludf.DUMMYFUNCTION("""COMPUTED_VALUE"""),"")</f>
        <v/>
      </c>
      <c r="C595" s="11" t="str">
        <f>IFERROR(__xludf.DUMMYFUNCTION("""COMPUTED_VALUE"""),"")</f>
        <v/>
      </c>
      <c r="D595" s="11" t="str">
        <f>IFERROR(__xludf.DUMMYFUNCTION("""COMPUTED_VALUE"""),"")</f>
        <v/>
      </c>
      <c r="E595" s="11" t="str">
        <f>IFERROR(__xludf.DUMMYFUNCTION("""COMPUTED_VALUE"""),"")</f>
        <v/>
      </c>
      <c r="F595" s="11" t="str">
        <f>IFERROR(__xludf.DUMMYFUNCTION("""COMPUTED_VALUE"""),"")</f>
        <v/>
      </c>
      <c r="G595" s="11" t="str">
        <f>IFERROR(__xludf.DUMMYFUNCTION("""COMPUTED_VALUE"""),"")</f>
        <v/>
      </c>
      <c r="H595" s="12" t="str">
        <f>IFERROR(__xludf.DUMMYFUNCTION("""COMPUTED_VALUE"""),"")</f>
        <v/>
      </c>
      <c r="I595" s="12" t="str">
        <f>IFERROR(__xludf.DUMMYFUNCTION("""COMPUTED_VALUE"""),"")</f>
        <v/>
      </c>
      <c r="J595" s="13" t="str">
        <f t="shared" si="1"/>
        <v/>
      </c>
      <c r="K595" s="12" t="str">
        <f>IFERROR(IF(A595="","",if($G595="",Reference!$J$2, VLOOKUP($G595,Reference!$I$2:$J$1000,2,false))),"")</f>
        <v/>
      </c>
      <c r="L595" s="12" t="str">
        <f>IF(A595="","", IF(F595="",Reference!$M$2,F595))</f>
        <v/>
      </c>
      <c r="M595" s="14" t="str">
        <f t="shared" si="2"/>
        <v/>
      </c>
      <c r="N595" s="15" t="str">
        <f t="shared" si="3"/>
        <v/>
      </c>
      <c r="O595" s="14" t="str">
        <f t="shared" si="4"/>
        <v/>
      </c>
      <c r="P595" s="16" t="str">
        <f t="array" ref="P595">IF($A595="","", IFERROR(INDEX('BM Data'!$N:$N,MATCH($J595&amp; "-" &amp; $N595,'BM Data'!$O:$O,0),1),""))</f>
        <v/>
      </c>
      <c r="Q595" s="16" t="str">
        <f t="array" ref="Q595">IF($A595="","", IFERROR(INDEX('BM Data'!$J:$J,MATCH($J595&amp; "-" &amp; $N595,'BM Data'!$O:$O,0),1),""))</f>
        <v/>
      </c>
    </row>
    <row r="596">
      <c r="A596" s="10" t="str">
        <f>IFERROR(__xludf.DUMMYFUNCTION("""COMPUTED_VALUE"""),"")</f>
        <v/>
      </c>
      <c r="B596" s="3" t="str">
        <f>IFERROR(__xludf.DUMMYFUNCTION("""COMPUTED_VALUE"""),"")</f>
        <v/>
      </c>
      <c r="C596" s="11" t="str">
        <f>IFERROR(__xludf.DUMMYFUNCTION("""COMPUTED_VALUE"""),"")</f>
        <v/>
      </c>
      <c r="D596" s="11" t="str">
        <f>IFERROR(__xludf.DUMMYFUNCTION("""COMPUTED_VALUE"""),"")</f>
        <v/>
      </c>
      <c r="E596" s="11" t="str">
        <f>IFERROR(__xludf.DUMMYFUNCTION("""COMPUTED_VALUE"""),"")</f>
        <v/>
      </c>
      <c r="F596" s="11" t="str">
        <f>IFERROR(__xludf.DUMMYFUNCTION("""COMPUTED_VALUE"""),"")</f>
        <v/>
      </c>
      <c r="G596" s="11" t="str">
        <f>IFERROR(__xludf.DUMMYFUNCTION("""COMPUTED_VALUE"""),"")</f>
        <v/>
      </c>
      <c r="H596" s="12" t="str">
        <f>IFERROR(__xludf.DUMMYFUNCTION("""COMPUTED_VALUE"""),"")</f>
        <v/>
      </c>
      <c r="I596" s="12" t="str">
        <f>IFERROR(__xludf.DUMMYFUNCTION("""COMPUTED_VALUE"""),"")</f>
        <v/>
      </c>
      <c r="J596" s="13" t="str">
        <f t="shared" si="1"/>
        <v/>
      </c>
      <c r="K596" s="12" t="str">
        <f>IFERROR(IF(A596="","",if($G596="",Reference!$J$2, VLOOKUP($G596,Reference!$I$2:$J$1000,2,false))),"")</f>
        <v/>
      </c>
      <c r="L596" s="12" t="str">
        <f>IF(A596="","", IF(F596="",Reference!$M$2,F596))</f>
        <v/>
      </c>
      <c r="M596" s="14" t="str">
        <f t="shared" si="2"/>
        <v/>
      </c>
      <c r="N596" s="15" t="str">
        <f t="shared" si="3"/>
        <v/>
      </c>
      <c r="O596" s="14" t="str">
        <f t="shared" si="4"/>
        <v/>
      </c>
      <c r="P596" s="16" t="str">
        <f t="array" ref="P596">IF($A596="","", IFERROR(INDEX('BM Data'!$N:$N,MATCH($J596&amp; "-" &amp; $N596,'BM Data'!$O:$O,0),1),""))</f>
        <v/>
      </c>
      <c r="Q596" s="16" t="str">
        <f t="array" ref="Q596">IF($A596="","", IFERROR(INDEX('BM Data'!$J:$J,MATCH($J596&amp; "-" &amp; $N596,'BM Data'!$O:$O,0),1),""))</f>
        <v/>
      </c>
    </row>
    <row r="597">
      <c r="A597" s="10" t="str">
        <f>IFERROR(__xludf.DUMMYFUNCTION("""COMPUTED_VALUE"""),"")</f>
        <v/>
      </c>
      <c r="B597" s="3" t="str">
        <f>IFERROR(__xludf.DUMMYFUNCTION("""COMPUTED_VALUE"""),"")</f>
        <v/>
      </c>
      <c r="C597" s="11" t="str">
        <f>IFERROR(__xludf.DUMMYFUNCTION("""COMPUTED_VALUE"""),"")</f>
        <v/>
      </c>
      <c r="D597" s="11" t="str">
        <f>IFERROR(__xludf.DUMMYFUNCTION("""COMPUTED_VALUE"""),"")</f>
        <v/>
      </c>
      <c r="E597" s="11" t="str">
        <f>IFERROR(__xludf.DUMMYFUNCTION("""COMPUTED_VALUE"""),"")</f>
        <v/>
      </c>
      <c r="F597" s="11" t="str">
        <f>IFERROR(__xludf.DUMMYFUNCTION("""COMPUTED_VALUE"""),"")</f>
        <v/>
      </c>
      <c r="G597" s="11" t="str">
        <f>IFERROR(__xludf.DUMMYFUNCTION("""COMPUTED_VALUE"""),"")</f>
        <v/>
      </c>
      <c r="H597" s="12" t="str">
        <f>IFERROR(__xludf.DUMMYFUNCTION("""COMPUTED_VALUE"""),"")</f>
        <v/>
      </c>
      <c r="I597" s="12" t="str">
        <f>IFERROR(__xludf.DUMMYFUNCTION("""COMPUTED_VALUE"""),"")</f>
        <v/>
      </c>
      <c r="J597" s="13" t="str">
        <f t="shared" si="1"/>
        <v/>
      </c>
      <c r="K597" s="12" t="str">
        <f>IFERROR(IF(A597="","",if($G597="",Reference!$J$2, VLOOKUP($G597,Reference!$I$2:$J$1000,2,false))),"")</f>
        <v/>
      </c>
      <c r="L597" s="12" t="str">
        <f>IF(A597="","", IF(F597="",Reference!$M$2,F597))</f>
        <v/>
      </c>
      <c r="M597" s="14" t="str">
        <f t="shared" si="2"/>
        <v/>
      </c>
      <c r="N597" s="15" t="str">
        <f t="shared" si="3"/>
        <v/>
      </c>
      <c r="O597" s="14" t="str">
        <f t="shared" si="4"/>
        <v/>
      </c>
      <c r="P597" s="16" t="str">
        <f t="array" ref="P597">IF($A597="","", IFERROR(INDEX('BM Data'!$N:$N,MATCH($J597&amp; "-" &amp; $N597,'BM Data'!$O:$O,0),1),""))</f>
        <v/>
      </c>
      <c r="Q597" s="16" t="str">
        <f t="array" ref="Q597">IF($A597="","", IFERROR(INDEX('BM Data'!$J:$J,MATCH($J597&amp; "-" &amp; $N597,'BM Data'!$O:$O,0),1),""))</f>
        <v/>
      </c>
    </row>
    <row r="598">
      <c r="A598" s="10" t="str">
        <f>IFERROR(__xludf.DUMMYFUNCTION("""COMPUTED_VALUE"""),"")</f>
        <v/>
      </c>
      <c r="B598" s="3" t="str">
        <f>IFERROR(__xludf.DUMMYFUNCTION("""COMPUTED_VALUE"""),"")</f>
        <v/>
      </c>
      <c r="C598" s="11" t="str">
        <f>IFERROR(__xludf.DUMMYFUNCTION("""COMPUTED_VALUE"""),"")</f>
        <v/>
      </c>
      <c r="D598" s="11" t="str">
        <f>IFERROR(__xludf.DUMMYFUNCTION("""COMPUTED_VALUE"""),"")</f>
        <v/>
      </c>
      <c r="E598" s="11" t="str">
        <f>IFERROR(__xludf.DUMMYFUNCTION("""COMPUTED_VALUE"""),"")</f>
        <v/>
      </c>
      <c r="F598" s="11" t="str">
        <f>IFERROR(__xludf.DUMMYFUNCTION("""COMPUTED_VALUE"""),"")</f>
        <v/>
      </c>
      <c r="G598" s="11" t="str">
        <f>IFERROR(__xludf.DUMMYFUNCTION("""COMPUTED_VALUE"""),"")</f>
        <v/>
      </c>
      <c r="H598" s="12" t="str">
        <f>IFERROR(__xludf.DUMMYFUNCTION("""COMPUTED_VALUE"""),"")</f>
        <v/>
      </c>
      <c r="I598" s="12" t="str">
        <f>IFERROR(__xludf.DUMMYFUNCTION("""COMPUTED_VALUE"""),"")</f>
        <v/>
      </c>
      <c r="J598" s="13" t="str">
        <f t="shared" si="1"/>
        <v/>
      </c>
      <c r="K598" s="12" t="str">
        <f>IFERROR(IF(A598="","",if($G598="",Reference!$J$2, VLOOKUP($G598,Reference!$I$2:$J$1000,2,false))),"")</f>
        <v/>
      </c>
      <c r="L598" s="12" t="str">
        <f>IF(A598="","", IF(F598="",Reference!$M$2,F598))</f>
        <v/>
      </c>
      <c r="M598" s="14" t="str">
        <f t="shared" si="2"/>
        <v/>
      </c>
      <c r="N598" s="15" t="str">
        <f t="shared" si="3"/>
        <v/>
      </c>
      <c r="O598" s="14" t="str">
        <f t="shared" si="4"/>
        <v/>
      </c>
      <c r="P598" s="16" t="str">
        <f t="array" ref="P598">IF($A598="","", IFERROR(INDEX('BM Data'!$N:$N,MATCH($J598&amp; "-" &amp; $N598,'BM Data'!$O:$O,0),1),""))</f>
        <v/>
      </c>
      <c r="Q598" s="16" t="str">
        <f t="array" ref="Q598">IF($A598="","", IFERROR(INDEX('BM Data'!$J:$J,MATCH($J598&amp; "-" &amp; $N598,'BM Data'!$O:$O,0),1),""))</f>
        <v/>
      </c>
    </row>
    <row r="599">
      <c r="A599" s="10" t="str">
        <f>IFERROR(__xludf.DUMMYFUNCTION("""COMPUTED_VALUE"""),"")</f>
        <v/>
      </c>
      <c r="B599" s="3" t="str">
        <f>IFERROR(__xludf.DUMMYFUNCTION("""COMPUTED_VALUE"""),"")</f>
        <v/>
      </c>
      <c r="C599" s="11" t="str">
        <f>IFERROR(__xludf.DUMMYFUNCTION("""COMPUTED_VALUE"""),"")</f>
        <v/>
      </c>
      <c r="D599" s="11" t="str">
        <f>IFERROR(__xludf.DUMMYFUNCTION("""COMPUTED_VALUE"""),"")</f>
        <v/>
      </c>
      <c r="E599" s="11" t="str">
        <f>IFERROR(__xludf.DUMMYFUNCTION("""COMPUTED_VALUE"""),"")</f>
        <v/>
      </c>
      <c r="F599" s="11" t="str">
        <f>IFERROR(__xludf.DUMMYFUNCTION("""COMPUTED_VALUE"""),"")</f>
        <v/>
      </c>
      <c r="G599" s="11" t="str">
        <f>IFERROR(__xludf.DUMMYFUNCTION("""COMPUTED_VALUE"""),"")</f>
        <v/>
      </c>
      <c r="H599" s="12" t="str">
        <f>IFERROR(__xludf.DUMMYFUNCTION("""COMPUTED_VALUE"""),"")</f>
        <v/>
      </c>
      <c r="I599" s="12" t="str">
        <f>IFERROR(__xludf.DUMMYFUNCTION("""COMPUTED_VALUE"""),"")</f>
        <v/>
      </c>
      <c r="J599" s="13" t="str">
        <f t="shared" si="1"/>
        <v/>
      </c>
      <c r="K599" s="12" t="str">
        <f>IFERROR(IF(A599="","",if($G599="",Reference!$J$2, VLOOKUP($G599,Reference!$I$2:$J$1000,2,false))),"")</f>
        <v/>
      </c>
      <c r="L599" s="12" t="str">
        <f>IF(A599="","", IF(F599="",Reference!$M$2,F599))</f>
        <v/>
      </c>
      <c r="M599" s="14" t="str">
        <f t="shared" si="2"/>
        <v/>
      </c>
      <c r="N599" s="15" t="str">
        <f t="shared" si="3"/>
        <v/>
      </c>
      <c r="O599" s="14" t="str">
        <f t="shared" si="4"/>
        <v/>
      </c>
      <c r="P599" s="16" t="str">
        <f t="array" ref="P599">IF($A599="","", IFERROR(INDEX('BM Data'!$N:$N,MATCH($J599&amp; "-" &amp; $N599,'BM Data'!$O:$O,0),1),""))</f>
        <v/>
      </c>
      <c r="Q599" s="16" t="str">
        <f t="array" ref="Q599">IF($A599="","", IFERROR(INDEX('BM Data'!$J:$J,MATCH($J599&amp; "-" &amp; $N599,'BM Data'!$O:$O,0),1),""))</f>
        <v/>
      </c>
    </row>
    <row r="600">
      <c r="A600" s="10" t="str">
        <f>IFERROR(__xludf.DUMMYFUNCTION("""COMPUTED_VALUE"""),"")</f>
        <v/>
      </c>
      <c r="B600" s="3" t="str">
        <f>IFERROR(__xludf.DUMMYFUNCTION("""COMPUTED_VALUE"""),"")</f>
        <v/>
      </c>
      <c r="C600" s="11" t="str">
        <f>IFERROR(__xludf.DUMMYFUNCTION("""COMPUTED_VALUE"""),"")</f>
        <v/>
      </c>
      <c r="D600" s="11" t="str">
        <f>IFERROR(__xludf.DUMMYFUNCTION("""COMPUTED_VALUE"""),"")</f>
        <v/>
      </c>
      <c r="E600" s="11" t="str">
        <f>IFERROR(__xludf.DUMMYFUNCTION("""COMPUTED_VALUE"""),"")</f>
        <v/>
      </c>
      <c r="F600" s="11" t="str">
        <f>IFERROR(__xludf.DUMMYFUNCTION("""COMPUTED_VALUE"""),"")</f>
        <v/>
      </c>
      <c r="G600" s="11" t="str">
        <f>IFERROR(__xludf.DUMMYFUNCTION("""COMPUTED_VALUE"""),"")</f>
        <v/>
      </c>
      <c r="H600" s="12" t="str">
        <f>IFERROR(__xludf.DUMMYFUNCTION("""COMPUTED_VALUE"""),"")</f>
        <v/>
      </c>
      <c r="I600" s="12" t="str">
        <f>IFERROR(__xludf.DUMMYFUNCTION("""COMPUTED_VALUE"""),"")</f>
        <v/>
      </c>
      <c r="J600" s="13" t="str">
        <f t="shared" si="1"/>
        <v/>
      </c>
      <c r="K600" s="12" t="str">
        <f>IFERROR(IF(A600="","",if($G600="",Reference!$J$2, VLOOKUP($G600,Reference!$I$2:$J$1000,2,false))),"")</f>
        <v/>
      </c>
      <c r="L600" s="12" t="str">
        <f>IF(A600="","", IF(F600="",Reference!$M$2,F600))</f>
        <v/>
      </c>
      <c r="M600" s="14" t="str">
        <f t="shared" si="2"/>
        <v/>
      </c>
      <c r="N600" s="15" t="str">
        <f t="shared" si="3"/>
        <v/>
      </c>
      <c r="O600" s="14" t="str">
        <f t="shared" si="4"/>
        <v/>
      </c>
      <c r="P600" s="16" t="str">
        <f t="array" ref="P600">IF($A600="","", IFERROR(INDEX('BM Data'!$N:$N,MATCH($J600&amp; "-" &amp; $N600,'BM Data'!$O:$O,0),1),""))</f>
        <v/>
      </c>
      <c r="Q600" s="16" t="str">
        <f t="array" ref="Q600">IF($A600="","", IFERROR(INDEX('BM Data'!$J:$J,MATCH($J600&amp; "-" &amp; $N600,'BM Data'!$O:$O,0),1),""))</f>
        <v/>
      </c>
    </row>
    <row r="601">
      <c r="A601" s="10" t="str">
        <f>IFERROR(__xludf.DUMMYFUNCTION("""COMPUTED_VALUE"""),"")</f>
        <v/>
      </c>
      <c r="B601" s="3" t="str">
        <f>IFERROR(__xludf.DUMMYFUNCTION("""COMPUTED_VALUE"""),"")</f>
        <v/>
      </c>
      <c r="C601" s="11" t="str">
        <f>IFERROR(__xludf.DUMMYFUNCTION("""COMPUTED_VALUE"""),"")</f>
        <v/>
      </c>
      <c r="D601" s="11" t="str">
        <f>IFERROR(__xludf.DUMMYFUNCTION("""COMPUTED_VALUE"""),"")</f>
        <v/>
      </c>
      <c r="E601" s="11" t="str">
        <f>IFERROR(__xludf.DUMMYFUNCTION("""COMPUTED_VALUE"""),"")</f>
        <v/>
      </c>
      <c r="F601" s="11" t="str">
        <f>IFERROR(__xludf.DUMMYFUNCTION("""COMPUTED_VALUE"""),"")</f>
        <v/>
      </c>
      <c r="G601" s="11" t="str">
        <f>IFERROR(__xludf.DUMMYFUNCTION("""COMPUTED_VALUE"""),"")</f>
        <v/>
      </c>
      <c r="H601" s="12" t="str">
        <f>IFERROR(__xludf.DUMMYFUNCTION("""COMPUTED_VALUE"""),"")</f>
        <v/>
      </c>
      <c r="I601" s="12" t="str">
        <f>IFERROR(__xludf.DUMMYFUNCTION("""COMPUTED_VALUE"""),"")</f>
        <v/>
      </c>
      <c r="J601" s="13" t="str">
        <f t="shared" si="1"/>
        <v/>
      </c>
      <c r="K601" s="12" t="str">
        <f>IFERROR(IF(A601="","",if($G601="",Reference!$J$2, VLOOKUP($G601,Reference!$I$2:$J$1000,2,false))),"")</f>
        <v/>
      </c>
      <c r="L601" s="12" t="str">
        <f>IF(A601="","", IF(F601="",Reference!$M$2,F601))</f>
        <v/>
      </c>
      <c r="M601" s="14" t="str">
        <f t="shared" si="2"/>
        <v/>
      </c>
      <c r="N601" s="15" t="str">
        <f t="shared" si="3"/>
        <v/>
      </c>
      <c r="O601" s="14" t="str">
        <f t="shared" si="4"/>
        <v/>
      </c>
      <c r="P601" s="16" t="str">
        <f t="array" ref="P601">IF($A601="","", IFERROR(INDEX('BM Data'!$N:$N,MATCH($J601&amp; "-" &amp; $N601,'BM Data'!$O:$O,0),1),""))</f>
        <v/>
      </c>
      <c r="Q601" s="16" t="str">
        <f t="array" ref="Q601">IF($A601="","", IFERROR(INDEX('BM Data'!$J:$J,MATCH($J601&amp; "-" &amp; $N601,'BM Data'!$O:$O,0),1),""))</f>
        <v/>
      </c>
    </row>
    <row r="602">
      <c r="A602" s="10" t="str">
        <f>IFERROR(__xludf.DUMMYFUNCTION("""COMPUTED_VALUE"""),"")</f>
        <v/>
      </c>
      <c r="B602" s="3" t="str">
        <f>IFERROR(__xludf.DUMMYFUNCTION("""COMPUTED_VALUE"""),"")</f>
        <v/>
      </c>
      <c r="C602" s="11" t="str">
        <f>IFERROR(__xludf.DUMMYFUNCTION("""COMPUTED_VALUE"""),"")</f>
        <v/>
      </c>
      <c r="D602" s="11" t="str">
        <f>IFERROR(__xludf.DUMMYFUNCTION("""COMPUTED_VALUE"""),"")</f>
        <v/>
      </c>
      <c r="E602" s="11" t="str">
        <f>IFERROR(__xludf.DUMMYFUNCTION("""COMPUTED_VALUE"""),"")</f>
        <v/>
      </c>
      <c r="F602" s="11" t="str">
        <f>IFERROR(__xludf.DUMMYFUNCTION("""COMPUTED_VALUE"""),"")</f>
        <v/>
      </c>
      <c r="G602" s="11" t="str">
        <f>IFERROR(__xludf.DUMMYFUNCTION("""COMPUTED_VALUE"""),"")</f>
        <v/>
      </c>
      <c r="H602" s="12" t="str">
        <f>IFERROR(__xludf.DUMMYFUNCTION("""COMPUTED_VALUE"""),"")</f>
        <v/>
      </c>
      <c r="I602" s="12" t="str">
        <f>IFERROR(__xludf.DUMMYFUNCTION("""COMPUTED_VALUE"""),"")</f>
        <v/>
      </c>
      <c r="J602" s="13" t="str">
        <f t="shared" si="1"/>
        <v/>
      </c>
      <c r="K602" s="12" t="str">
        <f>IFERROR(IF(A602="","",if($G602="",Reference!$J$2, VLOOKUP($G602,Reference!$I$2:$J$1000,2,false))),"")</f>
        <v/>
      </c>
      <c r="L602" s="12" t="str">
        <f>IF(A602="","", IF(F602="",Reference!$M$2,F602))</f>
        <v/>
      </c>
      <c r="M602" s="14" t="str">
        <f t="shared" si="2"/>
        <v/>
      </c>
      <c r="N602" s="15" t="str">
        <f t="shared" si="3"/>
        <v/>
      </c>
      <c r="O602" s="14" t="str">
        <f t="shared" si="4"/>
        <v/>
      </c>
      <c r="P602" s="16" t="str">
        <f t="array" ref="P602">IF($A602="","", IFERROR(INDEX('BM Data'!$N:$N,MATCH($J602&amp; "-" &amp; $N602,'BM Data'!$O:$O,0),1),""))</f>
        <v/>
      </c>
      <c r="Q602" s="16" t="str">
        <f t="array" ref="Q602">IF($A602="","", IFERROR(INDEX('BM Data'!$J:$J,MATCH($J602&amp; "-" &amp; $N602,'BM Data'!$O:$O,0),1),""))</f>
        <v/>
      </c>
    </row>
    <row r="603">
      <c r="A603" s="10" t="str">
        <f>IFERROR(__xludf.DUMMYFUNCTION("""COMPUTED_VALUE"""),"")</f>
        <v/>
      </c>
      <c r="B603" s="3" t="str">
        <f>IFERROR(__xludf.DUMMYFUNCTION("""COMPUTED_VALUE"""),"")</f>
        <v/>
      </c>
      <c r="C603" s="11" t="str">
        <f>IFERROR(__xludf.DUMMYFUNCTION("""COMPUTED_VALUE"""),"")</f>
        <v/>
      </c>
      <c r="D603" s="11" t="str">
        <f>IFERROR(__xludf.DUMMYFUNCTION("""COMPUTED_VALUE"""),"")</f>
        <v/>
      </c>
      <c r="E603" s="11" t="str">
        <f>IFERROR(__xludf.DUMMYFUNCTION("""COMPUTED_VALUE"""),"")</f>
        <v/>
      </c>
      <c r="F603" s="11" t="str">
        <f>IFERROR(__xludf.DUMMYFUNCTION("""COMPUTED_VALUE"""),"")</f>
        <v/>
      </c>
      <c r="G603" s="11" t="str">
        <f>IFERROR(__xludf.DUMMYFUNCTION("""COMPUTED_VALUE"""),"")</f>
        <v/>
      </c>
      <c r="H603" s="12" t="str">
        <f>IFERROR(__xludf.DUMMYFUNCTION("""COMPUTED_VALUE"""),"")</f>
        <v/>
      </c>
      <c r="I603" s="12" t="str">
        <f>IFERROR(__xludf.DUMMYFUNCTION("""COMPUTED_VALUE"""),"")</f>
        <v/>
      </c>
      <c r="J603" s="13" t="str">
        <f t="shared" si="1"/>
        <v/>
      </c>
      <c r="K603" s="12" t="str">
        <f>IFERROR(IF(A603="","",if($G603="",Reference!$J$2, VLOOKUP($G603,Reference!$I$2:$J$1000,2,false))),"")</f>
        <v/>
      </c>
      <c r="L603" s="12" t="str">
        <f>IF(A603="","", IF(F603="",Reference!$M$2,F603))</f>
        <v/>
      </c>
      <c r="M603" s="14" t="str">
        <f t="shared" si="2"/>
        <v/>
      </c>
      <c r="N603" s="15" t="str">
        <f t="shared" si="3"/>
        <v/>
      </c>
      <c r="O603" s="14" t="str">
        <f t="shared" si="4"/>
        <v/>
      </c>
      <c r="P603" s="16" t="str">
        <f t="array" ref="P603">IF($A603="","", IFERROR(INDEX('BM Data'!$N:$N,MATCH($J603&amp; "-" &amp; $N603,'BM Data'!$O:$O,0),1),""))</f>
        <v/>
      </c>
      <c r="Q603" s="16" t="str">
        <f t="array" ref="Q603">IF($A603="","", IFERROR(INDEX('BM Data'!$J:$J,MATCH($J603&amp; "-" &amp; $N603,'BM Data'!$O:$O,0),1),""))</f>
        <v/>
      </c>
    </row>
    <row r="604">
      <c r="A604" s="10" t="str">
        <f>IFERROR(__xludf.DUMMYFUNCTION("""COMPUTED_VALUE"""),"")</f>
        <v/>
      </c>
      <c r="B604" s="3" t="str">
        <f>IFERROR(__xludf.DUMMYFUNCTION("""COMPUTED_VALUE"""),"")</f>
        <v/>
      </c>
      <c r="C604" s="11" t="str">
        <f>IFERROR(__xludf.DUMMYFUNCTION("""COMPUTED_VALUE"""),"")</f>
        <v/>
      </c>
      <c r="D604" s="11" t="str">
        <f>IFERROR(__xludf.DUMMYFUNCTION("""COMPUTED_VALUE"""),"")</f>
        <v/>
      </c>
      <c r="E604" s="11" t="str">
        <f>IFERROR(__xludf.DUMMYFUNCTION("""COMPUTED_VALUE"""),"")</f>
        <v/>
      </c>
      <c r="F604" s="11" t="str">
        <f>IFERROR(__xludf.DUMMYFUNCTION("""COMPUTED_VALUE"""),"")</f>
        <v/>
      </c>
      <c r="G604" s="11" t="str">
        <f>IFERROR(__xludf.DUMMYFUNCTION("""COMPUTED_VALUE"""),"")</f>
        <v/>
      </c>
      <c r="H604" s="12" t="str">
        <f>IFERROR(__xludf.DUMMYFUNCTION("""COMPUTED_VALUE"""),"")</f>
        <v/>
      </c>
      <c r="I604" s="12" t="str">
        <f>IFERROR(__xludf.DUMMYFUNCTION("""COMPUTED_VALUE"""),"")</f>
        <v/>
      </c>
      <c r="J604" s="13" t="str">
        <f t="shared" si="1"/>
        <v/>
      </c>
      <c r="K604" s="12" t="str">
        <f>IFERROR(IF(A604="","",if($G604="",Reference!$J$2, VLOOKUP($G604,Reference!$I$2:$J$1000,2,false))),"")</f>
        <v/>
      </c>
      <c r="L604" s="12" t="str">
        <f>IF(A604="","", IF(F604="",Reference!$M$2,F604))</f>
        <v/>
      </c>
      <c r="M604" s="14" t="str">
        <f t="shared" si="2"/>
        <v/>
      </c>
      <c r="N604" s="15" t="str">
        <f t="shared" si="3"/>
        <v/>
      </c>
      <c r="O604" s="14" t="str">
        <f t="shared" si="4"/>
        <v/>
      </c>
      <c r="P604" s="16" t="str">
        <f t="array" ref="P604">IF($A604="","", IFERROR(INDEX('BM Data'!$N:$N,MATCH($J604&amp; "-" &amp; $N604,'BM Data'!$O:$O,0),1),""))</f>
        <v/>
      </c>
      <c r="Q604" s="16" t="str">
        <f t="array" ref="Q604">IF($A604="","", IFERROR(INDEX('BM Data'!$J:$J,MATCH($J604&amp; "-" &amp; $N604,'BM Data'!$O:$O,0),1),""))</f>
        <v/>
      </c>
    </row>
    <row r="605">
      <c r="A605" s="10" t="str">
        <f>IFERROR(__xludf.DUMMYFUNCTION("""COMPUTED_VALUE"""),"")</f>
        <v/>
      </c>
      <c r="B605" s="3" t="str">
        <f>IFERROR(__xludf.DUMMYFUNCTION("""COMPUTED_VALUE"""),"")</f>
        <v/>
      </c>
      <c r="C605" s="11" t="str">
        <f>IFERROR(__xludf.DUMMYFUNCTION("""COMPUTED_VALUE"""),"")</f>
        <v/>
      </c>
      <c r="D605" s="11" t="str">
        <f>IFERROR(__xludf.DUMMYFUNCTION("""COMPUTED_VALUE"""),"")</f>
        <v/>
      </c>
      <c r="E605" s="11" t="str">
        <f>IFERROR(__xludf.DUMMYFUNCTION("""COMPUTED_VALUE"""),"")</f>
        <v/>
      </c>
      <c r="F605" s="11" t="str">
        <f>IFERROR(__xludf.DUMMYFUNCTION("""COMPUTED_VALUE"""),"")</f>
        <v/>
      </c>
      <c r="G605" s="11" t="str">
        <f>IFERROR(__xludf.DUMMYFUNCTION("""COMPUTED_VALUE"""),"")</f>
        <v/>
      </c>
      <c r="H605" s="12" t="str">
        <f>IFERROR(__xludf.DUMMYFUNCTION("""COMPUTED_VALUE"""),"")</f>
        <v/>
      </c>
      <c r="I605" s="12" t="str">
        <f>IFERROR(__xludf.DUMMYFUNCTION("""COMPUTED_VALUE"""),"")</f>
        <v/>
      </c>
      <c r="J605" s="13" t="str">
        <f t="shared" si="1"/>
        <v/>
      </c>
      <c r="K605" s="12" t="str">
        <f>IFERROR(IF(A605="","",if($G605="",Reference!$J$2, VLOOKUP($G605,Reference!$I$2:$J$1000,2,false))),"")</f>
        <v/>
      </c>
      <c r="L605" s="12" t="str">
        <f>IF(A605="","", IF(F605="",Reference!$M$2,F605))</f>
        <v/>
      </c>
      <c r="M605" s="14" t="str">
        <f t="shared" si="2"/>
        <v/>
      </c>
      <c r="N605" s="15" t="str">
        <f t="shared" si="3"/>
        <v/>
      </c>
      <c r="O605" s="14" t="str">
        <f t="shared" si="4"/>
        <v/>
      </c>
      <c r="P605" s="16" t="str">
        <f t="array" ref="P605">IF($A605="","", IFERROR(INDEX('BM Data'!$N:$N,MATCH($J605&amp; "-" &amp; $N605,'BM Data'!$O:$O,0),1),""))</f>
        <v/>
      </c>
      <c r="Q605" s="16" t="str">
        <f t="array" ref="Q605">IF($A605="","", IFERROR(INDEX('BM Data'!$J:$J,MATCH($J605&amp; "-" &amp; $N605,'BM Data'!$O:$O,0),1),""))</f>
        <v/>
      </c>
    </row>
    <row r="606">
      <c r="A606" s="10" t="str">
        <f>IFERROR(__xludf.DUMMYFUNCTION("""COMPUTED_VALUE"""),"")</f>
        <v/>
      </c>
      <c r="B606" s="3" t="str">
        <f>IFERROR(__xludf.DUMMYFUNCTION("""COMPUTED_VALUE"""),"")</f>
        <v/>
      </c>
      <c r="C606" s="11" t="str">
        <f>IFERROR(__xludf.DUMMYFUNCTION("""COMPUTED_VALUE"""),"")</f>
        <v/>
      </c>
      <c r="D606" s="11" t="str">
        <f>IFERROR(__xludf.DUMMYFUNCTION("""COMPUTED_VALUE"""),"")</f>
        <v/>
      </c>
      <c r="E606" s="11" t="str">
        <f>IFERROR(__xludf.DUMMYFUNCTION("""COMPUTED_VALUE"""),"")</f>
        <v/>
      </c>
      <c r="F606" s="11" t="str">
        <f>IFERROR(__xludf.DUMMYFUNCTION("""COMPUTED_VALUE"""),"")</f>
        <v/>
      </c>
      <c r="G606" s="11" t="str">
        <f>IFERROR(__xludf.DUMMYFUNCTION("""COMPUTED_VALUE"""),"")</f>
        <v/>
      </c>
      <c r="H606" s="12" t="str">
        <f>IFERROR(__xludf.DUMMYFUNCTION("""COMPUTED_VALUE"""),"")</f>
        <v/>
      </c>
      <c r="I606" s="12" t="str">
        <f>IFERROR(__xludf.DUMMYFUNCTION("""COMPUTED_VALUE"""),"")</f>
        <v/>
      </c>
      <c r="J606" s="13" t="str">
        <f t="shared" si="1"/>
        <v/>
      </c>
      <c r="K606" s="12" t="str">
        <f>IFERROR(IF(A606="","",if($G606="",Reference!$J$2, VLOOKUP($G606,Reference!$I$2:$J$1000,2,false))),"")</f>
        <v/>
      </c>
      <c r="L606" s="12" t="str">
        <f>IF(A606="","", IF(F606="",Reference!$M$2,F606))</f>
        <v/>
      </c>
      <c r="M606" s="14" t="str">
        <f t="shared" si="2"/>
        <v/>
      </c>
      <c r="N606" s="15" t="str">
        <f t="shared" si="3"/>
        <v/>
      </c>
      <c r="O606" s="14" t="str">
        <f t="shared" si="4"/>
        <v/>
      </c>
      <c r="P606" s="16" t="str">
        <f t="array" ref="P606">IF($A606="","", IFERROR(INDEX('BM Data'!$N:$N,MATCH($J606&amp; "-" &amp; $N606,'BM Data'!$O:$O,0),1),""))</f>
        <v/>
      </c>
      <c r="Q606" s="16" t="str">
        <f t="array" ref="Q606">IF($A606="","", IFERROR(INDEX('BM Data'!$J:$J,MATCH($J606&amp; "-" &amp; $N606,'BM Data'!$O:$O,0),1),""))</f>
        <v/>
      </c>
    </row>
    <row r="607">
      <c r="A607" s="10" t="str">
        <f>IFERROR(__xludf.DUMMYFUNCTION("""COMPUTED_VALUE"""),"")</f>
        <v/>
      </c>
      <c r="B607" s="3" t="str">
        <f>IFERROR(__xludf.DUMMYFUNCTION("""COMPUTED_VALUE"""),"")</f>
        <v/>
      </c>
      <c r="C607" s="11" t="str">
        <f>IFERROR(__xludf.DUMMYFUNCTION("""COMPUTED_VALUE"""),"")</f>
        <v/>
      </c>
      <c r="D607" s="11" t="str">
        <f>IFERROR(__xludf.DUMMYFUNCTION("""COMPUTED_VALUE"""),"")</f>
        <v/>
      </c>
      <c r="E607" s="11" t="str">
        <f>IFERROR(__xludf.DUMMYFUNCTION("""COMPUTED_VALUE"""),"")</f>
        <v/>
      </c>
      <c r="F607" s="11" t="str">
        <f>IFERROR(__xludf.DUMMYFUNCTION("""COMPUTED_VALUE"""),"")</f>
        <v/>
      </c>
      <c r="G607" s="11" t="str">
        <f>IFERROR(__xludf.DUMMYFUNCTION("""COMPUTED_VALUE"""),"")</f>
        <v/>
      </c>
      <c r="H607" s="12" t="str">
        <f>IFERROR(__xludf.DUMMYFUNCTION("""COMPUTED_VALUE"""),"")</f>
        <v/>
      </c>
      <c r="I607" s="12" t="str">
        <f>IFERROR(__xludf.DUMMYFUNCTION("""COMPUTED_VALUE"""),"")</f>
        <v/>
      </c>
      <c r="J607" s="13" t="str">
        <f t="shared" si="1"/>
        <v/>
      </c>
      <c r="K607" s="12" t="str">
        <f>IFERROR(IF(A607="","",if($G607="",Reference!$J$2, VLOOKUP($G607,Reference!$I$2:$J$1000,2,false))),"")</f>
        <v/>
      </c>
      <c r="L607" s="12" t="str">
        <f>IF(A607="","", IF(F607="",Reference!$M$2,F607))</f>
        <v/>
      </c>
      <c r="M607" s="14" t="str">
        <f t="shared" si="2"/>
        <v/>
      </c>
      <c r="N607" s="15" t="str">
        <f t="shared" si="3"/>
        <v/>
      </c>
      <c r="O607" s="14" t="str">
        <f t="shared" si="4"/>
        <v/>
      </c>
      <c r="P607" s="16" t="str">
        <f t="array" ref="P607">IF($A607="","", IFERROR(INDEX('BM Data'!$N:$N,MATCH($J607&amp; "-" &amp; $N607,'BM Data'!$O:$O,0),1),""))</f>
        <v/>
      </c>
      <c r="Q607" s="16" t="str">
        <f t="array" ref="Q607">IF($A607="","", IFERROR(INDEX('BM Data'!$J:$J,MATCH($J607&amp; "-" &amp; $N607,'BM Data'!$O:$O,0),1),""))</f>
        <v/>
      </c>
    </row>
    <row r="608">
      <c r="A608" s="10" t="str">
        <f>IFERROR(__xludf.DUMMYFUNCTION("""COMPUTED_VALUE"""),"")</f>
        <v/>
      </c>
      <c r="B608" s="3" t="str">
        <f>IFERROR(__xludf.DUMMYFUNCTION("""COMPUTED_VALUE"""),"")</f>
        <v/>
      </c>
      <c r="C608" s="11" t="str">
        <f>IFERROR(__xludf.DUMMYFUNCTION("""COMPUTED_VALUE"""),"")</f>
        <v/>
      </c>
      <c r="D608" s="11" t="str">
        <f>IFERROR(__xludf.DUMMYFUNCTION("""COMPUTED_VALUE"""),"")</f>
        <v/>
      </c>
      <c r="E608" s="11" t="str">
        <f>IFERROR(__xludf.DUMMYFUNCTION("""COMPUTED_VALUE"""),"")</f>
        <v/>
      </c>
      <c r="F608" s="11" t="str">
        <f>IFERROR(__xludf.DUMMYFUNCTION("""COMPUTED_VALUE"""),"")</f>
        <v/>
      </c>
      <c r="G608" s="11" t="str">
        <f>IFERROR(__xludf.DUMMYFUNCTION("""COMPUTED_VALUE"""),"")</f>
        <v/>
      </c>
      <c r="H608" s="12" t="str">
        <f>IFERROR(__xludf.DUMMYFUNCTION("""COMPUTED_VALUE"""),"")</f>
        <v/>
      </c>
      <c r="I608" s="12" t="str">
        <f>IFERROR(__xludf.DUMMYFUNCTION("""COMPUTED_VALUE"""),"")</f>
        <v/>
      </c>
      <c r="J608" s="13" t="str">
        <f t="shared" si="1"/>
        <v/>
      </c>
      <c r="K608" s="12" t="str">
        <f>IFERROR(IF(A608="","",if($G608="",Reference!$J$2, VLOOKUP($G608,Reference!$I$2:$J$1000,2,false))),"")</f>
        <v/>
      </c>
      <c r="L608" s="12" t="str">
        <f>IF(A608="","", IF(F608="",Reference!$M$2,F608))</f>
        <v/>
      </c>
      <c r="M608" s="14" t="str">
        <f t="shared" si="2"/>
        <v/>
      </c>
      <c r="N608" s="15" t="str">
        <f t="shared" si="3"/>
        <v/>
      </c>
      <c r="O608" s="14" t="str">
        <f t="shared" si="4"/>
        <v/>
      </c>
      <c r="P608" s="16" t="str">
        <f t="array" ref="P608">IF($A608="","", IFERROR(INDEX('BM Data'!$N:$N,MATCH($J608&amp; "-" &amp; $N608,'BM Data'!$O:$O,0),1),""))</f>
        <v/>
      </c>
      <c r="Q608" s="16" t="str">
        <f t="array" ref="Q608">IF($A608="","", IFERROR(INDEX('BM Data'!$J:$J,MATCH($J608&amp; "-" &amp; $N608,'BM Data'!$O:$O,0),1),""))</f>
        <v/>
      </c>
    </row>
    <row r="609">
      <c r="A609" s="10" t="str">
        <f>IFERROR(__xludf.DUMMYFUNCTION("""COMPUTED_VALUE"""),"")</f>
        <v/>
      </c>
      <c r="B609" s="3" t="str">
        <f>IFERROR(__xludf.DUMMYFUNCTION("""COMPUTED_VALUE"""),"")</f>
        <v/>
      </c>
      <c r="C609" s="11" t="str">
        <f>IFERROR(__xludf.DUMMYFUNCTION("""COMPUTED_VALUE"""),"")</f>
        <v/>
      </c>
      <c r="D609" s="11" t="str">
        <f>IFERROR(__xludf.DUMMYFUNCTION("""COMPUTED_VALUE"""),"")</f>
        <v/>
      </c>
      <c r="E609" s="11" t="str">
        <f>IFERROR(__xludf.DUMMYFUNCTION("""COMPUTED_VALUE"""),"")</f>
        <v/>
      </c>
      <c r="F609" s="11" t="str">
        <f>IFERROR(__xludf.DUMMYFUNCTION("""COMPUTED_VALUE"""),"")</f>
        <v/>
      </c>
      <c r="G609" s="11" t="str">
        <f>IFERROR(__xludf.DUMMYFUNCTION("""COMPUTED_VALUE"""),"")</f>
        <v/>
      </c>
      <c r="H609" s="12" t="str">
        <f>IFERROR(__xludf.DUMMYFUNCTION("""COMPUTED_VALUE"""),"")</f>
        <v/>
      </c>
      <c r="I609" s="12" t="str">
        <f>IFERROR(__xludf.DUMMYFUNCTION("""COMPUTED_VALUE"""),"")</f>
        <v/>
      </c>
      <c r="J609" s="13" t="str">
        <f t="shared" si="1"/>
        <v/>
      </c>
      <c r="K609" s="12" t="str">
        <f>IFERROR(IF(A609="","",if($G609="",Reference!$J$2, VLOOKUP($G609,Reference!$I$2:$J$1000,2,false))),"")</f>
        <v/>
      </c>
      <c r="L609" s="12" t="str">
        <f>IF(A609="","", IF(F609="",Reference!$M$2,F609))</f>
        <v/>
      </c>
      <c r="M609" s="14" t="str">
        <f t="shared" si="2"/>
        <v/>
      </c>
      <c r="N609" s="15" t="str">
        <f t="shared" si="3"/>
        <v/>
      </c>
      <c r="O609" s="14" t="str">
        <f t="shared" si="4"/>
        <v/>
      </c>
      <c r="P609" s="16" t="str">
        <f t="array" ref="P609">IF($A609="","", IFERROR(INDEX('BM Data'!$N:$N,MATCH($J609&amp; "-" &amp; $N609,'BM Data'!$O:$O,0),1),""))</f>
        <v/>
      </c>
      <c r="Q609" s="16" t="str">
        <f t="array" ref="Q609">IF($A609="","", IFERROR(INDEX('BM Data'!$J:$J,MATCH($J609&amp; "-" &amp; $N609,'BM Data'!$O:$O,0),1),""))</f>
        <v/>
      </c>
    </row>
    <row r="610">
      <c r="A610" s="10" t="str">
        <f>IFERROR(__xludf.DUMMYFUNCTION("""COMPUTED_VALUE"""),"")</f>
        <v/>
      </c>
      <c r="B610" s="3" t="str">
        <f>IFERROR(__xludf.DUMMYFUNCTION("""COMPUTED_VALUE"""),"")</f>
        <v/>
      </c>
      <c r="C610" s="11" t="str">
        <f>IFERROR(__xludf.DUMMYFUNCTION("""COMPUTED_VALUE"""),"")</f>
        <v/>
      </c>
      <c r="D610" s="11" t="str">
        <f>IFERROR(__xludf.DUMMYFUNCTION("""COMPUTED_VALUE"""),"")</f>
        <v/>
      </c>
      <c r="E610" s="11" t="str">
        <f>IFERROR(__xludf.DUMMYFUNCTION("""COMPUTED_VALUE"""),"")</f>
        <v/>
      </c>
      <c r="F610" s="11" t="str">
        <f>IFERROR(__xludf.DUMMYFUNCTION("""COMPUTED_VALUE"""),"")</f>
        <v/>
      </c>
      <c r="G610" s="11" t="str">
        <f>IFERROR(__xludf.DUMMYFUNCTION("""COMPUTED_VALUE"""),"")</f>
        <v/>
      </c>
      <c r="H610" s="12" t="str">
        <f>IFERROR(__xludf.DUMMYFUNCTION("""COMPUTED_VALUE"""),"")</f>
        <v/>
      </c>
      <c r="I610" s="12" t="str">
        <f>IFERROR(__xludf.DUMMYFUNCTION("""COMPUTED_VALUE"""),"")</f>
        <v/>
      </c>
      <c r="J610" s="13" t="str">
        <f t="shared" si="1"/>
        <v/>
      </c>
      <c r="K610" s="12" t="str">
        <f>IFERROR(IF(A610="","",if($G610="",Reference!$J$2, VLOOKUP($G610,Reference!$I$2:$J$1000,2,false))),"")</f>
        <v/>
      </c>
      <c r="L610" s="12" t="str">
        <f>IF(A610="","", IF(F610="",Reference!$M$2,F610))</f>
        <v/>
      </c>
      <c r="M610" s="14" t="str">
        <f t="shared" si="2"/>
        <v/>
      </c>
      <c r="N610" s="15" t="str">
        <f t="shared" si="3"/>
        <v/>
      </c>
      <c r="O610" s="14" t="str">
        <f t="shared" si="4"/>
        <v/>
      </c>
      <c r="P610" s="16" t="str">
        <f t="array" ref="P610">IF($A610="","", IFERROR(INDEX('BM Data'!$N:$N,MATCH($J610&amp; "-" &amp; $N610,'BM Data'!$O:$O,0),1),""))</f>
        <v/>
      </c>
      <c r="Q610" s="16" t="str">
        <f t="array" ref="Q610">IF($A610="","", IFERROR(INDEX('BM Data'!$J:$J,MATCH($J610&amp; "-" &amp; $N610,'BM Data'!$O:$O,0),1),""))</f>
        <v/>
      </c>
    </row>
    <row r="611">
      <c r="A611" s="10" t="str">
        <f>IFERROR(__xludf.DUMMYFUNCTION("""COMPUTED_VALUE"""),"")</f>
        <v/>
      </c>
      <c r="B611" s="3" t="str">
        <f>IFERROR(__xludf.DUMMYFUNCTION("""COMPUTED_VALUE"""),"")</f>
        <v/>
      </c>
      <c r="C611" s="11" t="str">
        <f>IFERROR(__xludf.DUMMYFUNCTION("""COMPUTED_VALUE"""),"")</f>
        <v/>
      </c>
      <c r="D611" s="11" t="str">
        <f>IFERROR(__xludf.DUMMYFUNCTION("""COMPUTED_VALUE"""),"")</f>
        <v/>
      </c>
      <c r="E611" s="11" t="str">
        <f>IFERROR(__xludf.DUMMYFUNCTION("""COMPUTED_VALUE"""),"")</f>
        <v/>
      </c>
      <c r="F611" s="11" t="str">
        <f>IFERROR(__xludf.DUMMYFUNCTION("""COMPUTED_VALUE"""),"")</f>
        <v/>
      </c>
      <c r="G611" s="11" t="str">
        <f>IFERROR(__xludf.DUMMYFUNCTION("""COMPUTED_VALUE"""),"")</f>
        <v/>
      </c>
      <c r="H611" s="12" t="str">
        <f>IFERROR(__xludf.DUMMYFUNCTION("""COMPUTED_VALUE"""),"")</f>
        <v/>
      </c>
      <c r="I611" s="12" t="str">
        <f>IFERROR(__xludf.DUMMYFUNCTION("""COMPUTED_VALUE"""),"")</f>
        <v/>
      </c>
      <c r="J611" s="13" t="str">
        <f t="shared" si="1"/>
        <v/>
      </c>
      <c r="K611" s="12" t="str">
        <f>IFERROR(IF(A611="","",if($G611="",Reference!$J$2, VLOOKUP($G611,Reference!$I$2:$J$1000,2,false))),"")</f>
        <v/>
      </c>
      <c r="L611" s="12" t="str">
        <f>IF(A611="","", IF(F611="",Reference!$M$2,F611))</f>
        <v/>
      </c>
      <c r="M611" s="14" t="str">
        <f t="shared" si="2"/>
        <v/>
      </c>
      <c r="N611" s="15" t="str">
        <f t="shared" si="3"/>
        <v/>
      </c>
      <c r="O611" s="14" t="str">
        <f t="shared" si="4"/>
        <v/>
      </c>
      <c r="P611" s="16" t="str">
        <f t="array" ref="P611">IF($A611="","", IFERROR(INDEX('BM Data'!$N:$N,MATCH($J611&amp; "-" &amp; $N611,'BM Data'!$O:$O,0),1),""))</f>
        <v/>
      </c>
      <c r="Q611" s="16" t="str">
        <f t="array" ref="Q611">IF($A611="","", IFERROR(INDEX('BM Data'!$J:$J,MATCH($J611&amp; "-" &amp; $N611,'BM Data'!$O:$O,0),1),""))</f>
        <v/>
      </c>
    </row>
    <row r="612">
      <c r="A612" s="10" t="str">
        <f>IFERROR(__xludf.DUMMYFUNCTION("""COMPUTED_VALUE"""),"")</f>
        <v/>
      </c>
      <c r="B612" s="3" t="str">
        <f>IFERROR(__xludf.DUMMYFUNCTION("""COMPUTED_VALUE"""),"")</f>
        <v/>
      </c>
      <c r="C612" s="11" t="str">
        <f>IFERROR(__xludf.DUMMYFUNCTION("""COMPUTED_VALUE"""),"")</f>
        <v/>
      </c>
      <c r="D612" s="11" t="str">
        <f>IFERROR(__xludf.DUMMYFUNCTION("""COMPUTED_VALUE"""),"")</f>
        <v/>
      </c>
      <c r="E612" s="11" t="str">
        <f>IFERROR(__xludf.DUMMYFUNCTION("""COMPUTED_VALUE"""),"")</f>
        <v/>
      </c>
      <c r="F612" s="11" t="str">
        <f>IFERROR(__xludf.DUMMYFUNCTION("""COMPUTED_VALUE"""),"")</f>
        <v/>
      </c>
      <c r="G612" s="11" t="str">
        <f>IFERROR(__xludf.DUMMYFUNCTION("""COMPUTED_VALUE"""),"")</f>
        <v/>
      </c>
      <c r="H612" s="12" t="str">
        <f>IFERROR(__xludf.DUMMYFUNCTION("""COMPUTED_VALUE"""),"")</f>
        <v/>
      </c>
      <c r="I612" s="12" t="str">
        <f>IFERROR(__xludf.DUMMYFUNCTION("""COMPUTED_VALUE"""),"")</f>
        <v/>
      </c>
      <c r="J612" s="13" t="str">
        <f t="shared" si="1"/>
        <v/>
      </c>
      <c r="K612" s="12" t="str">
        <f>IFERROR(IF(A612="","",if($G612="",Reference!$J$2, VLOOKUP($G612,Reference!$I$2:$J$1000,2,false))),"")</f>
        <v/>
      </c>
      <c r="L612" s="12" t="str">
        <f>IF(A612="","", IF(F612="",Reference!$M$2,F612))</f>
        <v/>
      </c>
      <c r="M612" s="14" t="str">
        <f t="shared" si="2"/>
        <v/>
      </c>
      <c r="N612" s="15" t="str">
        <f t="shared" si="3"/>
        <v/>
      </c>
      <c r="O612" s="14" t="str">
        <f t="shared" si="4"/>
        <v/>
      </c>
      <c r="P612" s="16" t="str">
        <f t="array" ref="P612">IF($A612="","", IFERROR(INDEX('BM Data'!$N:$N,MATCH($J612&amp; "-" &amp; $N612,'BM Data'!$O:$O,0),1),""))</f>
        <v/>
      </c>
      <c r="Q612" s="16" t="str">
        <f t="array" ref="Q612">IF($A612="","", IFERROR(INDEX('BM Data'!$J:$J,MATCH($J612&amp; "-" &amp; $N612,'BM Data'!$O:$O,0),1),""))</f>
        <v/>
      </c>
    </row>
    <row r="613">
      <c r="A613" s="10" t="str">
        <f>IFERROR(__xludf.DUMMYFUNCTION("""COMPUTED_VALUE"""),"")</f>
        <v/>
      </c>
      <c r="B613" s="3" t="str">
        <f>IFERROR(__xludf.DUMMYFUNCTION("""COMPUTED_VALUE"""),"")</f>
        <v/>
      </c>
      <c r="C613" s="11" t="str">
        <f>IFERROR(__xludf.DUMMYFUNCTION("""COMPUTED_VALUE"""),"")</f>
        <v/>
      </c>
      <c r="D613" s="11" t="str">
        <f>IFERROR(__xludf.DUMMYFUNCTION("""COMPUTED_VALUE"""),"")</f>
        <v/>
      </c>
      <c r="E613" s="11" t="str">
        <f>IFERROR(__xludf.DUMMYFUNCTION("""COMPUTED_VALUE"""),"")</f>
        <v/>
      </c>
      <c r="F613" s="11" t="str">
        <f>IFERROR(__xludf.DUMMYFUNCTION("""COMPUTED_VALUE"""),"")</f>
        <v/>
      </c>
      <c r="G613" s="11" t="str">
        <f>IFERROR(__xludf.DUMMYFUNCTION("""COMPUTED_VALUE"""),"")</f>
        <v/>
      </c>
      <c r="H613" s="12" t="str">
        <f>IFERROR(__xludf.DUMMYFUNCTION("""COMPUTED_VALUE"""),"")</f>
        <v/>
      </c>
      <c r="I613" s="12" t="str">
        <f>IFERROR(__xludf.DUMMYFUNCTION("""COMPUTED_VALUE"""),"")</f>
        <v/>
      </c>
      <c r="J613" s="13" t="str">
        <f t="shared" si="1"/>
        <v/>
      </c>
      <c r="K613" s="12" t="str">
        <f>IFERROR(IF(A613="","",if($G613="",Reference!$J$2, VLOOKUP($G613,Reference!$I$2:$J$1000,2,false))),"")</f>
        <v/>
      </c>
      <c r="L613" s="12" t="str">
        <f>IF(A613="","", IF(F613="",Reference!$M$2,F613))</f>
        <v/>
      </c>
      <c r="M613" s="14" t="str">
        <f t="shared" si="2"/>
        <v/>
      </c>
      <c r="N613" s="15" t="str">
        <f t="shared" si="3"/>
        <v/>
      </c>
      <c r="O613" s="14" t="str">
        <f t="shared" si="4"/>
        <v/>
      </c>
      <c r="P613" s="16" t="str">
        <f t="array" ref="P613">IF($A613="","", IFERROR(INDEX('BM Data'!$N:$N,MATCH($J613&amp; "-" &amp; $N613,'BM Data'!$O:$O,0),1),""))</f>
        <v/>
      </c>
      <c r="Q613" s="16" t="str">
        <f t="array" ref="Q613">IF($A613="","", IFERROR(INDEX('BM Data'!$J:$J,MATCH($J613&amp; "-" &amp; $N613,'BM Data'!$O:$O,0),1),""))</f>
        <v/>
      </c>
    </row>
    <row r="614">
      <c r="A614" s="10" t="str">
        <f>IFERROR(__xludf.DUMMYFUNCTION("""COMPUTED_VALUE"""),"")</f>
        <v/>
      </c>
      <c r="B614" s="3" t="str">
        <f>IFERROR(__xludf.DUMMYFUNCTION("""COMPUTED_VALUE"""),"")</f>
        <v/>
      </c>
      <c r="C614" s="11" t="str">
        <f>IFERROR(__xludf.DUMMYFUNCTION("""COMPUTED_VALUE"""),"")</f>
        <v/>
      </c>
      <c r="D614" s="11" t="str">
        <f>IFERROR(__xludf.DUMMYFUNCTION("""COMPUTED_VALUE"""),"")</f>
        <v/>
      </c>
      <c r="E614" s="11" t="str">
        <f>IFERROR(__xludf.DUMMYFUNCTION("""COMPUTED_VALUE"""),"")</f>
        <v/>
      </c>
      <c r="F614" s="11" t="str">
        <f>IFERROR(__xludf.DUMMYFUNCTION("""COMPUTED_VALUE"""),"")</f>
        <v/>
      </c>
      <c r="G614" s="11" t="str">
        <f>IFERROR(__xludf.DUMMYFUNCTION("""COMPUTED_VALUE"""),"")</f>
        <v/>
      </c>
      <c r="H614" s="12" t="str">
        <f>IFERROR(__xludf.DUMMYFUNCTION("""COMPUTED_VALUE"""),"")</f>
        <v/>
      </c>
      <c r="I614" s="12" t="str">
        <f>IFERROR(__xludf.DUMMYFUNCTION("""COMPUTED_VALUE"""),"")</f>
        <v/>
      </c>
      <c r="J614" s="13" t="str">
        <f t="shared" si="1"/>
        <v/>
      </c>
      <c r="K614" s="12" t="str">
        <f>IFERROR(IF(A614="","",if($G614="",Reference!$J$2, VLOOKUP($G614,Reference!$I$2:$J$1000,2,false))),"")</f>
        <v/>
      </c>
      <c r="L614" s="12" t="str">
        <f>IF(A614="","", IF(F614="",Reference!$M$2,F614))</f>
        <v/>
      </c>
      <c r="M614" s="14" t="str">
        <f t="shared" si="2"/>
        <v/>
      </c>
      <c r="N614" s="15" t="str">
        <f t="shared" si="3"/>
        <v/>
      </c>
      <c r="O614" s="14" t="str">
        <f t="shared" si="4"/>
        <v/>
      </c>
      <c r="P614" s="16" t="str">
        <f t="array" ref="P614">IF($A614="","", IFERROR(INDEX('BM Data'!$N:$N,MATCH($J614&amp; "-" &amp; $N614,'BM Data'!$O:$O,0),1),""))</f>
        <v/>
      </c>
      <c r="Q614" s="16" t="str">
        <f t="array" ref="Q614">IF($A614="","", IFERROR(INDEX('BM Data'!$J:$J,MATCH($J614&amp; "-" &amp; $N614,'BM Data'!$O:$O,0),1),""))</f>
        <v/>
      </c>
    </row>
    <row r="615">
      <c r="A615" s="10" t="str">
        <f>IFERROR(__xludf.DUMMYFUNCTION("""COMPUTED_VALUE"""),"")</f>
        <v/>
      </c>
      <c r="B615" s="3" t="str">
        <f>IFERROR(__xludf.DUMMYFUNCTION("""COMPUTED_VALUE"""),"")</f>
        <v/>
      </c>
      <c r="C615" s="11" t="str">
        <f>IFERROR(__xludf.DUMMYFUNCTION("""COMPUTED_VALUE"""),"")</f>
        <v/>
      </c>
      <c r="D615" s="11" t="str">
        <f>IFERROR(__xludf.DUMMYFUNCTION("""COMPUTED_VALUE"""),"")</f>
        <v/>
      </c>
      <c r="E615" s="11" t="str">
        <f>IFERROR(__xludf.DUMMYFUNCTION("""COMPUTED_VALUE"""),"")</f>
        <v/>
      </c>
      <c r="F615" s="11" t="str">
        <f>IFERROR(__xludf.DUMMYFUNCTION("""COMPUTED_VALUE"""),"")</f>
        <v/>
      </c>
      <c r="G615" s="11" t="str">
        <f>IFERROR(__xludf.DUMMYFUNCTION("""COMPUTED_VALUE"""),"")</f>
        <v/>
      </c>
      <c r="H615" s="12" t="str">
        <f>IFERROR(__xludf.DUMMYFUNCTION("""COMPUTED_VALUE"""),"")</f>
        <v/>
      </c>
      <c r="I615" s="12" t="str">
        <f>IFERROR(__xludf.DUMMYFUNCTION("""COMPUTED_VALUE"""),"")</f>
        <v/>
      </c>
      <c r="J615" s="13" t="str">
        <f t="shared" si="1"/>
        <v/>
      </c>
      <c r="K615" s="12" t="str">
        <f>IFERROR(IF(A615="","",if($G615="",Reference!$J$2, VLOOKUP($G615,Reference!$I$2:$J$1000,2,false))),"")</f>
        <v/>
      </c>
      <c r="L615" s="12" t="str">
        <f>IF(A615="","", IF(F615="",Reference!$M$2,F615))</f>
        <v/>
      </c>
      <c r="M615" s="14" t="str">
        <f t="shared" si="2"/>
        <v/>
      </c>
      <c r="N615" s="15" t="str">
        <f t="shared" si="3"/>
        <v/>
      </c>
      <c r="O615" s="14" t="str">
        <f t="shared" si="4"/>
        <v/>
      </c>
      <c r="P615" s="16" t="str">
        <f t="array" ref="P615">IF($A615="","", IFERROR(INDEX('BM Data'!$N:$N,MATCH($J615&amp; "-" &amp; $N615,'BM Data'!$O:$O,0),1),""))</f>
        <v/>
      </c>
      <c r="Q615" s="16" t="str">
        <f t="array" ref="Q615">IF($A615="","", IFERROR(INDEX('BM Data'!$J:$J,MATCH($J615&amp; "-" &amp; $N615,'BM Data'!$O:$O,0),1),""))</f>
        <v/>
      </c>
    </row>
    <row r="616">
      <c r="A616" s="10" t="str">
        <f>IFERROR(__xludf.DUMMYFUNCTION("""COMPUTED_VALUE"""),"")</f>
        <v/>
      </c>
      <c r="B616" s="3" t="str">
        <f>IFERROR(__xludf.DUMMYFUNCTION("""COMPUTED_VALUE"""),"")</f>
        <v/>
      </c>
      <c r="C616" s="11" t="str">
        <f>IFERROR(__xludf.DUMMYFUNCTION("""COMPUTED_VALUE"""),"")</f>
        <v/>
      </c>
      <c r="D616" s="11" t="str">
        <f>IFERROR(__xludf.DUMMYFUNCTION("""COMPUTED_VALUE"""),"")</f>
        <v/>
      </c>
      <c r="E616" s="11" t="str">
        <f>IFERROR(__xludf.DUMMYFUNCTION("""COMPUTED_VALUE"""),"")</f>
        <v/>
      </c>
      <c r="F616" s="11" t="str">
        <f>IFERROR(__xludf.DUMMYFUNCTION("""COMPUTED_VALUE"""),"")</f>
        <v/>
      </c>
      <c r="G616" s="11" t="str">
        <f>IFERROR(__xludf.DUMMYFUNCTION("""COMPUTED_VALUE"""),"")</f>
        <v/>
      </c>
      <c r="H616" s="12" t="str">
        <f>IFERROR(__xludf.DUMMYFUNCTION("""COMPUTED_VALUE"""),"")</f>
        <v/>
      </c>
      <c r="I616" s="12" t="str">
        <f>IFERROR(__xludf.DUMMYFUNCTION("""COMPUTED_VALUE"""),"")</f>
        <v/>
      </c>
      <c r="J616" s="13" t="str">
        <f t="shared" si="1"/>
        <v/>
      </c>
      <c r="K616" s="12" t="str">
        <f>IFERROR(IF(A616="","",if($G616="",Reference!$J$2, VLOOKUP($G616,Reference!$I$2:$J$1000,2,false))),"")</f>
        <v/>
      </c>
      <c r="L616" s="12" t="str">
        <f>IF(A616="","", IF(F616="",Reference!$M$2,F616))</f>
        <v/>
      </c>
      <c r="M616" s="14" t="str">
        <f t="shared" si="2"/>
        <v/>
      </c>
      <c r="N616" s="15" t="str">
        <f t="shared" si="3"/>
        <v/>
      </c>
      <c r="O616" s="14" t="str">
        <f t="shared" si="4"/>
        <v/>
      </c>
      <c r="P616" s="16" t="str">
        <f t="array" ref="P616">IF($A616="","", IFERROR(INDEX('BM Data'!$N:$N,MATCH($J616&amp; "-" &amp; $N616,'BM Data'!$O:$O,0),1),""))</f>
        <v/>
      </c>
      <c r="Q616" s="16" t="str">
        <f t="array" ref="Q616">IF($A616="","", IFERROR(INDEX('BM Data'!$J:$J,MATCH($J616&amp; "-" &amp; $N616,'BM Data'!$O:$O,0),1),""))</f>
        <v/>
      </c>
    </row>
    <row r="617">
      <c r="A617" s="10" t="str">
        <f>IFERROR(__xludf.DUMMYFUNCTION("""COMPUTED_VALUE"""),"")</f>
        <v/>
      </c>
      <c r="B617" s="3" t="str">
        <f>IFERROR(__xludf.DUMMYFUNCTION("""COMPUTED_VALUE"""),"")</f>
        <v/>
      </c>
      <c r="C617" s="11" t="str">
        <f>IFERROR(__xludf.DUMMYFUNCTION("""COMPUTED_VALUE"""),"")</f>
        <v/>
      </c>
      <c r="D617" s="11" t="str">
        <f>IFERROR(__xludf.DUMMYFUNCTION("""COMPUTED_VALUE"""),"")</f>
        <v/>
      </c>
      <c r="E617" s="11" t="str">
        <f>IFERROR(__xludf.DUMMYFUNCTION("""COMPUTED_VALUE"""),"")</f>
        <v/>
      </c>
      <c r="F617" s="11" t="str">
        <f>IFERROR(__xludf.DUMMYFUNCTION("""COMPUTED_VALUE"""),"")</f>
        <v/>
      </c>
      <c r="G617" s="11" t="str">
        <f>IFERROR(__xludf.DUMMYFUNCTION("""COMPUTED_VALUE"""),"")</f>
        <v/>
      </c>
      <c r="H617" s="12" t="str">
        <f>IFERROR(__xludf.DUMMYFUNCTION("""COMPUTED_VALUE"""),"")</f>
        <v/>
      </c>
      <c r="I617" s="12" t="str">
        <f>IFERROR(__xludf.DUMMYFUNCTION("""COMPUTED_VALUE"""),"")</f>
        <v/>
      </c>
      <c r="J617" s="13" t="str">
        <f t="shared" si="1"/>
        <v/>
      </c>
      <c r="K617" s="12" t="str">
        <f>IFERROR(IF(A617="","",if($G617="",Reference!$J$2, VLOOKUP($G617,Reference!$I$2:$J$1000,2,false))),"")</f>
        <v/>
      </c>
      <c r="L617" s="12" t="str">
        <f>IF(A617="","", IF(F617="",Reference!$M$2,F617))</f>
        <v/>
      </c>
      <c r="M617" s="14" t="str">
        <f t="shared" si="2"/>
        <v/>
      </c>
      <c r="N617" s="15" t="str">
        <f t="shared" si="3"/>
        <v/>
      </c>
      <c r="O617" s="14" t="str">
        <f t="shared" si="4"/>
        <v/>
      </c>
      <c r="P617" s="16" t="str">
        <f t="array" ref="P617">IF($A617="","", IFERROR(INDEX('BM Data'!$N:$N,MATCH($J617&amp; "-" &amp; $N617,'BM Data'!$O:$O,0),1),""))</f>
        <v/>
      </c>
      <c r="Q617" s="16" t="str">
        <f t="array" ref="Q617">IF($A617="","", IFERROR(INDEX('BM Data'!$J:$J,MATCH($J617&amp; "-" &amp; $N617,'BM Data'!$O:$O,0),1),""))</f>
        <v/>
      </c>
    </row>
    <row r="618">
      <c r="A618" s="10" t="str">
        <f>IFERROR(__xludf.DUMMYFUNCTION("""COMPUTED_VALUE"""),"")</f>
        <v/>
      </c>
      <c r="B618" s="3" t="str">
        <f>IFERROR(__xludf.DUMMYFUNCTION("""COMPUTED_VALUE"""),"")</f>
        <v/>
      </c>
      <c r="C618" s="11" t="str">
        <f>IFERROR(__xludf.DUMMYFUNCTION("""COMPUTED_VALUE"""),"")</f>
        <v/>
      </c>
      <c r="D618" s="11" t="str">
        <f>IFERROR(__xludf.DUMMYFUNCTION("""COMPUTED_VALUE"""),"")</f>
        <v/>
      </c>
      <c r="E618" s="11" t="str">
        <f>IFERROR(__xludf.DUMMYFUNCTION("""COMPUTED_VALUE"""),"")</f>
        <v/>
      </c>
      <c r="F618" s="11" t="str">
        <f>IFERROR(__xludf.DUMMYFUNCTION("""COMPUTED_VALUE"""),"")</f>
        <v/>
      </c>
      <c r="G618" s="11" t="str">
        <f>IFERROR(__xludf.DUMMYFUNCTION("""COMPUTED_VALUE"""),"")</f>
        <v/>
      </c>
      <c r="H618" s="12" t="str">
        <f>IFERROR(__xludf.DUMMYFUNCTION("""COMPUTED_VALUE"""),"")</f>
        <v/>
      </c>
      <c r="I618" s="12" t="str">
        <f>IFERROR(__xludf.DUMMYFUNCTION("""COMPUTED_VALUE"""),"")</f>
        <v/>
      </c>
      <c r="J618" s="13" t="str">
        <f t="shared" si="1"/>
        <v/>
      </c>
      <c r="K618" s="12" t="str">
        <f>IFERROR(IF(A618="","",if($G618="",Reference!$J$2, VLOOKUP($G618,Reference!$I$2:$J$1000,2,false))),"")</f>
        <v/>
      </c>
      <c r="L618" s="12" t="str">
        <f>IF(A618="","", IF(F618="",Reference!$M$2,F618))</f>
        <v/>
      </c>
      <c r="M618" s="14" t="str">
        <f t="shared" si="2"/>
        <v/>
      </c>
      <c r="N618" s="15" t="str">
        <f t="shared" si="3"/>
        <v/>
      </c>
      <c r="O618" s="14" t="str">
        <f t="shared" si="4"/>
        <v/>
      </c>
      <c r="P618" s="16" t="str">
        <f t="array" ref="P618">IF($A618="","", IFERROR(INDEX('BM Data'!$N:$N,MATCH($J618&amp; "-" &amp; $N618,'BM Data'!$O:$O,0),1),""))</f>
        <v/>
      </c>
      <c r="Q618" s="16" t="str">
        <f t="array" ref="Q618">IF($A618="","", IFERROR(INDEX('BM Data'!$J:$J,MATCH($J618&amp; "-" &amp; $N618,'BM Data'!$O:$O,0),1),""))</f>
        <v/>
      </c>
    </row>
    <row r="619">
      <c r="A619" s="10" t="str">
        <f>IFERROR(__xludf.DUMMYFUNCTION("""COMPUTED_VALUE"""),"")</f>
        <v/>
      </c>
      <c r="B619" s="3" t="str">
        <f>IFERROR(__xludf.DUMMYFUNCTION("""COMPUTED_VALUE"""),"")</f>
        <v/>
      </c>
      <c r="C619" s="11" t="str">
        <f>IFERROR(__xludf.DUMMYFUNCTION("""COMPUTED_VALUE"""),"")</f>
        <v/>
      </c>
      <c r="D619" s="11" t="str">
        <f>IFERROR(__xludf.DUMMYFUNCTION("""COMPUTED_VALUE"""),"")</f>
        <v/>
      </c>
      <c r="E619" s="11" t="str">
        <f>IFERROR(__xludf.DUMMYFUNCTION("""COMPUTED_VALUE"""),"")</f>
        <v/>
      </c>
      <c r="F619" s="11" t="str">
        <f>IFERROR(__xludf.DUMMYFUNCTION("""COMPUTED_VALUE"""),"")</f>
        <v/>
      </c>
      <c r="G619" s="11" t="str">
        <f>IFERROR(__xludf.DUMMYFUNCTION("""COMPUTED_VALUE"""),"")</f>
        <v/>
      </c>
      <c r="H619" s="12" t="str">
        <f>IFERROR(__xludf.DUMMYFUNCTION("""COMPUTED_VALUE"""),"")</f>
        <v/>
      </c>
      <c r="I619" s="12" t="str">
        <f>IFERROR(__xludf.DUMMYFUNCTION("""COMPUTED_VALUE"""),"")</f>
        <v/>
      </c>
      <c r="J619" s="13" t="str">
        <f t="shared" si="1"/>
        <v/>
      </c>
      <c r="K619" s="12" t="str">
        <f>IFERROR(IF(A619="","",if($G619="",Reference!$J$2, VLOOKUP($G619,Reference!$I$2:$J$1000,2,false))),"")</f>
        <v/>
      </c>
      <c r="L619" s="12" t="str">
        <f>IF(A619="","", IF(F619="",Reference!$M$2,F619))</f>
        <v/>
      </c>
      <c r="M619" s="14" t="str">
        <f t="shared" si="2"/>
        <v/>
      </c>
      <c r="N619" s="15" t="str">
        <f t="shared" si="3"/>
        <v/>
      </c>
      <c r="O619" s="14" t="str">
        <f t="shared" si="4"/>
        <v/>
      </c>
      <c r="P619" s="16" t="str">
        <f t="array" ref="P619">IF($A619="","", IFERROR(INDEX('BM Data'!$N:$N,MATCH($J619&amp; "-" &amp; $N619,'BM Data'!$O:$O,0),1),""))</f>
        <v/>
      </c>
      <c r="Q619" s="16" t="str">
        <f t="array" ref="Q619">IF($A619="","", IFERROR(INDEX('BM Data'!$J:$J,MATCH($J619&amp; "-" &amp; $N619,'BM Data'!$O:$O,0),1),""))</f>
        <v/>
      </c>
    </row>
    <row r="620">
      <c r="A620" s="10" t="str">
        <f>IFERROR(__xludf.DUMMYFUNCTION("""COMPUTED_VALUE"""),"")</f>
        <v/>
      </c>
      <c r="B620" s="3" t="str">
        <f>IFERROR(__xludf.DUMMYFUNCTION("""COMPUTED_VALUE"""),"")</f>
        <v/>
      </c>
      <c r="C620" s="11" t="str">
        <f>IFERROR(__xludf.DUMMYFUNCTION("""COMPUTED_VALUE"""),"")</f>
        <v/>
      </c>
      <c r="D620" s="11" t="str">
        <f>IFERROR(__xludf.DUMMYFUNCTION("""COMPUTED_VALUE"""),"")</f>
        <v/>
      </c>
      <c r="E620" s="11" t="str">
        <f>IFERROR(__xludf.DUMMYFUNCTION("""COMPUTED_VALUE"""),"")</f>
        <v/>
      </c>
      <c r="F620" s="11" t="str">
        <f>IFERROR(__xludf.DUMMYFUNCTION("""COMPUTED_VALUE"""),"")</f>
        <v/>
      </c>
      <c r="G620" s="11" t="str">
        <f>IFERROR(__xludf.DUMMYFUNCTION("""COMPUTED_VALUE"""),"")</f>
        <v/>
      </c>
      <c r="H620" s="12" t="str">
        <f>IFERROR(__xludf.DUMMYFUNCTION("""COMPUTED_VALUE"""),"")</f>
        <v/>
      </c>
      <c r="I620" s="12" t="str">
        <f>IFERROR(__xludf.DUMMYFUNCTION("""COMPUTED_VALUE"""),"")</f>
        <v/>
      </c>
      <c r="J620" s="13" t="str">
        <f t="shared" si="1"/>
        <v/>
      </c>
      <c r="K620" s="12" t="str">
        <f>IFERROR(IF(A620="","",if($G620="",Reference!$J$2, VLOOKUP($G620,Reference!$I$2:$J$1000,2,false))),"")</f>
        <v/>
      </c>
      <c r="L620" s="12" t="str">
        <f>IF(A620="","", IF(F620="",Reference!$M$2,F620))</f>
        <v/>
      </c>
      <c r="M620" s="14" t="str">
        <f t="shared" si="2"/>
        <v/>
      </c>
      <c r="N620" s="15" t="str">
        <f t="shared" si="3"/>
        <v/>
      </c>
      <c r="O620" s="14" t="str">
        <f t="shared" si="4"/>
        <v/>
      </c>
      <c r="P620" s="16" t="str">
        <f t="array" ref="P620">IF($A620="","", IFERROR(INDEX('BM Data'!$N:$N,MATCH($J620&amp; "-" &amp; $N620,'BM Data'!$O:$O,0),1),""))</f>
        <v/>
      </c>
      <c r="Q620" s="16" t="str">
        <f t="array" ref="Q620">IF($A620="","", IFERROR(INDEX('BM Data'!$J:$J,MATCH($J620&amp; "-" &amp; $N620,'BM Data'!$O:$O,0),1),""))</f>
        <v/>
      </c>
    </row>
    <row r="621">
      <c r="A621" s="10" t="str">
        <f>IFERROR(__xludf.DUMMYFUNCTION("""COMPUTED_VALUE"""),"")</f>
        <v/>
      </c>
      <c r="B621" s="3" t="str">
        <f>IFERROR(__xludf.DUMMYFUNCTION("""COMPUTED_VALUE"""),"")</f>
        <v/>
      </c>
      <c r="C621" s="11" t="str">
        <f>IFERROR(__xludf.DUMMYFUNCTION("""COMPUTED_VALUE"""),"")</f>
        <v/>
      </c>
      <c r="D621" s="11" t="str">
        <f>IFERROR(__xludf.DUMMYFUNCTION("""COMPUTED_VALUE"""),"")</f>
        <v/>
      </c>
      <c r="E621" s="11" t="str">
        <f>IFERROR(__xludf.DUMMYFUNCTION("""COMPUTED_VALUE"""),"")</f>
        <v/>
      </c>
      <c r="F621" s="11" t="str">
        <f>IFERROR(__xludf.DUMMYFUNCTION("""COMPUTED_VALUE"""),"")</f>
        <v/>
      </c>
      <c r="G621" s="11" t="str">
        <f>IFERROR(__xludf.DUMMYFUNCTION("""COMPUTED_VALUE"""),"")</f>
        <v/>
      </c>
      <c r="H621" s="12" t="str">
        <f>IFERROR(__xludf.DUMMYFUNCTION("""COMPUTED_VALUE"""),"")</f>
        <v/>
      </c>
      <c r="I621" s="12" t="str">
        <f>IFERROR(__xludf.DUMMYFUNCTION("""COMPUTED_VALUE"""),"")</f>
        <v/>
      </c>
      <c r="J621" s="13" t="str">
        <f t="shared" si="1"/>
        <v/>
      </c>
      <c r="K621" s="12" t="str">
        <f>IFERROR(IF(A621="","",if($G621="",Reference!$J$2, VLOOKUP($G621,Reference!$I$2:$J$1000,2,false))),"")</f>
        <v/>
      </c>
      <c r="L621" s="12" t="str">
        <f>IF(A621="","", IF(F621="",Reference!$M$2,F621))</f>
        <v/>
      </c>
      <c r="M621" s="14" t="str">
        <f t="shared" si="2"/>
        <v/>
      </c>
      <c r="N621" s="15" t="str">
        <f t="shared" si="3"/>
        <v/>
      </c>
      <c r="O621" s="14" t="str">
        <f t="shared" si="4"/>
        <v/>
      </c>
      <c r="P621" s="16" t="str">
        <f t="array" ref="P621">IF($A621="","", IFERROR(INDEX('BM Data'!$N:$N,MATCH($J621&amp; "-" &amp; $N621,'BM Data'!$O:$O,0),1),""))</f>
        <v/>
      </c>
      <c r="Q621" s="16" t="str">
        <f t="array" ref="Q621">IF($A621="","", IFERROR(INDEX('BM Data'!$J:$J,MATCH($J621&amp; "-" &amp; $N621,'BM Data'!$O:$O,0),1),""))</f>
        <v/>
      </c>
    </row>
    <row r="622">
      <c r="A622" s="10" t="str">
        <f>IFERROR(__xludf.DUMMYFUNCTION("""COMPUTED_VALUE"""),"")</f>
        <v/>
      </c>
      <c r="B622" s="3" t="str">
        <f>IFERROR(__xludf.DUMMYFUNCTION("""COMPUTED_VALUE"""),"")</f>
        <v/>
      </c>
      <c r="C622" s="11" t="str">
        <f>IFERROR(__xludf.DUMMYFUNCTION("""COMPUTED_VALUE"""),"")</f>
        <v/>
      </c>
      <c r="D622" s="11" t="str">
        <f>IFERROR(__xludf.DUMMYFUNCTION("""COMPUTED_VALUE"""),"")</f>
        <v/>
      </c>
      <c r="E622" s="11" t="str">
        <f>IFERROR(__xludf.DUMMYFUNCTION("""COMPUTED_VALUE"""),"")</f>
        <v/>
      </c>
      <c r="F622" s="11" t="str">
        <f>IFERROR(__xludf.DUMMYFUNCTION("""COMPUTED_VALUE"""),"")</f>
        <v/>
      </c>
      <c r="G622" s="11" t="str">
        <f>IFERROR(__xludf.DUMMYFUNCTION("""COMPUTED_VALUE"""),"")</f>
        <v/>
      </c>
      <c r="H622" s="12" t="str">
        <f>IFERROR(__xludf.DUMMYFUNCTION("""COMPUTED_VALUE"""),"")</f>
        <v/>
      </c>
      <c r="I622" s="12" t="str">
        <f>IFERROR(__xludf.DUMMYFUNCTION("""COMPUTED_VALUE"""),"")</f>
        <v/>
      </c>
      <c r="J622" s="13" t="str">
        <f t="shared" si="1"/>
        <v/>
      </c>
      <c r="K622" s="12" t="str">
        <f>IFERROR(IF(A622="","",if($G622="",Reference!$J$2, VLOOKUP($G622,Reference!$I$2:$J$1000,2,false))),"")</f>
        <v/>
      </c>
      <c r="L622" s="12" t="str">
        <f>IF(A622="","", IF(F622="",Reference!$M$2,F622))</f>
        <v/>
      </c>
      <c r="M622" s="14" t="str">
        <f t="shared" si="2"/>
        <v/>
      </c>
      <c r="N622" s="15" t="str">
        <f t="shared" si="3"/>
        <v/>
      </c>
      <c r="O622" s="14" t="str">
        <f t="shared" si="4"/>
        <v/>
      </c>
      <c r="P622" s="16" t="str">
        <f t="array" ref="P622">IF($A622="","", IFERROR(INDEX('BM Data'!$N:$N,MATCH($J622&amp; "-" &amp; $N622,'BM Data'!$O:$O,0),1),""))</f>
        <v/>
      </c>
      <c r="Q622" s="16" t="str">
        <f t="array" ref="Q622">IF($A622="","", IFERROR(INDEX('BM Data'!$J:$J,MATCH($J622&amp; "-" &amp; $N622,'BM Data'!$O:$O,0),1),""))</f>
        <v/>
      </c>
    </row>
    <row r="623">
      <c r="A623" s="10" t="str">
        <f>IFERROR(__xludf.DUMMYFUNCTION("""COMPUTED_VALUE"""),"")</f>
        <v/>
      </c>
      <c r="B623" s="3" t="str">
        <f>IFERROR(__xludf.DUMMYFUNCTION("""COMPUTED_VALUE"""),"")</f>
        <v/>
      </c>
      <c r="C623" s="11" t="str">
        <f>IFERROR(__xludf.DUMMYFUNCTION("""COMPUTED_VALUE"""),"")</f>
        <v/>
      </c>
      <c r="D623" s="11" t="str">
        <f>IFERROR(__xludf.DUMMYFUNCTION("""COMPUTED_VALUE"""),"")</f>
        <v/>
      </c>
      <c r="E623" s="11" t="str">
        <f>IFERROR(__xludf.DUMMYFUNCTION("""COMPUTED_VALUE"""),"")</f>
        <v/>
      </c>
      <c r="F623" s="11" t="str">
        <f>IFERROR(__xludf.DUMMYFUNCTION("""COMPUTED_VALUE"""),"")</f>
        <v/>
      </c>
      <c r="G623" s="11" t="str">
        <f>IFERROR(__xludf.DUMMYFUNCTION("""COMPUTED_VALUE"""),"")</f>
        <v/>
      </c>
      <c r="H623" s="12" t="str">
        <f>IFERROR(__xludf.DUMMYFUNCTION("""COMPUTED_VALUE"""),"")</f>
        <v/>
      </c>
      <c r="I623" s="12" t="str">
        <f>IFERROR(__xludf.DUMMYFUNCTION("""COMPUTED_VALUE"""),"")</f>
        <v/>
      </c>
      <c r="J623" s="13" t="str">
        <f t="shared" si="1"/>
        <v/>
      </c>
      <c r="K623" s="12" t="str">
        <f>IFERROR(IF(A623="","",if($G623="",Reference!$J$2, VLOOKUP($G623,Reference!$I$2:$J$1000,2,false))),"")</f>
        <v/>
      </c>
      <c r="L623" s="12" t="str">
        <f>IF(A623="","", IF(F623="",Reference!$M$2,F623))</f>
        <v/>
      </c>
      <c r="M623" s="14" t="str">
        <f t="shared" si="2"/>
        <v/>
      </c>
      <c r="N623" s="15" t="str">
        <f t="shared" si="3"/>
        <v/>
      </c>
      <c r="O623" s="14" t="str">
        <f t="shared" si="4"/>
        <v/>
      </c>
      <c r="P623" s="16" t="str">
        <f t="array" ref="P623">IF($A623="","", IFERROR(INDEX('BM Data'!$N:$N,MATCH($J623&amp; "-" &amp; $N623,'BM Data'!$O:$O,0),1),""))</f>
        <v/>
      </c>
      <c r="Q623" s="16" t="str">
        <f t="array" ref="Q623">IF($A623="","", IFERROR(INDEX('BM Data'!$J:$J,MATCH($J623&amp; "-" &amp; $N623,'BM Data'!$O:$O,0),1),""))</f>
        <v/>
      </c>
    </row>
    <row r="624">
      <c r="A624" s="10" t="str">
        <f>IFERROR(__xludf.DUMMYFUNCTION("""COMPUTED_VALUE"""),"")</f>
        <v/>
      </c>
      <c r="B624" s="3" t="str">
        <f>IFERROR(__xludf.DUMMYFUNCTION("""COMPUTED_VALUE"""),"")</f>
        <v/>
      </c>
      <c r="C624" s="11" t="str">
        <f>IFERROR(__xludf.DUMMYFUNCTION("""COMPUTED_VALUE"""),"")</f>
        <v/>
      </c>
      <c r="D624" s="11" t="str">
        <f>IFERROR(__xludf.DUMMYFUNCTION("""COMPUTED_VALUE"""),"")</f>
        <v/>
      </c>
      <c r="E624" s="11" t="str">
        <f>IFERROR(__xludf.DUMMYFUNCTION("""COMPUTED_VALUE"""),"")</f>
        <v/>
      </c>
      <c r="F624" s="11" t="str">
        <f>IFERROR(__xludf.DUMMYFUNCTION("""COMPUTED_VALUE"""),"")</f>
        <v/>
      </c>
      <c r="G624" s="11" t="str">
        <f>IFERROR(__xludf.DUMMYFUNCTION("""COMPUTED_VALUE"""),"")</f>
        <v/>
      </c>
      <c r="H624" s="12" t="str">
        <f>IFERROR(__xludf.DUMMYFUNCTION("""COMPUTED_VALUE"""),"")</f>
        <v/>
      </c>
      <c r="I624" s="12" t="str">
        <f>IFERROR(__xludf.DUMMYFUNCTION("""COMPUTED_VALUE"""),"")</f>
        <v/>
      </c>
      <c r="J624" s="13" t="str">
        <f t="shared" si="1"/>
        <v/>
      </c>
      <c r="K624" s="12" t="str">
        <f>IFERROR(IF(A624="","",if($G624="",Reference!$J$2, VLOOKUP($G624,Reference!$I$2:$J$1000,2,false))),"")</f>
        <v/>
      </c>
      <c r="L624" s="12" t="str">
        <f>IF(A624="","", IF(F624="",Reference!$M$2,F624))</f>
        <v/>
      </c>
      <c r="M624" s="14" t="str">
        <f t="shared" si="2"/>
        <v/>
      </c>
      <c r="N624" s="15" t="str">
        <f t="shared" si="3"/>
        <v/>
      </c>
      <c r="O624" s="14" t="str">
        <f t="shared" si="4"/>
        <v/>
      </c>
      <c r="P624" s="16" t="str">
        <f t="array" ref="P624">IF($A624="","", IFERROR(INDEX('BM Data'!$N:$N,MATCH($J624&amp; "-" &amp; $N624,'BM Data'!$O:$O,0),1),""))</f>
        <v/>
      </c>
      <c r="Q624" s="16" t="str">
        <f t="array" ref="Q624">IF($A624="","", IFERROR(INDEX('BM Data'!$J:$J,MATCH($J624&amp; "-" &amp; $N624,'BM Data'!$O:$O,0),1),""))</f>
        <v/>
      </c>
    </row>
    <row r="625">
      <c r="A625" s="10" t="str">
        <f>IFERROR(__xludf.DUMMYFUNCTION("""COMPUTED_VALUE"""),"")</f>
        <v/>
      </c>
      <c r="B625" s="3" t="str">
        <f>IFERROR(__xludf.DUMMYFUNCTION("""COMPUTED_VALUE"""),"")</f>
        <v/>
      </c>
      <c r="C625" s="11" t="str">
        <f>IFERROR(__xludf.DUMMYFUNCTION("""COMPUTED_VALUE"""),"")</f>
        <v/>
      </c>
      <c r="D625" s="11" t="str">
        <f>IFERROR(__xludf.DUMMYFUNCTION("""COMPUTED_VALUE"""),"")</f>
        <v/>
      </c>
      <c r="E625" s="11" t="str">
        <f>IFERROR(__xludf.DUMMYFUNCTION("""COMPUTED_VALUE"""),"")</f>
        <v/>
      </c>
      <c r="F625" s="11" t="str">
        <f>IFERROR(__xludf.DUMMYFUNCTION("""COMPUTED_VALUE"""),"")</f>
        <v/>
      </c>
      <c r="G625" s="11" t="str">
        <f>IFERROR(__xludf.DUMMYFUNCTION("""COMPUTED_VALUE"""),"")</f>
        <v/>
      </c>
      <c r="H625" s="12" t="str">
        <f>IFERROR(__xludf.DUMMYFUNCTION("""COMPUTED_VALUE"""),"")</f>
        <v/>
      </c>
      <c r="I625" s="12" t="str">
        <f>IFERROR(__xludf.DUMMYFUNCTION("""COMPUTED_VALUE"""),"")</f>
        <v/>
      </c>
      <c r="J625" s="13" t="str">
        <f t="shared" si="1"/>
        <v/>
      </c>
      <c r="K625" s="12" t="str">
        <f>IFERROR(IF(A625="","",if($G625="",Reference!$J$2, VLOOKUP($G625,Reference!$I$2:$J$1000,2,false))),"")</f>
        <v/>
      </c>
      <c r="L625" s="12" t="str">
        <f>IF(A625="","", IF(F625="",Reference!$M$2,F625))</f>
        <v/>
      </c>
      <c r="M625" s="14" t="str">
        <f t="shared" si="2"/>
        <v/>
      </c>
      <c r="N625" s="15" t="str">
        <f t="shared" si="3"/>
        <v/>
      </c>
      <c r="O625" s="14" t="str">
        <f t="shared" si="4"/>
        <v/>
      </c>
      <c r="P625" s="16" t="str">
        <f t="array" ref="P625">IF($A625="","", IFERROR(INDEX('BM Data'!$N:$N,MATCH($J625&amp; "-" &amp; $N625,'BM Data'!$O:$O,0),1),""))</f>
        <v/>
      </c>
      <c r="Q625" s="16" t="str">
        <f t="array" ref="Q625">IF($A625="","", IFERROR(INDEX('BM Data'!$J:$J,MATCH($J625&amp; "-" &amp; $N625,'BM Data'!$O:$O,0),1),""))</f>
        <v/>
      </c>
    </row>
    <row r="626">
      <c r="A626" s="10" t="str">
        <f>IFERROR(__xludf.DUMMYFUNCTION("""COMPUTED_VALUE"""),"")</f>
        <v/>
      </c>
      <c r="B626" s="3" t="str">
        <f>IFERROR(__xludf.DUMMYFUNCTION("""COMPUTED_VALUE"""),"")</f>
        <v/>
      </c>
      <c r="C626" s="11" t="str">
        <f>IFERROR(__xludf.DUMMYFUNCTION("""COMPUTED_VALUE"""),"")</f>
        <v/>
      </c>
      <c r="D626" s="11" t="str">
        <f>IFERROR(__xludf.DUMMYFUNCTION("""COMPUTED_VALUE"""),"")</f>
        <v/>
      </c>
      <c r="E626" s="11" t="str">
        <f>IFERROR(__xludf.DUMMYFUNCTION("""COMPUTED_VALUE"""),"")</f>
        <v/>
      </c>
      <c r="F626" s="11" t="str">
        <f>IFERROR(__xludf.DUMMYFUNCTION("""COMPUTED_VALUE"""),"")</f>
        <v/>
      </c>
      <c r="G626" s="11" t="str">
        <f>IFERROR(__xludf.DUMMYFUNCTION("""COMPUTED_VALUE"""),"")</f>
        <v/>
      </c>
      <c r="H626" s="12" t="str">
        <f>IFERROR(__xludf.DUMMYFUNCTION("""COMPUTED_VALUE"""),"")</f>
        <v/>
      </c>
      <c r="I626" s="12" t="str">
        <f>IFERROR(__xludf.DUMMYFUNCTION("""COMPUTED_VALUE"""),"")</f>
        <v/>
      </c>
      <c r="J626" s="13" t="str">
        <f t="shared" si="1"/>
        <v/>
      </c>
      <c r="K626" s="12" t="str">
        <f>IFERROR(IF(A626="","",if($G626="",Reference!$J$2, VLOOKUP($G626,Reference!$I$2:$J$1000,2,false))),"")</f>
        <v/>
      </c>
      <c r="L626" s="12" t="str">
        <f>IF(A626="","", IF(F626="",Reference!$M$2,F626))</f>
        <v/>
      </c>
      <c r="M626" s="14" t="str">
        <f t="shared" si="2"/>
        <v/>
      </c>
      <c r="N626" s="15" t="str">
        <f t="shared" si="3"/>
        <v/>
      </c>
      <c r="O626" s="14" t="str">
        <f t="shared" si="4"/>
        <v/>
      </c>
      <c r="P626" s="16" t="str">
        <f t="array" ref="P626">IF($A626="","", IFERROR(INDEX('BM Data'!$N:$N,MATCH($J626&amp; "-" &amp; $N626,'BM Data'!$O:$O,0),1),""))</f>
        <v/>
      </c>
      <c r="Q626" s="16" t="str">
        <f t="array" ref="Q626">IF($A626="","", IFERROR(INDEX('BM Data'!$J:$J,MATCH($J626&amp; "-" &amp; $N626,'BM Data'!$O:$O,0),1),""))</f>
        <v/>
      </c>
    </row>
    <row r="627">
      <c r="A627" s="10" t="str">
        <f>IFERROR(__xludf.DUMMYFUNCTION("""COMPUTED_VALUE"""),"")</f>
        <v/>
      </c>
      <c r="B627" s="3" t="str">
        <f>IFERROR(__xludf.DUMMYFUNCTION("""COMPUTED_VALUE"""),"")</f>
        <v/>
      </c>
      <c r="C627" s="11" t="str">
        <f>IFERROR(__xludf.DUMMYFUNCTION("""COMPUTED_VALUE"""),"")</f>
        <v/>
      </c>
      <c r="D627" s="11" t="str">
        <f>IFERROR(__xludf.DUMMYFUNCTION("""COMPUTED_VALUE"""),"")</f>
        <v/>
      </c>
      <c r="E627" s="11" t="str">
        <f>IFERROR(__xludf.DUMMYFUNCTION("""COMPUTED_VALUE"""),"")</f>
        <v/>
      </c>
      <c r="F627" s="11" t="str">
        <f>IFERROR(__xludf.DUMMYFUNCTION("""COMPUTED_VALUE"""),"")</f>
        <v/>
      </c>
      <c r="G627" s="11" t="str">
        <f>IFERROR(__xludf.DUMMYFUNCTION("""COMPUTED_VALUE"""),"")</f>
        <v/>
      </c>
      <c r="H627" s="12" t="str">
        <f>IFERROR(__xludf.DUMMYFUNCTION("""COMPUTED_VALUE"""),"")</f>
        <v/>
      </c>
      <c r="I627" s="12" t="str">
        <f>IFERROR(__xludf.DUMMYFUNCTION("""COMPUTED_VALUE"""),"")</f>
        <v/>
      </c>
      <c r="J627" s="13" t="str">
        <f t="shared" si="1"/>
        <v/>
      </c>
      <c r="K627" s="12" t="str">
        <f>IFERROR(IF(A627="","",if($G627="",Reference!$J$2, VLOOKUP($G627,Reference!$I$2:$J$1000,2,false))),"")</f>
        <v/>
      </c>
      <c r="L627" s="12" t="str">
        <f>IF(A627="","", IF(F627="",Reference!$M$2,F627))</f>
        <v/>
      </c>
      <c r="M627" s="14" t="str">
        <f t="shared" si="2"/>
        <v/>
      </c>
      <c r="N627" s="15" t="str">
        <f t="shared" si="3"/>
        <v/>
      </c>
      <c r="O627" s="14" t="str">
        <f t="shared" si="4"/>
        <v/>
      </c>
      <c r="P627" s="16" t="str">
        <f t="array" ref="P627">IF($A627="","", IFERROR(INDEX('BM Data'!$N:$N,MATCH($J627&amp; "-" &amp; $N627,'BM Data'!$O:$O,0),1),""))</f>
        <v/>
      </c>
      <c r="Q627" s="16" t="str">
        <f t="array" ref="Q627">IF($A627="","", IFERROR(INDEX('BM Data'!$J:$J,MATCH($J627&amp; "-" &amp; $N627,'BM Data'!$O:$O,0),1),""))</f>
        <v/>
      </c>
    </row>
    <row r="628">
      <c r="A628" s="10" t="str">
        <f>IFERROR(__xludf.DUMMYFUNCTION("""COMPUTED_VALUE"""),"")</f>
        <v/>
      </c>
      <c r="B628" s="3" t="str">
        <f>IFERROR(__xludf.DUMMYFUNCTION("""COMPUTED_VALUE"""),"")</f>
        <v/>
      </c>
      <c r="C628" s="11" t="str">
        <f>IFERROR(__xludf.DUMMYFUNCTION("""COMPUTED_VALUE"""),"")</f>
        <v/>
      </c>
      <c r="D628" s="11" t="str">
        <f>IFERROR(__xludf.DUMMYFUNCTION("""COMPUTED_VALUE"""),"")</f>
        <v/>
      </c>
      <c r="E628" s="11" t="str">
        <f>IFERROR(__xludf.DUMMYFUNCTION("""COMPUTED_VALUE"""),"")</f>
        <v/>
      </c>
      <c r="F628" s="11" t="str">
        <f>IFERROR(__xludf.DUMMYFUNCTION("""COMPUTED_VALUE"""),"")</f>
        <v/>
      </c>
      <c r="G628" s="11" t="str">
        <f>IFERROR(__xludf.DUMMYFUNCTION("""COMPUTED_VALUE"""),"")</f>
        <v/>
      </c>
      <c r="H628" s="12" t="str">
        <f>IFERROR(__xludf.DUMMYFUNCTION("""COMPUTED_VALUE"""),"")</f>
        <v/>
      </c>
      <c r="I628" s="12" t="str">
        <f>IFERROR(__xludf.DUMMYFUNCTION("""COMPUTED_VALUE"""),"")</f>
        <v/>
      </c>
      <c r="J628" s="13" t="str">
        <f t="shared" si="1"/>
        <v/>
      </c>
      <c r="K628" s="12" t="str">
        <f>IFERROR(IF(A628="","",if($G628="",Reference!$J$2, VLOOKUP($G628,Reference!$I$2:$J$1000,2,false))),"")</f>
        <v/>
      </c>
      <c r="L628" s="12" t="str">
        <f>IF(A628="","", IF(F628="",Reference!$M$2,F628))</f>
        <v/>
      </c>
      <c r="M628" s="14" t="str">
        <f t="shared" si="2"/>
        <v/>
      </c>
      <c r="N628" s="15" t="str">
        <f t="shared" si="3"/>
        <v/>
      </c>
      <c r="O628" s="14" t="str">
        <f t="shared" si="4"/>
        <v/>
      </c>
      <c r="P628" s="16" t="str">
        <f t="array" ref="P628">IF($A628="","", IFERROR(INDEX('BM Data'!$N:$N,MATCH($J628&amp; "-" &amp; $N628,'BM Data'!$O:$O,0),1),""))</f>
        <v/>
      </c>
      <c r="Q628" s="16" t="str">
        <f t="array" ref="Q628">IF($A628="","", IFERROR(INDEX('BM Data'!$J:$J,MATCH($J628&amp; "-" &amp; $N628,'BM Data'!$O:$O,0),1),""))</f>
        <v/>
      </c>
    </row>
    <row r="629">
      <c r="A629" s="10" t="str">
        <f>IFERROR(__xludf.DUMMYFUNCTION("""COMPUTED_VALUE"""),"")</f>
        <v/>
      </c>
      <c r="B629" s="3" t="str">
        <f>IFERROR(__xludf.DUMMYFUNCTION("""COMPUTED_VALUE"""),"")</f>
        <v/>
      </c>
      <c r="C629" s="11" t="str">
        <f>IFERROR(__xludf.DUMMYFUNCTION("""COMPUTED_VALUE"""),"")</f>
        <v/>
      </c>
      <c r="D629" s="11" t="str">
        <f>IFERROR(__xludf.DUMMYFUNCTION("""COMPUTED_VALUE"""),"")</f>
        <v/>
      </c>
      <c r="E629" s="11" t="str">
        <f>IFERROR(__xludf.DUMMYFUNCTION("""COMPUTED_VALUE"""),"")</f>
        <v/>
      </c>
      <c r="F629" s="11" t="str">
        <f>IFERROR(__xludf.DUMMYFUNCTION("""COMPUTED_VALUE"""),"")</f>
        <v/>
      </c>
      <c r="G629" s="11" t="str">
        <f>IFERROR(__xludf.DUMMYFUNCTION("""COMPUTED_VALUE"""),"")</f>
        <v/>
      </c>
      <c r="H629" s="12" t="str">
        <f>IFERROR(__xludf.DUMMYFUNCTION("""COMPUTED_VALUE"""),"")</f>
        <v/>
      </c>
      <c r="I629" s="12" t="str">
        <f>IFERROR(__xludf.DUMMYFUNCTION("""COMPUTED_VALUE"""),"")</f>
        <v/>
      </c>
      <c r="J629" s="13" t="str">
        <f t="shared" si="1"/>
        <v/>
      </c>
      <c r="K629" s="12" t="str">
        <f>IFERROR(IF(A629="","",if($G629="",Reference!$J$2, VLOOKUP($G629,Reference!$I$2:$J$1000,2,false))),"")</f>
        <v/>
      </c>
      <c r="L629" s="12" t="str">
        <f>IF(A629="","", IF(F629="",Reference!$M$2,F629))</f>
        <v/>
      </c>
      <c r="M629" s="14" t="str">
        <f t="shared" si="2"/>
        <v/>
      </c>
      <c r="N629" s="15" t="str">
        <f t="shared" si="3"/>
        <v/>
      </c>
      <c r="O629" s="14" t="str">
        <f t="shared" si="4"/>
        <v/>
      </c>
      <c r="P629" s="16" t="str">
        <f t="array" ref="P629">IF($A629="","", IFERROR(INDEX('BM Data'!$N:$N,MATCH($J629&amp; "-" &amp; $N629,'BM Data'!$O:$O,0),1),""))</f>
        <v/>
      </c>
      <c r="Q629" s="16" t="str">
        <f t="array" ref="Q629">IF($A629="","", IFERROR(INDEX('BM Data'!$J:$J,MATCH($J629&amp; "-" &amp; $N629,'BM Data'!$O:$O,0),1),""))</f>
        <v/>
      </c>
    </row>
    <row r="630">
      <c r="A630" s="10" t="str">
        <f>IFERROR(__xludf.DUMMYFUNCTION("""COMPUTED_VALUE"""),"")</f>
        <v/>
      </c>
      <c r="B630" s="3" t="str">
        <f>IFERROR(__xludf.DUMMYFUNCTION("""COMPUTED_VALUE"""),"")</f>
        <v/>
      </c>
      <c r="C630" s="11" t="str">
        <f>IFERROR(__xludf.DUMMYFUNCTION("""COMPUTED_VALUE"""),"")</f>
        <v/>
      </c>
      <c r="D630" s="11" t="str">
        <f>IFERROR(__xludf.DUMMYFUNCTION("""COMPUTED_VALUE"""),"")</f>
        <v/>
      </c>
      <c r="E630" s="11" t="str">
        <f>IFERROR(__xludf.DUMMYFUNCTION("""COMPUTED_VALUE"""),"")</f>
        <v/>
      </c>
      <c r="F630" s="11" t="str">
        <f>IFERROR(__xludf.DUMMYFUNCTION("""COMPUTED_VALUE"""),"")</f>
        <v/>
      </c>
      <c r="G630" s="11" t="str">
        <f>IFERROR(__xludf.DUMMYFUNCTION("""COMPUTED_VALUE"""),"")</f>
        <v/>
      </c>
      <c r="H630" s="12" t="str">
        <f>IFERROR(__xludf.DUMMYFUNCTION("""COMPUTED_VALUE"""),"")</f>
        <v/>
      </c>
      <c r="I630" s="12" t="str">
        <f>IFERROR(__xludf.DUMMYFUNCTION("""COMPUTED_VALUE"""),"")</f>
        <v/>
      </c>
      <c r="J630" s="13" t="str">
        <f t="shared" si="1"/>
        <v/>
      </c>
      <c r="K630" s="12" t="str">
        <f>IFERROR(IF(A630="","",if($G630="",Reference!$J$2, VLOOKUP($G630,Reference!$I$2:$J$1000,2,false))),"")</f>
        <v/>
      </c>
      <c r="L630" s="12" t="str">
        <f>IF(A630="","", IF(F630="",Reference!$M$2,F630))</f>
        <v/>
      </c>
      <c r="M630" s="14" t="str">
        <f t="shared" si="2"/>
        <v/>
      </c>
      <c r="N630" s="15" t="str">
        <f t="shared" si="3"/>
        <v/>
      </c>
      <c r="O630" s="14" t="str">
        <f t="shared" si="4"/>
        <v/>
      </c>
      <c r="P630" s="16" t="str">
        <f t="array" ref="P630">IF($A630="","", IFERROR(INDEX('BM Data'!$N:$N,MATCH($J630&amp; "-" &amp; $N630,'BM Data'!$O:$O,0),1),""))</f>
        <v/>
      </c>
      <c r="Q630" s="16" t="str">
        <f t="array" ref="Q630">IF($A630="","", IFERROR(INDEX('BM Data'!$J:$J,MATCH($J630&amp; "-" &amp; $N630,'BM Data'!$O:$O,0),1),""))</f>
        <v/>
      </c>
    </row>
    <row r="631">
      <c r="A631" s="10" t="str">
        <f>IFERROR(__xludf.DUMMYFUNCTION("""COMPUTED_VALUE"""),"")</f>
        <v/>
      </c>
      <c r="B631" s="3" t="str">
        <f>IFERROR(__xludf.DUMMYFUNCTION("""COMPUTED_VALUE"""),"")</f>
        <v/>
      </c>
      <c r="C631" s="11" t="str">
        <f>IFERROR(__xludf.DUMMYFUNCTION("""COMPUTED_VALUE"""),"")</f>
        <v/>
      </c>
      <c r="D631" s="11" t="str">
        <f>IFERROR(__xludf.DUMMYFUNCTION("""COMPUTED_VALUE"""),"")</f>
        <v/>
      </c>
      <c r="E631" s="11" t="str">
        <f>IFERROR(__xludf.DUMMYFUNCTION("""COMPUTED_VALUE"""),"")</f>
        <v/>
      </c>
      <c r="F631" s="11" t="str">
        <f>IFERROR(__xludf.DUMMYFUNCTION("""COMPUTED_VALUE"""),"")</f>
        <v/>
      </c>
      <c r="G631" s="11" t="str">
        <f>IFERROR(__xludf.DUMMYFUNCTION("""COMPUTED_VALUE"""),"")</f>
        <v/>
      </c>
      <c r="H631" s="12" t="str">
        <f>IFERROR(__xludf.DUMMYFUNCTION("""COMPUTED_VALUE"""),"")</f>
        <v/>
      </c>
      <c r="I631" s="12" t="str">
        <f>IFERROR(__xludf.DUMMYFUNCTION("""COMPUTED_VALUE"""),"")</f>
        <v/>
      </c>
      <c r="J631" s="13" t="str">
        <f t="shared" si="1"/>
        <v/>
      </c>
      <c r="K631" s="12" t="str">
        <f>IFERROR(IF(A631="","",if($G631="",Reference!$J$2, VLOOKUP($G631,Reference!$I$2:$J$1000,2,false))),"")</f>
        <v/>
      </c>
      <c r="L631" s="12" t="str">
        <f>IF(A631="","", IF(F631="",Reference!$M$2,F631))</f>
        <v/>
      </c>
      <c r="M631" s="14" t="str">
        <f t="shared" si="2"/>
        <v/>
      </c>
      <c r="N631" s="15" t="str">
        <f t="shared" si="3"/>
        <v/>
      </c>
      <c r="O631" s="14" t="str">
        <f t="shared" si="4"/>
        <v/>
      </c>
      <c r="P631" s="16" t="str">
        <f t="array" ref="P631">IF($A631="","", IFERROR(INDEX('BM Data'!$N:$N,MATCH($J631&amp; "-" &amp; $N631,'BM Data'!$O:$O,0),1),""))</f>
        <v/>
      </c>
      <c r="Q631" s="16" t="str">
        <f t="array" ref="Q631">IF($A631="","", IFERROR(INDEX('BM Data'!$J:$J,MATCH($J631&amp; "-" &amp; $N631,'BM Data'!$O:$O,0),1),""))</f>
        <v/>
      </c>
    </row>
    <row r="632">
      <c r="A632" s="10" t="str">
        <f>IFERROR(__xludf.DUMMYFUNCTION("""COMPUTED_VALUE"""),"")</f>
        <v/>
      </c>
      <c r="B632" s="3" t="str">
        <f>IFERROR(__xludf.DUMMYFUNCTION("""COMPUTED_VALUE"""),"")</f>
        <v/>
      </c>
      <c r="C632" s="11" t="str">
        <f>IFERROR(__xludf.DUMMYFUNCTION("""COMPUTED_VALUE"""),"")</f>
        <v/>
      </c>
      <c r="D632" s="11" t="str">
        <f>IFERROR(__xludf.DUMMYFUNCTION("""COMPUTED_VALUE"""),"")</f>
        <v/>
      </c>
      <c r="E632" s="11" t="str">
        <f>IFERROR(__xludf.DUMMYFUNCTION("""COMPUTED_VALUE"""),"")</f>
        <v/>
      </c>
      <c r="F632" s="11" t="str">
        <f>IFERROR(__xludf.DUMMYFUNCTION("""COMPUTED_VALUE"""),"")</f>
        <v/>
      </c>
      <c r="G632" s="11" t="str">
        <f>IFERROR(__xludf.DUMMYFUNCTION("""COMPUTED_VALUE"""),"")</f>
        <v/>
      </c>
      <c r="H632" s="12" t="str">
        <f>IFERROR(__xludf.DUMMYFUNCTION("""COMPUTED_VALUE"""),"")</f>
        <v/>
      </c>
      <c r="I632" s="12" t="str">
        <f>IFERROR(__xludf.DUMMYFUNCTION("""COMPUTED_VALUE"""),"")</f>
        <v/>
      </c>
      <c r="J632" s="13" t="str">
        <f t="shared" si="1"/>
        <v/>
      </c>
      <c r="K632" s="12" t="str">
        <f>IFERROR(IF(A632="","",if($G632="",Reference!$J$2, VLOOKUP($G632,Reference!$I$2:$J$1000,2,false))),"")</f>
        <v/>
      </c>
      <c r="L632" s="12" t="str">
        <f>IF(A632="","", IF(F632="",Reference!$M$2,F632))</f>
        <v/>
      </c>
      <c r="M632" s="14" t="str">
        <f t="shared" si="2"/>
        <v/>
      </c>
      <c r="N632" s="15" t="str">
        <f t="shared" si="3"/>
        <v/>
      </c>
      <c r="O632" s="14" t="str">
        <f t="shared" si="4"/>
        <v/>
      </c>
      <c r="P632" s="16" t="str">
        <f t="array" ref="P632">IF($A632="","", IFERROR(INDEX('BM Data'!$N:$N,MATCH($J632&amp; "-" &amp; $N632,'BM Data'!$O:$O,0),1),""))</f>
        <v/>
      </c>
      <c r="Q632" s="16" t="str">
        <f t="array" ref="Q632">IF($A632="","", IFERROR(INDEX('BM Data'!$J:$J,MATCH($J632&amp; "-" &amp; $N632,'BM Data'!$O:$O,0),1),""))</f>
        <v/>
      </c>
    </row>
    <row r="633">
      <c r="A633" s="10" t="str">
        <f>IFERROR(__xludf.DUMMYFUNCTION("""COMPUTED_VALUE"""),"")</f>
        <v/>
      </c>
      <c r="B633" s="3" t="str">
        <f>IFERROR(__xludf.DUMMYFUNCTION("""COMPUTED_VALUE"""),"")</f>
        <v/>
      </c>
      <c r="C633" s="11" t="str">
        <f>IFERROR(__xludf.DUMMYFUNCTION("""COMPUTED_VALUE"""),"")</f>
        <v/>
      </c>
      <c r="D633" s="11" t="str">
        <f>IFERROR(__xludf.DUMMYFUNCTION("""COMPUTED_VALUE"""),"")</f>
        <v/>
      </c>
      <c r="E633" s="11" t="str">
        <f>IFERROR(__xludf.DUMMYFUNCTION("""COMPUTED_VALUE"""),"")</f>
        <v/>
      </c>
      <c r="F633" s="11" t="str">
        <f>IFERROR(__xludf.DUMMYFUNCTION("""COMPUTED_VALUE"""),"")</f>
        <v/>
      </c>
      <c r="G633" s="11" t="str">
        <f>IFERROR(__xludf.DUMMYFUNCTION("""COMPUTED_VALUE"""),"")</f>
        <v/>
      </c>
      <c r="H633" s="12" t="str">
        <f>IFERROR(__xludf.DUMMYFUNCTION("""COMPUTED_VALUE"""),"")</f>
        <v/>
      </c>
      <c r="I633" s="12" t="str">
        <f>IFERROR(__xludf.DUMMYFUNCTION("""COMPUTED_VALUE"""),"")</f>
        <v/>
      </c>
      <c r="J633" s="13" t="str">
        <f t="shared" si="1"/>
        <v/>
      </c>
      <c r="K633" s="12" t="str">
        <f>IFERROR(IF(A633="","",if($G633="",Reference!$J$2, VLOOKUP($G633,Reference!$I$2:$J$1000,2,false))),"")</f>
        <v/>
      </c>
      <c r="L633" s="12" t="str">
        <f>IF(A633="","", IF(F633="",Reference!$M$2,F633))</f>
        <v/>
      </c>
      <c r="M633" s="14" t="str">
        <f t="shared" si="2"/>
        <v/>
      </c>
      <c r="N633" s="15" t="str">
        <f t="shared" si="3"/>
        <v/>
      </c>
      <c r="O633" s="14" t="str">
        <f t="shared" si="4"/>
        <v/>
      </c>
      <c r="P633" s="16" t="str">
        <f t="array" ref="P633">IF($A633="","", IFERROR(INDEX('BM Data'!$N:$N,MATCH($J633&amp; "-" &amp; $N633,'BM Data'!$O:$O,0),1),""))</f>
        <v/>
      </c>
      <c r="Q633" s="16" t="str">
        <f t="array" ref="Q633">IF($A633="","", IFERROR(INDEX('BM Data'!$J:$J,MATCH($J633&amp; "-" &amp; $N633,'BM Data'!$O:$O,0),1),""))</f>
        <v/>
      </c>
    </row>
    <row r="634">
      <c r="A634" s="10" t="str">
        <f>IFERROR(__xludf.DUMMYFUNCTION("""COMPUTED_VALUE"""),"")</f>
        <v/>
      </c>
      <c r="B634" s="3" t="str">
        <f>IFERROR(__xludf.DUMMYFUNCTION("""COMPUTED_VALUE"""),"")</f>
        <v/>
      </c>
      <c r="C634" s="11" t="str">
        <f>IFERROR(__xludf.DUMMYFUNCTION("""COMPUTED_VALUE"""),"")</f>
        <v/>
      </c>
      <c r="D634" s="11" t="str">
        <f>IFERROR(__xludf.DUMMYFUNCTION("""COMPUTED_VALUE"""),"")</f>
        <v/>
      </c>
      <c r="E634" s="11" t="str">
        <f>IFERROR(__xludf.DUMMYFUNCTION("""COMPUTED_VALUE"""),"")</f>
        <v/>
      </c>
      <c r="F634" s="11" t="str">
        <f>IFERROR(__xludf.DUMMYFUNCTION("""COMPUTED_VALUE"""),"")</f>
        <v/>
      </c>
      <c r="G634" s="11" t="str">
        <f>IFERROR(__xludf.DUMMYFUNCTION("""COMPUTED_VALUE"""),"")</f>
        <v/>
      </c>
      <c r="H634" s="12" t="str">
        <f>IFERROR(__xludf.DUMMYFUNCTION("""COMPUTED_VALUE"""),"")</f>
        <v/>
      </c>
      <c r="I634" s="12" t="str">
        <f>IFERROR(__xludf.DUMMYFUNCTION("""COMPUTED_VALUE"""),"")</f>
        <v/>
      </c>
      <c r="J634" s="13" t="str">
        <f t="shared" si="1"/>
        <v/>
      </c>
      <c r="K634" s="12" t="str">
        <f>IFERROR(IF(A634="","",if($G634="",Reference!$J$2, VLOOKUP($G634,Reference!$I$2:$J$1000,2,false))),"")</f>
        <v/>
      </c>
      <c r="L634" s="12" t="str">
        <f>IF(A634="","", IF(F634="",Reference!$M$2,F634))</f>
        <v/>
      </c>
      <c r="M634" s="14" t="str">
        <f t="shared" si="2"/>
        <v/>
      </c>
      <c r="N634" s="15" t="str">
        <f t="shared" si="3"/>
        <v/>
      </c>
      <c r="O634" s="14" t="str">
        <f t="shared" si="4"/>
        <v/>
      </c>
      <c r="P634" s="16" t="str">
        <f t="array" ref="P634">IF($A634="","", IFERROR(INDEX('BM Data'!$N:$N,MATCH($J634&amp; "-" &amp; $N634,'BM Data'!$O:$O,0),1),""))</f>
        <v/>
      </c>
      <c r="Q634" s="16" t="str">
        <f t="array" ref="Q634">IF($A634="","", IFERROR(INDEX('BM Data'!$J:$J,MATCH($J634&amp; "-" &amp; $N634,'BM Data'!$O:$O,0),1),""))</f>
        <v/>
      </c>
    </row>
    <row r="635">
      <c r="A635" s="10" t="str">
        <f>IFERROR(__xludf.DUMMYFUNCTION("""COMPUTED_VALUE"""),"")</f>
        <v/>
      </c>
      <c r="B635" s="3" t="str">
        <f>IFERROR(__xludf.DUMMYFUNCTION("""COMPUTED_VALUE"""),"")</f>
        <v/>
      </c>
      <c r="C635" s="11" t="str">
        <f>IFERROR(__xludf.DUMMYFUNCTION("""COMPUTED_VALUE"""),"")</f>
        <v/>
      </c>
      <c r="D635" s="11" t="str">
        <f>IFERROR(__xludf.DUMMYFUNCTION("""COMPUTED_VALUE"""),"")</f>
        <v/>
      </c>
      <c r="E635" s="11" t="str">
        <f>IFERROR(__xludf.DUMMYFUNCTION("""COMPUTED_VALUE"""),"")</f>
        <v/>
      </c>
      <c r="F635" s="11" t="str">
        <f>IFERROR(__xludf.DUMMYFUNCTION("""COMPUTED_VALUE"""),"")</f>
        <v/>
      </c>
      <c r="G635" s="11" t="str">
        <f>IFERROR(__xludf.DUMMYFUNCTION("""COMPUTED_VALUE"""),"")</f>
        <v/>
      </c>
      <c r="H635" s="12" t="str">
        <f>IFERROR(__xludf.DUMMYFUNCTION("""COMPUTED_VALUE"""),"")</f>
        <v/>
      </c>
      <c r="I635" s="12" t="str">
        <f>IFERROR(__xludf.DUMMYFUNCTION("""COMPUTED_VALUE"""),"")</f>
        <v/>
      </c>
      <c r="J635" s="13" t="str">
        <f t="shared" si="1"/>
        <v/>
      </c>
      <c r="K635" s="12" t="str">
        <f>IFERROR(IF(A635="","",if($G635="",Reference!$J$2, VLOOKUP($G635,Reference!$I$2:$J$1000,2,false))),"")</f>
        <v/>
      </c>
      <c r="L635" s="12" t="str">
        <f>IF(A635="","", IF(F635="",Reference!$M$2,F635))</f>
        <v/>
      </c>
      <c r="M635" s="14" t="str">
        <f t="shared" si="2"/>
        <v/>
      </c>
      <c r="N635" s="15" t="str">
        <f t="shared" si="3"/>
        <v/>
      </c>
      <c r="O635" s="14" t="str">
        <f t="shared" si="4"/>
        <v/>
      </c>
      <c r="P635" s="16" t="str">
        <f t="array" ref="P635">IF($A635="","", IFERROR(INDEX('BM Data'!$N:$N,MATCH($J635&amp; "-" &amp; $N635,'BM Data'!$O:$O,0),1),""))</f>
        <v/>
      </c>
      <c r="Q635" s="16" t="str">
        <f t="array" ref="Q635">IF($A635="","", IFERROR(INDEX('BM Data'!$J:$J,MATCH($J635&amp; "-" &amp; $N635,'BM Data'!$O:$O,0),1),""))</f>
        <v/>
      </c>
    </row>
    <row r="636">
      <c r="A636" s="10" t="str">
        <f>IFERROR(__xludf.DUMMYFUNCTION("""COMPUTED_VALUE"""),"")</f>
        <v/>
      </c>
      <c r="B636" s="3" t="str">
        <f>IFERROR(__xludf.DUMMYFUNCTION("""COMPUTED_VALUE"""),"")</f>
        <v/>
      </c>
      <c r="C636" s="11" t="str">
        <f>IFERROR(__xludf.DUMMYFUNCTION("""COMPUTED_VALUE"""),"")</f>
        <v/>
      </c>
      <c r="D636" s="11" t="str">
        <f>IFERROR(__xludf.DUMMYFUNCTION("""COMPUTED_VALUE"""),"")</f>
        <v/>
      </c>
      <c r="E636" s="11" t="str">
        <f>IFERROR(__xludf.DUMMYFUNCTION("""COMPUTED_VALUE"""),"")</f>
        <v/>
      </c>
      <c r="F636" s="11" t="str">
        <f>IFERROR(__xludf.DUMMYFUNCTION("""COMPUTED_VALUE"""),"")</f>
        <v/>
      </c>
      <c r="G636" s="11" t="str">
        <f>IFERROR(__xludf.DUMMYFUNCTION("""COMPUTED_VALUE"""),"")</f>
        <v/>
      </c>
      <c r="H636" s="12" t="str">
        <f>IFERROR(__xludf.DUMMYFUNCTION("""COMPUTED_VALUE"""),"")</f>
        <v/>
      </c>
      <c r="I636" s="12" t="str">
        <f>IFERROR(__xludf.DUMMYFUNCTION("""COMPUTED_VALUE"""),"")</f>
        <v/>
      </c>
      <c r="J636" s="13" t="str">
        <f t="shared" si="1"/>
        <v/>
      </c>
      <c r="K636" s="12" t="str">
        <f>IFERROR(IF(A636="","",if($G636="",Reference!$J$2, VLOOKUP($G636,Reference!$I$2:$J$1000,2,false))),"")</f>
        <v/>
      </c>
      <c r="L636" s="12" t="str">
        <f>IF(A636="","", IF(F636="",Reference!$M$2,F636))</f>
        <v/>
      </c>
      <c r="M636" s="14" t="str">
        <f t="shared" si="2"/>
        <v/>
      </c>
      <c r="N636" s="15" t="str">
        <f t="shared" si="3"/>
        <v/>
      </c>
      <c r="O636" s="14" t="str">
        <f t="shared" si="4"/>
        <v/>
      </c>
      <c r="P636" s="16" t="str">
        <f t="array" ref="P636">IF($A636="","", IFERROR(INDEX('BM Data'!$N:$N,MATCH($J636&amp; "-" &amp; $N636,'BM Data'!$O:$O,0),1),""))</f>
        <v/>
      </c>
      <c r="Q636" s="16" t="str">
        <f t="array" ref="Q636">IF($A636="","", IFERROR(INDEX('BM Data'!$J:$J,MATCH($J636&amp; "-" &amp; $N636,'BM Data'!$O:$O,0),1),""))</f>
        <v/>
      </c>
    </row>
    <row r="637">
      <c r="A637" s="10" t="str">
        <f>IFERROR(__xludf.DUMMYFUNCTION("""COMPUTED_VALUE"""),"")</f>
        <v/>
      </c>
      <c r="B637" s="3" t="str">
        <f>IFERROR(__xludf.DUMMYFUNCTION("""COMPUTED_VALUE"""),"")</f>
        <v/>
      </c>
      <c r="C637" s="11" t="str">
        <f>IFERROR(__xludf.DUMMYFUNCTION("""COMPUTED_VALUE"""),"")</f>
        <v/>
      </c>
      <c r="D637" s="11" t="str">
        <f>IFERROR(__xludf.DUMMYFUNCTION("""COMPUTED_VALUE"""),"")</f>
        <v/>
      </c>
      <c r="E637" s="11" t="str">
        <f>IFERROR(__xludf.DUMMYFUNCTION("""COMPUTED_VALUE"""),"")</f>
        <v/>
      </c>
      <c r="F637" s="11" t="str">
        <f>IFERROR(__xludf.DUMMYFUNCTION("""COMPUTED_VALUE"""),"")</f>
        <v/>
      </c>
      <c r="G637" s="11" t="str">
        <f>IFERROR(__xludf.DUMMYFUNCTION("""COMPUTED_VALUE"""),"")</f>
        <v/>
      </c>
      <c r="H637" s="12" t="str">
        <f>IFERROR(__xludf.DUMMYFUNCTION("""COMPUTED_VALUE"""),"")</f>
        <v/>
      </c>
      <c r="I637" s="12" t="str">
        <f>IFERROR(__xludf.DUMMYFUNCTION("""COMPUTED_VALUE"""),"")</f>
        <v/>
      </c>
      <c r="J637" s="13" t="str">
        <f t="shared" si="1"/>
        <v/>
      </c>
      <c r="K637" s="12" t="str">
        <f>IFERROR(IF(A637="","",if($G637="",Reference!$J$2, VLOOKUP($G637,Reference!$I$2:$J$1000,2,false))),"")</f>
        <v/>
      </c>
      <c r="L637" s="12" t="str">
        <f>IF(A637="","", IF(F637="",Reference!$M$2,F637))</f>
        <v/>
      </c>
      <c r="M637" s="14" t="str">
        <f t="shared" si="2"/>
        <v/>
      </c>
      <c r="N637" s="15" t="str">
        <f t="shared" si="3"/>
        <v/>
      </c>
      <c r="O637" s="14" t="str">
        <f t="shared" si="4"/>
        <v/>
      </c>
      <c r="P637" s="16" t="str">
        <f t="array" ref="P637">IF($A637="","", IFERROR(INDEX('BM Data'!$N:$N,MATCH($J637&amp; "-" &amp; $N637,'BM Data'!$O:$O,0),1),""))</f>
        <v/>
      </c>
      <c r="Q637" s="16" t="str">
        <f t="array" ref="Q637">IF($A637="","", IFERROR(INDEX('BM Data'!$J:$J,MATCH($J637&amp; "-" &amp; $N637,'BM Data'!$O:$O,0),1),""))</f>
        <v/>
      </c>
    </row>
    <row r="638">
      <c r="A638" s="10" t="str">
        <f>IFERROR(__xludf.DUMMYFUNCTION("""COMPUTED_VALUE"""),"")</f>
        <v/>
      </c>
      <c r="B638" s="3" t="str">
        <f>IFERROR(__xludf.DUMMYFUNCTION("""COMPUTED_VALUE"""),"")</f>
        <v/>
      </c>
      <c r="C638" s="11" t="str">
        <f>IFERROR(__xludf.DUMMYFUNCTION("""COMPUTED_VALUE"""),"")</f>
        <v/>
      </c>
      <c r="D638" s="11" t="str">
        <f>IFERROR(__xludf.DUMMYFUNCTION("""COMPUTED_VALUE"""),"")</f>
        <v/>
      </c>
      <c r="E638" s="11" t="str">
        <f>IFERROR(__xludf.DUMMYFUNCTION("""COMPUTED_VALUE"""),"")</f>
        <v/>
      </c>
      <c r="F638" s="11" t="str">
        <f>IFERROR(__xludf.DUMMYFUNCTION("""COMPUTED_VALUE"""),"")</f>
        <v/>
      </c>
      <c r="G638" s="11" t="str">
        <f>IFERROR(__xludf.DUMMYFUNCTION("""COMPUTED_VALUE"""),"")</f>
        <v/>
      </c>
      <c r="H638" s="12" t="str">
        <f>IFERROR(__xludf.DUMMYFUNCTION("""COMPUTED_VALUE"""),"")</f>
        <v/>
      </c>
      <c r="I638" s="12" t="str">
        <f>IFERROR(__xludf.DUMMYFUNCTION("""COMPUTED_VALUE"""),"")</f>
        <v/>
      </c>
      <c r="J638" s="13" t="str">
        <f t="shared" si="1"/>
        <v/>
      </c>
      <c r="K638" s="12" t="str">
        <f>IFERROR(IF(A638="","",if($G638="",Reference!$J$2, VLOOKUP($G638,Reference!$I$2:$J$1000,2,false))),"")</f>
        <v/>
      </c>
      <c r="L638" s="12" t="str">
        <f>IF(A638="","", IF(F638="",Reference!$M$2,F638))</f>
        <v/>
      </c>
      <c r="M638" s="14" t="str">
        <f t="shared" si="2"/>
        <v/>
      </c>
      <c r="N638" s="15" t="str">
        <f t="shared" si="3"/>
        <v/>
      </c>
      <c r="O638" s="14" t="str">
        <f t="shared" si="4"/>
        <v/>
      </c>
      <c r="P638" s="16" t="str">
        <f t="array" ref="P638">IF($A638="","", IFERROR(INDEX('BM Data'!$N:$N,MATCH($J638&amp; "-" &amp; $N638,'BM Data'!$O:$O,0),1),""))</f>
        <v/>
      </c>
      <c r="Q638" s="16" t="str">
        <f t="array" ref="Q638">IF($A638="","", IFERROR(INDEX('BM Data'!$J:$J,MATCH($J638&amp; "-" &amp; $N638,'BM Data'!$O:$O,0),1),""))</f>
        <v/>
      </c>
    </row>
    <row r="639">
      <c r="A639" s="10" t="str">
        <f>IFERROR(__xludf.DUMMYFUNCTION("""COMPUTED_VALUE"""),"")</f>
        <v/>
      </c>
      <c r="B639" s="3" t="str">
        <f>IFERROR(__xludf.DUMMYFUNCTION("""COMPUTED_VALUE"""),"")</f>
        <v/>
      </c>
      <c r="C639" s="11" t="str">
        <f>IFERROR(__xludf.DUMMYFUNCTION("""COMPUTED_VALUE"""),"")</f>
        <v/>
      </c>
      <c r="D639" s="11" t="str">
        <f>IFERROR(__xludf.DUMMYFUNCTION("""COMPUTED_VALUE"""),"")</f>
        <v/>
      </c>
      <c r="E639" s="11" t="str">
        <f>IFERROR(__xludf.DUMMYFUNCTION("""COMPUTED_VALUE"""),"")</f>
        <v/>
      </c>
      <c r="F639" s="11" t="str">
        <f>IFERROR(__xludf.DUMMYFUNCTION("""COMPUTED_VALUE"""),"")</f>
        <v/>
      </c>
      <c r="G639" s="11" t="str">
        <f>IFERROR(__xludf.DUMMYFUNCTION("""COMPUTED_VALUE"""),"")</f>
        <v/>
      </c>
      <c r="H639" s="12" t="str">
        <f>IFERROR(__xludf.DUMMYFUNCTION("""COMPUTED_VALUE"""),"")</f>
        <v/>
      </c>
      <c r="I639" s="12" t="str">
        <f>IFERROR(__xludf.DUMMYFUNCTION("""COMPUTED_VALUE"""),"")</f>
        <v/>
      </c>
      <c r="J639" s="13" t="str">
        <f t="shared" si="1"/>
        <v/>
      </c>
      <c r="K639" s="12" t="str">
        <f>IFERROR(IF(A639="","",if($G639="",Reference!$J$2, VLOOKUP($G639,Reference!$I$2:$J$1000,2,false))),"")</f>
        <v/>
      </c>
      <c r="L639" s="12" t="str">
        <f>IF(A639="","", IF(F639="",Reference!$M$2,F639))</f>
        <v/>
      </c>
      <c r="M639" s="14" t="str">
        <f t="shared" si="2"/>
        <v/>
      </c>
      <c r="N639" s="15" t="str">
        <f t="shared" si="3"/>
        <v/>
      </c>
      <c r="O639" s="14" t="str">
        <f t="shared" si="4"/>
        <v/>
      </c>
      <c r="P639" s="16" t="str">
        <f t="array" ref="P639">IF($A639="","", IFERROR(INDEX('BM Data'!$N:$N,MATCH($J639&amp; "-" &amp; $N639,'BM Data'!$O:$O,0),1),""))</f>
        <v/>
      </c>
      <c r="Q639" s="16" t="str">
        <f t="array" ref="Q639">IF($A639="","", IFERROR(INDEX('BM Data'!$J:$J,MATCH($J639&amp; "-" &amp; $N639,'BM Data'!$O:$O,0),1),""))</f>
        <v/>
      </c>
    </row>
    <row r="640">
      <c r="A640" s="10" t="str">
        <f>IFERROR(__xludf.DUMMYFUNCTION("""COMPUTED_VALUE"""),"")</f>
        <v/>
      </c>
      <c r="B640" s="3" t="str">
        <f>IFERROR(__xludf.DUMMYFUNCTION("""COMPUTED_VALUE"""),"")</f>
        <v/>
      </c>
      <c r="C640" s="11" t="str">
        <f>IFERROR(__xludf.DUMMYFUNCTION("""COMPUTED_VALUE"""),"")</f>
        <v/>
      </c>
      <c r="D640" s="11" t="str">
        <f>IFERROR(__xludf.DUMMYFUNCTION("""COMPUTED_VALUE"""),"")</f>
        <v/>
      </c>
      <c r="E640" s="11" t="str">
        <f>IFERROR(__xludf.DUMMYFUNCTION("""COMPUTED_VALUE"""),"")</f>
        <v/>
      </c>
      <c r="F640" s="11" t="str">
        <f>IFERROR(__xludf.DUMMYFUNCTION("""COMPUTED_VALUE"""),"")</f>
        <v/>
      </c>
      <c r="G640" s="11" t="str">
        <f>IFERROR(__xludf.DUMMYFUNCTION("""COMPUTED_VALUE"""),"")</f>
        <v/>
      </c>
      <c r="H640" s="12" t="str">
        <f>IFERROR(__xludf.DUMMYFUNCTION("""COMPUTED_VALUE"""),"")</f>
        <v/>
      </c>
      <c r="I640" s="12" t="str">
        <f>IFERROR(__xludf.DUMMYFUNCTION("""COMPUTED_VALUE"""),"")</f>
        <v/>
      </c>
      <c r="J640" s="13" t="str">
        <f t="shared" si="1"/>
        <v/>
      </c>
      <c r="K640" s="12" t="str">
        <f>IFERROR(IF(A640="","",if($G640="",Reference!$J$2, VLOOKUP($G640,Reference!$I$2:$J$1000,2,false))),"")</f>
        <v/>
      </c>
      <c r="L640" s="12" t="str">
        <f>IF(A640="","", IF(F640="",Reference!$M$2,F640))</f>
        <v/>
      </c>
      <c r="M640" s="14" t="str">
        <f t="shared" si="2"/>
        <v/>
      </c>
      <c r="N640" s="15" t="str">
        <f t="shared" si="3"/>
        <v/>
      </c>
      <c r="O640" s="14" t="str">
        <f t="shared" si="4"/>
        <v/>
      </c>
      <c r="P640" s="16" t="str">
        <f t="array" ref="P640">IF($A640="","", IFERROR(INDEX('BM Data'!$N:$N,MATCH($J640&amp; "-" &amp; $N640,'BM Data'!$O:$O,0),1),""))</f>
        <v/>
      </c>
      <c r="Q640" s="16" t="str">
        <f t="array" ref="Q640">IF($A640="","", IFERROR(INDEX('BM Data'!$J:$J,MATCH($J640&amp; "-" &amp; $N640,'BM Data'!$O:$O,0),1),""))</f>
        <v/>
      </c>
    </row>
    <row r="641">
      <c r="A641" s="10" t="str">
        <f>IFERROR(__xludf.DUMMYFUNCTION("""COMPUTED_VALUE"""),"")</f>
        <v/>
      </c>
      <c r="B641" s="3" t="str">
        <f>IFERROR(__xludf.DUMMYFUNCTION("""COMPUTED_VALUE"""),"")</f>
        <v/>
      </c>
      <c r="C641" s="11" t="str">
        <f>IFERROR(__xludf.DUMMYFUNCTION("""COMPUTED_VALUE"""),"")</f>
        <v/>
      </c>
      <c r="D641" s="11" t="str">
        <f>IFERROR(__xludf.DUMMYFUNCTION("""COMPUTED_VALUE"""),"")</f>
        <v/>
      </c>
      <c r="E641" s="11" t="str">
        <f>IFERROR(__xludf.DUMMYFUNCTION("""COMPUTED_VALUE"""),"")</f>
        <v/>
      </c>
      <c r="F641" s="11" t="str">
        <f>IFERROR(__xludf.DUMMYFUNCTION("""COMPUTED_VALUE"""),"")</f>
        <v/>
      </c>
      <c r="G641" s="11" t="str">
        <f>IFERROR(__xludf.DUMMYFUNCTION("""COMPUTED_VALUE"""),"")</f>
        <v/>
      </c>
      <c r="H641" s="12" t="str">
        <f>IFERROR(__xludf.DUMMYFUNCTION("""COMPUTED_VALUE"""),"")</f>
        <v/>
      </c>
      <c r="I641" s="12" t="str">
        <f>IFERROR(__xludf.DUMMYFUNCTION("""COMPUTED_VALUE"""),"")</f>
        <v/>
      </c>
      <c r="J641" s="13" t="str">
        <f t="shared" si="1"/>
        <v/>
      </c>
      <c r="K641" s="12" t="str">
        <f>IFERROR(IF(A641="","",if($G641="",Reference!$J$2, VLOOKUP($G641,Reference!$I$2:$J$1000,2,false))),"")</f>
        <v/>
      </c>
      <c r="L641" s="12" t="str">
        <f>IF(A641="","", IF(F641="",Reference!$M$2,F641))</f>
        <v/>
      </c>
      <c r="M641" s="14" t="str">
        <f t="shared" si="2"/>
        <v/>
      </c>
      <c r="N641" s="15" t="str">
        <f t="shared" si="3"/>
        <v/>
      </c>
      <c r="O641" s="14" t="str">
        <f t="shared" si="4"/>
        <v/>
      </c>
      <c r="P641" s="16" t="str">
        <f t="array" ref="P641">IF($A641="","", IFERROR(INDEX('BM Data'!$N:$N,MATCH($J641&amp; "-" &amp; $N641,'BM Data'!$O:$O,0),1),""))</f>
        <v/>
      </c>
      <c r="Q641" s="16" t="str">
        <f t="array" ref="Q641">IF($A641="","", IFERROR(INDEX('BM Data'!$J:$J,MATCH($J641&amp; "-" &amp; $N641,'BM Data'!$O:$O,0),1),""))</f>
        <v/>
      </c>
    </row>
    <row r="642">
      <c r="A642" s="10" t="str">
        <f>IFERROR(__xludf.DUMMYFUNCTION("""COMPUTED_VALUE"""),"")</f>
        <v/>
      </c>
      <c r="B642" s="3" t="str">
        <f>IFERROR(__xludf.DUMMYFUNCTION("""COMPUTED_VALUE"""),"")</f>
        <v/>
      </c>
      <c r="C642" s="11" t="str">
        <f>IFERROR(__xludf.DUMMYFUNCTION("""COMPUTED_VALUE"""),"")</f>
        <v/>
      </c>
      <c r="D642" s="11" t="str">
        <f>IFERROR(__xludf.DUMMYFUNCTION("""COMPUTED_VALUE"""),"")</f>
        <v/>
      </c>
      <c r="E642" s="11" t="str">
        <f>IFERROR(__xludf.DUMMYFUNCTION("""COMPUTED_VALUE"""),"")</f>
        <v/>
      </c>
      <c r="F642" s="11" t="str">
        <f>IFERROR(__xludf.DUMMYFUNCTION("""COMPUTED_VALUE"""),"")</f>
        <v/>
      </c>
      <c r="G642" s="11" t="str">
        <f>IFERROR(__xludf.DUMMYFUNCTION("""COMPUTED_VALUE"""),"")</f>
        <v/>
      </c>
      <c r="H642" s="12" t="str">
        <f>IFERROR(__xludf.DUMMYFUNCTION("""COMPUTED_VALUE"""),"")</f>
        <v/>
      </c>
      <c r="I642" s="12" t="str">
        <f>IFERROR(__xludf.DUMMYFUNCTION("""COMPUTED_VALUE"""),"")</f>
        <v/>
      </c>
      <c r="J642" s="13" t="str">
        <f t="shared" si="1"/>
        <v/>
      </c>
      <c r="K642" s="12" t="str">
        <f>IFERROR(IF(A642="","",if($G642="",Reference!$J$2, VLOOKUP($G642,Reference!$I$2:$J$1000,2,false))),"")</f>
        <v/>
      </c>
      <c r="L642" s="12" t="str">
        <f>IF(A642="","", IF(F642="",Reference!$M$2,F642))</f>
        <v/>
      </c>
      <c r="M642" s="14" t="str">
        <f t="shared" si="2"/>
        <v/>
      </c>
      <c r="N642" s="15" t="str">
        <f t="shared" si="3"/>
        <v/>
      </c>
      <c r="O642" s="14" t="str">
        <f t="shared" si="4"/>
        <v/>
      </c>
      <c r="P642" s="16" t="str">
        <f t="array" ref="P642">IF($A642="","", IFERROR(INDEX('BM Data'!$N:$N,MATCH($J642&amp; "-" &amp; $N642,'BM Data'!$O:$O,0),1),""))</f>
        <v/>
      </c>
      <c r="Q642" s="16" t="str">
        <f t="array" ref="Q642">IF($A642="","", IFERROR(INDEX('BM Data'!$J:$J,MATCH($J642&amp; "-" &amp; $N642,'BM Data'!$O:$O,0),1),""))</f>
        <v/>
      </c>
    </row>
    <row r="643">
      <c r="A643" s="10" t="str">
        <f>IFERROR(__xludf.DUMMYFUNCTION("""COMPUTED_VALUE"""),"")</f>
        <v/>
      </c>
      <c r="B643" s="3" t="str">
        <f>IFERROR(__xludf.DUMMYFUNCTION("""COMPUTED_VALUE"""),"")</f>
        <v/>
      </c>
      <c r="C643" s="11" t="str">
        <f>IFERROR(__xludf.DUMMYFUNCTION("""COMPUTED_VALUE"""),"")</f>
        <v/>
      </c>
      <c r="D643" s="11" t="str">
        <f>IFERROR(__xludf.DUMMYFUNCTION("""COMPUTED_VALUE"""),"")</f>
        <v/>
      </c>
      <c r="E643" s="11" t="str">
        <f>IFERROR(__xludf.DUMMYFUNCTION("""COMPUTED_VALUE"""),"")</f>
        <v/>
      </c>
      <c r="F643" s="11" t="str">
        <f>IFERROR(__xludf.DUMMYFUNCTION("""COMPUTED_VALUE"""),"")</f>
        <v/>
      </c>
      <c r="G643" s="11" t="str">
        <f>IFERROR(__xludf.DUMMYFUNCTION("""COMPUTED_VALUE"""),"")</f>
        <v/>
      </c>
      <c r="H643" s="12" t="str">
        <f>IFERROR(__xludf.DUMMYFUNCTION("""COMPUTED_VALUE"""),"")</f>
        <v/>
      </c>
      <c r="I643" s="12" t="str">
        <f>IFERROR(__xludf.DUMMYFUNCTION("""COMPUTED_VALUE"""),"")</f>
        <v/>
      </c>
      <c r="J643" s="13" t="str">
        <f t="shared" si="1"/>
        <v/>
      </c>
      <c r="K643" s="12" t="str">
        <f>IFERROR(IF(A643="","",if($G643="",Reference!$J$2, VLOOKUP($G643,Reference!$I$2:$J$1000,2,false))),"")</f>
        <v/>
      </c>
      <c r="L643" s="12" t="str">
        <f>IF(A643="","", IF(F643="",Reference!$M$2,F643))</f>
        <v/>
      </c>
      <c r="M643" s="14" t="str">
        <f t="shared" si="2"/>
        <v/>
      </c>
      <c r="N643" s="15" t="str">
        <f t="shared" si="3"/>
        <v/>
      </c>
      <c r="O643" s="14" t="str">
        <f t="shared" si="4"/>
        <v/>
      </c>
      <c r="P643" s="16" t="str">
        <f t="array" ref="P643">IF($A643="","", IFERROR(INDEX('BM Data'!$N:$N,MATCH($J643&amp; "-" &amp; $N643,'BM Data'!$O:$O,0),1),""))</f>
        <v/>
      </c>
      <c r="Q643" s="16" t="str">
        <f t="array" ref="Q643">IF($A643="","", IFERROR(INDEX('BM Data'!$J:$J,MATCH($J643&amp; "-" &amp; $N643,'BM Data'!$O:$O,0),1),""))</f>
        <v/>
      </c>
    </row>
    <row r="644">
      <c r="A644" s="10" t="str">
        <f>IFERROR(__xludf.DUMMYFUNCTION("""COMPUTED_VALUE"""),"")</f>
        <v/>
      </c>
      <c r="B644" s="3" t="str">
        <f>IFERROR(__xludf.DUMMYFUNCTION("""COMPUTED_VALUE"""),"")</f>
        <v/>
      </c>
      <c r="C644" s="11" t="str">
        <f>IFERROR(__xludf.DUMMYFUNCTION("""COMPUTED_VALUE"""),"")</f>
        <v/>
      </c>
      <c r="D644" s="11" t="str">
        <f>IFERROR(__xludf.DUMMYFUNCTION("""COMPUTED_VALUE"""),"")</f>
        <v/>
      </c>
      <c r="E644" s="11" t="str">
        <f>IFERROR(__xludf.DUMMYFUNCTION("""COMPUTED_VALUE"""),"")</f>
        <v/>
      </c>
      <c r="F644" s="11" t="str">
        <f>IFERROR(__xludf.DUMMYFUNCTION("""COMPUTED_VALUE"""),"")</f>
        <v/>
      </c>
      <c r="G644" s="11" t="str">
        <f>IFERROR(__xludf.DUMMYFUNCTION("""COMPUTED_VALUE"""),"")</f>
        <v/>
      </c>
      <c r="H644" s="12" t="str">
        <f>IFERROR(__xludf.DUMMYFUNCTION("""COMPUTED_VALUE"""),"")</f>
        <v/>
      </c>
      <c r="I644" s="12" t="str">
        <f>IFERROR(__xludf.DUMMYFUNCTION("""COMPUTED_VALUE"""),"")</f>
        <v/>
      </c>
      <c r="J644" s="13" t="str">
        <f t="shared" si="1"/>
        <v/>
      </c>
      <c r="K644" s="12" t="str">
        <f>IFERROR(IF(A644="","",if($G644="",Reference!$J$2, VLOOKUP($G644,Reference!$I$2:$J$1000,2,false))),"")</f>
        <v/>
      </c>
      <c r="L644" s="12" t="str">
        <f>IF(A644="","", IF(F644="",Reference!$M$2,F644))</f>
        <v/>
      </c>
      <c r="M644" s="14" t="str">
        <f t="shared" si="2"/>
        <v/>
      </c>
      <c r="N644" s="15" t="str">
        <f t="shared" si="3"/>
        <v/>
      </c>
      <c r="O644" s="14" t="str">
        <f t="shared" si="4"/>
        <v/>
      </c>
      <c r="P644" s="16" t="str">
        <f t="array" ref="P644">IF($A644="","", IFERROR(INDEX('BM Data'!$N:$N,MATCH($J644&amp; "-" &amp; $N644,'BM Data'!$O:$O,0),1),""))</f>
        <v/>
      </c>
      <c r="Q644" s="16" t="str">
        <f t="array" ref="Q644">IF($A644="","", IFERROR(INDEX('BM Data'!$J:$J,MATCH($J644&amp; "-" &amp; $N644,'BM Data'!$O:$O,0),1),""))</f>
        <v/>
      </c>
    </row>
    <row r="645">
      <c r="A645" s="10" t="str">
        <f>IFERROR(__xludf.DUMMYFUNCTION("""COMPUTED_VALUE"""),"")</f>
        <v/>
      </c>
      <c r="B645" s="3" t="str">
        <f>IFERROR(__xludf.DUMMYFUNCTION("""COMPUTED_VALUE"""),"")</f>
        <v/>
      </c>
      <c r="C645" s="11" t="str">
        <f>IFERROR(__xludf.DUMMYFUNCTION("""COMPUTED_VALUE"""),"")</f>
        <v/>
      </c>
      <c r="D645" s="11" t="str">
        <f>IFERROR(__xludf.DUMMYFUNCTION("""COMPUTED_VALUE"""),"")</f>
        <v/>
      </c>
      <c r="E645" s="11" t="str">
        <f>IFERROR(__xludf.DUMMYFUNCTION("""COMPUTED_VALUE"""),"")</f>
        <v/>
      </c>
      <c r="F645" s="11" t="str">
        <f>IFERROR(__xludf.DUMMYFUNCTION("""COMPUTED_VALUE"""),"")</f>
        <v/>
      </c>
      <c r="G645" s="11" t="str">
        <f>IFERROR(__xludf.DUMMYFUNCTION("""COMPUTED_VALUE"""),"")</f>
        <v/>
      </c>
      <c r="H645" s="12" t="str">
        <f>IFERROR(__xludf.DUMMYFUNCTION("""COMPUTED_VALUE"""),"")</f>
        <v/>
      </c>
      <c r="I645" s="12" t="str">
        <f>IFERROR(__xludf.DUMMYFUNCTION("""COMPUTED_VALUE"""),"")</f>
        <v/>
      </c>
      <c r="J645" s="13" t="str">
        <f t="shared" si="1"/>
        <v/>
      </c>
      <c r="K645" s="12" t="str">
        <f>IFERROR(IF(A645="","",if($G645="",Reference!$J$2, VLOOKUP($G645,Reference!$I$2:$J$1000,2,false))),"")</f>
        <v/>
      </c>
      <c r="L645" s="12" t="str">
        <f>IF(A645="","", IF(F645="",Reference!$M$2,F645))</f>
        <v/>
      </c>
      <c r="M645" s="14" t="str">
        <f t="shared" si="2"/>
        <v/>
      </c>
      <c r="N645" s="15" t="str">
        <f t="shared" si="3"/>
        <v/>
      </c>
      <c r="O645" s="14" t="str">
        <f t="shared" si="4"/>
        <v/>
      </c>
      <c r="P645" s="16" t="str">
        <f t="array" ref="P645">IF($A645="","", IFERROR(INDEX('BM Data'!$N:$N,MATCH($J645&amp; "-" &amp; $N645,'BM Data'!$O:$O,0),1),""))</f>
        <v/>
      </c>
      <c r="Q645" s="16" t="str">
        <f t="array" ref="Q645">IF($A645="","", IFERROR(INDEX('BM Data'!$J:$J,MATCH($J645&amp; "-" &amp; $N645,'BM Data'!$O:$O,0),1),""))</f>
        <v/>
      </c>
    </row>
    <row r="646">
      <c r="A646" s="10" t="str">
        <f>IFERROR(__xludf.DUMMYFUNCTION("""COMPUTED_VALUE"""),"")</f>
        <v/>
      </c>
      <c r="B646" s="3" t="str">
        <f>IFERROR(__xludf.DUMMYFUNCTION("""COMPUTED_VALUE"""),"")</f>
        <v/>
      </c>
      <c r="C646" s="11" t="str">
        <f>IFERROR(__xludf.DUMMYFUNCTION("""COMPUTED_VALUE"""),"")</f>
        <v/>
      </c>
      <c r="D646" s="11" t="str">
        <f>IFERROR(__xludf.DUMMYFUNCTION("""COMPUTED_VALUE"""),"")</f>
        <v/>
      </c>
      <c r="E646" s="11" t="str">
        <f>IFERROR(__xludf.DUMMYFUNCTION("""COMPUTED_VALUE"""),"")</f>
        <v/>
      </c>
      <c r="F646" s="11" t="str">
        <f>IFERROR(__xludf.DUMMYFUNCTION("""COMPUTED_VALUE"""),"")</f>
        <v/>
      </c>
      <c r="G646" s="11" t="str">
        <f>IFERROR(__xludf.DUMMYFUNCTION("""COMPUTED_VALUE"""),"")</f>
        <v/>
      </c>
      <c r="H646" s="12" t="str">
        <f>IFERROR(__xludf.DUMMYFUNCTION("""COMPUTED_VALUE"""),"")</f>
        <v/>
      </c>
      <c r="I646" s="12" t="str">
        <f>IFERROR(__xludf.DUMMYFUNCTION("""COMPUTED_VALUE"""),"")</f>
        <v/>
      </c>
      <c r="J646" s="13" t="str">
        <f t="shared" si="1"/>
        <v/>
      </c>
      <c r="K646" s="12" t="str">
        <f>IFERROR(IF(A646="","",if($G646="",Reference!$J$2, VLOOKUP($G646,Reference!$I$2:$J$1000,2,false))),"")</f>
        <v/>
      </c>
      <c r="L646" s="12" t="str">
        <f>IF(A646="","", IF(F646="",Reference!$M$2,F646))</f>
        <v/>
      </c>
      <c r="M646" s="14" t="str">
        <f t="shared" si="2"/>
        <v/>
      </c>
      <c r="N646" s="15" t="str">
        <f t="shared" si="3"/>
        <v/>
      </c>
      <c r="O646" s="14" t="str">
        <f t="shared" si="4"/>
        <v/>
      </c>
      <c r="P646" s="16" t="str">
        <f t="array" ref="P646">IF($A646="","", IFERROR(INDEX('BM Data'!$N:$N,MATCH($J646&amp; "-" &amp; $N646,'BM Data'!$O:$O,0),1),""))</f>
        <v/>
      </c>
      <c r="Q646" s="16" t="str">
        <f t="array" ref="Q646">IF($A646="","", IFERROR(INDEX('BM Data'!$J:$J,MATCH($J646&amp; "-" &amp; $N646,'BM Data'!$O:$O,0),1),""))</f>
        <v/>
      </c>
    </row>
    <row r="647">
      <c r="A647" s="10" t="str">
        <f>IFERROR(__xludf.DUMMYFUNCTION("""COMPUTED_VALUE"""),"")</f>
        <v/>
      </c>
      <c r="B647" s="3" t="str">
        <f>IFERROR(__xludf.DUMMYFUNCTION("""COMPUTED_VALUE"""),"")</f>
        <v/>
      </c>
      <c r="C647" s="11" t="str">
        <f>IFERROR(__xludf.DUMMYFUNCTION("""COMPUTED_VALUE"""),"")</f>
        <v/>
      </c>
      <c r="D647" s="11" t="str">
        <f>IFERROR(__xludf.DUMMYFUNCTION("""COMPUTED_VALUE"""),"")</f>
        <v/>
      </c>
      <c r="E647" s="11" t="str">
        <f>IFERROR(__xludf.DUMMYFUNCTION("""COMPUTED_VALUE"""),"")</f>
        <v/>
      </c>
      <c r="F647" s="11" t="str">
        <f>IFERROR(__xludf.DUMMYFUNCTION("""COMPUTED_VALUE"""),"")</f>
        <v/>
      </c>
      <c r="G647" s="11" t="str">
        <f>IFERROR(__xludf.DUMMYFUNCTION("""COMPUTED_VALUE"""),"")</f>
        <v/>
      </c>
      <c r="H647" s="12" t="str">
        <f>IFERROR(__xludf.DUMMYFUNCTION("""COMPUTED_VALUE"""),"")</f>
        <v/>
      </c>
      <c r="I647" s="12" t="str">
        <f>IFERROR(__xludf.DUMMYFUNCTION("""COMPUTED_VALUE"""),"")</f>
        <v/>
      </c>
      <c r="J647" s="13" t="str">
        <f t="shared" si="1"/>
        <v/>
      </c>
      <c r="K647" s="12" t="str">
        <f>IFERROR(IF(A647="","",if($G647="",Reference!$J$2, VLOOKUP($G647,Reference!$I$2:$J$1000,2,false))),"")</f>
        <v/>
      </c>
      <c r="L647" s="12" t="str">
        <f>IF(A647="","", IF(F647="",Reference!$M$2,F647))</f>
        <v/>
      </c>
      <c r="M647" s="14" t="str">
        <f t="shared" si="2"/>
        <v/>
      </c>
      <c r="N647" s="15" t="str">
        <f t="shared" si="3"/>
        <v/>
      </c>
      <c r="O647" s="14" t="str">
        <f t="shared" si="4"/>
        <v/>
      </c>
      <c r="P647" s="16" t="str">
        <f t="array" ref="P647">IF($A647="","", IFERROR(INDEX('BM Data'!$N:$N,MATCH($J647&amp; "-" &amp; $N647,'BM Data'!$O:$O,0),1),""))</f>
        <v/>
      </c>
      <c r="Q647" s="16" t="str">
        <f t="array" ref="Q647">IF($A647="","", IFERROR(INDEX('BM Data'!$J:$J,MATCH($J647&amp; "-" &amp; $N647,'BM Data'!$O:$O,0),1),""))</f>
        <v/>
      </c>
    </row>
    <row r="648">
      <c r="A648" s="10" t="str">
        <f>IFERROR(__xludf.DUMMYFUNCTION("""COMPUTED_VALUE"""),"")</f>
        <v/>
      </c>
      <c r="B648" s="3" t="str">
        <f>IFERROR(__xludf.DUMMYFUNCTION("""COMPUTED_VALUE"""),"")</f>
        <v/>
      </c>
      <c r="C648" s="11" t="str">
        <f>IFERROR(__xludf.DUMMYFUNCTION("""COMPUTED_VALUE"""),"")</f>
        <v/>
      </c>
      <c r="D648" s="11" t="str">
        <f>IFERROR(__xludf.DUMMYFUNCTION("""COMPUTED_VALUE"""),"")</f>
        <v/>
      </c>
      <c r="E648" s="11" t="str">
        <f>IFERROR(__xludf.DUMMYFUNCTION("""COMPUTED_VALUE"""),"")</f>
        <v/>
      </c>
      <c r="F648" s="11" t="str">
        <f>IFERROR(__xludf.DUMMYFUNCTION("""COMPUTED_VALUE"""),"")</f>
        <v/>
      </c>
      <c r="G648" s="11" t="str">
        <f>IFERROR(__xludf.DUMMYFUNCTION("""COMPUTED_VALUE"""),"")</f>
        <v/>
      </c>
      <c r="H648" s="12" t="str">
        <f>IFERROR(__xludf.DUMMYFUNCTION("""COMPUTED_VALUE"""),"")</f>
        <v/>
      </c>
      <c r="I648" s="12" t="str">
        <f>IFERROR(__xludf.DUMMYFUNCTION("""COMPUTED_VALUE"""),"")</f>
        <v/>
      </c>
      <c r="J648" s="13" t="str">
        <f t="shared" si="1"/>
        <v/>
      </c>
      <c r="K648" s="12" t="str">
        <f>IFERROR(IF(A648="","",if($G648="",Reference!$J$2, VLOOKUP($G648,Reference!$I$2:$J$1000,2,false))),"")</f>
        <v/>
      </c>
      <c r="L648" s="12" t="str">
        <f>IF(A648="","", IF(F648="",Reference!$M$2,F648))</f>
        <v/>
      </c>
      <c r="M648" s="14" t="str">
        <f t="shared" si="2"/>
        <v/>
      </c>
      <c r="N648" s="15" t="str">
        <f t="shared" si="3"/>
        <v/>
      </c>
      <c r="O648" s="14" t="str">
        <f t="shared" si="4"/>
        <v/>
      </c>
      <c r="P648" s="16" t="str">
        <f t="array" ref="P648">IF($A648="","", IFERROR(INDEX('BM Data'!$N:$N,MATCH($J648&amp; "-" &amp; $N648,'BM Data'!$O:$O,0),1),""))</f>
        <v/>
      </c>
      <c r="Q648" s="16" t="str">
        <f t="array" ref="Q648">IF($A648="","", IFERROR(INDEX('BM Data'!$J:$J,MATCH($J648&amp; "-" &amp; $N648,'BM Data'!$O:$O,0),1),""))</f>
        <v/>
      </c>
    </row>
    <row r="649">
      <c r="A649" s="10" t="str">
        <f>IFERROR(__xludf.DUMMYFUNCTION("""COMPUTED_VALUE"""),"")</f>
        <v/>
      </c>
      <c r="B649" s="3" t="str">
        <f>IFERROR(__xludf.DUMMYFUNCTION("""COMPUTED_VALUE"""),"")</f>
        <v/>
      </c>
      <c r="C649" s="11" t="str">
        <f>IFERROR(__xludf.DUMMYFUNCTION("""COMPUTED_VALUE"""),"")</f>
        <v/>
      </c>
      <c r="D649" s="11" t="str">
        <f>IFERROR(__xludf.DUMMYFUNCTION("""COMPUTED_VALUE"""),"")</f>
        <v/>
      </c>
      <c r="E649" s="11" t="str">
        <f>IFERROR(__xludf.DUMMYFUNCTION("""COMPUTED_VALUE"""),"")</f>
        <v/>
      </c>
      <c r="F649" s="11" t="str">
        <f>IFERROR(__xludf.DUMMYFUNCTION("""COMPUTED_VALUE"""),"")</f>
        <v/>
      </c>
      <c r="G649" s="11" t="str">
        <f>IFERROR(__xludf.DUMMYFUNCTION("""COMPUTED_VALUE"""),"")</f>
        <v/>
      </c>
      <c r="H649" s="12" t="str">
        <f>IFERROR(__xludf.DUMMYFUNCTION("""COMPUTED_VALUE"""),"")</f>
        <v/>
      </c>
      <c r="I649" s="12" t="str">
        <f>IFERROR(__xludf.DUMMYFUNCTION("""COMPUTED_VALUE"""),"")</f>
        <v/>
      </c>
      <c r="J649" s="13" t="str">
        <f t="shared" si="1"/>
        <v/>
      </c>
      <c r="K649" s="12" t="str">
        <f>IFERROR(IF(A649="","",if($G649="",Reference!$J$2, VLOOKUP($G649,Reference!$I$2:$J$1000,2,false))),"")</f>
        <v/>
      </c>
      <c r="L649" s="12" t="str">
        <f>IF(A649="","", IF(F649="",Reference!$M$2,F649))</f>
        <v/>
      </c>
      <c r="M649" s="14" t="str">
        <f t="shared" si="2"/>
        <v/>
      </c>
      <c r="N649" s="15" t="str">
        <f t="shared" si="3"/>
        <v/>
      </c>
      <c r="O649" s="14" t="str">
        <f t="shared" si="4"/>
        <v/>
      </c>
      <c r="P649" s="16" t="str">
        <f t="array" ref="P649">IF($A649="","", IFERROR(INDEX('BM Data'!$N:$N,MATCH($J649&amp; "-" &amp; $N649,'BM Data'!$O:$O,0),1),""))</f>
        <v/>
      </c>
      <c r="Q649" s="16" t="str">
        <f t="array" ref="Q649">IF($A649="","", IFERROR(INDEX('BM Data'!$J:$J,MATCH($J649&amp; "-" &amp; $N649,'BM Data'!$O:$O,0),1),""))</f>
        <v/>
      </c>
    </row>
    <row r="650">
      <c r="A650" s="10" t="str">
        <f>IFERROR(__xludf.DUMMYFUNCTION("""COMPUTED_VALUE"""),"")</f>
        <v/>
      </c>
      <c r="B650" s="3" t="str">
        <f>IFERROR(__xludf.DUMMYFUNCTION("""COMPUTED_VALUE"""),"")</f>
        <v/>
      </c>
      <c r="C650" s="11" t="str">
        <f>IFERROR(__xludf.DUMMYFUNCTION("""COMPUTED_VALUE"""),"")</f>
        <v/>
      </c>
      <c r="D650" s="11" t="str">
        <f>IFERROR(__xludf.DUMMYFUNCTION("""COMPUTED_VALUE"""),"")</f>
        <v/>
      </c>
      <c r="E650" s="11" t="str">
        <f>IFERROR(__xludf.DUMMYFUNCTION("""COMPUTED_VALUE"""),"")</f>
        <v/>
      </c>
      <c r="F650" s="11" t="str">
        <f>IFERROR(__xludf.DUMMYFUNCTION("""COMPUTED_VALUE"""),"")</f>
        <v/>
      </c>
      <c r="G650" s="11" t="str">
        <f>IFERROR(__xludf.DUMMYFUNCTION("""COMPUTED_VALUE"""),"")</f>
        <v/>
      </c>
      <c r="H650" s="12" t="str">
        <f>IFERROR(__xludf.DUMMYFUNCTION("""COMPUTED_VALUE"""),"")</f>
        <v/>
      </c>
      <c r="I650" s="12" t="str">
        <f>IFERROR(__xludf.DUMMYFUNCTION("""COMPUTED_VALUE"""),"")</f>
        <v/>
      </c>
      <c r="J650" s="13" t="str">
        <f t="shared" si="1"/>
        <v/>
      </c>
      <c r="K650" s="12" t="str">
        <f>IFERROR(IF(A650="","",if($G650="",Reference!$J$2, VLOOKUP($G650,Reference!$I$2:$J$1000,2,false))),"")</f>
        <v/>
      </c>
      <c r="L650" s="12" t="str">
        <f>IF(A650="","", IF(F650="",Reference!$M$2,F650))</f>
        <v/>
      </c>
      <c r="M650" s="14" t="str">
        <f t="shared" si="2"/>
        <v/>
      </c>
      <c r="N650" s="15" t="str">
        <f t="shared" si="3"/>
        <v/>
      </c>
      <c r="O650" s="14" t="str">
        <f t="shared" si="4"/>
        <v/>
      </c>
      <c r="P650" s="16" t="str">
        <f t="array" ref="P650">IF($A650="","", IFERROR(INDEX('BM Data'!$N:$N,MATCH($J650&amp; "-" &amp; $N650,'BM Data'!$O:$O,0),1),""))</f>
        <v/>
      </c>
      <c r="Q650" s="16" t="str">
        <f t="array" ref="Q650">IF($A650="","", IFERROR(INDEX('BM Data'!$J:$J,MATCH($J650&amp; "-" &amp; $N650,'BM Data'!$O:$O,0),1),""))</f>
        <v/>
      </c>
    </row>
    <row r="651">
      <c r="A651" s="10" t="str">
        <f>IFERROR(__xludf.DUMMYFUNCTION("""COMPUTED_VALUE"""),"")</f>
        <v/>
      </c>
      <c r="B651" s="3" t="str">
        <f>IFERROR(__xludf.DUMMYFUNCTION("""COMPUTED_VALUE"""),"")</f>
        <v/>
      </c>
      <c r="C651" s="11" t="str">
        <f>IFERROR(__xludf.DUMMYFUNCTION("""COMPUTED_VALUE"""),"")</f>
        <v/>
      </c>
      <c r="D651" s="11" t="str">
        <f>IFERROR(__xludf.DUMMYFUNCTION("""COMPUTED_VALUE"""),"")</f>
        <v/>
      </c>
      <c r="E651" s="11" t="str">
        <f>IFERROR(__xludf.DUMMYFUNCTION("""COMPUTED_VALUE"""),"")</f>
        <v/>
      </c>
      <c r="F651" s="11" t="str">
        <f>IFERROR(__xludf.DUMMYFUNCTION("""COMPUTED_VALUE"""),"")</f>
        <v/>
      </c>
      <c r="G651" s="11" t="str">
        <f>IFERROR(__xludf.DUMMYFUNCTION("""COMPUTED_VALUE"""),"")</f>
        <v/>
      </c>
      <c r="H651" s="12" t="str">
        <f>IFERROR(__xludf.DUMMYFUNCTION("""COMPUTED_VALUE"""),"")</f>
        <v/>
      </c>
      <c r="I651" s="12" t="str">
        <f>IFERROR(__xludf.DUMMYFUNCTION("""COMPUTED_VALUE"""),"")</f>
        <v/>
      </c>
      <c r="J651" s="13" t="str">
        <f t="shared" si="1"/>
        <v/>
      </c>
      <c r="K651" s="12" t="str">
        <f>IFERROR(IF(A651="","",if($G651="",Reference!$J$2, VLOOKUP($G651,Reference!$I$2:$J$1000,2,false))),"")</f>
        <v/>
      </c>
      <c r="L651" s="12" t="str">
        <f>IF(A651="","", IF(F651="",Reference!$M$2,F651))</f>
        <v/>
      </c>
      <c r="M651" s="14" t="str">
        <f t="shared" si="2"/>
        <v/>
      </c>
      <c r="N651" s="15" t="str">
        <f t="shared" si="3"/>
        <v/>
      </c>
      <c r="O651" s="14" t="str">
        <f t="shared" si="4"/>
        <v/>
      </c>
      <c r="P651" s="16" t="str">
        <f t="array" ref="P651">IF($A651="","", IFERROR(INDEX('BM Data'!$N:$N,MATCH($J651&amp; "-" &amp; $N651,'BM Data'!$O:$O,0),1),""))</f>
        <v/>
      </c>
      <c r="Q651" s="16" t="str">
        <f t="array" ref="Q651">IF($A651="","", IFERROR(INDEX('BM Data'!$J:$J,MATCH($J651&amp; "-" &amp; $N651,'BM Data'!$O:$O,0),1),""))</f>
        <v/>
      </c>
    </row>
    <row r="652">
      <c r="A652" s="10" t="str">
        <f>IFERROR(__xludf.DUMMYFUNCTION("""COMPUTED_VALUE"""),"")</f>
        <v/>
      </c>
      <c r="B652" s="3" t="str">
        <f>IFERROR(__xludf.DUMMYFUNCTION("""COMPUTED_VALUE"""),"")</f>
        <v/>
      </c>
      <c r="C652" s="11" t="str">
        <f>IFERROR(__xludf.DUMMYFUNCTION("""COMPUTED_VALUE"""),"")</f>
        <v/>
      </c>
      <c r="D652" s="11" t="str">
        <f>IFERROR(__xludf.DUMMYFUNCTION("""COMPUTED_VALUE"""),"")</f>
        <v/>
      </c>
      <c r="E652" s="11" t="str">
        <f>IFERROR(__xludf.DUMMYFUNCTION("""COMPUTED_VALUE"""),"")</f>
        <v/>
      </c>
      <c r="F652" s="11" t="str">
        <f>IFERROR(__xludf.DUMMYFUNCTION("""COMPUTED_VALUE"""),"")</f>
        <v/>
      </c>
      <c r="G652" s="11" t="str">
        <f>IFERROR(__xludf.DUMMYFUNCTION("""COMPUTED_VALUE"""),"")</f>
        <v/>
      </c>
      <c r="H652" s="12" t="str">
        <f>IFERROR(__xludf.DUMMYFUNCTION("""COMPUTED_VALUE"""),"")</f>
        <v/>
      </c>
      <c r="I652" s="12" t="str">
        <f>IFERROR(__xludf.DUMMYFUNCTION("""COMPUTED_VALUE"""),"")</f>
        <v/>
      </c>
      <c r="J652" s="13" t="str">
        <f t="shared" si="1"/>
        <v/>
      </c>
      <c r="K652" s="12" t="str">
        <f>IFERROR(IF(A652="","",if($G652="",Reference!$J$2, VLOOKUP($G652,Reference!$I$2:$J$1000,2,false))),"")</f>
        <v/>
      </c>
      <c r="L652" s="12" t="str">
        <f>IF(A652="","", IF(F652="",Reference!$M$2,F652))</f>
        <v/>
      </c>
      <c r="M652" s="14" t="str">
        <f t="shared" si="2"/>
        <v/>
      </c>
      <c r="N652" s="15" t="str">
        <f t="shared" si="3"/>
        <v/>
      </c>
      <c r="O652" s="14" t="str">
        <f t="shared" si="4"/>
        <v/>
      </c>
      <c r="P652" s="16" t="str">
        <f t="array" ref="P652">IF($A652="","", IFERROR(INDEX('BM Data'!$N:$N,MATCH($J652&amp; "-" &amp; $N652,'BM Data'!$O:$O,0),1),""))</f>
        <v/>
      </c>
      <c r="Q652" s="16" t="str">
        <f t="array" ref="Q652">IF($A652="","", IFERROR(INDEX('BM Data'!$J:$J,MATCH($J652&amp; "-" &amp; $N652,'BM Data'!$O:$O,0),1),""))</f>
        <v/>
      </c>
    </row>
    <row r="653">
      <c r="A653" s="10" t="str">
        <f>IFERROR(__xludf.DUMMYFUNCTION("""COMPUTED_VALUE"""),"")</f>
        <v/>
      </c>
      <c r="B653" s="3" t="str">
        <f>IFERROR(__xludf.DUMMYFUNCTION("""COMPUTED_VALUE"""),"")</f>
        <v/>
      </c>
      <c r="C653" s="11" t="str">
        <f>IFERROR(__xludf.DUMMYFUNCTION("""COMPUTED_VALUE"""),"")</f>
        <v/>
      </c>
      <c r="D653" s="11" t="str">
        <f>IFERROR(__xludf.DUMMYFUNCTION("""COMPUTED_VALUE"""),"")</f>
        <v/>
      </c>
      <c r="E653" s="11" t="str">
        <f>IFERROR(__xludf.DUMMYFUNCTION("""COMPUTED_VALUE"""),"")</f>
        <v/>
      </c>
      <c r="F653" s="11" t="str">
        <f>IFERROR(__xludf.DUMMYFUNCTION("""COMPUTED_VALUE"""),"")</f>
        <v/>
      </c>
      <c r="G653" s="11" t="str">
        <f>IFERROR(__xludf.DUMMYFUNCTION("""COMPUTED_VALUE"""),"")</f>
        <v/>
      </c>
      <c r="H653" s="12" t="str">
        <f>IFERROR(__xludf.DUMMYFUNCTION("""COMPUTED_VALUE"""),"")</f>
        <v/>
      </c>
      <c r="I653" s="12" t="str">
        <f>IFERROR(__xludf.DUMMYFUNCTION("""COMPUTED_VALUE"""),"")</f>
        <v/>
      </c>
      <c r="J653" s="13" t="str">
        <f t="shared" si="1"/>
        <v/>
      </c>
      <c r="K653" s="12" t="str">
        <f>IFERROR(IF(A653="","",if($G653="",Reference!$J$2, VLOOKUP($G653,Reference!$I$2:$J$1000,2,false))),"")</f>
        <v/>
      </c>
      <c r="L653" s="12" t="str">
        <f>IF(A653="","", IF(F653="",Reference!$M$2,F653))</f>
        <v/>
      </c>
      <c r="M653" s="14" t="str">
        <f t="shared" si="2"/>
        <v/>
      </c>
      <c r="N653" s="15" t="str">
        <f t="shared" si="3"/>
        <v/>
      </c>
      <c r="O653" s="14" t="str">
        <f t="shared" si="4"/>
        <v/>
      </c>
      <c r="P653" s="16" t="str">
        <f t="array" ref="P653">IF($A653="","", IFERROR(INDEX('BM Data'!$N:$N,MATCH($J653&amp; "-" &amp; $N653,'BM Data'!$O:$O,0),1),""))</f>
        <v/>
      </c>
      <c r="Q653" s="16" t="str">
        <f t="array" ref="Q653">IF($A653="","", IFERROR(INDEX('BM Data'!$J:$J,MATCH($J653&amp; "-" &amp; $N653,'BM Data'!$O:$O,0),1),""))</f>
        <v/>
      </c>
    </row>
    <row r="654">
      <c r="A654" s="10" t="str">
        <f>IFERROR(__xludf.DUMMYFUNCTION("""COMPUTED_VALUE"""),"")</f>
        <v/>
      </c>
      <c r="B654" s="3" t="str">
        <f>IFERROR(__xludf.DUMMYFUNCTION("""COMPUTED_VALUE"""),"")</f>
        <v/>
      </c>
      <c r="C654" s="11" t="str">
        <f>IFERROR(__xludf.DUMMYFUNCTION("""COMPUTED_VALUE"""),"")</f>
        <v/>
      </c>
      <c r="D654" s="11" t="str">
        <f>IFERROR(__xludf.DUMMYFUNCTION("""COMPUTED_VALUE"""),"")</f>
        <v/>
      </c>
      <c r="E654" s="11" t="str">
        <f>IFERROR(__xludf.DUMMYFUNCTION("""COMPUTED_VALUE"""),"")</f>
        <v/>
      </c>
      <c r="F654" s="11" t="str">
        <f>IFERROR(__xludf.DUMMYFUNCTION("""COMPUTED_VALUE"""),"")</f>
        <v/>
      </c>
      <c r="G654" s="11" t="str">
        <f>IFERROR(__xludf.DUMMYFUNCTION("""COMPUTED_VALUE"""),"")</f>
        <v/>
      </c>
      <c r="H654" s="12" t="str">
        <f>IFERROR(__xludf.DUMMYFUNCTION("""COMPUTED_VALUE"""),"")</f>
        <v/>
      </c>
      <c r="I654" s="12" t="str">
        <f>IFERROR(__xludf.DUMMYFUNCTION("""COMPUTED_VALUE"""),"")</f>
        <v/>
      </c>
      <c r="J654" s="13" t="str">
        <f t="shared" si="1"/>
        <v/>
      </c>
      <c r="K654" s="12" t="str">
        <f>IFERROR(IF(A654="","",if($G654="",Reference!$J$2, VLOOKUP($G654,Reference!$I$2:$J$1000,2,false))),"")</f>
        <v/>
      </c>
      <c r="L654" s="12" t="str">
        <f>IF(A654="","", IF(F654="",Reference!$M$2,F654))</f>
        <v/>
      </c>
      <c r="M654" s="14" t="str">
        <f t="shared" si="2"/>
        <v/>
      </c>
      <c r="N654" s="15" t="str">
        <f t="shared" si="3"/>
        <v/>
      </c>
      <c r="O654" s="14" t="str">
        <f t="shared" si="4"/>
        <v/>
      </c>
      <c r="P654" s="16" t="str">
        <f t="array" ref="P654">IF($A654="","", IFERROR(INDEX('BM Data'!$N:$N,MATCH($J654&amp; "-" &amp; $N654,'BM Data'!$O:$O,0),1),""))</f>
        <v/>
      </c>
      <c r="Q654" s="16" t="str">
        <f t="array" ref="Q654">IF($A654="","", IFERROR(INDEX('BM Data'!$J:$J,MATCH($J654&amp; "-" &amp; $N654,'BM Data'!$O:$O,0),1),""))</f>
        <v/>
      </c>
    </row>
    <row r="655">
      <c r="A655" s="10" t="str">
        <f>IFERROR(__xludf.DUMMYFUNCTION("""COMPUTED_VALUE"""),"")</f>
        <v/>
      </c>
      <c r="B655" s="3" t="str">
        <f>IFERROR(__xludf.DUMMYFUNCTION("""COMPUTED_VALUE"""),"")</f>
        <v/>
      </c>
      <c r="C655" s="11" t="str">
        <f>IFERROR(__xludf.DUMMYFUNCTION("""COMPUTED_VALUE"""),"")</f>
        <v/>
      </c>
      <c r="D655" s="11" t="str">
        <f>IFERROR(__xludf.DUMMYFUNCTION("""COMPUTED_VALUE"""),"")</f>
        <v/>
      </c>
      <c r="E655" s="11" t="str">
        <f>IFERROR(__xludf.DUMMYFUNCTION("""COMPUTED_VALUE"""),"")</f>
        <v/>
      </c>
      <c r="F655" s="11" t="str">
        <f>IFERROR(__xludf.DUMMYFUNCTION("""COMPUTED_VALUE"""),"")</f>
        <v/>
      </c>
      <c r="G655" s="11" t="str">
        <f>IFERROR(__xludf.DUMMYFUNCTION("""COMPUTED_VALUE"""),"")</f>
        <v/>
      </c>
      <c r="H655" s="12" t="str">
        <f>IFERROR(__xludf.DUMMYFUNCTION("""COMPUTED_VALUE"""),"")</f>
        <v/>
      </c>
      <c r="I655" s="12" t="str">
        <f>IFERROR(__xludf.DUMMYFUNCTION("""COMPUTED_VALUE"""),"")</f>
        <v/>
      </c>
      <c r="J655" s="13" t="str">
        <f t="shared" si="1"/>
        <v/>
      </c>
      <c r="K655" s="12" t="str">
        <f>IFERROR(IF(A655="","",if($G655="",Reference!$J$2, VLOOKUP($G655,Reference!$I$2:$J$1000,2,false))),"")</f>
        <v/>
      </c>
      <c r="L655" s="12" t="str">
        <f>IF(A655="","", IF(F655="",Reference!$M$2,F655))</f>
        <v/>
      </c>
      <c r="M655" s="14" t="str">
        <f t="shared" si="2"/>
        <v/>
      </c>
      <c r="N655" s="15" t="str">
        <f t="shared" si="3"/>
        <v/>
      </c>
      <c r="O655" s="14" t="str">
        <f t="shared" si="4"/>
        <v/>
      </c>
      <c r="P655" s="16" t="str">
        <f t="array" ref="P655">IF($A655="","", IFERROR(INDEX('BM Data'!$N:$N,MATCH($J655&amp; "-" &amp; $N655,'BM Data'!$O:$O,0),1),""))</f>
        <v/>
      </c>
      <c r="Q655" s="16" t="str">
        <f t="array" ref="Q655">IF($A655="","", IFERROR(INDEX('BM Data'!$J:$J,MATCH($J655&amp; "-" &amp; $N655,'BM Data'!$O:$O,0),1),""))</f>
        <v/>
      </c>
    </row>
    <row r="656">
      <c r="A656" s="10" t="str">
        <f>IFERROR(__xludf.DUMMYFUNCTION("""COMPUTED_VALUE"""),"")</f>
        <v/>
      </c>
      <c r="B656" s="3" t="str">
        <f>IFERROR(__xludf.DUMMYFUNCTION("""COMPUTED_VALUE"""),"")</f>
        <v/>
      </c>
      <c r="C656" s="11" t="str">
        <f>IFERROR(__xludf.DUMMYFUNCTION("""COMPUTED_VALUE"""),"")</f>
        <v/>
      </c>
      <c r="D656" s="11" t="str">
        <f>IFERROR(__xludf.DUMMYFUNCTION("""COMPUTED_VALUE"""),"")</f>
        <v/>
      </c>
      <c r="E656" s="11" t="str">
        <f>IFERROR(__xludf.DUMMYFUNCTION("""COMPUTED_VALUE"""),"")</f>
        <v/>
      </c>
      <c r="F656" s="11" t="str">
        <f>IFERROR(__xludf.DUMMYFUNCTION("""COMPUTED_VALUE"""),"")</f>
        <v/>
      </c>
      <c r="G656" s="11" t="str">
        <f>IFERROR(__xludf.DUMMYFUNCTION("""COMPUTED_VALUE"""),"")</f>
        <v/>
      </c>
      <c r="H656" s="12" t="str">
        <f>IFERROR(__xludf.DUMMYFUNCTION("""COMPUTED_VALUE"""),"")</f>
        <v/>
      </c>
      <c r="I656" s="12" t="str">
        <f>IFERROR(__xludf.DUMMYFUNCTION("""COMPUTED_VALUE"""),"")</f>
        <v/>
      </c>
      <c r="J656" s="13" t="str">
        <f t="shared" si="1"/>
        <v/>
      </c>
      <c r="K656" s="12" t="str">
        <f>IFERROR(IF(A656="","",if($G656="",Reference!$J$2, VLOOKUP($G656,Reference!$I$2:$J$1000,2,false))),"")</f>
        <v/>
      </c>
      <c r="L656" s="12" t="str">
        <f>IF(A656="","", IF(F656="",Reference!$M$2,F656))</f>
        <v/>
      </c>
      <c r="M656" s="14" t="str">
        <f t="shared" si="2"/>
        <v/>
      </c>
      <c r="N656" s="15" t="str">
        <f t="shared" si="3"/>
        <v/>
      </c>
      <c r="O656" s="14" t="str">
        <f t="shared" si="4"/>
        <v/>
      </c>
      <c r="P656" s="16" t="str">
        <f t="array" ref="P656">IF($A656="","", IFERROR(INDEX('BM Data'!$N:$N,MATCH($J656&amp; "-" &amp; $N656,'BM Data'!$O:$O,0),1),""))</f>
        <v/>
      </c>
      <c r="Q656" s="16" t="str">
        <f t="array" ref="Q656">IF($A656="","", IFERROR(INDEX('BM Data'!$J:$J,MATCH($J656&amp; "-" &amp; $N656,'BM Data'!$O:$O,0),1),""))</f>
        <v/>
      </c>
    </row>
    <row r="657">
      <c r="A657" s="10" t="str">
        <f>IFERROR(__xludf.DUMMYFUNCTION("""COMPUTED_VALUE"""),"")</f>
        <v/>
      </c>
      <c r="B657" s="3" t="str">
        <f>IFERROR(__xludf.DUMMYFUNCTION("""COMPUTED_VALUE"""),"")</f>
        <v/>
      </c>
      <c r="C657" s="11" t="str">
        <f>IFERROR(__xludf.DUMMYFUNCTION("""COMPUTED_VALUE"""),"")</f>
        <v/>
      </c>
      <c r="D657" s="11" t="str">
        <f>IFERROR(__xludf.DUMMYFUNCTION("""COMPUTED_VALUE"""),"")</f>
        <v/>
      </c>
      <c r="E657" s="11" t="str">
        <f>IFERROR(__xludf.DUMMYFUNCTION("""COMPUTED_VALUE"""),"")</f>
        <v/>
      </c>
      <c r="F657" s="11" t="str">
        <f>IFERROR(__xludf.DUMMYFUNCTION("""COMPUTED_VALUE"""),"")</f>
        <v/>
      </c>
      <c r="G657" s="11" t="str">
        <f>IFERROR(__xludf.DUMMYFUNCTION("""COMPUTED_VALUE"""),"")</f>
        <v/>
      </c>
      <c r="H657" s="12" t="str">
        <f>IFERROR(__xludf.DUMMYFUNCTION("""COMPUTED_VALUE"""),"")</f>
        <v/>
      </c>
      <c r="I657" s="12" t="str">
        <f>IFERROR(__xludf.DUMMYFUNCTION("""COMPUTED_VALUE"""),"")</f>
        <v/>
      </c>
      <c r="J657" s="13" t="str">
        <f t="shared" si="1"/>
        <v/>
      </c>
      <c r="K657" s="12" t="str">
        <f>IFERROR(IF(A657="","",if($G657="",Reference!$J$2, VLOOKUP($G657,Reference!$I$2:$J$1000,2,false))),"")</f>
        <v/>
      </c>
      <c r="L657" s="12" t="str">
        <f>IF(A657="","", IF(F657="",Reference!$M$2,F657))</f>
        <v/>
      </c>
      <c r="M657" s="14" t="str">
        <f t="shared" si="2"/>
        <v/>
      </c>
      <c r="N657" s="15" t="str">
        <f t="shared" si="3"/>
        <v/>
      </c>
      <c r="O657" s="14" t="str">
        <f t="shared" si="4"/>
        <v/>
      </c>
      <c r="P657" s="16" t="str">
        <f t="array" ref="P657">IF($A657="","", IFERROR(INDEX('BM Data'!$N:$N,MATCH($J657&amp; "-" &amp; $N657,'BM Data'!$O:$O,0),1),""))</f>
        <v/>
      </c>
      <c r="Q657" s="16" t="str">
        <f t="array" ref="Q657">IF($A657="","", IFERROR(INDEX('BM Data'!$J:$J,MATCH($J657&amp; "-" &amp; $N657,'BM Data'!$O:$O,0),1),""))</f>
        <v/>
      </c>
    </row>
    <row r="658">
      <c r="A658" s="10" t="str">
        <f>IFERROR(__xludf.DUMMYFUNCTION("""COMPUTED_VALUE"""),"")</f>
        <v/>
      </c>
      <c r="B658" s="3" t="str">
        <f>IFERROR(__xludf.DUMMYFUNCTION("""COMPUTED_VALUE"""),"")</f>
        <v/>
      </c>
      <c r="C658" s="11" t="str">
        <f>IFERROR(__xludf.DUMMYFUNCTION("""COMPUTED_VALUE"""),"")</f>
        <v/>
      </c>
      <c r="D658" s="11" t="str">
        <f>IFERROR(__xludf.DUMMYFUNCTION("""COMPUTED_VALUE"""),"")</f>
        <v/>
      </c>
      <c r="E658" s="11" t="str">
        <f>IFERROR(__xludf.DUMMYFUNCTION("""COMPUTED_VALUE"""),"")</f>
        <v/>
      </c>
      <c r="F658" s="11" t="str">
        <f>IFERROR(__xludf.DUMMYFUNCTION("""COMPUTED_VALUE"""),"")</f>
        <v/>
      </c>
      <c r="G658" s="11" t="str">
        <f>IFERROR(__xludf.DUMMYFUNCTION("""COMPUTED_VALUE"""),"")</f>
        <v/>
      </c>
      <c r="H658" s="12" t="str">
        <f>IFERROR(__xludf.DUMMYFUNCTION("""COMPUTED_VALUE"""),"")</f>
        <v/>
      </c>
      <c r="I658" s="12" t="str">
        <f>IFERROR(__xludf.DUMMYFUNCTION("""COMPUTED_VALUE"""),"")</f>
        <v/>
      </c>
      <c r="J658" s="13" t="str">
        <f t="shared" si="1"/>
        <v/>
      </c>
      <c r="K658" s="12" t="str">
        <f>IFERROR(IF(A658="","",if($G658="",Reference!$J$2, VLOOKUP($G658,Reference!$I$2:$J$1000,2,false))),"")</f>
        <v/>
      </c>
      <c r="L658" s="12" t="str">
        <f>IF(A658="","", IF(F658="",Reference!$M$2,F658))</f>
        <v/>
      </c>
      <c r="M658" s="14" t="str">
        <f t="shared" si="2"/>
        <v/>
      </c>
      <c r="N658" s="15" t="str">
        <f t="shared" si="3"/>
        <v/>
      </c>
      <c r="O658" s="14" t="str">
        <f t="shared" si="4"/>
        <v/>
      </c>
      <c r="P658" s="16" t="str">
        <f t="array" ref="P658">IF($A658="","", IFERROR(INDEX('BM Data'!$N:$N,MATCH($J658&amp; "-" &amp; $N658,'BM Data'!$O:$O,0),1),""))</f>
        <v/>
      </c>
      <c r="Q658" s="16" t="str">
        <f t="array" ref="Q658">IF($A658="","", IFERROR(INDEX('BM Data'!$J:$J,MATCH($J658&amp; "-" &amp; $N658,'BM Data'!$O:$O,0),1),""))</f>
        <v/>
      </c>
    </row>
    <row r="659">
      <c r="A659" s="10" t="str">
        <f>IFERROR(__xludf.DUMMYFUNCTION("""COMPUTED_VALUE"""),"")</f>
        <v/>
      </c>
      <c r="B659" s="3" t="str">
        <f>IFERROR(__xludf.DUMMYFUNCTION("""COMPUTED_VALUE"""),"")</f>
        <v/>
      </c>
      <c r="C659" s="11" t="str">
        <f>IFERROR(__xludf.DUMMYFUNCTION("""COMPUTED_VALUE"""),"")</f>
        <v/>
      </c>
      <c r="D659" s="11" t="str">
        <f>IFERROR(__xludf.DUMMYFUNCTION("""COMPUTED_VALUE"""),"")</f>
        <v/>
      </c>
      <c r="E659" s="11" t="str">
        <f>IFERROR(__xludf.DUMMYFUNCTION("""COMPUTED_VALUE"""),"")</f>
        <v/>
      </c>
      <c r="F659" s="11" t="str">
        <f>IFERROR(__xludf.DUMMYFUNCTION("""COMPUTED_VALUE"""),"")</f>
        <v/>
      </c>
      <c r="G659" s="11" t="str">
        <f>IFERROR(__xludf.DUMMYFUNCTION("""COMPUTED_VALUE"""),"")</f>
        <v/>
      </c>
      <c r="H659" s="12" t="str">
        <f>IFERROR(__xludf.DUMMYFUNCTION("""COMPUTED_VALUE"""),"")</f>
        <v/>
      </c>
      <c r="I659" s="12" t="str">
        <f>IFERROR(__xludf.DUMMYFUNCTION("""COMPUTED_VALUE"""),"")</f>
        <v/>
      </c>
      <c r="J659" s="13" t="str">
        <f t="shared" si="1"/>
        <v/>
      </c>
      <c r="K659" s="12" t="str">
        <f>IFERROR(IF(A659="","",if($G659="",Reference!$J$2, VLOOKUP($G659,Reference!$I$2:$J$1000,2,false))),"")</f>
        <v/>
      </c>
      <c r="L659" s="12" t="str">
        <f>IF(A659="","", IF(F659="",Reference!$M$2,F659))</f>
        <v/>
      </c>
      <c r="M659" s="14" t="str">
        <f t="shared" si="2"/>
        <v/>
      </c>
      <c r="N659" s="15" t="str">
        <f t="shared" si="3"/>
        <v/>
      </c>
      <c r="O659" s="14" t="str">
        <f t="shared" si="4"/>
        <v/>
      </c>
      <c r="P659" s="16" t="str">
        <f t="array" ref="P659">IF($A659="","", IFERROR(INDEX('BM Data'!$N:$N,MATCH($J659&amp; "-" &amp; $N659,'BM Data'!$O:$O,0),1),""))</f>
        <v/>
      </c>
      <c r="Q659" s="16" t="str">
        <f t="array" ref="Q659">IF($A659="","", IFERROR(INDEX('BM Data'!$J:$J,MATCH($J659&amp; "-" &amp; $N659,'BM Data'!$O:$O,0),1),""))</f>
        <v/>
      </c>
    </row>
    <row r="660">
      <c r="A660" s="10" t="str">
        <f>IFERROR(__xludf.DUMMYFUNCTION("""COMPUTED_VALUE"""),"")</f>
        <v/>
      </c>
      <c r="B660" s="3" t="str">
        <f>IFERROR(__xludf.DUMMYFUNCTION("""COMPUTED_VALUE"""),"")</f>
        <v/>
      </c>
      <c r="C660" s="11" t="str">
        <f>IFERROR(__xludf.DUMMYFUNCTION("""COMPUTED_VALUE"""),"")</f>
        <v/>
      </c>
      <c r="D660" s="11" t="str">
        <f>IFERROR(__xludf.DUMMYFUNCTION("""COMPUTED_VALUE"""),"")</f>
        <v/>
      </c>
      <c r="E660" s="11" t="str">
        <f>IFERROR(__xludf.DUMMYFUNCTION("""COMPUTED_VALUE"""),"")</f>
        <v/>
      </c>
      <c r="F660" s="11" t="str">
        <f>IFERROR(__xludf.DUMMYFUNCTION("""COMPUTED_VALUE"""),"")</f>
        <v/>
      </c>
      <c r="G660" s="11" t="str">
        <f>IFERROR(__xludf.DUMMYFUNCTION("""COMPUTED_VALUE"""),"")</f>
        <v/>
      </c>
      <c r="H660" s="12" t="str">
        <f>IFERROR(__xludf.DUMMYFUNCTION("""COMPUTED_VALUE"""),"")</f>
        <v/>
      </c>
      <c r="I660" s="12" t="str">
        <f>IFERROR(__xludf.DUMMYFUNCTION("""COMPUTED_VALUE"""),"")</f>
        <v/>
      </c>
      <c r="J660" s="13" t="str">
        <f t="shared" si="1"/>
        <v/>
      </c>
      <c r="K660" s="12" t="str">
        <f>IFERROR(IF(A660="","",if($G660="",Reference!$J$2, VLOOKUP($G660,Reference!$I$2:$J$1000,2,false))),"")</f>
        <v/>
      </c>
      <c r="L660" s="12" t="str">
        <f>IF(A660="","", IF(F660="",Reference!$M$2,F660))</f>
        <v/>
      </c>
      <c r="M660" s="14" t="str">
        <f t="shared" si="2"/>
        <v/>
      </c>
      <c r="N660" s="15" t="str">
        <f t="shared" si="3"/>
        <v/>
      </c>
      <c r="O660" s="14" t="str">
        <f t="shared" si="4"/>
        <v/>
      </c>
      <c r="P660" s="16" t="str">
        <f t="array" ref="P660">IF($A660="","", IFERROR(INDEX('BM Data'!$N:$N,MATCH($J660&amp; "-" &amp; $N660,'BM Data'!$O:$O,0),1),""))</f>
        <v/>
      </c>
      <c r="Q660" s="16" t="str">
        <f t="array" ref="Q660">IF($A660="","", IFERROR(INDEX('BM Data'!$J:$J,MATCH($J660&amp; "-" &amp; $N660,'BM Data'!$O:$O,0),1),""))</f>
        <v/>
      </c>
    </row>
    <row r="661">
      <c r="A661" s="10" t="str">
        <f>IFERROR(__xludf.DUMMYFUNCTION("""COMPUTED_VALUE"""),"")</f>
        <v/>
      </c>
      <c r="B661" s="3" t="str">
        <f>IFERROR(__xludf.DUMMYFUNCTION("""COMPUTED_VALUE"""),"")</f>
        <v/>
      </c>
      <c r="C661" s="11" t="str">
        <f>IFERROR(__xludf.DUMMYFUNCTION("""COMPUTED_VALUE"""),"")</f>
        <v/>
      </c>
      <c r="D661" s="11" t="str">
        <f>IFERROR(__xludf.DUMMYFUNCTION("""COMPUTED_VALUE"""),"")</f>
        <v/>
      </c>
      <c r="E661" s="11" t="str">
        <f>IFERROR(__xludf.DUMMYFUNCTION("""COMPUTED_VALUE"""),"")</f>
        <v/>
      </c>
      <c r="F661" s="11" t="str">
        <f>IFERROR(__xludf.DUMMYFUNCTION("""COMPUTED_VALUE"""),"")</f>
        <v/>
      </c>
      <c r="G661" s="11" t="str">
        <f>IFERROR(__xludf.DUMMYFUNCTION("""COMPUTED_VALUE"""),"")</f>
        <v/>
      </c>
      <c r="H661" s="12" t="str">
        <f>IFERROR(__xludf.DUMMYFUNCTION("""COMPUTED_VALUE"""),"")</f>
        <v/>
      </c>
      <c r="I661" s="12" t="str">
        <f>IFERROR(__xludf.DUMMYFUNCTION("""COMPUTED_VALUE"""),"")</f>
        <v/>
      </c>
      <c r="J661" s="13" t="str">
        <f t="shared" si="1"/>
        <v/>
      </c>
      <c r="K661" s="12" t="str">
        <f>IFERROR(IF(A661="","",if($G661="",Reference!$J$2, VLOOKUP($G661,Reference!$I$2:$J$1000,2,false))),"")</f>
        <v/>
      </c>
      <c r="L661" s="12" t="str">
        <f>IF(A661="","", IF(F661="",Reference!$M$2,F661))</f>
        <v/>
      </c>
      <c r="M661" s="14" t="str">
        <f t="shared" si="2"/>
        <v/>
      </c>
      <c r="N661" s="15" t="str">
        <f t="shared" si="3"/>
        <v/>
      </c>
      <c r="O661" s="14" t="str">
        <f t="shared" si="4"/>
        <v/>
      </c>
      <c r="P661" s="16" t="str">
        <f t="array" ref="P661">IF($A661="","", IFERROR(INDEX('BM Data'!$N:$N,MATCH($J661&amp; "-" &amp; $N661,'BM Data'!$O:$O,0),1),""))</f>
        <v/>
      </c>
      <c r="Q661" s="16" t="str">
        <f t="array" ref="Q661">IF($A661="","", IFERROR(INDEX('BM Data'!$J:$J,MATCH($J661&amp; "-" &amp; $N661,'BM Data'!$O:$O,0),1),""))</f>
        <v/>
      </c>
    </row>
    <row r="662">
      <c r="A662" s="10" t="str">
        <f>IFERROR(__xludf.DUMMYFUNCTION("""COMPUTED_VALUE"""),"")</f>
        <v/>
      </c>
      <c r="B662" s="3" t="str">
        <f>IFERROR(__xludf.DUMMYFUNCTION("""COMPUTED_VALUE"""),"")</f>
        <v/>
      </c>
      <c r="C662" s="11" t="str">
        <f>IFERROR(__xludf.DUMMYFUNCTION("""COMPUTED_VALUE"""),"")</f>
        <v/>
      </c>
      <c r="D662" s="11" t="str">
        <f>IFERROR(__xludf.DUMMYFUNCTION("""COMPUTED_VALUE"""),"")</f>
        <v/>
      </c>
      <c r="E662" s="11" t="str">
        <f>IFERROR(__xludf.DUMMYFUNCTION("""COMPUTED_VALUE"""),"")</f>
        <v/>
      </c>
      <c r="F662" s="11" t="str">
        <f>IFERROR(__xludf.DUMMYFUNCTION("""COMPUTED_VALUE"""),"")</f>
        <v/>
      </c>
      <c r="G662" s="11" t="str">
        <f>IFERROR(__xludf.DUMMYFUNCTION("""COMPUTED_VALUE"""),"")</f>
        <v/>
      </c>
      <c r="H662" s="12" t="str">
        <f>IFERROR(__xludf.DUMMYFUNCTION("""COMPUTED_VALUE"""),"")</f>
        <v/>
      </c>
      <c r="I662" s="12" t="str">
        <f>IFERROR(__xludf.DUMMYFUNCTION("""COMPUTED_VALUE"""),"")</f>
        <v/>
      </c>
      <c r="J662" s="13" t="str">
        <f t="shared" si="1"/>
        <v/>
      </c>
      <c r="K662" s="12" t="str">
        <f>IFERROR(IF(A662="","",if($G662="",Reference!$J$2, VLOOKUP($G662,Reference!$I$2:$J$1000,2,false))),"")</f>
        <v/>
      </c>
      <c r="L662" s="12" t="str">
        <f>IF(A662="","", IF(F662="",Reference!$M$2,F662))</f>
        <v/>
      </c>
      <c r="M662" s="14" t="str">
        <f t="shared" si="2"/>
        <v/>
      </c>
      <c r="N662" s="15" t="str">
        <f t="shared" si="3"/>
        <v/>
      </c>
      <c r="O662" s="14" t="str">
        <f t="shared" si="4"/>
        <v/>
      </c>
      <c r="P662" s="16" t="str">
        <f t="array" ref="P662">IF($A662="","", IFERROR(INDEX('BM Data'!$N:$N,MATCH($J662&amp; "-" &amp; $N662,'BM Data'!$O:$O,0),1),""))</f>
        <v/>
      </c>
      <c r="Q662" s="16" t="str">
        <f t="array" ref="Q662">IF($A662="","", IFERROR(INDEX('BM Data'!$J:$J,MATCH($J662&amp; "-" &amp; $N662,'BM Data'!$O:$O,0),1),""))</f>
        <v/>
      </c>
    </row>
    <row r="663">
      <c r="A663" s="10" t="str">
        <f>IFERROR(__xludf.DUMMYFUNCTION("""COMPUTED_VALUE"""),"")</f>
        <v/>
      </c>
      <c r="B663" s="3" t="str">
        <f>IFERROR(__xludf.DUMMYFUNCTION("""COMPUTED_VALUE"""),"")</f>
        <v/>
      </c>
      <c r="C663" s="11" t="str">
        <f>IFERROR(__xludf.DUMMYFUNCTION("""COMPUTED_VALUE"""),"")</f>
        <v/>
      </c>
      <c r="D663" s="11" t="str">
        <f>IFERROR(__xludf.DUMMYFUNCTION("""COMPUTED_VALUE"""),"")</f>
        <v/>
      </c>
      <c r="E663" s="11" t="str">
        <f>IFERROR(__xludf.DUMMYFUNCTION("""COMPUTED_VALUE"""),"")</f>
        <v/>
      </c>
      <c r="F663" s="11" t="str">
        <f>IFERROR(__xludf.DUMMYFUNCTION("""COMPUTED_VALUE"""),"")</f>
        <v/>
      </c>
      <c r="G663" s="11" t="str">
        <f>IFERROR(__xludf.DUMMYFUNCTION("""COMPUTED_VALUE"""),"")</f>
        <v/>
      </c>
      <c r="H663" s="12" t="str">
        <f>IFERROR(__xludf.DUMMYFUNCTION("""COMPUTED_VALUE"""),"")</f>
        <v/>
      </c>
      <c r="I663" s="12" t="str">
        <f>IFERROR(__xludf.DUMMYFUNCTION("""COMPUTED_VALUE"""),"")</f>
        <v/>
      </c>
      <c r="J663" s="13" t="str">
        <f t="shared" si="1"/>
        <v/>
      </c>
      <c r="K663" s="12" t="str">
        <f>IFERROR(IF(A663="","",if($G663="",Reference!$J$2, VLOOKUP($G663,Reference!$I$2:$J$1000,2,false))),"")</f>
        <v/>
      </c>
      <c r="L663" s="12" t="str">
        <f>IF(A663="","", IF(F663="",Reference!$M$2,F663))</f>
        <v/>
      </c>
      <c r="M663" s="14" t="str">
        <f t="shared" si="2"/>
        <v/>
      </c>
      <c r="N663" s="15" t="str">
        <f t="shared" si="3"/>
        <v/>
      </c>
      <c r="O663" s="14" t="str">
        <f t="shared" si="4"/>
        <v/>
      </c>
      <c r="P663" s="16" t="str">
        <f t="array" ref="P663">IF($A663="","", IFERROR(INDEX('BM Data'!$N:$N,MATCH($J663&amp; "-" &amp; $N663,'BM Data'!$O:$O,0),1),""))</f>
        <v/>
      </c>
      <c r="Q663" s="16" t="str">
        <f t="array" ref="Q663">IF($A663="","", IFERROR(INDEX('BM Data'!$J:$J,MATCH($J663&amp; "-" &amp; $N663,'BM Data'!$O:$O,0),1),""))</f>
        <v/>
      </c>
    </row>
    <row r="664">
      <c r="A664" s="10" t="str">
        <f>IFERROR(__xludf.DUMMYFUNCTION("""COMPUTED_VALUE"""),"")</f>
        <v/>
      </c>
      <c r="B664" s="3" t="str">
        <f>IFERROR(__xludf.DUMMYFUNCTION("""COMPUTED_VALUE"""),"")</f>
        <v/>
      </c>
      <c r="C664" s="11" t="str">
        <f>IFERROR(__xludf.DUMMYFUNCTION("""COMPUTED_VALUE"""),"")</f>
        <v/>
      </c>
      <c r="D664" s="11" t="str">
        <f>IFERROR(__xludf.DUMMYFUNCTION("""COMPUTED_VALUE"""),"")</f>
        <v/>
      </c>
      <c r="E664" s="11" t="str">
        <f>IFERROR(__xludf.DUMMYFUNCTION("""COMPUTED_VALUE"""),"")</f>
        <v/>
      </c>
      <c r="F664" s="11" t="str">
        <f>IFERROR(__xludf.DUMMYFUNCTION("""COMPUTED_VALUE"""),"")</f>
        <v/>
      </c>
      <c r="G664" s="11" t="str">
        <f>IFERROR(__xludf.DUMMYFUNCTION("""COMPUTED_VALUE"""),"")</f>
        <v/>
      </c>
      <c r="H664" s="12" t="str">
        <f>IFERROR(__xludf.DUMMYFUNCTION("""COMPUTED_VALUE"""),"")</f>
        <v/>
      </c>
      <c r="I664" s="12" t="str">
        <f>IFERROR(__xludf.DUMMYFUNCTION("""COMPUTED_VALUE"""),"")</f>
        <v/>
      </c>
      <c r="J664" s="13" t="str">
        <f t="shared" si="1"/>
        <v/>
      </c>
      <c r="K664" s="12" t="str">
        <f>IFERROR(IF(A664="","",if($G664="",Reference!$J$2, VLOOKUP($G664,Reference!$I$2:$J$1000,2,false))),"")</f>
        <v/>
      </c>
      <c r="L664" s="12" t="str">
        <f>IF(A664="","", IF(F664="",Reference!$M$2,F664))</f>
        <v/>
      </c>
      <c r="M664" s="14" t="str">
        <f t="shared" si="2"/>
        <v/>
      </c>
      <c r="N664" s="15" t="str">
        <f t="shared" si="3"/>
        <v/>
      </c>
      <c r="O664" s="14" t="str">
        <f t="shared" si="4"/>
        <v/>
      </c>
      <c r="P664" s="16" t="str">
        <f t="array" ref="P664">IF($A664="","", IFERROR(INDEX('BM Data'!$N:$N,MATCH($J664&amp; "-" &amp; $N664,'BM Data'!$O:$O,0),1),""))</f>
        <v/>
      </c>
      <c r="Q664" s="16" t="str">
        <f t="array" ref="Q664">IF($A664="","", IFERROR(INDEX('BM Data'!$J:$J,MATCH($J664&amp; "-" &amp; $N664,'BM Data'!$O:$O,0),1),""))</f>
        <v/>
      </c>
    </row>
    <row r="665">
      <c r="A665" s="10" t="str">
        <f>IFERROR(__xludf.DUMMYFUNCTION("""COMPUTED_VALUE"""),"")</f>
        <v/>
      </c>
      <c r="B665" s="3" t="str">
        <f>IFERROR(__xludf.DUMMYFUNCTION("""COMPUTED_VALUE"""),"")</f>
        <v/>
      </c>
      <c r="C665" s="11" t="str">
        <f>IFERROR(__xludf.DUMMYFUNCTION("""COMPUTED_VALUE"""),"")</f>
        <v/>
      </c>
      <c r="D665" s="11" t="str">
        <f>IFERROR(__xludf.DUMMYFUNCTION("""COMPUTED_VALUE"""),"")</f>
        <v/>
      </c>
      <c r="E665" s="11" t="str">
        <f>IFERROR(__xludf.DUMMYFUNCTION("""COMPUTED_VALUE"""),"")</f>
        <v/>
      </c>
      <c r="F665" s="11" t="str">
        <f>IFERROR(__xludf.DUMMYFUNCTION("""COMPUTED_VALUE"""),"")</f>
        <v/>
      </c>
      <c r="G665" s="11" t="str">
        <f>IFERROR(__xludf.DUMMYFUNCTION("""COMPUTED_VALUE"""),"")</f>
        <v/>
      </c>
      <c r="H665" s="12" t="str">
        <f>IFERROR(__xludf.DUMMYFUNCTION("""COMPUTED_VALUE"""),"")</f>
        <v/>
      </c>
      <c r="I665" s="12" t="str">
        <f>IFERROR(__xludf.DUMMYFUNCTION("""COMPUTED_VALUE"""),"")</f>
        <v/>
      </c>
      <c r="J665" s="13" t="str">
        <f t="shared" si="1"/>
        <v/>
      </c>
      <c r="K665" s="12" t="str">
        <f>IFERROR(IF(A665="","",if($G665="",Reference!$J$2, VLOOKUP($G665,Reference!$I$2:$J$1000,2,false))),"")</f>
        <v/>
      </c>
      <c r="L665" s="12" t="str">
        <f>IF(A665="","", IF(F665="",Reference!$M$2,F665))</f>
        <v/>
      </c>
      <c r="M665" s="14" t="str">
        <f t="shared" si="2"/>
        <v/>
      </c>
      <c r="N665" s="15" t="str">
        <f t="shared" si="3"/>
        <v/>
      </c>
      <c r="O665" s="14" t="str">
        <f t="shared" si="4"/>
        <v/>
      </c>
      <c r="P665" s="16" t="str">
        <f t="array" ref="P665">IF($A665="","", IFERROR(INDEX('BM Data'!$N:$N,MATCH($J665&amp; "-" &amp; $N665,'BM Data'!$O:$O,0),1),""))</f>
        <v/>
      </c>
      <c r="Q665" s="16" t="str">
        <f t="array" ref="Q665">IF($A665="","", IFERROR(INDEX('BM Data'!$J:$J,MATCH($J665&amp; "-" &amp; $N665,'BM Data'!$O:$O,0),1),""))</f>
        <v/>
      </c>
    </row>
    <row r="666">
      <c r="A666" s="10" t="str">
        <f>IFERROR(__xludf.DUMMYFUNCTION("""COMPUTED_VALUE"""),"")</f>
        <v/>
      </c>
      <c r="B666" s="3" t="str">
        <f>IFERROR(__xludf.DUMMYFUNCTION("""COMPUTED_VALUE"""),"")</f>
        <v/>
      </c>
      <c r="C666" s="11" t="str">
        <f>IFERROR(__xludf.DUMMYFUNCTION("""COMPUTED_VALUE"""),"")</f>
        <v/>
      </c>
      <c r="D666" s="11" t="str">
        <f>IFERROR(__xludf.DUMMYFUNCTION("""COMPUTED_VALUE"""),"")</f>
        <v/>
      </c>
      <c r="E666" s="11" t="str">
        <f>IFERROR(__xludf.DUMMYFUNCTION("""COMPUTED_VALUE"""),"")</f>
        <v/>
      </c>
      <c r="F666" s="11" t="str">
        <f>IFERROR(__xludf.DUMMYFUNCTION("""COMPUTED_VALUE"""),"")</f>
        <v/>
      </c>
      <c r="G666" s="11" t="str">
        <f>IFERROR(__xludf.DUMMYFUNCTION("""COMPUTED_VALUE"""),"")</f>
        <v/>
      </c>
      <c r="H666" s="12" t="str">
        <f>IFERROR(__xludf.DUMMYFUNCTION("""COMPUTED_VALUE"""),"")</f>
        <v/>
      </c>
      <c r="I666" s="12" t="str">
        <f>IFERROR(__xludf.DUMMYFUNCTION("""COMPUTED_VALUE"""),"")</f>
        <v/>
      </c>
      <c r="J666" s="13" t="str">
        <f t="shared" si="1"/>
        <v/>
      </c>
      <c r="K666" s="12" t="str">
        <f>IFERROR(IF(A666="","",if($G666="",Reference!$J$2, VLOOKUP($G666,Reference!$I$2:$J$1000,2,false))),"")</f>
        <v/>
      </c>
      <c r="L666" s="12" t="str">
        <f>IF(A666="","", IF(F666="",Reference!$M$2,F666))</f>
        <v/>
      </c>
      <c r="M666" s="14" t="str">
        <f t="shared" si="2"/>
        <v/>
      </c>
      <c r="N666" s="15" t="str">
        <f t="shared" si="3"/>
        <v/>
      </c>
      <c r="O666" s="14" t="str">
        <f t="shared" si="4"/>
        <v/>
      </c>
      <c r="P666" s="16" t="str">
        <f t="array" ref="P666">IF($A666="","", IFERROR(INDEX('BM Data'!$N:$N,MATCH($J666&amp; "-" &amp; $N666,'BM Data'!$O:$O,0),1),""))</f>
        <v/>
      </c>
      <c r="Q666" s="16" t="str">
        <f t="array" ref="Q666">IF($A666="","", IFERROR(INDEX('BM Data'!$J:$J,MATCH($J666&amp; "-" &amp; $N666,'BM Data'!$O:$O,0),1),""))</f>
        <v/>
      </c>
    </row>
    <row r="667">
      <c r="A667" s="10" t="str">
        <f>IFERROR(__xludf.DUMMYFUNCTION("""COMPUTED_VALUE"""),"")</f>
        <v/>
      </c>
      <c r="B667" s="3" t="str">
        <f>IFERROR(__xludf.DUMMYFUNCTION("""COMPUTED_VALUE"""),"")</f>
        <v/>
      </c>
      <c r="C667" s="11" t="str">
        <f>IFERROR(__xludf.DUMMYFUNCTION("""COMPUTED_VALUE"""),"")</f>
        <v/>
      </c>
      <c r="D667" s="11" t="str">
        <f>IFERROR(__xludf.DUMMYFUNCTION("""COMPUTED_VALUE"""),"")</f>
        <v/>
      </c>
      <c r="E667" s="11" t="str">
        <f>IFERROR(__xludf.DUMMYFUNCTION("""COMPUTED_VALUE"""),"")</f>
        <v/>
      </c>
      <c r="F667" s="11" t="str">
        <f>IFERROR(__xludf.DUMMYFUNCTION("""COMPUTED_VALUE"""),"")</f>
        <v/>
      </c>
      <c r="G667" s="11" t="str">
        <f>IFERROR(__xludf.DUMMYFUNCTION("""COMPUTED_VALUE"""),"")</f>
        <v/>
      </c>
      <c r="H667" s="12" t="str">
        <f>IFERROR(__xludf.DUMMYFUNCTION("""COMPUTED_VALUE"""),"")</f>
        <v/>
      </c>
      <c r="I667" s="12" t="str">
        <f>IFERROR(__xludf.DUMMYFUNCTION("""COMPUTED_VALUE"""),"")</f>
        <v/>
      </c>
      <c r="J667" s="13" t="str">
        <f t="shared" si="1"/>
        <v/>
      </c>
      <c r="K667" s="12" t="str">
        <f>IFERROR(IF(A667="","",if($G667="",Reference!$J$2, VLOOKUP($G667,Reference!$I$2:$J$1000,2,false))),"")</f>
        <v/>
      </c>
      <c r="L667" s="12" t="str">
        <f>IF(A667="","", IF(F667="",Reference!$M$2,F667))</f>
        <v/>
      </c>
      <c r="M667" s="14" t="str">
        <f t="shared" si="2"/>
        <v/>
      </c>
      <c r="N667" s="15" t="str">
        <f t="shared" si="3"/>
        <v/>
      </c>
      <c r="O667" s="14" t="str">
        <f t="shared" si="4"/>
        <v/>
      </c>
      <c r="P667" s="16" t="str">
        <f t="array" ref="P667">IF($A667="","", IFERROR(INDEX('BM Data'!$N:$N,MATCH($J667&amp; "-" &amp; $N667,'BM Data'!$O:$O,0),1),""))</f>
        <v/>
      </c>
      <c r="Q667" s="16" t="str">
        <f t="array" ref="Q667">IF($A667="","", IFERROR(INDEX('BM Data'!$J:$J,MATCH($J667&amp; "-" &amp; $N667,'BM Data'!$O:$O,0),1),""))</f>
        <v/>
      </c>
    </row>
    <row r="668">
      <c r="A668" s="10" t="str">
        <f>IFERROR(__xludf.DUMMYFUNCTION("""COMPUTED_VALUE"""),"")</f>
        <v/>
      </c>
      <c r="B668" s="3" t="str">
        <f>IFERROR(__xludf.DUMMYFUNCTION("""COMPUTED_VALUE"""),"")</f>
        <v/>
      </c>
      <c r="C668" s="11" t="str">
        <f>IFERROR(__xludf.DUMMYFUNCTION("""COMPUTED_VALUE"""),"")</f>
        <v/>
      </c>
      <c r="D668" s="11" t="str">
        <f>IFERROR(__xludf.DUMMYFUNCTION("""COMPUTED_VALUE"""),"")</f>
        <v/>
      </c>
      <c r="E668" s="11" t="str">
        <f>IFERROR(__xludf.DUMMYFUNCTION("""COMPUTED_VALUE"""),"")</f>
        <v/>
      </c>
      <c r="F668" s="11" t="str">
        <f>IFERROR(__xludf.DUMMYFUNCTION("""COMPUTED_VALUE"""),"")</f>
        <v/>
      </c>
      <c r="G668" s="11" t="str">
        <f>IFERROR(__xludf.DUMMYFUNCTION("""COMPUTED_VALUE"""),"")</f>
        <v/>
      </c>
      <c r="H668" s="12" t="str">
        <f>IFERROR(__xludf.DUMMYFUNCTION("""COMPUTED_VALUE"""),"")</f>
        <v/>
      </c>
      <c r="I668" s="12" t="str">
        <f>IFERROR(__xludf.DUMMYFUNCTION("""COMPUTED_VALUE"""),"")</f>
        <v/>
      </c>
      <c r="J668" s="13" t="str">
        <f t="shared" si="1"/>
        <v/>
      </c>
      <c r="K668" s="12" t="str">
        <f>IFERROR(IF(A668="","",if($G668="",Reference!$J$2, VLOOKUP($G668,Reference!$I$2:$J$1000,2,false))),"")</f>
        <v/>
      </c>
      <c r="L668" s="12" t="str">
        <f>IF(A668="","", IF(F668="",Reference!$M$2,F668))</f>
        <v/>
      </c>
      <c r="M668" s="14" t="str">
        <f t="shared" si="2"/>
        <v/>
      </c>
      <c r="N668" s="15" t="str">
        <f t="shared" si="3"/>
        <v/>
      </c>
      <c r="O668" s="14" t="str">
        <f t="shared" si="4"/>
        <v/>
      </c>
      <c r="P668" s="16" t="str">
        <f t="array" ref="P668">IF($A668="","", IFERROR(INDEX('BM Data'!$N:$N,MATCH($J668&amp; "-" &amp; $N668,'BM Data'!$O:$O,0),1),""))</f>
        <v/>
      </c>
      <c r="Q668" s="16" t="str">
        <f t="array" ref="Q668">IF($A668="","", IFERROR(INDEX('BM Data'!$J:$J,MATCH($J668&amp; "-" &amp; $N668,'BM Data'!$O:$O,0),1),""))</f>
        <v/>
      </c>
    </row>
    <row r="669">
      <c r="A669" s="10" t="str">
        <f>IFERROR(__xludf.DUMMYFUNCTION("""COMPUTED_VALUE"""),"")</f>
        <v/>
      </c>
      <c r="B669" s="3" t="str">
        <f>IFERROR(__xludf.DUMMYFUNCTION("""COMPUTED_VALUE"""),"")</f>
        <v/>
      </c>
      <c r="C669" s="11" t="str">
        <f>IFERROR(__xludf.DUMMYFUNCTION("""COMPUTED_VALUE"""),"")</f>
        <v/>
      </c>
      <c r="D669" s="11" t="str">
        <f>IFERROR(__xludf.DUMMYFUNCTION("""COMPUTED_VALUE"""),"")</f>
        <v/>
      </c>
      <c r="E669" s="11" t="str">
        <f>IFERROR(__xludf.DUMMYFUNCTION("""COMPUTED_VALUE"""),"")</f>
        <v/>
      </c>
      <c r="F669" s="11" t="str">
        <f>IFERROR(__xludf.DUMMYFUNCTION("""COMPUTED_VALUE"""),"")</f>
        <v/>
      </c>
      <c r="G669" s="11" t="str">
        <f>IFERROR(__xludf.DUMMYFUNCTION("""COMPUTED_VALUE"""),"")</f>
        <v/>
      </c>
      <c r="H669" s="12" t="str">
        <f>IFERROR(__xludf.DUMMYFUNCTION("""COMPUTED_VALUE"""),"")</f>
        <v/>
      </c>
      <c r="I669" s="12" t="str">
        <f>IFERROR(__xludf.DUMMYFUNCTION("""COMPUTED_VALUE"""),"")</f>
        <v/>
      </c>
      <c r="J669" s="13" t="str">
        <f t="shared" si="1"/>
        <v/>
      </c>
      <c r="K669" s="12" t="str">
        <f>IFERROR(IF(A669="","",if($G669="",Reference!$J$2, VLOOKUP($G669,Reference!$I$2:$J$1000,2,false))),"")</f>
        <v/>
      </c>
      <c r="L669" s="12" t="str">
        <f>IF(A669="","", IF(F669="",Reference!$M$2,F669))</f>
        <v/>
      </c>
      <c r="M669" s="14" t="str">
        <f t="shared" si="2"/>
        <v/>
      </c>
      <c r="N669" s="15" t="str">
        <f t="shared" si="3"/>
        <v/>
      </c>
      <c r="O669" s="14" t="str">
        <f t="shared" si="4"/>
        <v/>
      </c>
      <c r="P669" s="16" t="str">
        <f t="array" ref="P669">IF($A669="","", IFERROR(INDEX('BM Data'!$N:$N,MATCH($J669&amp; "-" &amp; $N669,'BM Data'!$O:$O,0),1),""))</f>
        <v/>
      </c>
      <c r="Q669" s="16" t="str">
        <f t="array" ref="Q669">IF($A669="","", IFERROR(INDEX('BM Data'!$J:$J,MATCH($J669&amp; "-" &amp; $N669,'BM Data'!$O:$O,0),1),""))</f>
        <v/>
      </c>
    </row>
    <row r="670">
      <c r="A670" s="10" t="str">
        <f>IFERROR(__xludf.DUMMYFUNCTION("""COMPUTED_VALUE"""),"")</f>
        <v/>
      </c>
      <c r="B670" s="3" t="str">
        <f>IFERROR(__xludf.DUMMYFUNCTION("""COMPUTED_VALUE"""),"")</f>
        <v/>
      </c>
      <c r="C670" s="11" t="str">
        <f>IFERROR(__xludf.DUMMYFUNCTION("""COMPUTED_VALUE"""),"")</f>
        <v/>
      </c>
      <c r="D670" s="11" t="str">
        <f>IFERROR(__xludf.DUMMYFUNCTION("""COMPUTED_VALUE"""),"")</f>
        <v/>
      </c>
      <c r="E670" s="11" t="str">
        <f>IFERROR(__xludf.DUMMYFUNCTION("""COMPUTED_VALUE"""),"")</f>
        <v/>
      </c>
      <c r="F670" s="11" t="str">
        <f>IFERROR(__xludf.DUMMYFUNCTION("""COMPUTED_VALUE"""),"")</f>
        <v/>
      </c>
      <c r="G670" s="11" t="str">
        <f>IFERROR(__xludf.DUMMYFUNCTION("""COMPUTED_VALUE"""),"")</f>
        <v/>
      </c>
      <c r="H670" s="12" t="str">
        <f>IFERROR(__xludf.DUMMYFUNCTION("""COMPUTED_VALUE"""),"")</f>
        <v/>
      </c>
      <c r="I670" s="12" t="str">
        <f>IFERROR(__xludf.DUMMYFUNCTION("""COMPUTED_VALUE"""),"")</f>
        <v/>
      </c>
      <c r="J670" s="13" t="str">
        <f t="shared" si="1"/>
        <v/>
      </c>
      <c r="K670" s="12" t="str">
        <f>IFERROR(IF(A670="","",if($G670="",Reference!$J$2, VLOOKUP($G670,Reference!$I$2:$J$1000,2,false))),"")</f>
        <v/>
      </c>
      <c r="L670" s="12" t="str">
        <f>IF(A670="","", IF(F670="",Reference!$M$2,F670))</f>
        <v/>
      </c>
      <c r="M670" s="14" t="str">
        <f t="shared" si="2"/>
        <v/>
      </c>
      <c r="N670" s="15" t="str">
        <f t="shared" si="3"/>
        <v/>
      </c>
      <c r="O670" s="14" t="str">
        <f t="shared" si="4"/>
        <v/>
      </c>
      <c r="P670" s="16" t="str">
        <f t="array" ref="P670">IF($A670="","", IFERROR(INDEX('BM Data'!$N:$N,MATCH($J670&amp; "-" &amp; $N670,'BM Data'!$O:$O,0),1),""))</f>
        <v/>
      </c>
      <c r="Q670" s="16" t="str">
        <f t="array" ref="Q670">IF($A670="","", IFERROR(INDEX('BM Data'!$J:$J,MATCH($J670&amp; "-" &amp; $N670,'BM Data'!$O:$O,0),1),""))</f>
        <v/>
      </c>
    </row>
    <row r="671">
      <c r="A671" s="10" t="str">
        <f>IFERROR(__xludf.DUMMYFUNCTION("""COMPUTED_VALUE"""),"")</f>
        <v/>
      </c>
      <c r="B671" s="3" t="str">
        <f>IFERROR(__xludf.DUMMYFUNCTION("""COMPUTED_VALUE"""),"")</f>
        <v/>
      </c>
      <c r="C671" s="11" t="str">
        <f>IFERROR(__xludf.DUMMYFUNCTION("""COMPUTED_VALUE"""),"")</f>
        <v/>
      </c>
      <c r="D671" s="11" t="str">
        <f>IFERROR(__xludf.DUMMYFUNCTION("""COMPUTED_VALUE"""),"")</f>
        <v/>
      </c>
      <c r="E671" s="11" t="str">
        <f>IFERROR(__xludf.DUMMYFUNCTION("""COMPUTED_VALUE"""),"")</f>
        <v/>
      </c>
      <c r="F671" s="11" t="str">
        <f>IFERROR(__xludf.DUMMYFUNCTION("""COMPUTED_VALUE"""),"")</f>
        <v/>
      </c>
      <c r="G671" s="11" t="str">
        <f>IFERROR(__xludf.DUMMYFUNCTION("""COMPUTED_VALUE"""),"")</f>
        <v/>
      </c>
      <c r="H671" s="12" t="str">
        <f>IFERROR(__xludf.DUMMYFUNCTION("""COMPUTED_VALUE"""),"")</f>
        <v/>
      </c>
      <c r="I671" s="12" t="str">
        <f>IFERROR(__xludf.DUMMYFUNCTION("""COMPUTED_VALUE"""),"")</f>
        <v/>
      </c>
      <c r="J671" s="13" t="str">
        <f t="shared" si="1"/>
        <v/>
      </c>
      <c r="K671" s="12" t="str">
        <f>IFERROR(IF(A671="","",if($G671="",Reference!$J$2, VLOOKUP($G671,Reference!$I$2:$J$1000,2,false))),"")</f>
        <v/>
      </c>
      <c r="L671" s="12" t="str">
        <f>IF(A671="","", IF(F671="",Reference!$M$2,F671))</f>
        <v/>
      </c>
      <c r="M671" s="14" t="str">
        <f t="shared" si="2"/>
        <v/>
      </c>
      <c r="N671" s="15" t="str">
        <f t="shared" si="3"/>
        <v/>
      </c>
      <c r="O671" s="14" t="str">
        <f t="shared" si="4"/>
        <v/>
      </c>
      <c r="P671" s="16" t="str">
        <f t="array" ref="P671">IF($A671="","", IFERROR(INDEX('BM Data'!$N:$N,MATCH($J671&amp; "-" &amp; $N671,'BM Data'!$O:$O,0),1),""))</f>
        <v/>
      </c>
      <c r="Q671" s="16" t="str">
        <f t="array" ref="Q671">IF($A671="","", IFERROR(INDEX('BM Data'!$J:$J,MATCH($J671&amp; "-" &amp; $N671,'BM Data'!$O:$O,0),1),""))</f>
        <v/>
      </c>
    </row>
    <row r="672">
      <c r="A672" s="10" t="str">
        <f>IFERROR(__xludf.DUMMYFUNCTION("""COMPUTED_VALUE"""),"")</f>
        <v/>
      </c>
      <c r="B672" s="3" t="str">
        <f>IFERROR(__xludf.DUMMYFUNCTION("""COMPUTED_VALUE"""),"")</f>
        <v/>
      </c>
      <c r="C672" s="11" t="str">
        <f>IFERROR(__xludf.DUMMYFUNCTION("""COMPUTED_VALUE"""),"")</f>
        <v/>
      </c>
      <c r="D672" s="11" t="str">
        <f>IFERROR(__xludf.DUMMYFUNCTION("""COMPUTED_VALUE"""),"")</f>
        <v/>
      </c>
      <c r="E672" s="11" t="str">
        <f>IFERROR(__xludf.DUMMYFUNCTION("""COMPUTED_VALUE"""),"")</f>
        <v/>
      </c>
      <c r="F672" s="11" t="str">
        <f>IFERROR(__xludf.DUMMYFUNCTION("""COMPUTED_VALUE"""),"")</f>
        <v/>
      </c>
      <c r="G672" s="11" t="str">
        <f>IFERROR(__xludf.DUMMYFUNCTION("""COMPUTED_VALUE"""),"")</f>
        <v/>
      </c>
      <c r="H672" s="12" t="str">
        <f>IFERROR(__xludf.DUMMYFUNCTION("""COMPUTED_VALUE"""),"")</f>
        <v/>
      </c>
      <c r="I672" s="12" t="str">
        <f>IFERROR(__xludf.DUMMYFUNCTION("""COMPUTED_VALUE"""),"")</f>
        <v/>
      </c>
      <c r="J672" s="13" t="str">
        <f t="shared" si="1"/>
        <v/>
      </c>
      <c r="K672" s="12" t="str">
        <f>IFERROR(IF(A672="","",if($G672="",Reference!$J$2, VLOOKUP($G672,Reference!$I$2:$J$1000,2,false))),"")</f>
        <v/>
      </c>
      <c r="L672" s="12" t="str">
        <f>IF(A672="","", IF(F672="",Reference!$M$2,F672))</f>
        <v/>
      </c>
      <c r="M672" s="14" t="str">
        <f t="shared" si="2"/>
        <v/>
      </c>
      <c r="N672" s="15" t="str">
        <f t="shared" si="3"/>
        <v/>
      </c>
      <c r="O672" s="14" t="str">
        <f t="shared" si="4"/>
        <v/>
      </c>
      <c r="P672" s="16" t="str">
        <f t="array" ref="P672">IF($A672="","", IFERROR(INDEX('BM Data'!$N:$N,MATCH($J672&amp; "-" &amp; $N672,'BM Data'!$O:$O,0),1),""))</f>
        <v/>
      </c>
      <c r="Q672" s="16" t="str">
        <f t="array" ref="Q672">IF($A672="","", IFERROR(INDEX('BM Data'!$J:$J,MATCH($J672&amp; "-" &amp; $N672,'BM Data'!$O:$O,0),1),""))</f>
        <v/>
      </c>
    </row>
    <row r="673">
      <c r="A673" s="10" t="str">
        <f>IFERROR(__xludf.DUMMYFUNCTION("""COMPUTED_VALUE"""),"")</f>
        <v/>
      </c>
      <c r="B673" s="3" t="str">
        <f>IFERROR(__xludf.DUMMYFUNCTION("""COMPUTED_VALUE"""),"")</f>
        <v/>
      </c>
      <c r="C673" s="11" t="str">
        <f>IFERROR(__xludf.DUMMYFUNCTION("""COMPUTED_VALUE"""),"")</f>
        <v/>
      </c>
      <c r="D673" s="11" t="str">
        <f>IFERROR(__xludf.DUMMYFUNCTION("""COMPUTED_VALUE"""),"")</f>
        <v/>
      </c>
      <c r="E673" s="11" t="str">
        <f>IFERROR(__xludf.DUMMYFUNCTION("""COMPUTED_VALUE"""),"")</f>
        <v/>
      </c>
      <c r="F673" s="11" t="str">
        <f>IFERROR(__xludf.DUMMYFUNCTION("""COMPUTED_VALUE"""),"")</f>
        <v/>
      </c>
      <c r="G673" s="11" t="str">
        <f>IFERROR(__xludf.DUMMYFUNCTION("""COMPUTED_VALUE"""),"")</f>
        <v/>
      </c>
      <c r="H673" s="12" t="str">
        <f>IFERROR(__xludf.DUMMYFUNCTION("""COMPUTED_VALUE"""),"")</f>
        <v/>
      </c>
      <c r="I673" s="12" t="str">
        <f>IFERROR(__xludf.DUMMYFUNCTION("""COMPUTED_VALUE"""),"")</f>
        <v/>
      </c>
      <c r="J673" s="13" t="str">
        <f t="shared" si="1"/>
        <v/>
      </c>
      <c r="K673" s="12" t="str">
        <f>IFERROR(IF(A673="","",if($G673="",Reference!$J$2, VLOOKUP($G673,Reference!$I$2:$J$1000,2,false))),"")</f>
        <v/>
      </c>
      <c r="L673" s="12" t="str">
        <f>IF(A673="","", IF(F673="",Reference!$M$2,F673))</f>
        <v/>
      </c>
      <c r="M673" s="14" t="str">
        <f t="shared" si="2"/>
        <v/>
      </c>
      <c r="N673" s="15" t="str">
        <f t="shared" si="3"/>
        <v/>
      </c>
      <c r="O673" s="14" t="str">
        <f t="shared" si="4"/>
        <v/>
      </c>
      <c r="P673" s="16" t="str">
        <f t="array" ref="P673">IF($A673="","", IFERROR(INDEX('BM Data'!$N:$N,MATCH($J673&amp; "-" &amp; $N673,'BM Data'!$O:$O,0),1),""))</f>
        <v/>
      </c>
      <c r="Q673" s="16" t="str">
        <f t="array" ref="Q673">IF($A673="","", IFERROR(INDEX('BM Data'!$J:$J,MATCH($J673&amp; "-" &amp; $N673,'BM Data'!$O:$O,0),1),""))</f>
        <v/>
      </c>
    </row>
    <row r="674">
      <c r="A674" s="10" t="str">
        <f>IFERROR(__xludf.DUMMYFUNCTION("""COMPUTED_VALUE"""),"")</f>
        <v/>
      </c>
      <c r="B674" s="3" t="str">
        <f>IFERROR(__xludf.DUMMYFUNCTION("""COMPUTED_VALUE"""),"")</f>
        <v/>
      </c>
      <c r="C674" s="11" t="str">
        <f>IFERROR(__xludf.DUMMYFUNCTION("""COMPUTED_VALUE"""),"")</f>
        <v/>
      </c>
      <c r="D674" s="11" t="str">
        <f>IFERROR(__xludf.DUMMYFUNCTION("""COMPUTED_VALUE"""),"")</f>
        <v/>
      </c>
      <c r="E674" s="11" t="str">
        <f>IFERROR(__xludf.DUMMYFUNCTION("""COMPUTED_VALUE"""),"")</f>
        <v/>
      </c>
      <c r="F674" s="11" t="str">
        <f>IFERROR(__xludf.DUMMYFUNCTION("""COMPUTED_VALUE"""),"")</f>
        <v/>
      </c>
      <c r="G674" s="11" t="str">
        <f>IFERROR(__xludf.DUMMYFUNCTION("""COMPUTED_VALUE"""),"")</f>
        <v/>
      </c>
      <c r="H674" s="12" t="str">
        <f>IFERROR(__xludf.DUMMYFUNCTION("""COMPUTED_VALUE"""),"")</f>
        <v/>
      </c>
      <c r="I674" s="12" t="str">
        <f>IFERROR(__xludf.DUMMYFUNCTION("""COMPUTED_VALUE"""),"")</f>
        <v/>
      </c>
      <c r="J674" s="13" t="str">
        <f t="shared" si="1"/>
        <v/>
      </c>
      <c r="K674" s="12" t="str">
        <f>IFERROR(IF(A674="","",if($G674="",Reference!$J$2, VLOOKUP($G674,Reference!$I$2:$J$1000,2,false))),"")</f>
        <v/>
      </c>
      <c r="L674" s="12" t="str">
        <f>IF(A674="","", IF(F674="",Reference!$M$2,F674))</f>
        <v/>
      </c>
      <c r="M674" s="14" t="str">
        <f t="shared" si="2"/>
        <v/>
      </c>
      <c r="N674" s="15" t="str">
        <f t="shared" si="3"/>
        <v/>
      </c>
      <c r="O674" s="14" t="str">
        <f t="shared" si="4"/>
        <v/>
      </c>
      <c r="P674" s="16" t="str">
        <f t="array" ref="P674">IF($A674="","", IFERROR(INDEX('BM Data'!$N:$N,MATCH($J674&amp; "-" &amp; $N674,'BM Data'!$O:$O,0),1),""))</f>
        <v/>
      </c>
      <c r="Q674" s="16" t="str">
        <f t="array" ref="Q674">IF($A674="","", IFERROR(INDEX('BM Data'!$J:$J,MATCH($J674&amp; "-" &amp; $N674,'BM Data'!$O:$O,0),1),""))</f>
        <v/>
      </c>
    </row>
    <row r="675">
      <c r="A675" s="10" t="str">
        <f>IFERROR(__xludf.DUMMYFUNCTION("""COMPUTED_VALUE"""),"")</f>
        <v/>
      </c>
      <c r="B675" s="3" t="str">
        <f>IFERROR(__xludf.DUMMYFUNCTION("""COMPUTED_VALUE"""),"")</f>
        <v/>
      </c>
      <c r="C675" s="11" t="str">
        <f>IFERROR(__xludf.DUMMYFUNCTION("""COMPUTED_VALUE"""),"")</f>
        <v/>
      </c>
      <c r="D675" s="11" t="str">
        <f>IFERROR(__xludf.DUMMYFUNCTION("""COMPUTED_VALUE"""),"")</f>
        <v/>
      </c>
      <c r="E675" s="11" t="str">
        <f>IFERROR(__xludf.DUMMYFUNCTION("""COMPUTED_VALUE"""),"")</f>
        <v/>
      </c>
      <c r="F675" s="11" t="str">
        <f>IFERROR(__xludf.DUMMYFUNCTION("""COMPUTED_VALUE"""),"")</f>
        <v/>
      </c>
      <c r="G675" s="11" t="str">
        <f>IFERROR(__xludf.DUMMYFUNCTION("""COMPUTED_VALUE"""),"")</f>
        <v/>
      </c>
      <c r="H675" s="12" t="str">
        <f>IFERROR(__xludf.DUMMYFUNCTION("""COMPUTED_VALUE"""),"")</f>
        <v/>
      </c>
      <c r="I675" s="12" t="str">
        <f>IFERROR(__xludf.DUMMYFUNCTION("""COMPUTED_VALUE"""),"")</f>
        <v/>
      </c>
      <c r="J675" s="13" t="str">
        <f t="shared" si="1"/>
        <v/>
      </c>
      <c r="K675" s="12" t="str">
        <f>IFERROR(IF(A675="","",if($G675="",Reference!$J$2, VLOOKUP($G675,Reference!$I$2:$J$1000,2,false))),"")</f>
        <v/>
      </c>
      <c r="L675" s="12" t="str">
        <f>IF(A675="","", IF(F675="",Reference!$M$2,F675))</f>
        <v/>
      </c>
      <c r="M675" s="14" t="str">
        <f t="shared" si="2"/>
        <v/>
      </c>
      <c r="N675" s="15" t="str">
        <f t="shared" si="3"/>
        <v/>
      </c>
      <c r="O675" s="14" t="str">
        <f t="shared" si="4"/>
        <v/>
      </c>
      <c r="P675" s="16" t="str">
        <f t="array" ref="P675">IF($A675="","", IFERROR(INDEX('BM Data'!$N:$N,MATCH($J675&amp; "-" &amp; $N675,'BM Data'!$O:$O,0),1),""))</f>
        <v/>
      </c>
      <c r="Q675" s="16" t="str">
        <f t="array" ref="Q675">IF($A675="","", IFERROR(INDEX('BM Data'!$J:$J,MATCH($J675&amp; "-" &amp; $N675,'BM Data'!$O:$O,0),1),""))</f>
        <v/>
      </c>
    </row>
    <row r="676">
      <c r="A676" s="10" t="str">
        <f>IFERROR(__xludf.DUMMYFUNCTION("""COMPUTED_VALUE"""),"")</f>
        <v/>
      </c>
      <c r="B676" s="3" t="str">
        <f>IFERROR(__xludf.DUMMYFUNCTION("""COMPUTED_VALUE"""),"")</f>
        <v/>
      </c>
      <c r="C676" s="11" t="str">
        <f>IFERROR(__xludf.DUMMYFUNCTION("""COMPUTED_VALUE"""),"")</f>
        <v/>
      </c>
      <c r="D676" s="11" t="str">
        <f>IFERROR(__xludf.DUMMYFUNCTION("""COMPUTED_VALUE"""),"")</f>
        <v/>
      </c>
      <c r="E676" s="11" t="str">
        <f>IFERROR(__xludf.DUMMYFUNCTION("""COMPUTED_VALUE"""),"")</f>
        <v/>
      </c>
      <c r="F676" s="11" t="str">
        <f>IFERROR(__xludf.DUMMYFUNCTION("""COMPUTED_VALUE"""),"")</f>
        <v/>
      </c>
      <c r="G676" s="11" t="str">
        <f>IFERROR(__xludf.DUMMYFUNCTION("""COMPUTED_VALUE"""),"")</f>
        <v/>
      </c>
      <c r="H676" s="12" t="str">
        <f>IFERROR(__xludf.DUMMYFUNCTION("""COMPUTED_VALUE"""),"")</f>
        <v/>
      </c>
      <c r="I676" s="12" t="str">
        <f>IFERROR(__xludf.DUMMYFUNCTION("""COMPUTED_VALUE"""),"")</f>
        <v/>
      </c>
      <c r="J676" s="13" t="str">
        <f t="shared" si="1"/>
        <v/>
      </c>
      <c r="K676" s="12" t="str">
        <f>IFERROR(IF(A676="","",if($G676="",Reference!$J$2, VLOOKUP($G676,Reference!$I$2:$J$1000,2,false))),"")</f>
        <v/>
      </c>
      <c r="L676" s="12" t="str">
        <f>IF(A676="","", IF(F676="",Reference!$M$2,F676))</f>
        <v/>
      </c>
      <c r="M676" s="14" t="str">
        <f t="shared" si="2"/>
        <v/>
      </c>
      <c r="N676" s="15" t="str">
        <f t="shared" si="3"/>
        <v/>
      </c>
      <c r="O676" s="14" t="str">
        <f t="shared" si="4"/>
        <v/>
      </c>
      <c r="P676" s="16" t="str">
        <f t="array" ref="P676">IF($A676="","", IFERROR(INDEX('BM Data'!$N:$N,MATCH($J676&amp; "-" &amp; $N676,'BM Data'!$O:$O,0),1),""))</f>
        <v/>
      </c>
      <c r="Q676" s="16" t="str">
        <f t="array" ref="Q676">IF($A676="","", IFERROR(INDEX('BM Data'!$J:$J,MATCH($J676&amp; "-" &amp; $N676,'BM Data'!$O:$O,0),1),""))</f>
        <v/>
      </c>
    </row>
    <row r="677">
      <c r="A677" s="10" t="str">
        <f>IFERROR(__xludf.DUMMYFUNCTION("""COMPUTED_VALUE"""),"")</f>
        <v/>
      </c>
      <c r="B677" s="3" t="str">
        <f>IFERROR(__xludf.DUMMYFUNCTION("""COMPUTED_VALUE"""),"")</f>
        <v/>
      </c>
      <c r="C677" s="11" t="str">
        <f>IFERROR(__xludf.DUMMYFUNCTION("""COMPUTED_VALUE"""),"")</f>
        <v/>
      </c>
      <c r="D677" s="11" t="str">
        <f>IFERROR(__xludf.DUMMYFUNCTION("""COMPUTED_VALUE"""),"")</f>
        <v/>
      </c>
      <c r="E677" s="11" t="str">
        <f>IFERROR(__xludf.DUMMYFUNCTION("""COMPUTED_VALUE"""),"")</f>
        <v/>
      </c>
      <c r="F677" s="11" t="str">
        <f>IFERROR(__xludf.DUMMYFUNCTION("""COMPUTED_VALUE"""),"")</f>
        <v/>
      </c>
      <c r="G677" s="11" t="str">
        <f>IFERROR(__xludf.DUMMYFUNCTION("""COMPUTED_VALUE"""),"")</f>
        <v/>
      </c>
      <c r="H677" s="12" t="str">
        <f>IFERROR(__xludf.DUMMYFUNCTION("""COMPUTED_VALUE"""),"")</f>
        <v/>
      </c>
      <c r="I677" s="12" t="str">
        <f>IFERROR(__xludf.DUMMYFUNCTION("""COMPUTED_VALUE"""),"")</f>
        <v/>
      </c>
      <c r="J677" s="13" t="str">
        <f t="shared" si="1"/>
        <v/>
      </c>
      <c r="K677" s="12" t="str">
        <f>IFERROR(IF(A677="","",if($G677="",Reference!$J$2, VLOOKUP($G677,Reference!$I$2:$J$1000,2,false))),"")</f>
        <v/>
      </c>
      <c r="L677" s="12" t="str">
        <f>IF(A677="","", IF(F677="",Reference!$M$2,F677))</f>
        <v/>
      </c>
      <c r="M677" s="14" t="str">
        <f t="shared" si="2"/>
        <v/>
      </c>
      <c r="N677" s="15" t="str">
        <f t="shared" si="3"/>
        <v/>
      </c>
      <c r="O677" s="14" t="str">
        <f t="shared" si="4"/>
        <v/>
      </c>
      <c r="P677" s="16" t="str">
        <f t="array" ref="P677">IF($A677="","", IFERROR(INDEX('BM Data'!$N:$N,MATCH($J677&amp; "-" &amp; $N677,'BM Data'!$O:$O,0),1),""))</f>
        <v/>
      </c>
      <c r="Q677" s="16" t="str">
        <f t="array" ref="Q677">IF($A677="","", IFERROR(INDEX('BM Data'!$J:$J,MATCH($J677&amp; "-" &amp; $N677,'BM Data'!$O:$O,0),1),""))</f>
        <v/>
      </c>
    </row>
    <row r="678">
      <c r="A678" s="10" t="str">
        <f>IFERROR(__xludf.DUMMYFUNCTION("""COMPUTED_VALUE"""),"")</f>
        <v/>
      </c>
      <c r="B678" s="3" t="str">
        <f>IFERROR(__xludf.DUMMYFUNCTION("""COMPUTED_VALUE"""),"")</f>
        <v/>
      </c>
      <c r="C678" s="11" t="str">
        <f>IFERROR(__xludf.DUMMYFUNCTION("""COMPUTED_VALUE"""),"")</f>
        <v/>
      </c>
      <c r="D678" s="11" t="str">
        <f>IFERROR(__xludf.DUMMYFUNCTION("""COMPUTED_VALUE"""),"")</f>
        <v/>
      </c>
      <c r="E678" s="11" t="str">
        <f>IFERROR(__xludf.DUMMYFUNCTION("""COMPUTED_VALUE"""),"")</f>
        <v/>
      </c>
      <c r="F678" s="11" t="str">
        <f>IFERROR(__xludf.DUMMYFUNCTION("""COMPUTED_VALUE"""),"")</f>
        <v/>
      </c>
      <c r="G678" s="11" t="str">
        <f>IFERROR(__xludf.DUMMYFUNCTION("""COMPUTED_VALUE"""),"")</f>
        <v/>
      </c>
      <c r="H678" s="12" t="str">
        <f>IFERROR(__xludf.DUMMYFUNCTION("""COMPUTED_VALUE"""),"")</f>
        <v/>
      </c>
      <c r="I678" s="12" t="str">
        <f>IFERROR(__xludf.DUMMYFUNCTION("""COMPUTED_VALUE"""),"")</f>
        <v/>
      </c>
      <c r="J678" s="13" t="str">
        <f t="shared" si="1"/>
        <v/>
      </c>
      <c r="K678" s="12" t="str">
        <f>IFERROR(IF(A678="","",if($G678="",Reference!$J$2, VLOOKUP($G678,Reference!$I$2:$J$1000,2,false))),"")</f>
        <v/>
      </c>
      <c r="L678" s="12" t="str">
        <f>IF(A678="","", IF(F678="",Reference!$M$2,F678))</f>
        <v/>
      </c>
      <c r="M678" s="14" t="str">
        <f t="shared" si="2"/>
        <v/>
      </c>
      <c r="N678" s="15" t="str">
        <f t="shared" si="3"/>
        <v/>
      </c>
      <c r="O678" s="14" t="str">
        <f t="shared" si="4"/>
        <v/>
      </c>
      <c r="P678" s="16" t="str">
        <f t="array" ref="P678">IF($A678="","", IFERROR(INDEX('BM Data'!$N:$N,MATCH($J678&amp; "-" &amp; $N678,'BM Data'!$O:$O,0),1),""))</f>
        <v/>
      </c>
      <c r="Q678" s="16" t="str">
        <f t="array" ref="Q678">IF($A678="","", IFERROR(INDEX('BM Data'!$J:$J,MATCH($J678&amp; "-" &amp; $N678,'BM Data'!$O:$O,0),1),""))</f>
        <v/>
      </c>
    </row>
    <row r="679">
      <c r="A679" s="10" t="str">
        <f>IFERROR(__xludf.DUMMYFUNCTION("""COMPUTED_VALUE"""),"")</f>
        <v/>
      </c>
      <c r="B679" s="3" t="str">
        <f>IFERROR(__xludf.DUMMYFUNCTION("""COMPUTED_VALUE"""),"")</f>
        <v/>
      </c>
      <c r="C679" s="11" t="str">
        <f>IFERROR(__xludf.DUMMYFUNCTION("""COMPUTED_VALUE"""),"")</f>
        <v/>
      </c>
      <c r="D679" s="11" t="str">
        <f>IFERROR(__xludf.DUMMYFUNCTION("""COMPUTED_VALUE"""),"")</f>
        <v/>
      </c>
      <c r="E679" s="11" t="str">
        <f>IFERROR(__xludf.DUMMYFUNCTION("""COMPUTED_VALUE"""),"")</f>
        <v/>
      </c>
      <c r="F679" s="11" t="str">
        <f>IFERROR(__xludf.DUMMYFUNCTION("""COMPUTED_VALUE"""),"")</f>
        <v/>
      </c>
      <c r="G679" s="11" t="str">
        <f>IFERROR(__xludf.DUMMYFUNCTION("""COMPUTED_VALUE"""),"")</f>
        <v/>
      </c>
      <c r="H679" s="12" t="str">
        <f>IFERROR(__xludf.DUMMYFUNCTION("""COMPUTED_VALUE"""),"")</f>
        <v/>
      </c>
      <c r="I679" s="12" t="str">
        <f>IFERROR(__xludf.DUMMYFUNCTION("""COMPUTED_VALUE"""),"")</f>
        <v/>
      </c>
      <c r="J679" s="13" t="str">
        <f t="shared" si="1"/>
        <v/>
      </c>
      <c r="K679" s="12" t="str">
        <f>IFERROR(IF(A679="","",if($G679="",Reference!$J$2, VLOOKUP($G679,Reference!$I$2:$J$1000,2,false))),"")</f>
        <v/>
      </c>
      <c r="L679" s="12" t="str">
        <f>IF(A679="","", IF(F679="",Reference!$M$2,F679))</f>
        <v/>
      </c>
      <c r="M679" s="14" t="str">
        <f t="shared" si="2"/>
        <v/>
      </c>
      <c r="N679" s="15" t="str">
        <f t="shared" si="3"/>
        <v/>
      </c>
      <c r="O679" s="14" t="str">
        <f t="shared" si="4"/>
        <v/>
      </c>
      <c r="P679" s="16" t="str">
        <f t="array" ref="P679">IF($A679="","", IFERROR(INDEX('BM Data'!$N:$N,MATCH($J679&amp; "-" &amp; $N679,'BM Data'!$O:$O,0),1),""))</f>
        <v/>
      </c>
      <c r="Q679" s="16" t="str">
        <f t="array" ref="Q679">IF($A679="","", IFERROR(INDEX('BM Data'!$J:$J,MATCH($J679&amp; "-" &amp; $N679,'BM Data'!$O:$O,0),1),""))</f>
        <v/>
      </c>
    </row>
    <row r="680">
      <c r="A680" s="10" t="str">
        <f>IFERROR(__xludf.DUMMYFUNCTION("""COMPUTED_VALUE"""),"")</f>
        <v/>
      </c>
      <c r="B680" s="3" t="str">
        <f>IFERROR(__xludf.DUMMYFUNCTION("""COMPUTED_VALUE"""),"")</f>
        <v/>
      </c>
      <c r="C680" s="11" t="str">
        <f>IFERROR(__xludf.DUMMYFUNCTION("""COMPUTED_VALUE"""),"")</f>
        <v/>
      </c>
      <c r="D680" s="11" t="str">
        <f>IFERROR(__xludf.DUMMYFUNCTION("""COMPUTED_VALUE"""),"")</f>
        <v/>
      </c>
      <c r="E680" s="11" t="str">
        <f>IFERROR(__xludf.DUMMYFUNCTION("""COMPUTED_VALUE"""),"")</f>
        <v/>
      </c>
      <c r="F680" s="11" t="str">
        <f>IFERROR(__xludf.DUMMYFUNCTION("""COMPUTED_VALUE"""),"")</f>
        <v/>
      </c>
      <c r="G680" s="11" t="str">
        <f>IFERROR(__xludf.DUMMYFUNCTION("""COMPUTED_VALUE"""),"")</f>
        <v/>
      </c>
      <c r="H680" s="12" t="str">
        <f>IFERROR(__xludf.DUMMYFUNCTION("""COMPUTED_VALUE"""),"")</f>
        <v/>
      </c>
      <c r="I680" s="12" t="str">
        <f>IFERROR(__xludf.DUMMYFUNCTION("""COMPUTED_VALUE"""),"")</f>
        <v/>
      </c>
      <c r="J680" s="13" t="str">
        <f t="shared" si="1"/>
        <v/>
      </c>
      <c r="K680" s="12" t="str">
        <f>IFERROR(IF(A680="","",if($G680="",Reference!$J$2, VLOOKUP($G680,Reference!$I$2:$J$1000,2,false))),"")</f>
        <v/>
      </c>
      <c r="L680" s="12" t="str">
        <f>IF(A680="","", IF(F680="",Reference!$M$2,F680))</f>
        <v/>
      </c>
      <c r="M680" s="14" t="str">
        <f t="shared" si="2"/>
        <v/>
      </c>
      <c r="N680" s="15" t="str">
        <f t="shared" si="3"/>
        <v/>
      </c>
      <c r="O680" s="14" t="str">
        <f t="shared" si="4"/>
        <v/>
      </c>
      <c r="P680" s="16" t="str">
        <f t="array" ref="P680">IF($A680="","", IFERROR(INDEX('BM Data'!$N:$N,MATCH($J680&amp; "-" &amp; $N680,'BM Data'!$O:$O,0),1),""))</f>
        <v/>
      </c>
      <c r="Q680" s="16" t="str">
        <f t="array" ref="Q680">IF($A680="","", IFERROR(INDEX('BM Data'!$J:$J,MATCH($J680&amp; "-" &amp; $N680,'BM Data'!$O:$O,0),1),""))</f>
        <v/>
      </c>
    </row>
    <row r="681">
      <c r="A681" s="10" t="str">
        <f>IFERROR(__xludf.DUMMYFUNCTION("""COMPUTED_VALUE"""),"")</f>
        <v/>
      </c>
      <c r="B681" s="3" t="str">
        <f>IFERROR(__xludf.DUMMYFUNCTION("""COMPUTED_VALUE"""),"")</f>
        <v/>
      </c>
      <c r="C681" s="11" t="str">
        <f>IFERROR(__xludf.DUMMYFUNCTION("""COMPUTED_VALUE"""),"")</f>
        <v/>
      </c>
      <c r="D681" s="11" t="str">
        <f>IFERROR(__xludf.DUMMYFUNCTION("""COMPUTED_VALUE"""),"")</f>
        <v/>
      </c>
      <c r="E681" s="11" t="str">
        <f>IFERROR(__xludf.DUMMYFUNCTION("""COMPUTED_VALUE"""),"")</f>
        <v/>
      </c>
      <c r="F681" s="11" t="str">
        <f>IFERROR(__xludf.DUMMYFUNCTION("""COMPUTED_VALUE"""),"")</f>
        <v/>
      </c>
      <c r="G681" s="11" t="str">
        <f>IFERROR(__xludf.DUMMYFUNCTION("""COMPUTED_VALUE"""),"")</f>
        <v/>
      </c>
      <c r="H681" s="12" t="str">
        <f>IFERROR(__xludf.DUMMYFUNCTION("""COMPUTED_VALUE"""),"")</f>
        <v/>
      </c>
      <c r="I681" s="12" t="str">
        <f>IFERROR(__xludf.DUMMYFUNCTION("""COMPUTED_VALUE"""),"")</f>
        <v/>
      </c>
      <c r="J681" s="13" t="str">
        <f t="shared" si="1"/>
        <v/>
      </c>
      <c r="K681" s="12" t="str">
        <f>IFERROR(IF(A681="","",if($G681="",Reference!$J$2, VLOOKUP($G681,Reference!$I$2:$J$1000,2,false))),"")</f>
        <v/>
      </c>
      <c r="L681" s="12" t="str">
        <f>IF(A681="","", IF(F681="",Reference!$M$2,F681))</f>
        <v/>
      </c>
      <c r="M681" s="14" t="str">
        <f t="shared" si="2"/>
        <v/>
      </c>
      <c r="N681" s="15" t="str">
        <f t="shared" si="3"/>
        <v/>
      </c>
      <c r="O681" s="14" t="str">
        <f t="shared" si="4"/>
        <v/>
      </c>
      <c r="P681" s="16" t="str">
        <f t="array" ref="P681">IF($A681="","", IFERROR(INDEX('BM Data'!$N:$N,MATCH($J681&amp; "-" &amp; $N681,'BM Data'!$O:$O,0),1),""))</f>
        <v/>
      </c>
      <c r="Q681" s="16" t="str">
        <f t="array" ref="Q681">IF($A681="","", IFERROR(INDEX('BM Data'!$J:$J,MATCH($J681&amp; "-" &amp; $N681,'BM Data'!$O:$O,0),1),""))</f>
        <v/>
      </c>
    </row>
    <row r="682">
      <c r="A682" s="10" t="str">
        <f>IFERROR(__xludf.DUMMYFUNCTION("""COMPUTED_VALUE"""),"")</f>
        <v/>
      </c>
      <c r="B682" s="3" t="str">
        <f>IFERROR(__xludf.DUMMYFUNCTION("""COMPUTED_VALUE"""),"")</f>
        <v/>
      </c>
      <c r="C682" s="11" t="str">
        <f>IFERROR(__xludf.DUMMYFUNCTION("""COMPUTED_VALUE"""),"")</f>
        <v/>
      </c>
      <c r="D682" s="11" t="str">
        <f>IFERROR(__xludf.DUMMYFUNCTION("""COMPUTED_VALUE"""),"")</f>
        <v/>
      </c>
      <c r="E682" s="11" t="str">
        <f>IFERROR(__xludf.DUMMYFUNCTION("""COMPUTED_VALUE"""),"")</f>
        <v/>
      </c>
      <c r="F682" s="11" t="str">
        <f>IFERROR(__xludf.DUMMYFUNCTION("""COMPUTED_VALUE"""),"")</f>
        <v/>
      </c>
      <c r="G682" s="11" t="str">
        <f>IFERROR(__xludf.DUMMYFUNCTION("""COMPUTED_VALUE"""),"")</f>
        <v/>
      </c>
      <c r="H682" s="12" t="str">
        <f>IFERROR(__xludf.DUMMYFUNCTION("""COMPUTED_VALUE"""),"")</f>
        <v/>
      </c>
      <c r="I682" s="12" t="str">
        <f>IFERROR(__xludf.DUMMYFUNCTION("""COMPUTED_VALUE"""),"")</f>
        <v/>
      </c>
      <c r="J682" s="13" t="str">
        <f t="shared" si="1"/>
        <v/>
      </c>
      <c r="K682" s="12" t="str">
        <f>IFERROR(IF(A682="","",if($G682="",Reference!$J$2, VLOOKUP($G682,Reference!$I$2:$J$1000,2,false))),"")</f>
        <v/>
      </c>
      <c r="L682" s="12" t="str">
        <f>IF(A682="","", IF(F682="",Reference!$M$2,F682))</f>
        <v/>
      </c>
      <c r="M682" s="14" t="str">
        <f t="shared" si="2"/>
        <v/>
      </c>
      <c r="N682" s="15" t="str">
        <f t="shared" si="3"/>
        <v/>
      </c>
      <c r="O682" s="14" t="str">
        <f t="shared" si="4"/>
        <v/>
      </c>
      <c r="P682" s="16" t="str">
        <f t="array" ref="P682">IF($A682="","", IFERROR(INDEX('BM Data'!$N:$N,MATCH($J682&amp; "-" &amp; $N682,'BM Data'!$O:$O,0),1),""))</f>
        <v/>
      </c>
      <c r="Q682" s="16" t="str">
        <f t="array" ref="Q682">IF($A682="","", IFERROR(INDEX('BM Data'!$J:$J,MATCH($J682&amp; "-" &amp; $N682,'BM Data'!$O:$O,0),1),""))</f>
        <v/>
      </c>
    </row>
    <row r="683">
      <c r="A683" s="10" t="str">
        <f>IFERROR(__xludf.DUMMYFUNCTION("""COMPUTED_VALUE"""),"")</f>
        <v/>
      </c>
      <c r="B683" s="3" t="str">
        <f>IFERROR(__xludf.DUMMYFUNCTION("""COMPUTED_VALUE"""),"")</f>
        <v/>
      </c>
      <c r="C683" s="11" t="str">
        <f>IFERROR(__xludf.DUMMYFUNCTION("""COMPUTED_VALUE"""),"")</f>
        <v/>
      </c>
      <c r="D683" s="11" t="str">
        <f>IFERROR(__xludf.DUMMYFUNCTION("""COMPUTED_VALUE"""),"")</f>
        <v/>
      </c>
      <c r="E683" s="11" t="str">
        <f>IFERROR(__xludf.DUMMYFUNCTION("""COMPUTED_VALUE"""),"")</f>
        <v/>
      </c>
      <c r="F683" s="11" t="str">
        <f>IFERROR(__xludf.DUMMYFUNCTION("""COMPUTED_VALUE"""),"")</f>
        <v/>
      </c>
      <c r="G683" s="11" t="str">
        <f>IFERROR(__xludf.DUMMYFUNCTION("""COMPUTED_VALUE"""),"")</f>
        <v/>
      </c>
      <c r="H683" s="12" t="str">
        <f>IFERROR(__xludf.DUMMYFUNCTION("""COMPUTED_VALUE"""),"")</f>
        <v/>
      </c>
      <c r="I683" s="12" t="str">
        <f>IFERROR(__xludf.DUMMYFUNCTION("""COMPUTED_VALUE"""),"")</f>
        <v/>
      </c>
      <c r="J683" s="13" t="str">
        <f t="shared" si="1"/>
        <v/>
      </c>
      <c r="K683" s="12" t="str">
        <f>IFERROR(IF(A683="","",if($G683="",Reference!$J$2, VLOOKUP($G683,Reference!$I$2:$J$1000,2,false))),"")</f>
        <v/>
      </c>
      <c r="L683" s="12" t="str">
        <f>IF(A683="","", IF(F683="",Reference!$M$2,F683))</f>
        <v/>
      </c>
      <c r="M683" s="14" t="str">
        <f t="shared" si="2"/>
        <v/>
      </c>
      <c r="N683" s="15" t="str">
        <f t="shared" si="3"/>
        <v/>
      </c>
      <c r="O683" s="14" t="str">
        <f t="shared" si="4"/>
        <v/>
      </c>
      <c r="P683" s="16" t="str">
        <f t="array" ref="P683">IF($A683="","", IFERROR(INDEX('BM Data'!$N:$N,MATCH($J683&amp; "-" &amp; $N683,'BM Data'!$O:$O,0),1),""))</f>
        <v/>
      </c>
      <c r="Q683" s="16" t="str">
        <f t="array" ref="Q683">IF($A683="","", IFERROR(INDEX('BM Data'!$J:$J,MATCH($J683&amp; "-" &amp; $N683,'BM Data'!$O:$O,0),1),""))</f>
        <v/>
      </c>
    </row>
    <row r="684">
      <c r="A684" s="10" t="str">
        <f>IFERROR(__xludf.DUMMYFUNCTION("""COMPUTED_VALUE"""),"")</f>
        <v/>
      </c>
      <c r="B684" s="3" t="str">
        <f>IFERROR(__xludf.DUMMYFUNCTION("""COMPUTED_VALUE"""),"")</f>
        <v/>
      </c>
      <c r="C684" s="11" t="str">
        <f>IFERROR(__xludf.DUMMYFUNCTION("""COMPUTED_VALUE"""),"")</f>
        <v/>
      </c>
      <c r="D684" s="11" t="str">
        <f>IFERROR(__xludf.DUMMYFUNCTION("""COMPUTED_VALUE"""),"")</f>
        <v/>
      </c>
      <c r="E684" s="11" t="str">
        <f>IFERROR(__xludf.DUMMYFUNCTION("""COMPUTED_VALUE"""),"")</f>
        <v/>
      </c>
      <c r="F684" s="11" t="str">
        <f>IFERROR(__xludf.DUMMYFUNCTION("""COMPUTED_VALUE"""),"")</f>
        <v/>
      </c>
      <c r="G684" s="11" t="str">
        <f>IFERROR(__xludf.DUMMYFUNCTION("""COMPUTED_VALUE"""),"")</f>
        <v/>
      </c>
      <c r="H684" s="12" t="str">
        <f>IFERROR(__xludf.DUMMYFUNCTION("""COMPUTED_VALUE"""),"")</f>
        <v/>
      </c>
      <c r="I684" s="12" t="str">
        <f>IFERROR(__xludf.DUMMYFUNCTION("""COMPUTED_VALUE"""),"")</f>
        <v/>
      </c>
      <c r="J684" s="13" t="str">
        <f t="shared" si="1"/>
        <v/>
      </c>
      <c r="K684" s="12" t="str">
        <f>IFERROR(IF(A684="","",if($G684="",Reference!$J$2, VLOOKUP($G684,Reference!$I$2:$J$1000,2,false))),"")</f>
        <v/>
      </c>
      <c r="L684" s="12" t="str">
        <f>IF(A684="","", IF(F684="",Reference!$M$2,F684))</f>
        <v/>
      </c>
      <c r="M684" s="14" t="str">
        <f t="shared" si="2"/>
        <v/>
      </c>
      <c r="N684" s="15" t="str">
        <f t="shared" si="3"/>
        <v/>
      </c>
      <c r="O684" s="14" t="str">
        <f t="shared" si="4"/>
        <v/>
      </c>
      <c r="P684" s="16" t="str">
        <f t="array" ref="P684">IF($A684="","", IFERROR(INDEX('BM Data'!$N:$N,MATCH($J684&amp; "-" &amp; $N684,'BM Data'!$O:$O,0),1),""))</f>
        <v/>
      </c>
      <c r="Q684" s="16" t="str">
        <f t="array" ref="Q684">IF($A684="","", IFERROR(INDEX('BM Data'!$J:$J,MATCH($J684&amp; "-" &amp; $N684,'BM Data'!$O:$O,0),1),""))</f>
        <v/>
      </c>
    </row>
    <row r="685">
      <c r="A685" s="10" t="str">
        <f>IFERROR(__xludf.DUMMYFUNCTION("""COMPUTED_VALUE"""),"")</f>
        <v/>
      </c>
      <c r="B685" s="3" t="str">
        <f>IFERROR(__xludf.DUMMYFUNCTION("""COMPUTED_VALUE"""),"")</f>
        <v/>
      </c>
      <c r="C685" s="11" t="str">
        <f>IFERROR(__xludf.DUMMYFUNCTION("""COMPUTED_VALUE"""),"")</f>
        <v/>
      </c>
      <c r="D685" s="11" t="str">
        <f>IFERROR(__xludf.DUMMYFUNCTION("""COMPUTED_VALUE"""),"")</f>
        <v/>
      </c>
      <c r="E685" s="11" t="str">
        <f>IFERROR(__xludf.DUMMYFUNCTION("""COMPUTED_VALUE"""),"")</f>
        <v/>
      </c>
      <c r="F685" s="11" t="str">
        <f>IFERROR(__xludf.DUMMYFUNCTION("""COMPUTED_VALUE"""),"")</f>
        <v/>
      </c>
      <c r="G685" s="11" t="str">
        <f>IFERROR(__xludf.DUMMYFUNCTION("""COMPUTED_VALUE"""),"")</f>
        <v/>
      </c>
      <c r="H685" s="12" t="str">
        <f>IFERROR(__xludf.DUMMYFUNCTION("""COMPUTED_VALUE"""),"")</f>
        <v/>
      </c>
      <c r="I685" s="12" t="str">
        <f>IFERROR(__xludf.DUMMYFUNCTION("""COMPUTED_VALUE"""),"")</f>
        <v/>
      </c>
      <c r="J685" s="13" t="str">
        <f t="shared" si="1"/>
        <v/>
      </c>
      <c r="K685" s="12" t="str">
        <f>IFERROR(IF(A685="","",if($G685="",Reference!$J$2, VLOOKUP($G685,Reference!$I$2:$J$1000,2,false))),"")</f>
        <v/>
      </c>
      <c r="L685" s="12" t="str">
        <f>IF(A685="","", IF(F685="",Reference!$M$2,F685))</f>
        <v/>
      </c>
      <c r="M685" s="14" t="str">
        <f t="shared" si="2"/>
        <v/>
      </c>
      <c r="N685" s="15" t="str">
        <f t="shared" si="3"/>
        <v/>
      </c>
      <c r="O685" s="14" t="str">
        <f t="shared" si="4"/>
        <v/>
      </c>
      <c r="P685" s="16" t="str">
        <f t="array" ref="P685">IF($A685="","", IFERROR(INDEX('BM Data'!$N:$N,MATCH($J685&amp; "-" &amp; $N685,'BM Data'!$O:$O,0),1),""))</f>
        <v/>
      </c>
      <c r="Q685" s="16" t="str">
        <f t="array" ref="Q685">IF($A685="","", IFERROR(INDEX('BM Data'!$J:$J,MATCH($J685&amp; "-" &amp; $N685,'BM Data'!$O:$O,0),1),""))</f>
        <v/>
      </c>
    </row>
    <row r="686">
      <c r="A686" s="10" t="str">
        <f>IFERROR(__xludf.DUMMYFUNCTION("""COMPUTED_VALUE"""),"")</f>
        <v/>
      </c>
      <c r="B686" s="3" t="str">
        <f>IFERROR(__xludf.DUMMYFUNCTION("""COMPUTED_VALUE"""),"")</f>
        <v/>
      </c>
      <c r="C686" s="11" t="str">
        <f>IFERROR(__xludf.DUMMYFUNCTION("""COMPUTED_VALUE"""),"")</f>
        <v/>
      </c>
      <c r="D686" s="11" t="str">
        <f>IFERROR(__xludf.DUMMYFUNCTION("""COMPUTED_VALUE"""),"")</f>
        <v/>
      </c>
      <c r="E686" s="11" t="str">
        <f>IFERROR(__xludf.DUMMYFUNCTION("""COMPUTED_VALUE"""),"")</f>
        <v/>
      </c>
      <c r="F686" s="11" t="str">
        <f>IFERROR(__xludf.DUMMYFUNCTION("""COMPUTED_VALUE"""),"")</f>
        <v/>
      </c>
      <c r="G686" s="11" t="str">
        <f>IFERROR(__xludf.DUMMYFUNCTION("""COMPUTED_VALUE"""),"")</f>
        <v/>
      </c>
      <c r="H686" s="12" t="str">
        <f>IFERROR(__xludf.DUMMYFUNCTION("""COMPUTED_VALUE"""),"")</f>
        <v/>
      </c>
      <c r="I686" s="12" t="str">
        <f>IFERROR(__xludf.DUMMYFUNCTION("""COMPUTED_VALUE"""),"")</f>
        <v/>
      </c>
      <c r="J686" s="13" t="str">
        <f t="shared" si="1"/>
        <v/>
      </c>
      <c r="K686" s="12" t="str">
        <f>IFERROR(IF(A686="","",if($G686="",Reference!$J$2, VLOOKUP($G686,Reference!$I$2:$J$1000,2,false))),"")</f>
        <v/>
      </c>
      <c r="L686" s="12" t="str">
        <f>IF(A686="","", IF(F686="",Reference!$M$2,F686))</f>
        <v/>
      </c>
      <c r="M686" s="14" t="str">
        <f t="shared" si="2"/>
        <v/>
      </c>
      <c r="N686" s="15" t="str">
        <f t="shared" si="3"/>
        <v/>
      </c>
      <c r="O686" s="14" t="str">
        <f t="shared" si="4"/>
        <v/>
      </c>
      <c r="P686" s="16" t="str">
        <f t="array" ref="P686">IF($A686="","", IFERROR(INDEX('BM Data'!$N:$N,MATCH($J686&amp; "-" &amp; $N686,'BM Data'!$O:$O,0),1),""))</f>
        <v/>
      </c>
      <c r="Q686" s="16" t="str">
        <f t="array" ref="Q686">IF($A686="","", IFERROR(INDEX('BM Data'!$J:$J,MATCH($J686&amp; "-" &amp; $N686,'BM Data'!$O:$O,0),1),""))</f>
        <v/>
      </c>
    </row>
    <row r="687">
      <c r="A687" s="10" t="str">
        <f>IFERROR(__xludf.DUMMYFUNCTION("""COMPUTED_VALUE"""),"")</f>
        <v/>
      </c>
      <c r="B687" s="3" t="str">
        <f>IFERROR(__xludf.DUMMYFUNCTION("""COMPUTED_VALUE"""),"")</f>
        <v/>
      </c>
      <c r="C687" s="11" t="str">
        <f>IFERROR(__xludf.DUMMYFUNCTION("""COMPUTED_VALUE"""),"")</f>
        <v/>
      </c>
      <c r="D687" s="11" t="str">
        <f>IFERROR(__xludf.DUMMYFUNCTION("""COMPUTED_VALUE"""),"")</f>
        <v/>
      </c>
      <c r="E687" s="11" t="str">
        <f>IFERROR(__xludf.DUMMYFUNCTION("""COMPUTED_VALUE"""),"")</f>
        <v/>
      </c>
      <c r="F687" s="11" t="str">
        <f>IFERROR(__xludf.DUMMYFUNCTION("""COMPUTED_VALUE"""),"")</f>
        <v/>
      </c>
      <c r="G687" s="11" t="str">
        <f>IFERROR(__xludf.DUMMYFUNCTION("""COMPUTED_VALUE"""),"")</f>
        <v/>
      </c>
      <c r="H687" s="12" t="str">
        <f>IFERROR(__xludf.DUMMYFUNCTION("""COMPUTED_VALUE"""),"")</f>
        <v/>
      </c>
      <c r="I687" s="12" t="str">
        <f>IFERROR(__xludf.DUMMYFUNCTION("""COMPUTED_VALUE"""),"")</f>
        <v/>
      </c>
      <c r="J687" s="13" t="str">
        <f t="shared" si="1"/>
        <v/>
      </c>
      <c r="K687" s="12" t="str">
        <f>IFERROR(IF(A687="","",if($G687="",Reference!$J$2, VLOOKUP($G687,Reference!$I$2:$J$1000,2,false))),"")</f>
        <v/>
      </c>
      <c r="L687" s="12" t="str">
        <f>IF(A687="","", IF(F687="",Reference!$M$2,F687))</f>
        <v/>
      </c>
      <c r="M687" s="14" t="str">
        <f t="shared" si="2"/>
        <v/>
      </c>
      <c r="N687" s="15" t="str">
        <f t="shared" si="3"/>
        <v/>
      </c>
      <c r="O687" s="14" t="str">
        <f t="shared" si="4"/>
        <v/>
      </c>
      <c r="P687" s="16" t="str">
        <f t="array" ref="P687">IF($A687="","", IFERROR(INDEX('BM Data'!$N:$N,MATCH($J687&amp; "-" &amp; $N687,'BM Data'!$O:$O,0),1),""))</f>
        <v/>
      </c>
      <c r="Q687" s="16" t="str">
        <f t="array" ref="Q687">IF($A687="","", IFERROR(INDEX('BM Data'!$J:$J,MATCH($J687&amp; "-" &amp; $N687,'BM Data'!$O:$O,0),1),""))</f>
        <v/>
      </c>
    </row>
    <row r="688">
      <c r="A688" s="10" t="str">
        <f>IFERROR(__xludf.DUMMYFUNCTION("""COMPUTED_VALUE"""),"")</f>
        <v/>
      </c>
      <c r="B688" s="3" t="str">
        <f>IFERROR(__xludf.DUMMYFUNCTION("""COMPUTED_VALUE"""),"")</f>
        <v/>
      </c>
      <c r="C688" s="11" t="str">
        <f>IFERROR(__xludf.DUMMYFUNCTION("""COMPUTED_VALUE"""),"")</f>
        <v/>
      </c>
      <c r="D688" s="11" t="str">
        <f>IFERROR(__xludf.DUMMYFUNCTION("""COMPUTED_VALUE"""),"")</f>
        <v/>
      </c>
      <c r="E688" s="11" t="str">
        <f>IFERROR(__xludf.DUMMYFUNCTION("""COMPUTED_VALUE"""),"")</f>
        <v/>
      </c>
      <c r="F688" s="11" t="str">
        <f>IFERROR(__xludf.DUMMYFUNCTION("""COMPUTED_VALUE"""),"")</f>
        <v/>
      </c>
      <c r="G688" s="11" t="str">
        <f>IFERROR(__xludf.DUMMYFUNCTION("""COMPUTED_VALUE"""),"")</f>
        <v/>
      </c>
      <c r="H688" s="12" t="str">
        <f>IFERROR(__xludf.DUMMYFUNCTION("""COMPUTED_VALUE"""),"")</f>
        <v/>
      </c>
      <c r="I688" s="12" t="str">
        <f>IFERROR(__xludf.DUMMYFUNCTION("""COMPUTED_VALUE"""),"")</f>
        <v/>
      </c>
      <c r="J688" s="13" t="str">
        <f t="shared" si="1"/>
        <v/>
      </c>
      <c r="K688" s="12" t="str">
        <f>IFERROR(IF(A688="","",if($G688="",Reference!$J$2, VLOOKUP($G688,Reference!$I$2:$J$1000,2,false))),"")</f>
        <v/>
      </c>
      <c r="L688" s="12" t="str">
        <f>IF(A688="","", IF(F688="",Reference!$M$2,F688))</f>
        <v/>
      </c>
      <c r="M688" s="14" t="str">
        <f t="shared" si="2"/>
        <v/>
      </c>
      <c r="N688" s="15" t="str">
        <f t="shared" si="3"/>
        <v/>
      </c>
      <c r="O688" s="14" t="str">
        <f t="shared" si="4"/>
        <v/>
      </c>
      <c r="P688" s="16" t="str">
        <f t="array" ref="P688">IF($A688="","", IFERROR(INDEX('BM Data'!$N:$N,MATCH($J688&amp; "-" &amp; $N688,'BM Data'!$O:$O,0),1),""))</f>
        <v/>
      </c>
      <c r="Q688" s="16" t="str">
        <f t="array" ref="Q688">IF($A688="","", IFERROR(INDEX('BM Data'!$J:$J,MATCH($J688&amp; "-" &amp; $N688,'BM Data'!$O:$O,0),1),""))</f>
        <v/>
      </c>
    </row>
    <row r="689">
      <c r="A689" s="10" t="str">
        <f>IFERROR(__xludf.DUMMYFUNCTION("""COMPUTED_VALUE"""),"")</f>
        <v/>
      </c>
      <c r="B689" s="3" t="str">
        <f>IFERROR(__xludf.DUMMYFUNCTION("""COMPUTED_VALUE"""),"")</f>
        <v/>
      </c>
      <c r="C689" s="11" t="str">
        <f>IFERROR(__xludf.DUMMYFUNCTION("""COMPUTED_VALUE"""),"")</f>
        <v/>
      </c>
      <c r="D689" s="11" t="str">
        <f>IFERROR(__xludf.DUMMYFUNCTION("""COMPUTED_VALUE"""),"")</f>
        <v/>
      </c>
      <c r="E689" s="11" t="str">
        <f>IFERROR(__xludf.DUMMYFUNCTION("""COMPUTED_VALUE"""),"")</f>
        <v/>
      </c>
      <c r="F689" s="11" t="str">
        <f>IFERROR(__xludf.DUMMYFUNCTION("""COMPUTED_VALUE"""),"")</f>
        <v/>
      </c>
      <c r="G689" s="11" t="str">
        <f>IFERROR(__xludf.DUMMYFUNCTION("""COMPUTED_VALUE"""),"")</f>
        <v/>
      </c>
      <c r="H689" s="12" t="str">
        <f>IFERROR(__xludf.DUMMYFUNCTION("""COMPUTED_VALUE"""),"")</f>
        <v/>
      </c>
      <c r="I689" s="12" t="str">
        <f>IFERROR(__xludf.DUMMYFUNCTION("""COMPUTED_VALUE"""),"")</f>
        <v/>
      </c>
      <c r="J689" s="13" t="str">
        <f t="shared" si="1"/>
        <v/>
      </c>
      <c r="K689" s="12" t="str">
        <f>IFERROR(IF(A689="","",if($G689="",Reference!$J$2, VLOOKUP($G689,Reference!$I$2:$J$1000,2,false))),"")</f>
        <v/>
      </c>
      <c r="L689" s="12" t="str">
        <f>IF(A689="","", IF(F689="",Reference!$M$2,F689))</f>
        <v/>
      </c>
      <c r="M689" s="14" t="str">
        <f t="shared" si="2"/>
        <v/>
      </c>
      <c r="N689" s="15" t="str">
        <f t="shared" si="3"/>
        <v/>
      </c>
      <c r="O689" s="14" t="str">
        <f t="shared" si="4"/>
        <v/>
      </c>
      <c r="P689" s="16" t="str">
        <f t="array" ref="P689">IF($A689="","", IFERROR(INDEX('BM Data'!$N:$N,MATCH($J689&amp; "-" &amp; $N689,'BM Data'!$O:$O,0),1),""))</f>
        <v/>
      </c>
      <c r="Q689" s="16" t="str">
        <f t="array" ref="Q689">IF($A689="","", IFERROR(INDEX('BM Data'!$J:$J,MATCH($J689&amp; "-" &amp; $N689,'BM Data'!$O:$O,0),1),""))</f>
        <v/>
      </c>
    </row>
    <row r="690">
      <c r="A690" s="10" t="str">
        <f>IFERROR(__xludf.DUMMYFUNCTION("""COMPUTED_VALUE"""),"")</f>
        <v/>
      </c>
      <c r="B690" s="3" t="str">
        <f>IFERROR(__xludf.DUMMYFUNCTION("""COMPUTED_VALUE"""),"")</f>
        <v/>
      </c>
      <c r="C690" s="11" t="str">
        <f>IFERROR(__xludf.DUMMYFUNCTION("""COMPUTED_VALUE"""),"")</f>
        <v/>
      </c>
      <c r="D690" s="11" t="str">
        <f>IFERROR(__xludf.DUMMYFUNCTION("""COMPUTED_VALUE"""),"")</f>
        <v/>
      </c>
      <c r="E690" s="11" t="str">
        <f>IFERROR(__xludf.DUMMYFUNCTION("""COMPUTED_VALUE"""),"")</f>
        <v/>
      </c>
      <c r="F690" s="11" t="str">
        <f>IFERROR(__xludf.DUMMYFUNCTION("""COMPUTED_VALUE"""),"")</f>
        <v/>
      </c>
      <c r="G690" s="11" t="str">
        <f>IFERROR(__xludf.DUMMYFUNCTION("""COMPUTED_VALUE"""),"")</f>
        <v/>
      </c>
      <c r="H690" s="12" t="str">
        <f>IFERROR(__xludf.DUMMYFUNCTION("""COMPUTED_VALUE"""),"")</f>
        <v/>
      </c>
      <c r="I690" s="12" t="str">
        <f>IFERROR(__xludf.DUMMYFUNCTION("""COMPUTED_VALUE"""),"")</f>
        <v/>
      </c>
      <c r="J690" s="13" t="str">
        <f t="shared" si="1"/>
        <v/>
      </c>
      <c r="K690" s="12" t="str">
        <f>IFERROR(IF(A690="","",if($G690="",Reference!$J$2, VLOOKUP($G690,Reference!$I$2:$J$1000,2,false))),"")</f>
        <v/>
      </c>
      <c r="L690" s="12" t="str">
        <f>IF(A690="","", IF(F690="",Reference!$M$2,F690))</f>
        <v/>
      </c>
      <c r="M690" s="14" t="str">
        <f t="shared" si="2"/>
        <v/>
      </c>
      <c r="N690" s="15" t="str">
        <f t="shared" si="3"/>
        <v/>
      </c>
      <c r="O690" s="14" t="str">
        <f t="shared" si="4"/>
        <v/>
      </c>
      <c r="P690" s="16" t="str">
        <f t="array" ref="P690">IF($A690="","", IFERROR(INDEX('BM Data'!$N:$N,MATCH($J690&amp; "-" &amp; $N690,'BM Data'!$O:$O,0),1),""))</f>
        <v/>
      </c>
      <c r="Q690" s="16" t="str">
        <f t="array" ref="Q690">IF($A690="","", IFERROR(INDEX('BM Data'!$J:$J,MATCH($J690&amp; "-" &amp; $N690,'BM Data'!$O:$O,0),1),""))</f>
        <v/>
      </c>
    </row>
    <row r="691">
      <c r="A691" s="10" t="str">
        <f>IFERROR(__xludf.DUMMYFUNCTION("""COMPUTED_VALUE"""),"")</f>
        <v/>
      </c>
      <c r="B691" s="3" t="str">
        <f>IFERROR(__xludf.DUMMYFUNCTION("""COMPUTED_VALUE"""),"")</f>
        <v/>
      </c>
      <c r="C691" s="11" t="str">
        <f>IFERROR(__xludf.DUMMYFUNCTION("""COMPUTED_VALUE"""),"")</f>
        <v/>
      </c>
      <c r="D691" s="11" t="str">
        <f>IFERROR(__xludf.DUMMYFUNCTION("""COMPUTED_VALUE"""),"")</f>
        <v/>
      </c>
      <c r="E691" s="11" t="str">
        <f>IFERROR(__xludf.DUMMYFUNCTION("""COMPUTED_VALUE"""),"")</f>
        <v/>
      </c>
      <c r="F691" s="11" t="str">
        <f>IFERROR(__xludf.DUMMYFUNCTION("""COMPUTED_VALUE"""),"")</f>
        <v/>
      </c>
      <c r="G691" s="11" t="str">
        <f>IFERROR(__xludf.DUMMYFUNCTION("""COMPUTED_VALUE"""),"")</f>
        <v/>
      </c>
      <c r="H691" s="12" t="str">
        <f>IFERROR(__xludf.DUMMYFUNCTION("""COMPUTED_VALUE"""),"")</f>
        <v/>
      </c>
      <c r="I691" s="12" t="str">
        <f>IFERROR(__xludf.DUMMYFUNCTION("""COMPUTED_VALUE"""),"")</f>
        <v/>
      </c>
      <c r="J691" s="13" t="str">
        <f t="shared" si="1"/>
        <v/>
      </c>
      <c r="K691" s="12" t="str">
        <f>IFERROR(IF(A691="","",if($G691="",Reference!$J$2, VLOOKUP($G691,Reference!$I$2:$J$1000,2,false))),"")</f>
        <v/>
      </c>
      <c r="L691" s="12" t="str">
        <f>IF(A691="","", IF(F691="",Reference!$M$2,F691))</f>
        <v/>
      </c>
      <c r="M691" s="14" t="str">
        <f t="shared" si="2"/>
        <v/>
      </c>
      <c r="N691" s="15" t="str">
        <f t="shared" si="3"/>
        <v/>
      </c>
      <c r="O691" s="14" t="str">
        <f t="shared" si="4"/>
        <v/>
      </c>
      <c r="P691" s="16" t="str">
        <f t="array" ref="P691">IF($A691="","", IFERROR(INDEX('BM Data'!$N:$N,MATCH($J691&amp; "-" &amp; $N691,'BM Data'!$O:$O,0),1),""))</f>
        <v/>
      </c>
      <c r="Q691" s="16" t="str">
        <f t="array" ref="Q691">IF($A691="","", IFERROR(INDEX('BM Data'!$J:$J,MATCH($J691&amp; "-" &amp; $N691,'BM Data'!$O:$O,0),1),""))</f>
        <v/>
      </c>
    </row>
    <row r="692">
      <c r="A692" s="10" t="str">
        <f>IFERROR(__xludf.DUMMYFUNCTION("""COMPUTED_VALUE"""),"")</f>
        <v/>
      </c>
      <c r="B692" s="3" t="str">
        <f>IFERROR(__xludf.DUMMYFUNCTION("""COMPUTED_VALUE"""),"")</f>
        <v/>
      </c>
      <c r="C692" s="11" t="str">
        <f>IFERROR(__xludf.DUMMYFUNCTION("""COMPUTED_VALUE"""),"")</f>
        <v/>
      </c>
      <c r="D692" s="11" t="str">
        <f>IFERROR(__xludf.DUMMYFUNCTION("""COMPUTED_VALUE"""),"")</f>
        <v/>
      </c>
      <c r="E692" s="11" t="str">
        <f>IFERROR(__xludf.DUMMYFUNCTION("""COMPUTED_VALUE"""),"")</f>
        <v/>
      </c>
      <c r="F692" s="11" t="str">
        <f>IFERROR(__xludf.DUMMYFUNCTION("""COMPUTED_VALUE"""),"")</f>
        <v/>
      </c>
      <c r="G692" s="11" t="str">
        <f>IFERROR(__xludf.DUMMYFUNCTION("""COMPUTED_VALUE"""),"")</f>
        <v/>
      </c>
      <c r="H692" s="12" t="str">
        <f>IFERROR(__xludf.DUMMYFUNCTION("""COMPUTED_VALUE"""),"")</f>
        <v/>
      </c>
      <c r="I692" s="12" t="str">
        <f>IFERROR(__xludf.DUMMYFUNCTION("""COMPUTED_VALUE"""),"")</f>
        <v/>
      </c>
      <c r="J692" s="13" t="str">
        <f t="shared" si="1"/>
        <v/>
      </c>
      <c r="K692" s="12" t="str">
        <f>IFERROR(IF(A692="","",if($G692="",Reference!$J$2, VLOOKUP($G692,Reference!$I$2:$J$1000,2,false))),"")</f>
        <v/>
      </c>
      <c r="L692" s="12" t="str">
        <f>IF(A692="","", IF(F692="",Reference!$M$2,F692))</f>
        <v/>
      </c>
      <c r="M692" s="14" t="str">
        <f t="shared" si="2"/>
        <v/>
      </c>
      <c r="N692" s="15" t="str">
        <f t="shared" si="3"/>
        <v/>
      </c>
      <c r="O692" s="14" t="str">
        <f t="shared" si="4"/>
        <v/>
      </c>
      <c r="P692" s="16" t="str">
        <f t="array" ref="P692">IF($A692="","", IFERROR(INDEX('BM Data'!$N:$N,MATCH($J692&amp; "-" &amp; $N692,'BM Data'!$O:$O,0),1),""))</f>
        <v/>
      </c>
      <c r="Q692" s="16" t="str">
        <f t="array" ref="Q692">IF($A692="","", IFERROR(INDEX('BM Data'!$J:$J,MATCH($J692&amp; "-" &amp; $N692,'BM Data'!$O:$O,0),1),""))</f>
        <v/>
      </c>
    </row>
    <row r="693">
      <c r="A693" s="10" t="str">
        <f>IFERROR(__xludf.DUMMYFUNCTION("""COMPUTED_VALUE"""),"")</f>
        <v/>
      </c>
      <c r="B693" s="3" t="str">
        <f>IFERROR(__xludf.DUMMYFUNCTION("""COMPUTED_VALUE"""),"")</f>
        <v/>
      </c>
      <c r="C693" s="11" t="str">
        <f>IFERROR(__xludf.DUMMYFUNCTION("""COMPUTED_VALUE"""),"")</f>
        <v/>
      </c>
      <c r="D693" s="11" t="str">
        <f>IFERROR(__xludf.DUMMYFUNCTION("""COMPUTED_VALUE"""),"")</f>
        <v/>
      </c>
      <c r="E693" s="11" t="str">
        <f>IFERROR(__xludf.DUMMYFUNCTION("""COMPUTED_VALUE"""),"")</f>
        <v/>
      </c>
      <c r="F693" s="11" t="str">
        <f>IFERROR(__xludf.DUMMYFUNCTION("""COMPUTED_VALUE"""),"")</f>
        <v/>
      </c>
      <c r="G693" s="11" t="str">
        <f>IFERROR(__xludf.DUMMYFUNCTION("""COMPUTED_VALUE"""),"")</f>
        <v/>
      </c>
      <c r="H693" s="12" t="str">
        <f>IFERROR(__xludf.DUMMYFUNCTION("""COMPUTED_VALUE"""),"")</f>
        <v/>
      </c>
      <c r="I693" s="12" t="str">
        <f>IFERROR(__xludf.DUMMYFUNCTION("""COMPUTED_VALUE"""),"")</f>
        <v/>
      </c>
      <c r="J693" s="13" t="str">
        <f t="shared" si="1"/>
        <v/>
      </c>
      <c r="K693" s="12" t="str">
        <f>IFERROR(IF(A693="","",if($G693="",Reference!$J$2, VLOOKUP($G693,Reference!$I$2:$J$1000,2,false))),"")</f>
        <v/>
      </c>
      <c r="L693" s="12" t="str">
        <f>IF(A693="","", IF(F693="",Reference!$M$2,F693))</f>
        <v/>
      </c>
      <c r="M693" s="14" t="str">
        <f t="shared" si="2"/>
        <v/>
      </c>
      <c r="N693" s="15" t="str">
        <f t="shared" si="3"/>
        <v/>
      </c>
      <c r="O693" s="14" t="str">
        <f t="shared" si="4"/>
        <v/>
      </c>
      <c r="P693" s="16" t="str">
        <f t="array" ref="P693">IF($A693="","", IFERROR(INDEX('BM Data'!$N:$N,MATCH($J693&amp; "-" &amp; $N693,'BM Data'!$O:$O,0),1),""))</f>
        <v/>
      </c>
      <c r="Q693" s="16" t="str">
        <f t="array" ref="Q693">IF($A693="","", IFERROR(INDEX('BM Data'!$J:$J,MATCH($J693&amp; "-" &amp; $N693,'BM Data'!$O:$O,0),1),""))</f>
        <v/>
      </c>
    </row>
    <row r="694">
      <c r="A694" s="10" t="str">
        <f>IFERROR(__xludf.DUMMYFUNCTION("""COMPUTED_VALUE"""),"")</f>
        <v/>
      </c>
      <c r="B694" s="3" t="str">
        <f>IFERROR(__xludf.DUMMYFUNCTION("""COMPUTED_VALUE"""),"")</f>
        <v/>
      </c>
      <c r="C694" s="11" t="str">
        <f>IFERROR(__xludf.DUMMYFUNCTION("""COMPUTED_VALUE"""),"")</f>
        <v/>
      </c>
      <c r="D694" s="11" t="str">
        <f>IFERROR(__xludf.DUMMYFUNCTION("""COMPUTED_VALUE"""),"")</f>
        <v/>
      </c>
      <c r="E694" s="11" t="str">
        <f>IFERROR(__xludf.DUMMYFUNCTION("""COMPUTED_VALUE"""),"")</f>
        <v/>
      </c>
      <c r="F694" s="11" t="str">
        <f>IFERROR(__xludf.DUMMYFUNCTION("""COMPUTED_VALUE"""),"")</f>
        <v/>
      </c>
      <c r="G694" s="11" t="str">
        <f>IFERROR(__xludf.DUMMYFUNCTION("""COMPUTED_VALUE"""),"")</f>
        <v/>
      </c>
      <c r="H694" s="12" t="str">
        <f>IFERROR(__xludf.DUMMYFUNCTION("""COMPUTED_VALUE"""),"")</f>
        <v/>
      </c>
      <c r="I694" s="12" t="str">
        <f>IFERROR(__xludf.DUMMYFUNCTION("""COMPUTED_VALUE"""),"")</f>
        <v/>
      </c>
      <c r="J694" s="13" t="str">
        <f t="shared" si="1"/>
        <v/>
      </c>
      <c r="K694" s="12" t="str">
        <f>IFERROR(IF(A694="","",if($G694="",Reference!$J$2, VLOOKUP($G694,Reference!$I$2:$J$1000,2,false))),"")</f>
        <v/>
      </c>
      <c r="L694" s="12" t="str">
        <f>IF(A694="","", IF(F694="",Reference!$M$2,F694))</f>
        <v/>
      </c>
      <c r="M694" s="14" t="str">
        <f t="shared" si="2"/>
        <v/>
      </c>
      <c r="N694" s="15" t="str">
        <f t="shared" si="3"/>
        <v/>
      </c>
      <c r="O694" s="14" t="str">
        <f t="shared" si="4"/>
        <v/>
      </c>
      <c r="P694" s="16" t="str">
        <f t="array" ref="P694">IF($A694="","", IFERROR(INDEX('BM Data'!$N:$N,MATCH($J694&amp; "-" &amp; $N694,'BM Data'!$O:$O,0),1),""))</f>
        <v/>
      </c>
      <c r="Q694" s="16" t="str">
        <f t="array" ref="Q694">IF($A694="","", IFERROR(INDEX('BM Data'!$J:$J,MATCH($J694&amp; "-" &amp; $N694,'BM Data'!$O:$O,0),1),""))</f>
        <v/>
      </c>
    </row>
    <row r="695">
      <c r="A695" s="10" t="str">
        <f>IFERROR(__xludf.DUMMYFUNCTION("""COMPUTED_VALUE"""),"")</f>
        <v/>
      </c>
      <c r="B695" s="3" t="str">
        <f>IFERROR(__xludf.DUMMYFUNCTION("""COMPUTED_VALUE"""),"")</f>
        <v/>
      </c>
      <c r="C695" s="11" t="str">
        <f>IFERROR(__xludf.DUMMYFUNCTION("""COMPUTED_VALUE"""),"")</f>
        <v/>
      </c>
      <c r="D695" s="11" t="str">
        <f>IFERROR(__xludf.DUMMYFUNCTION("""COMPUTED_VALUE"""),"")</f>
        <v/>
      </c>
      <c r="E695" s="11" t="str">
        <f>IFERROR(__xludf.DUMMYFUNCTION("""COMPUTED_VALUE"""),"")</f>
        <v/>
      </c>
      <c r="F695" s="11" t="str">
        <f>IFERROR(__xludf.DUMMYFUNCTION("""COMPUTED_VALUE"""),"")</f>
        <v/>
      </c>
      <c r="G695" s="11" t="str">
        <f>IFERROR(__xludf.DUMMYFUNCTION("""COMPUTED_VALUE"""),"")</f>
        <v/>
      </c>
      <c r="H695" s="12" t="str">
        <f>IFERROR(__xludf.DUMMYFUNCTION("""COMPUTED_VALUE"""),"")</f>
        <v/>
      </c>
      <c r="I695" s="12" t="str">
        <f>IFERROR(__xludf.DUMMYFUNCTION("""COMPUTED_VALUE"""),"")</f>
        <v/>
      </c>
      <c r="J695" s="13" t="str">
        <f t="shared" si="1"/>
        <v/>
      </c>
      <c r="K695" s="12" t="str">
        <f>IFERROR(IF(A695="","",if($G695="",Reference!$J$2, VLOOKUP($G695,Reference!$I$2:$J$1000,2,false))),"")</f>
        <v/>
      </c>
      <c r="L695" s="12" t="str">
        <f>IF(A695="","", IF(F695="",Reference!$M$2,F695))</f>
        <v/>
      </c>
      <c r="M695" s="14" t="str">
        <f t="shared" si="2"/>
        <v/>
      </c>
      <c r="N695" s="15" t="str">
        <f t="shared" si="3"/>
        <v/>
      </c>
      <c r="O695" s="14" t="str">
        <f t="shared" si="4"/>
        <v/>
      </c>
      <c r="P695" s="16" t="str">
        <f t="array" ref="P695">IF($A695="","", IFERROR(INDEX('BM Data'!$N:$N,MATCH($J695&amp; "-" &amp; $N695,'BM Data'!$O:$O,0),1),""))</f>
        <v/>
      </c>
      <c r="Q695" s="16" t="str">
        <f t="array" ref="Q695">IF($A695="","", IFERROR(INDEX('BM Data'!$J:$J,MATCH($J695&amp; "-" &amp; $N695,'BM Data'!$O:$O,0),1),""))</f>
        <v/>
      </c>
    </row>
    <row r="696">
      <c r="A696" s="10" t="str">
        <f>IFERROR(__xludf.DUMMYFUNCTION("""COMPUTED_VALUE"""),"")</f>
        <v/>
      </c>
      <c r="B696" s="3" t="str">
        <f>IFERROR(__xludf.DUMMYFUNCTION("""COMPUTED_VALUE"""),"")</f>
        <v/>
      </c>
      <c r="C696" s="11" t="str">
        <f>IFERROR(__xludf.DUMMYFUNCTION("""COMPUTED_VALUE"""),"")</f>
        <v/>
      </c>
      <c r="D696" s="11" t="str">
        <f>IFERROR(__xludf.DUMMYFUNCTION("""COMPUTED_VALUE"""),"")</f>
        <v/>
      </c>
      <c r="E696" s="11" t="str">
        <f>IFERROR(__xludf.DUMMYFUNCTION("""COMPUTED_VALUE"""),"")</f>
        <v/>
      </c>
      <c r="F696" s="11" t="str">
        <f>IFERROR(__xludf.DUMMYFUNCTION("""COMPUTED_VALUE"""),"")</f>
        <v/>
      </c>
      <c r="G696" s="11" t="str">
        <f>IFERROR(__xludf.DUMMYFUNCTION("""COMPUTED_VALUE"""),"")</f>
        <v/>
      </c>
      <c r="H696" s="12" t="str">
        <f>IFERROR(__xludf.DUMMYFUNCTION("""COMPUTED_VALUE"""),"")</f>
        <v/>
      </c>
      <c r="I696" s="12" t="str">
        <f>IFERROR(__xludf.DUMMYFUNCTION("""COMPUTED_VALUE"""),"")</f>
        <v/>
      </c>
      <c r="J696" s="13" t="str">
        <f t="shared" si="1"/>
        <v/>
      </c>
      <c r="K696" s="12" t="str">
        <f>IFERROR(IF(A696="","",if($G696="",Reference!$J$2, VLOOKUP($G696,Reference!$I$2:$J$1000,2,false))),"")</f>
        <v/>
      </c>
      <c r="L696" s="12" t="str">
        <f>IF(A696="","", IF(F696="",Reference!$M$2,F696))</f>
        <v/>
      </c>
      <c r="M696" s="14" t="str">
        <f t="shared" si="2"/>
        <v/>
      </c>
      <c r="N696" s="15" t="str">
        <f t="shared" si="3"/>
        <v/>
      </c>
      <c r="O696" s="14" t="str">
        <f t="shared" si="4"/>
        <v/>
      </c>
      <c r="P696" s="16" t="str">
        <f t="array" ref="P696">IF($A696="","", IFERROR(INDEX('BM Data'!$N:$N,MATCH($J696&amp; "-" &amp; $N696,'BM Data'!$O:$O,0),1),""))</f>
        <v/>
      </c>
      <c r="Q696" s="16" t="str">
        <f t="array" ref="Q696">IF($A696="","", IFERROR(INDEX('BM Data'!$J:$J,MATCH($J696&amp; "-" &amp; $N696,'BM Data'!$O:$O,0),1),""))</f>
        <v/>
      </c>
    </row>
    <row r="697">
      <c r="A697" s="10" t="str">
        <f>IFERROR(__xludf.DUMMYFUNCTION("""COMPUTED_VALUE"""),"")</f>
        <v/>
      </c>
      <c r="B697" s="3" t="str">
        <f>IFERROR(__xludf.DUMMYFUNCTION("""COMPUTED_VALUE"""),"")</f>
        <v/>
      </c>
      <c r="C697" s="11" t="str">
        <f>IFERROR(__xludf.DUMMYFUNCTION("""COMPUTED_VALUE"""),"")</f>
        <v/>
      </c>
      <c r="D697" s="11" t="str">
        <f>IFERROR(__xludf.DUMMYFUNCTION("""COMPUTED_VALUE"""),"")</f>
        <v/>
      </c>
      <c r="E697" s="11" t="str">
        <f>IFERROR(__xludf.DUMMYFUNCTION("""COMPUTED_VALUE"""),"")</f>
        <v/>
      </c>
      <c r="F697" s="11" t="str">
        <f>IFERROR(__xludf.DUMMYFUNCTION("""COMPUTED_VALUE"""),"")</f>
        <v/>
      </c>
      <c r="G697" s="11" t="str">
        <f>IFERROR(__xludf.DUMMYFUNCTION("""COMPUTED_VALUE"""),"")</f>
        <v/>
      </c>
      <c r="H697" s="12" t="str">
        <f>IFERROR(__xludf.DUMMYFUNCTION("""COMPUTED_VALUE"""),"")</f>
        <v/>
      </c>
      <c r="I697" s="12" t="str">
        <f>IFERROR(__xludf.DUMMYFUNCTION("""COMPUTED_VALUE"""),"")</f>
        <v/>
      </c>
      <c r="J697" s="13" t="str">
        <f t="shared" si="1"/>
        <v/>
      </c>
      <c r="K697" s="12" t="str">
        <f>IFERROR(IF(A697="","",if($G697="",Reference!$J$2, VLOOKUP($G697,Reference!$I$2:$J$1000,2,false))),"")</f>
        <v/>
      </c>
      <c r="L697" s="12" t="str">
        <f>IF(A697="","", IF(F697="",Reference!$M$2,F697))</f>
        <v/>
      </c>
      <c r="M697" s="14" t="str">
        <f t="shared" si="2"/>
        <v/>
      </c>
      <c r="N697" s="15" t="str">
        <f t="shared" si="3"/>
        <v/>
      </c>
      <c r="O697" s="14" t="str">
        <f t="shared" si="4"/>
        <v/>
      </c>
      <c r="P697" s="16" t="str">
        <f t="array" ref="P697">IF($A697="","", IFERROR(INDEX('BM Data'!$N:$N,MATCH($J697&amp; "-" &amp; $N697,'BM Data'!$O:$O,0),1),""))</f>
        <v/>
      </c>
      <c r="Q697" s="16" t="str">
        <f t="array" ref="Q697">IF($A697="","", IFERROR(INDEX('BM Data'!$J:$J,MATCH($J697&amp; "-" &amp; $N697,'BM Data'!$O:$O,0),1),""))</f>
        <v/>
      </c>
    </row>
    <row r="698">
      <c r="A698" s="10" t="str">
        <f>IFERROR(__xludf.DUMMYFUNCTION("""COMPUTED_VALUE"""),"")</f>
        <v/>
      </c>
      <c r="B698" s="3" t="str">
        <f>IFERROR(__xludf.DUMMYFUNCTION("""COMPUTED_VALUE"""),"")</f>
        <v/>
      </c>
      <c r="C698" s="11" t="str">
        <f>IFERROR(__xludf.DUMMYFUNCTION("""COMPUTED_VALUE"""),"")</f>
        <v/>
      </c>
      <c r="D698" s="11" t="str">
        <f>IFERROR(__xludf.DUMMYFUNCTION("""COMPUTED_VALUE"""),"")</f>
        <v/>
      </c>
      <c r="E698" s="11" t="str">
        <f>IFERROR(__xludf.DUMMYFUNCTION("""COMPUTED_VALUE"""),"")</f>
        <v/>
      </c>
      <c r="F698" s="11" t="str">
        <f>IFERROR(__xludf.DUMMYFUNCTION("""COMPUTED_VALUE"""),"")</f>
        <v/>
      </c>
      <c r="G698" s="11" t="str">
        <f>IFERROR(__xludf.DUMMYFUNCTION("""COMPUTED_VALUE"""),"")</f>
        <v/>
      </c>
      <c r="H698" s="12" t="str">
        <f>IFERROR(__xludf.DUMMYFUNCTION("""COMPUTED_VALUE"""),"")</f>
        <v/>
      </c>
      <c r="I698" s="12" t="str">
        <f>IFERROR(__xludf.DUMMYFUNCTION("""COMPUTED_VALUE"""),"")</f>
        <v/>
      </c>
      <c r="J698" s="13" t="str">
        <f t="shared" si="1"/>
        <v/>
      </c>
      <c r="K698" s="12" t="str">
        <f>IFERROR(IF(A698="","",if($G698="",Reference!$J$2, VLOOKUP($G698,Reference!$I$2:$J$1000,2,false))),"")</f>
        <v/>
      </c>
      <c r="L698" s="12" t="str">
        <f>IF(A698="","", IF(F698="",Reference!$M$2,F698))</f>
        <v/>
      </c>
      <c r="M698" s="14" t="str">
        <f t="shared" si="2"/>
        <v/>
      </c>
      <c r="N698" s="15" t="str">
        <f t="shared" si="3"/>
        <v/>
      </c>
      <c r="O698" s="14" t="str">
        <f t="shared" si="4"/>
        <v/>
      </c>
      <c r="P698" s="16" t="str">
        <f t="array" ref="P698">IF($A698="","", IFERROR(INDEX('BM Data'!$N:$N,MATCH($J698&amp; "-" &amp; $N698,'BM Data'!$O:$O,0),1),""))</f>
        <v/>
      </c>
      <c r="Q698" s="16" t="str">
        <f t="array" ref="Q698">IF($A698="","", IFERROR(INDEX('BM Data'!$J:$J,MATCH($J698&amp; "-" &amp; $N698,'BM Data'!$O:$O,0),1),""))</f>
        <v/>
      </c>
    </row>
    <row r="699">
      <c r="A699" s="10" t="str">
        <f>IFERROR(__xludf.DUMMYFUNCTION("""COMPUTED_VALUE"""),"")</f>
        <v/>
      </c>
      <c r="B699" s="3" t="str">
        <f>IFERROR(__xludf.DUMMYFUNCTION("""COMPUTED_VALUE"""),"")</f>
        <v/>
      </c>
      <c r="C699" s="11" t="str">
        <f>IFERROR(__xludf.DUMMYFUNCTION("""COMPUTED_VALUE"""),"")</f>
        <v/>
      </c>
      <c r="D699" s="11" t="str">
        <f>IFERROR(__xludf.DUMMYFUNCTION("""COMPUTED_VALUE"""),"")</f>
        <v/>
      </c>
      <c r="E699" s="11" t="str">
        <f>IFERROR(__xludf.DUMMYFUNCTION("""COMPUTED_VALUE"""),"")</f>
        <v/>
      </c>
      <c r="F699" s="11" t="str">
        <f>IFERROR(__xludf.DUMMYFUNCTION("""COMPUTED_VALUE"""),"")</f>
        <v/>
      </c>
      <c r="G699" s="11" t="str">
        <f>IFERROR(__xludf.DUMMYFUNCTION("""COMPUTED_VALUE"""),"")</f>
        <v/>
      </c>
      <c r="H699" s="12" t="str">
        <f>IFERROR(__xludf.DUMMYFUNCTION("""COMPUTED_VALUE"""),"")</f>
        <v/>
      </c>
      <c r="I699" s="12" t="str">
        <f>IFERROR(__xludf.DUMMYFUNCTION("""COMPUTED_VALUE"""),"")</f>
        <v/>
      </c>
      <c r="J699" s="13" t="str">
        <f t="shared" si="1"/>
        <v/>
      </c>
      <c r="K699" s="12" t="str">
        <f>IFERROR(IF(A699="","",if($G699="",Reference!$J$2, VLOOKUP($G699,Reference!$I$2:$J$1000,2,false))),"")</f>
        <v/>
      </c>
      <c r="L699" s="12" t="str">
        <f>IF(A699="","", IF(F699="",Reference!$M$2,F699))</f>
        <v/>
      </c>
      <c r="M699" s="14" t="str">
        <f t="shared" si="2"/>
        <v/>
      </c>
      <c r="N699" s="15" t="str">
        <f t="shared" si="3"/>
        <v/>
      </c>
      <c r="O699" s="14" t="str">
        <f t="shared" si="4"/>
        <v/>
      </c>
      <c r="P699" s="16" t="str">
        <f t="array" ref="P699">IF($A699="","", IFERROR(INDEX('BM Data'!$N:$N,MATCH($J699&amp; "-" &amp; $N699,'BM Data'!$O:$O,0),1),""))</f>
        <v/>
      </c>
      <c r="Q699" s="16" t="str">
        <f t="array" ref="Q699">IF($A699="","", IFERROR(INDEX('BM Data'!$J:$J,MATCH($J699&amp; "-" &amp; $N699,'BM Data'!$O:$O,0),1),""))</f>
        <v/>
      </c>
    </row>
    <row r="700">
      <c r="A700" s="10" t="str">
        <f>IFERROR(__xludf.DUMMYFUNCTION("""COMPUTED_VALUE"""),"")</f>
        <v/>
      </c>
      <c r="B700" s="3" t="str">
        <f>IFERROR(__xludf.DUMMYFUNCTION("""COMPUTED_VALUE"""),"")</f>
        <v/>
      </c>
      <c r="C700" s="11" t="str">
        <f>IFERROR(__xludf.DUMMYFUNCTION("""COMPUTED_VALUE"""),"")</f>
        <v/>
      </c>
      <c r="D700" s="11" t="str">
        <f>IFERROR(__xludf.DUMMYFUNCTION("""COMPUTED_VALUE"""),"")</f>
        <v/>
      </c>
      <c r="E700" s="11" t="str">
        <f>IFERROR(__xludf.DUMMYFUNCTION("""COMPUTED_VALUE"""),"")</f>
        <v/>
      </c>
      <c r="F700" s="11" t="str">
        <f>IFERROR(__xludf.DUMMYFUNCTION("""COMPUTED_VALUE"""),"")</f>
        <v/>
      </c>
      <c r="G700" s="11" t="str">
        <f>IFERROR(__xludf.DUMMYFUNCTION("""COMPUTED_VALUE"""),"")</f>
        <v/>
      </c>
      <c r="H700" s="12" t="str">
        <f>IFERROR(__xludf.DUMMYFUNCTION("""COMPUTED_VALUE"""),"")</f>
        <v/>
      </c>
      <c r="I700" s="12" t="str">
        <f>IFERROR(__xludf.DUMMYFUNCTION("""COMPUTED_VALUE"""),"")</f>
        <v/>
      </c>
      <c r="J700" s="13" t="str">
        <f t="shared" si="1"/>
        <v/>
      </c>
      <c r="K700" s="12" t="str">
        <f>IFERROR(IF(A700="","",if($G700="",Reference!$J$2, VLOOKUP($G700,Reference!$I$2:$J$1000,2,false))),"")</f>
        <v/>
      </c>
      <c r="L700" s="12" t="str">
        <f>IF(A700="","", IF(F700="",Reference!$M$2,F700))</f>
        <v/>
      </c>
      <c r="M700" s="14" t="str">
        <f t="shared" si="2"/>
        <v/>
      </c>
      <c r="N700" s="15" t="str">
        <f t="shared" si="3"/>
        <v/>
      </c>
      <c r="O700" s="14" t="str">
        <f t="shared" si="4"/>
        <v/>
      </c>
      <c r="P700" s="16" t="str">
        <f t="array" ref="P700">IF($A700="","", IFERROR(INDEX('BM Data'!$N:$N,MATCH($J700&amp; "-" &amp; $N700,'BM Data'!$O:$O,0),1),""))</f>
        <v/>
      </c>
      <c r="Q700" s="16" t="str">
        <f t="array" ref="Q700">IF($A700="","", IFERROR(INDEX('BM Data'!$J:$J,MATCH($J700&amp; "-" &amp; $N700,'BM Data'!$O:$O,0),1),""))</f>
        <v/>
      </c>
    </row>
    <row r="701">
      <c r="A701" s="10" t="str">
        <f>IFERROR(__xludf.DUMMYFUNCTION("""COMPUTED_VALUE"""),"")</f>
        <v/>
      </c>
      <c r="B701" s="3" t="str">
        <f>IFERROR(__xludf.DUMMYFUNCTION("""COMPUTED_VALUE"""),"")</f>
        <v/>
      </c>
      <c r="C701" s="11" t="str">
        <f>IFERROR(__xludf.DUMMYFUNCTION("""COMPUTED_VALUE"""),"")</f>
        <v/>
      </c>
      <c r="D701" s="11" t="str">
        <f>IFERROR(__xludf.DUMMYFUNCTION("""COMPUTED_VALUE"""),"")</f>
        <v/>
      </c>
      <c r="E701" s="11" t="str">
        <f>IFERROR(__xludf.DUMMYFUNCTION("""COMPUTED_VALUE"""),"")</f>
        <v/>
      </c>
      <c r="F701" s="11" t="str">
        <f>IFERROR(__xludf.DUMMYFUNCTION("""COMPUTED_VALUE"""),"")</f>
        <v/>
      </c>
      <c r="G701" s="11" t="str">
        <f>IFERROR(__xludf.DUMMYFUNCTION("""COMPUTED_VALUE"""),"")</f>
        <v/>
      </c>
      <c r="H701" s="12" t="str">
        <f>IFERROR(__xludf.DUMMYFUNCTION("""COMPUTED_VALUE"""),"")</f>
        <v/>
      </c>
      <c r="I701" s="12" t="str">
        <f>IFERROR(__xludf.DUMMYFUNCTION("""COMPUTED_VALUE"""),"")</f>
        <v/>
      </c>
      <c r="J701" s="13" t="str">
        <f t="shared" si="1"/>
        <v/>
      </c>
      <c r="K701" s="12" t="str">
        <f>IFERROR(IF(A701="","",if($G701="",Reference!$J$2, VLOOKUP($G701,Reference!$I$2:$J$1000,2,false))),"")</f>
        <v/>
      </c>
      <c r="L701" s="12" t="str">
        <f>IF(A701="","", IF(F701="",Reference!$M$2,F701))</f>
        <v/>
      </c>
      <c r="M701" s="14" t="str">
        <f t="shared" si="2"/>
        <v/>
      </c>
      <c r="N701" s="15" t="str">
        <f t="shared" si="3"/>
        <v/>
      </c>
      <c r="O701" s="14" t="str">
        <f t="shared" si="4"/>
        <v/>
      </c>
      <c r="P701" s="16" t="str">
        <f t="array" ref="P701">IF($A701="","", IFERROR(INDEX('BM Data'!$N:$N,MATCH($J701&amp; "-" &amp; $N701,'BM Data'!$O:$O,0),1),""))</f>
        <v/>
      </c>
      <c r="Q701" s="16" t="str">
        <f t="array" ref="Q701">IF($A701="","", IFERROR(INDEX('BM Data'!$J:$J,MATCH($J701&amp; "-" &amp; $N701,'BM Data'!$O:$O,0),1),""))</f>
        <v/>
      </c>
    </row>
    <row r="702">
      <c r="A702" s="10" t="str">
        <f>IFERROR(__xludf.DUMMYFUNCTION("""COMPUTED_VALUE"""),"")</f>
        <v/>
      </c>
      <c r="B702" s="3" t="str">
        <f>IFERROR(__xludf.DUMMYFUNCTION("""COMPUTED_VALUE"""),"")</f>
        <v/>
      </c>
      <c r="C702" s="11" t="str">
        <f>IFERROR(__xludf.DUMMYFUNCTION("""COMPUTED_VALUE"""),"")</f>
        <v/>
      </c>
      <c r="D702" s="11" t="str">
        <f>IFERROR(__xludf.DUMMYFUNCTION("""COMPUTED_VALUE"""),"")</f>
        <v/>
      </c>
      <c r="E702" s="11" t="str">
        <f>IFERROR(__xludf.DUMMYFUNCTION("""COMPUTED_VALUE"""),"")</f>
        <v/>
      </c>
      <c r="F702" s="11" t="str">
        <f>IFERROR(__xludf.DUMMYFUNCTION("""COMPUTED_VALUE"""),"")</f>
        <v/>
      </c>
      <c r="G702" s="11" t="str">
        <f>IFERROR(__xludf.DUMMYFUNCTION("""COMPUTED_VALUE"""),"")</f>
        <v/>
      </c>
      <c r="H702" s="12" t="str">
        <f>IFERROR(__xludf.DUMMYFUNCTION("""COMPUTED_VALUE"""),"")</f>
        <v/>
      </c>
      <c r="I702" s="12" t="str">
        <f>IFERROR(__xludf.DUMMYFUNCTION("""COMPUTED_VALUE"""),"")</f>
        <v/>
      </c>
      <c r="J702" s="13" t="str">
        <f t="shared" si="1"/>
        <v/>
      </c>
      <c r="K702" s="12" t="str">
        <f>IFERROR(IF(A702="","",if($G702="",Reference!$J$2, VLOOKUP($G702,Reference!$I$2:$J$1000,2,false))),"")</f>
        <v/>
      </c>
      <c r="L702" s="12" t="str">
        <f>IF(A702="","", IF(F702="",Reference!$M$2,F702))</f>
        <v/>
      </c>
      <c r="M702" s="14" t="str">
        <f t="shared" si="2"/>
        <v/>
      </c>
      <c r="N702" s="15" t="str">
        <f t="shared" si="3"/>
        <v/>
      </c>
      <c r="O702" s="14" t="str">
        <f t="shared" si="4"/>
        <v/>
      </c>
      <c r="P702" s="16" t="str">
        <f t="array" ref="P702">IF($A702="","", IFERROR(INDEX('BM Data'!$N:$N,MATCH($J702&amp; "-" &amp; $N702,'BM Data'!$O:$O,0),1),""))</f>
        <v/>
      </c>
      <c r="Q702" s="16" t="str">
        <f t="array" ref="Q702">IF($A702="","", IFERROR(INDEX('BM Data'!$J:$J,MATCH($J702&amp; "-" &amp; $N702,'BM Data'!$O:$O,0),1),""))</f>
        <v/>
      </c>
    </row>
    <row r="703">
      <c r="A703" s="10" t="str">
        <f>IFERROR(__xludf.DUMMYFUNCTION("""COMPUTED_VALUE"""),"")</f>
        <v/>
      </c>
      <c r="B703" s="3" t="str">
        <f>IFERROR(__xludf.DUMMYFUNCTION("""COMPUTED_VALUE"""),"")</f>
        <v/>
      </c>
      <c r="C703" s="11" t="str">
        <f>IFERROR(__xludf.DUMMYFUNCTION("""COMPUTED_VALUE"""),"")</f>
        <v/>
      </c>
      <c r="D703" s="11" t="str">
        <f>IFERROR(__xludf.DUMMYFUNCTION("""COMPUTED_VALUE"""),"")</f>
        <v/>
      </c>
      <c r="E703" s="11" t="str">
        <f>IFERROR(__xludf.DUMMYFUNCTION("""COMPUTED_VALUE"""),"")</f>
        <v/>
      </c>
      <c r="F703" s="11" t="str">
        <f>IFERROR(__xludf.DUMMYFUNCTION("""COMPUTED_VALUE"""),"")</f>
        <v/>
      </c>
      <c r="G703" s="11" t="str">
        <f>IFERROR(__xludf.DUMMYFUNCTION("""COMPUTED_VALUE"""),"")</f>
        <v/>
      </c>
      <c r="H703" s="12" t="str">
        <f>IFERROR(__xludf.DUMMYFUNCTION("""COMPUTED_VALUE"""),"")</f>
        <v/>
      </c>
      <c r="I703" s="12" t="str">
        <f>IFERROR(__xludf.DUMMYFUNCTION("""COMPUTED_VALUE"""),"")</f>
        <v/>
      </c>
      <c r="J703" s="13" t="str">
        <f t="shared" si="1"/>
        <v/>
      </c>
      <c r="K703" s="12" t="str">
        <f>IFERROR(IF(A703="","",if($G703="",Reference!$J$2, VLOOKUP($G703,Reference!$I$2:$J$1000,2,false))),"")</f>
        <v/>
      </c>
      <c r="L703" s="12" t="str">
        <f>IF(A703="","", IF(F703="",Reference!$M$2,F703))</f>
        <v/>
      </c>
      <c r="M703" s="14" t="str">
        <f t="shared" si="2"/>
        <v/>
      </c>
      <c r="N703" s="15" t="str">
        <f t="shared" si="3"/>
        <v/>
      </c>
      <c r="O703" s="14" t="str">
        <f t="shared" si="4"/>
        <v/>
      </c>
      <c r="P703" s="16" t="str">
        <f t="array" ref="P703">IF($A703="","", IFERROR(INDEX('BM Data'!$N:$N,MATCH($J703&amp; "-" &amp; $N703,'BM Data'!$O:$O,0),1),""))</f>
        <v/>
      </c>
      <c r="Q703" s="16" t="str">
        <f t="array" ref="Q703">IF($A703="","", IFERROR(INDEX('BM Data'!$J:$J,MATCH($J703&amp; "-" &amp; $N703,'BM Data'!$O:$O,0),1),""))</f>
        <v/>
      </c>
    </row>
    <row r="704">
      <c r="A704" s="10" t="str">
        <f>IFERROR(__xludf.DUMMYFUNCTION("""COMPUTED_VALUE"""),"")</f>
        <v/>
      </c>
      <c r="B704" s="3" t="str">
        <f>IFERROR(__xludf.DUMMYFUNCTION("""COMPUTED_VALUE"""),"")</f>
        <v/>
      </c>
      <c r="C704" s="11" t="str">
        <f>IFERROR(__xludf.DUMMYFUNCTION("""COMPUTED_VALUE"""),"")</f>
        <v/>
      </c>
      <c r="D704" s="11" t="str">
        <f>IFERROR(__xludf.DUMMYFUNCTION("""COMPUTED_VALUE"""),"")</f>
        <v/>
      </c>
      <c r="E704" s="11" t="str">
        <f>IFERROR(__xludf.DUMMYFUNCTION("""COMPUTED_VALUE"""),"")</f>
        <v/>
      </c>
      <c r="F704" s="11" t="str">
        <f>IFERROR(__xludf.DUMMYFUNCTION("""COMPUTED_VALUE"""),"")</f>
        <v/>
      </c>
      <c r="G704" s="11" t="str">
        <f>IFERROR(__xludf.DUMMYFUNCTION("""COMPUTED_VALUE"""),"")</f>
        <v/>
      </c>
      <c r="H704" s="12" t="str">
        <f>IFERROR(__xludf.DUMMYFUNCTION("""COMPUTED_VALUE"""),"")</f>
        <v/>
      </c>
      <c r="I704" s="12" t="str">
        <f>IFERROR(__xludf.DUMMYFUNCTION("""COMPUTED_VALUE"""),"")</f>
        <v/>
      </c>
      <c r="J704" s="13" t="str">
        <f t="shared" si="1"/>
        <v/>
      </c>
      <c r="K704" s="12" t="str">
        <f>IFERROR(IF(A704="","",if($G704="",Reference!$J$2, VLOOKUP($G704,Reference!$I$2:$J$1000,2,false))),"")</f>
        <v/>
      </c>
      <c r="L704" s="12" t="str">
        <f>IF(A704="","", IF(F704="",Reference!$M$2,F704))</f>
        <v/>
      </c>
      <c r="M704" s="14" t="str">
        <f t="shared" si="2"/>
        <v/>
      </c>
      <c r="N704" s="15" t="str">
        <f t="shared" si="3"/>
        <v/>
      </c>
      <c r="O704" s="14" t="str">
        <f t="shared" si="4"/>
        <v/>
      </c>
      <c r="P704" s="16" t="str">
        <f t="array" ref="P704">IF($A704="","", IFERROR(INDEX('BM Data'!$N:$N,MATCH($J704&amp; "-" &amp; $N704,'BM Data'!$O:$O,0),1),""))</f>
        <v/>
      </c>
      <c r="Q704" s="16" t="str">
        <f t="array" ref="Q704">IF($A704="","", IFERROR(INDEX('BM Data'!$J:$J,MATCH($J704&amp; "-" &amp; $N704,'BM Data'!$O:$O,0),1),""))</f>
        <v/>
      </c>
    </row>
    <row r="705">
      <c r="A705" s="10" t="str">
        <f>IFERROR(__xludf.DUMMYFUNCTION("""COMPUTED_VALUE"""),"")</f>
        <v/>
      </c>
      <c r="B705" s="3" t="str">
        <f>IFERROR(__xludf.DUMMYFUNCTION("""COMPUTED_VALUE"""),"")</f>
        <v/>
      </c>
      <c r="C705" s="11" t="str">
        <f>IFERROR(__xludf.DUMMYFUNCTION("""COMPUTED_VALUE"""),"")</f>
        <v/>
      </c>
      <c r="D705" s="11" t="str">
        <f>IFERROR(__xludf.DUMMYFUNCTION("""COMPUTED_VALUE"""),"")</f>
        <v/>
      </c>
      <c r="E705" s="11" t="str">
        <f>IFERROR(__xludf.DUMMYFUNCTION("""COMPUTED_VALUE"""),"")</f>
        <v/>
      </c>
      <c r="F705" s="11" t="str">
        <f>IFERROR(__xludf.DUMMYFUNCTION("""COMPUTED_VALUE"""),"")</f>
        <v/>
      </c>
      <c r="G705" s="11" t="str">
        <f>IFERROR(__xludf.DUMMYFUNCTION("""COMPUTED_VALUE"""),"")</f>
        <v/>
      </c>
      <c r="H705" s="12" t="str">
        <f>IFERROR(__xludf.DUMMYFUNCTION("""COMPUTED_VALUE"""),"")</f>
        <v/>
      </c>
      <c r="I705" s="12" t="str">
        <f>IFERROR(__xludf.DUMMYFUNCTION("""COMPUTED_VALUE"""),"")</f>
        <v/>
      </c>
      <c r="J705" s="13" t="str">
        <f t="shared" si="1"/>
        <v/>
      </c>
      <c r="K705" s="12" t="str">
        <f>IFERROR(IF(A705="","",if($G705="",Reference!$J$2, VLOOKUP($G705,Reference!$I$2:$J$1000,2,false))),"")</f>
        <v/>
      </c>
      <c r="L705" s="12" t="str">
        <f>IF(A705="","", IF(F705="",Reference!$M$2,F705))</f>
        <v/>
      </c>
      <c r="M705" s="14" t="str">
        <f t="shared" si="2"/>
        <v/>
      </c>
      <c r="N705" s="15" t="str">
        <f t="shared" si="3"/>
        <v/>
      </c>
      <c r="O705" s="14" t="str">
        <f t="shared" si="4"/>
        <v/>
      </c>
      <c r="P705" s="16" t="str">
        <f t="array" ref="P705">IF($A705="","", IFERROR(INDEX('BM Data'!$N:$N,MATCH($J705&amp; "-" &amp; $N705,'BM Data'!$O:$O,0),1),""))</f>
        <v/>
      </c>
      <c r="Q705" s="16" t="str">
        <f t="array" ref="Q705">IF($A705="","", IFERROR(INDEX('BM Data'!$J:$J,MATCH($J705&amp; "-" &amp; $N705,'BM Data'!$O:$O,0),1),""))</f>
        <v/>
      </c>
    </row>
    <row r="706">
      <c r="A706" s="10" t="str">
        <f>IFERROR(__xludf.DUMMYFUNCTION("""COMPUTED_VALUE"""),"")</f>
        <v/>
      </c>
      <c r="B706" s="3" t="str">
        <f>IFERROR(__xludf.DUMMYFUNCTION("""COMPUTED_VALUE"""),"")</f>
        <v/>
      </c>
      <c r="C706" s="11" t="str">
        <f>IFERROR(__xludf.DUMMYFUNCTION("""COMPUTED_VALUE"""),"")</f>
        <v/>
      </c>
      <c r="D706" s="11" t="str">
        <f>IFERROR(__xludf.DUMMYFUNCTION("""COMPUTED_VALUE"""),"")</f>
        <v/>
      </c>
      <c r="E706" s="11" t="str">
        <f>IFERROR(__xludf.DUMMYFUNCTION("""COMPUTED_VALUE"""),"")</f>
        <v/>
      </c>
      <c r="F706" s="11" t="str">
        <f>IFERROR(__xludf.DUMMYFUNCTION("""COMPUTED_VALUE"""),"")</f>
        <v/>
      </c>
      <c r="G706" s="11" t="str">
        <f>IFERROR(__xludf.DUMMYFUNCTION("""COMPUTED_VALUE"""),"")</f>
        <v/>
      </c>
      <c r="H706" s="12" t="str">
        <f>IFERROR(__xludf.DUMMYFUNCTION("""COMPUTED_VALUE"""),"")</f>
        <v/>
      </c>
      <c r="I706" s="12" t="str">
        <f>IFERROR(__xludf.DUMMYFUNCTION("""COMPUTED_VALUE"""),"")</f>
        <v/>
      </c>
      <c r="J706" s="13" t="str">
        <f t="shared" si="1"/>
        <v/>
      </c>
      <c r="K706" s="12" t="str">
        <f>IFERROR(IF(A706="","",if($G706="",Reference!$J$2, VLOOKUP($G706,Reference!$I$2:$J$1000,2,false))),"")</f>
        <v/>
      </c>
      <c r="L706" s="12" t="str">
        <f>IF(A706="","", IF(F706="",Reference!$M$2,F706))</f>
        <v/>
      </c>
      <c r="M706" s="14" t="str">
        <f t="shared" si="2"/>
        <v/>
      </c>
      <c r="N706" s="15" t="str">
        <f t="shared" si="3"/>
        <v/>
      </c>
      <c r="O706" s="14" t="str">
        <f t="shared" si="4"/>
        <v/>
      </c>
      <c r="P706" s="16" t="str">
        <f t="array" ref="P706">IF($A706="","", IFERROR(INDEX('BM Data'!$N:$N,MATCH($J706&amp; "-" &amp; $N706,'BM Data'!$O:$O,0),1),""))</f>
        <v/>
      </c>
      <c r="Q706" s="16" t="str">
        <f t="array" ref="Q706">IF($A706="","", IFERROR(INDEX('BM Data'!$J:$J,MATCH($J706&amp; "-" &amp; $N706,'BM Data'!$O:$O,0),1),""))</f>
        <v/>
      </c>
    </row>
    <row r="707">
      <c r="A707" s="10" t="str">
        <f>IFERROR(__xludf.DUMMYFUNCTION("""COMPUTED_VALUE"""),"")</f>
        <v/>
      </c>
      <c r="B707" s="3" t="str">
        <f>IFERROR(__xludf.DUMMYFUNCTION("""COMPUTED_VALUE"""),"")</f>
        <v/>
      </c>
      <c r="C707" s="11" t="str">
        <f>IFERROR(__xludf.DUMMYFUNCTION("""COMPUTED_VALUE"""),"")</f>
        <v/>
      </c>
      <c r="D707" s="11" t="str">
        <f>IFERROR(__xludf.DUMMYFUNCTION("""COMPUTED_VALUE"""),"")</f>
        <v/>
      </c>
      <c r="E707" s="11" t="str">
        <f>IFERROR(__xludf.DUMMYFUNCTION("""COMPUTED_VALUE"""),"")</f>
        <v/>
      </c>
      <c r="F707" s="11" t="str">
        <f>IFERROR(__xludf.DUMMYFUNCTION("""COMPUTED_VALUE"""),"")</f>
        <v/>
      </c>
      <c r="G707" s="11" t="str">
        <f>IFERROR(__xludf.DUMMYFUNCTION("""COMPUTED_VALUE"""),"")</f>
        <v/>
      </c>
      <c r="H707" s="12" t="str">
        <f>IFERROR(__xludf.DUMMYFUNCTION("""COMPUTED_VALUE"""),"")</f>
        <v/>
      </c>
      <c r="I707" s="12" t="str">
        <f>IFERROR(__xludf.DUMMYFUNCTION("""COMPUTED_VALUE"""),"")</f>
        <v/>
      </c>
      <c r="J707" s="13" t="str">
        <f t="shared" si="1"/>
        <v/>
      </c>
      <c r="K707" s="12" t="str">
        <f>IFERROR(IF(A707="","",if($G707="",Reference!$J$2, VLOOKUP($G707,Reference!$I$2:$J$1000,2,false))),"")</f>
        <v/>
      </c>
      <c r="L707" s="12" t="str">
        <f>IF(A707="","", IF(F707="",Reference!$M$2,F707))</f>
        <v/>
      </c>
      <c r="M707" s="14" t="str">
        <f t="shared" si="2"/>
        <v/>
      </c>
      <c r="N707" s="15" t="str">
        <f t="shared" si="3"/>
        <v/>
      </c>
      <c r="O707" s="14" t="str">
        <f t="shared" si="4"/>
        <v/>
      </c>
      <c r="P707" s="16" t="str">
        <f t="array" ref="P707">IF($A707="","", IFERROR(INDEX('BM Data'!$N:$N,MATCH($J707&amp; "-" &amp; $N707,'BM Data'!$O:$O,0),1),""))</f>
        <v/>
      </c>
      <c r="Q707" s="16" t="str">
        <f t="array" ref="Q707">IF($A707="","", IFERROR(INDEX('BM Data'!$J:$J,MATCH($J707&amp; "-" &amp; $N707,'BM Data'!$O:$O,0),1),""))</f>
        <v/>
      </c>
    </row>
    <row r="708">
      <c r="A708" s="10" t="str">
        <f>IFERROR(__xludf.DUMMYFUNCTION("""COMPUTED_VALUE"""),"")</f>
        <v/>
      </c>
      <c r="B708" s="3" t="str">
        <f>IFERROR(__xludf.DUMMYFUNCTION("""COMPUTED_VALUE"""),"")</f>
        <v/>
      </c>
      <c r="C708" s="11" t="str">
        <f>IFERROR(__xludf.DUMMYFUNCTION("""COMPUTED_VALUE"""),"")</f>
        <v/>
      </c>
      <c r="D708" s="11" t="str">
        <f>IFERROR(__xludf.DUMMYFUNCTION("""COMPUTED_VALUE"""),"")</f>
        <v/>
      </c>
      <c r="E708" s="11" t="str">
        <f>IFERROR(__xludf.DUMMYFUNCTION("""COMPUTED_VALUE"""),"")</f>
        <v/>
      </c>
      <c r="F708" s="11" t="str">
        <f>IFERROR(__xludf.DUMMYFUNCTION("""COMPUTED_VALUE"""),"")</f>
        <v/>
      </c>
      <c r="G708" s="11" t="str">
        <f>IFERROR(__xludf.DUMMYFUNCTION("""COMPUTED_VALUE"""),"")</f>
        <v/>
      </c>
      <c r="H708" s="12" t="str">
        <f>IFERROR(__xludf.DUMMYFUNCTION("""COMPUTED_VALUE"""),"")</f>
        <v/>
      </c>
      <c r="I708" s="12" t="str">
        <f>IFERROR(__xludf.DUMMYFUNCTION("""COMPUTED_VALUE"""),"")</f>
        <v/>
      </c>
      <c r="J708" s="13" t="str">
        <f t="shared" si="1"/>
        <v/>
      </c>
      <c r="K708" s="12" t="str">
        <f>IFERROR(IF(A708="","",if($G708="",Reference!$J$2, VLOOKUP($G708,Reference!$I$2:$J$1000,2,false))),"")</f>
        <v/>
      </c>
      <c r="L708" s="12" t="str">
        <f>IF(A708="","", IF(F708="",Reference!$M$2,F708))</f>
        <v/>
      </c>
      <c r="M708" s="14" t="str">
        <f t="shared" si="2"/>
        <v/>
      </c>
      <c r="N708" s="15" t="str">
        <f t="shared" si="3"/>
        <v/>
      </c>
      <c r="O708" s="14" t="str">
        <f t="shared" si="4"/>
        <v/>
      </c>
      <c r="P708" s="16" t="str">
        <f t="array" ref="P708">IF($A708="","", IFERROR(INDEX('BM Data'!$N:$N,MATCH($J708&amp; "-" &amp; $N708,'BM Data'!$O:$O,0),1),""))</f>
        <v/>
      </c>
      <c r="Q708" s="16" t="str">
        <f t="array" ref="Q708">IF($A708="","", IFERROR(INDEX('BM Data'!$J:$J,MATCH($J708&amp; "-" &amp; $N708,'BM Data'!$O:$O,0),1),""))</f>
        <v/>
      </c>
    </row>
    <row r="709">
      <c r="A709" s="10" t="str">
        <f>IFERROR(__xludf.DUMMYFUNCTION("""COMPUTED_VALUE"""),"")</f>
        <v/>
      </c>
      <c r="B709" s="3" t="str">
        <f>IFERROR(__xludf.DUMMYFUNCTION("""COMPUTED_VALUE"""),"")</f>
        <v/>
      </c>
      <c r="C709" s="11" t="str">
        <f>IFERROR(__xludf.DUMMYFUNCTION("""COMPUTED_VALUE"""),"")</f>
        <v/>
      </c>
      <c r="D709" s="11" t="str">
        <f>IFERROR(__xludf.DUMMYFUNCTION("""COMPUTED_VALUE"""),"")</f>
        <v/>
      </c>
      <c r="E709" s="11" t="str">
        <f>IFERROR(__xludf.DUMMYFUNCTION("""COMPUTED_VALUE"""),"")</f>
        <v/>
      </c>
      <c r="F709" s="11" t="str">
        <f>IFERROR(__xludf.DUMMYFUNCTION("""COMPUTED_VALUE"""),"")</f>
        <v/>
      </c>
      <c r="G709" s="11" t="str">
        <f>IFERROR(__xludf.DUMMYFUNCTION("""COMPUTED_VALUE"""),"")</f>
        <v/>
      </c>
      <c r="H709" s="12" t="str">
        <f>IFERROR(__xludf.DUMMYFUNCTION("""COMPUTED_VALUE"""),"")</f>
        <v/>
      </c>
      <c r="I709" s="12" t="str">
        <f>IFERROR(__xludf.DUMMYFUNCTION("""COMPUTED_VALUE"""),"")</f>
        <v/>
      </c>
      <c r="J709" s="13" t="str">
        <f t="shared" si="1"/>
        <v/>
      </c>
      <c r="K709" s="12" t="str">
        <f>IFERROR(IF(A709="","",if($G709="",Reference!$J$2, VLOOKUP($G709,Reference!$I$2:$J$1000,2,false))),"")</f>
        <v/>
      </c>
      <c r="L709" s="12" t="str">
        <f>IF(A709="","", IF(F709="",Reference!$M$2,F709))</f>
        <v/>
      </c>
      <c r="M709" s="14" t="str">
        <f t="shared" si="2"/>
        <v/>
      </c>
      <c r="N709" s="15" t="str">
        <f t="shared" si="3"/>
        <v/>
      </c>
      <c r="O709" s="14" t="str">
        <f t="shared" si="4"/>
        <v/>
      </c>
      <c r="P709" s="16" t="str">
        <f t="array" ref="P709">IF($A709="","", IFERROR(INDEX('BM Data'!$N:$N,MATCH($J709&amp; "-" &amp; $N709,'BM Data'!$O:$O,0),1),""))</f>
        <v/>
      </c>
      <c r="Q709" s="16" t="str">
        <f t="array" ref="Q709">IF($A709="","", IFERROR(INDEX('BM Data'!$J:$J,MATCH($J709&amp; "-" &amp; $N709,'BM Data'!$O:$O,0),1),""))</f>
        <v/>
      </c>
    </row>
    <row r="710">
      <c r="A710" s="10" t="str">
        <f>IFERROR(__xludf.DUMMYFUNCTION("""COMPUTED_VALUE"""),"")</f>
        <v/>
      </c>
      <c r="B710" s="3" t="str">
        <f>IFERROR(__xludf.DUMMYFUNCTION("""COMPUTED_VALUE"""),"")</f>
        <v/>
      </c>
      <c r="C710" s="11" t="str">
        <f>IFERROR(__xludf.DUMMYFUNCTION("""COMPUTED_VALUE"""),"")</f>
        <v/>
      </c>
      <c r="D710" s="11" t="str">
        <f>IFERROR(__xludf.DUMMYFUNCTION("""COMPUTED_VALUE"""),"")</f>
        <v/>
      </c>
      <c r="E710" s="11" t="str">
        <f>IFERROR(__xludf.DUMMYFUNCTION("""COMPUTED_VALUE"""),"")</f>
        <v/>
      </c>
      <c r="F710" s="11" t="str">
        <f>IFERROR(__xludf.DUMMYFUNCTION("""COMPUTED_VALUE"""),"")</f>
        <v/>
      </c>
      <c r="G710" s="11" t="str">
        <f>IFERROR(__xludf.DUMMYFUNCTION("""COMPUTED_VALUE"""),"")</f>
        <v/>
      </c>
      <c r="H710" s="12" t="str">
        <f>IFERROR(__xludf.DUMMYFUNCTION("""COMPUTED_VALUE"""),"")</f>
        <v/>
      </c>
      <c r="I710" s="12" t="str">
        <f>IFERROR(__xludf.DUMMYFUNCTION("""COMPUTED_VALUE"""),"")</f>
        <v/>
      </c>
      <c r="J710" s="13" t="str">
        <f t="shared" si="1"/>
        <v/>
      </c>
      <c r="K710" s="12" t="str">
        <f>IFERROR(IF(A710="","",if($G710="",Reference!$J$2, VLOOKUP($G710,Reference!$I$2:$J$1000,2,false))),"")</f>
        <v/>
      </c>
      <c r="L710" s="12" t="str">
        <f>IF(A710="","", IF(F710="",Reference!$M$2,F710))</f>
        <v/>
      </c>
      <c r="M710" s="14" t="str">
        <f t="shared" si="2"/>
        <v/>
      </c>
      <c r="N710" s="15" t="str">
        <f t="shared" si="3"/>
        <v/>
      </c>
      <c r="O710" s="14" t="str">
        <f t="shared" si="4"/>
        <v/>
      </c>
      <c r="P710" s="16" t="str">
        <f t="array" ref="P710">IF($A710="","", IFERROR(INDEX('BM Data'!$N:$N,MATCH($J710&amp; "-" &amp; $N710,'BM Data'!$O:$O,0),1),""))</f>
        <v/>
      </c>
      <c r="Q710" s="16" t="str">
        <f t="array" ref="Q710">IF($A710="","", IFERROR(INDEX('BM Data'!$J:$J,MATCH($J710&amp; "-" &amp; $N710,'BM Data'!$O:$O,0),1),""))</f>
        <v/>
      </c>
    </row>
    <row r="711">
      <c r="A711" s="10" t="str">
        <f>IFERROR(__xludf.DUMMYFUNCTION("""COMPUTED_VALUE"""),"")</f>
        <v/>
      </c>
      <c r="B711" s="3" t="str">
        <f>IFERROR(__xludf.DUMMYFUNCTION("""COMPUTED_VALUE"""),"")</f>
        <v/>
      </c>
      <c r="C711" s="11" t="str">
        <f>IFERROR(__xludf.DUMMYFUNCTION("""COMPUTED_VALUE"""),"")</f>
        <v/>
      </c>
      <c r="D711" s="11" t="str">
        <f>IFERROR(__xludf.DUMMYFUNCTION("""COMPUTED_VALUE"""),"")</f>
        <v/>
      </c>
      <c r="E711" s="11" t="str">
        <f>IFERROR(__xludf.DUMMYFUNCTION("""COMPUTED_VALUE"""),"")</f>
        <v/>
      </c>
      <c r="F711" s="11" t="str">
        <f>IFERROR(__xludf.DUMMYFUNCTION("""COMPUTED_VALUE"""),"")</f>
        <v/>
      </c>
      <c r="G711" s="11" t="str">
        <f>IFERROR(__xludf.DUMMYFUNCTION("""COMPUTED_VALUE"""),"")</f>
        <v/>
      </c>
      <c r="H711" s="12" t="str">
        <f>IFERROR(__xludf.DUMMYFUNCTION("""COMPUTED_VALUE"""),"")</f>
        <v/>
      </c>
      <c r="I711" s="12" t="str">
        <f>IFERROR(__xludf.DUMMYFUNCTION("""COMPUTED_VALUE"""),"")</f>
        <v/>
      </c>
      <c r="J711" s="13" t="str">
        <f t="shared" si="1"/>
        <v/>
      </c>
      <c r="K711" s="12" t="str">
        <f>IFERROR(IF(A711="","",if($G711="",Reference!$J$2, VLOOKUP($G711,Reference!$I$2:$J$1000,2,false))),"")</f>
        <v/>
      </c>
      <c r="L711" s="12" t="str">
        <f>IF(A711="","", IF(F711="",Reference!$M$2,F711))</f>
        <v/>
      </c>
      <c r="M711" s="14" t="str">
        <f t="shared" si="2"/>
        <v/>
      </c>
      <c r="N711" s="15" t="str">
        <f t="shared" si="3"/>
        <v/>
      </c>
      <c r="O711" s="14" t="str">
        <f t="shared" si="4"/>
        <v/>
      </c>
      <c r="P711" s="16" t="str">
        <f t="array" ref="P711">IF($A711="","", IFERROR(INDEX('BM Data'!$N:$N,MATCH($J711&amp; "-" &amp; $N711,'BM Data'!$O:$O,0),1),""))</f>
        <v/>
      </c>
      <c r="Q711" s="16" t="str">
        <f t="array" ref="Q711">IF($A711="","", IFERROR(INDEX('BM Data'!$J:$J,MATCH($J711&amp; "-" &amp; $N711,'BM Data'!$O:$O,0),1),""))</f>
        <v/>
      </c>
    </row>
    <row r="712">
      <c r="A712" s="10" t="str">
        <f>IFERROR(__xludf.DUMMYFUNCTION("""COMPUTED_VALUE"""),"")</f>
        <v/>
      </c>
      <c r="B712" s="3" t="str">
        <f>IFERROR(__xludf.DUMMYFUNCTION("""COMPUTED_VALUE"""),"")</f>
        <v/>
      </c>
      <c r="C712" s="11" t="str">
        <f>IFERROR(__xludf.DUMMYFUNCTION("""COMPUTED_VALUE"""),"")</f>
        <v/>
      </c>
      <c r="D712" s="11" t="str">
        <f>IFERROR(__xludf.DUMMYFUNCTION("""COMPUTED_VALUE"""),"")</f>
        <v/>
      </c>
      <c r="E712" s="11" t="str">
        <f>IFERROR(__xludf.DUMMYFUNCTION("""COMPUTED_VALUE"""),"")</f>
        <v/>
      </c>
      <c r="F712" s="11" t="str">
        <f>IFERROR(__xludf.DUMMYFUNCTION("""COMPUTED_VALUE"""),"")</f>
        <v/>
      </c>
      <c r="G712" s="11" t="str">
        <f>IFERROR(__xludf.DUMMYFUNCTION("""COMPUTED_VALUE"""),"")</f>
        <v/>
      </c>
      <c r="H712" s="12" t="str">
        <f>IFERROR(__xludf.DUMMYFUNCTION("""COMPUTED_VALUE"""),"")</f>
        <v/>
      </c>
      <c r="I712" s="12" t="str">
        <f>IFERROR(__xludf.DUMMYFUNCTION("""COMPUTED_VALUE"""),"")</f>
        <v/>
      </c>
      <c r="J712" s="13" t="str">
        <f t="shared" si="1"/>
        <v/>
      </c>
      <c r="K712" s="12" t="str">
        <f>IFERROR(IF(A712="","",if($G712="",Reference!$J$2, VLOOKUP($G712,Reference!$I$2:$J$1000,2,false))),"")</f>
        <v/>
      </c>
      <c r="L712" s="12" t="str">
        <f>IF(A712="","", IF(F712="",Reference!$M$2,F712))</f>
        <v/>
      </c>
      <c r="M712" s="14" t="str">
        <f t="shared" si="2"/>
        <v/>
      </c>
      <c r="N712" s="15" t="str">
        <f t="shared" si="3"/>
        <v/>
      </c>
      <c r="O712" s="14" t="str">
        <f t="shared" si="4"/>
        <v/>
      </c>
      <c r="P712" s="16" t="str">
        <f t="array" ref="P712">IF($A712="","", IFERROR(INDEX('BM Data'!$N:$N,MATCH($J712&amp; "-" &amp; $N712,'BM Data'!$O:$O,0),1),""))</f>
        <v/>
      </c>
      <c r="Q712" s="16" t="str">
        <f t="array" ref="Q712">IF($A712="","", IFERROR(INDEX('BM Data'!$J:$J,MATCH($J712&amp; "-" &amp; $N712,'BM Data'!$O:$O,0),1),""))</f>
        <v/>
      </c>
    </row>
    <row r="713">
      <c r="A713" s="10" t="str">
        <f>IFERROR(__xludf.DUMMYFUNCTION("""COMPUTED_VALUE"""),"")</f>
        <v/>
      </c>
      <c r="B713" s="3" t="str">
        <f>IFERROR(__xludf.DUMMYFUNCTION("""COMPUTED_VALUE"""),"")</f>
        <v/>
      </c>
      <c r="C713" s="11" t="str">
        <f>IFERROR(__xludf.DUMMYFUNCTION("""COMPUTED_VALUE"""),"")</f>
        <v/>
      </c>
      <c r="D713" s="11" t="str">
        <f>IFERROR(__xludf.DUMMYFUNCTION("""COMPUTED_VALUE"""),"")</f>
        <v/>
      </c>
      <c r="E713" s="11" t="str">
        <f>IFERROR(__xludf.DUMMYFUNCTION("""COMPUTED_VALUE"""),"")</f>
        <v/>
      </c>
      <c r="F713" s="11" t="str">
        <f>IFERROR(__xludf.DUMMYFUNCTION("""COMPUTED_VALUE"""),"")</f>
        <v/>
      </c>
      <c r="G713" s="11" t="str">
        <f>IFERROR(__xludf.DUMMYFUNCTION("""COMPUTED_VALUE"""),"")</f>
        <v/>
      </c>
      <c r="H713" s="12" t="str">
        <f>IFERROR(__xludf.DUMMYFUNCTION("""COMPUTED_VALUE"""),"")</f>
        <v/>
      </c>
      <c r="I713" s="12" t="str">
        <f>IFERROR(__xludf.DUMMYFUNCTION("""COMPUTED_VALUE"""),"")</f>
        <v/>
      </c>
      <c r="J713" s="13" t="str">
        <f t="shared" si="1"/>
        <v/>
      </c>
      <c r="K713" s="12" t="str">
        <f>IFERROR(IF(A713="","",if($G713="",Reference!$J$2, VLOOKUP($G713,Reference!$I$2:$J$1000,2,false))),"")</f>
        <v/>
      </c>
      <c r="L713" s="12" t="str">
        <f>IF(A713="","", IF(F713="",Reference!$M$2,F713))</f>
        <v/>
      </c>
      <c r="M713" s="14" t="str">
        <f t="shared" si="2"/>
        <v/>
      </c>
      <c r="N713" s="15" t="str">
        <f t="shared" si="3"/>
        <v/>
      </c>
      <c r="O713" s="14" t="str">
        <f t="shared" si="4"/>
        <v/>
      </c>
      <c r="P713" s="16" t="str">
        <f t="array" ref="P713">IF($A713="","", IFERROR(INDEX('BM Data'!$N:$N,MATCH($J713&amp; "-" &amp; $N713,'BM Data'!$O:$O,0),1),""))</f>
        <v/>
      </c>
      <c r="Q713" s="16" t="str">
        <f t="array" ref="Q713">IF($A713="","", IFERROR(INDEX('BM Data'!$J:$J,MATCH($J713&amp; "-" &amp; $N713,'BM Data'!$O:$O,0),1),""))</f>
        <v/>
      </c>
    </row>
    <row r="714">
      <c r="A714" s="10" t="str">
        <f>IFERROR(__xludf.DUMMYFUNCTION("""COMPUTED_VALUE"""),"")</f>
        <v/>
      </c>
      <c r="B714" s="3" t="str">
        <f>IFERROR(__xludf.DUMMYFUNCTION("""COMPUTED_VALUE"""),"")</f>
        <v/>
      </c>
      <c r="C714" s="11" t="str">
        <f>IFERROR(__xludf.DUMMYFUNCTION("""COMPUTED_VALUE"""),"")</f>
        <v/>
      </c>
      <c r="D714" s="11" t="str">
        <f>IFERROR(__xludf.DUMMYFUNCTION("""COMPUTED_VALUE"""),"")</f>
        <v/>
      </c>
      <c r="E714" s="11" t="str">
        <f>IFERROR(__xludf.DUMMYFUNCTION("""COMPUTED_VALUE"""),"")</f>
        <v/>
      </c>
      <c r="F714" s="11" t="str">
        <f>IFERROR(__xludf.DUMMYFUNCTION("""COMPUTED_VALUE"""),"")</f>
        <v/>
      </c>
      <c r="G714" s="11" t="str">
        <f>IFERROR(__xludf.DUMMYFUNCTION("""COMPUTED_VALUE"""),"")</f>
        <v/>
      </c>
      <c r="H714" s="12" t="str">
        <f>IFERROR(__xludf.DUMMYFUNCTION("""COMPUTED_VALUE"""),"")</f>
        <v/>
      </c>
      <c r="I714" s="12" t="str">
        <f>IFERROR(__xludf.DUMMYFUNCTION("""COMPUTED_VALUE"""),"")</f>
        <v/>
      </c>
      <c r="J714" s="13" t="str">
        <f t="shared" si="1"/>
        <v/>
      </c>
      <c r="K714" s="12" t="str">
        <f>IFERROR(IF(A714="","",if($G714="",Reference!$J$2, VLOOKUP($G714,Reference!$I$2:$J$1000,2,false))),"")</f>
        <v/>
      </c>
      <c r="L714" s="12" t="str">
        <f>IF(A714="","", IF(F714="",Reference!$M$2,F714))</f>
        <v/>
      </c>
      <c r="M714" s="14" t="str">
        <f t="shared" si="2"/>
        <v/>
      </c>
      <c r="N714" s="15" t="str">
        <f t="shared" si="3"/>
        <v/>
      </c>
      <c r="O714" s="14" t="str">
        <f t="shared" si="4"/>
        <v/>
      </c>
      <c r="P714" s="16" t="str">
        <f t="array" ref="P714">IF($A714="","", IFERROR(INDEX('BM Data'!$N:$N,MATCH($J714&amp; "-" &amp; $N714,'BM Data'!$O:$O,0),1),""))</f>
        <v/>
      </c>
      <c r="Q714" s="16" t="str">
        <f t="array" ref="Q714">IF($A714="","", IFERROR(INDEX('BM Data'!$J:$J,MATCH($J714&amp; "-" &amp; $N714,'BM Data'!$O:$O,0),1),""))</f>
        <v/>
      </c>
    </row>
    <row r="715">
      <c r="A715" s="10" t="str">
        <f>IFERROR(__xludf.DUMMYFUNCTION("""COMPUTED_VALUE"""),"")</f>
        <v/>
      </c>
      <c r="B715" s="3" t="str">
        <f>IFERROR(__xludf.DUMMYFUNCTION("""COMPUTED_VALUE"""),"")</f>
        <v/>
      </c>
      <c r="C715" s="11" t="str">
        <f>IFERROR(__xludf.DUMMYFUNCTION("""COMPUTED_VALUE"""),"")</f>
        <v/>
      </c>
      <c r="D715" s="11" t="str">
        <f>IFERROR(__xludf.DUMMYFUNCTION("""COMPUTED_VALUE"""),"")</f>
        <v/>
      </c>
      <c r="E715" s="11" t="str">
        <f>IFERROR(__xludf.DUMMYFUNCTION("""COMPUTED_VALUE"""),"")</f>
        <v/>
      </c>
      <c r="F715" s="11" t="str">
        <f>IFERROR(__xludf.DUMMYFUNCTION("""COMPUTED_VALUE"""),"")</f>
        <v/>
      </c>
      <c r="G715" s="11" t="str">
        <f>IFERROR(__xludf.DUMMYFUNCTION("""COMPUTED_VALUE"""),"")</f>
        <v/>
      </c>
      <c r="H715" s="12" t="str">
        <f>IFERROR(__xludf.DUMMYFUNCTION("""COMPUTED_VALUE"""),"")</f>
        <v/>
      </c>
      <c r="I715" s="12" t="str">
        <f>IFERROR(__xludf.DUMMYFUNCTION("""COMPUTED_VALUE"""),"")</f>
        <v/>
      </c>
      <c r="J715" s="13" t="str">
        <f t="shared" si="1"/>
        <v/>
      </c>
      <c r="K715" s="12" t="str">
        <f>IFERROR(IF(A715="","",if($G715="",Reference!$J$2, VLOOKUP($G715,Reference!$I$2:$J$1000,2,false))),"")</f>
        <v/>
      </c>
      <c r="L715" s="12" t="str">
        <f>IF(A715="","", IF(F715="",Reference!$M$2,F715))</f>
        <v/>
      </c>
      <c r="M715" s="14" t="str">
        <f t="shared" si="2"/>
        <v/>
      </c>
      <c r="N715" s="15" t="str">
        <f t="shared" si="3"/>
        <v/>
      </c>
      <c r="O715" s="14" t="str">
        <f t="shared" si="4"/>
        <v/>
      </c>
      <c r="P715" s="16" t="str">
        <f t="array" ref="P715">IF($A715="","", IFERROR(INDEX('BM Data'!$N:$N,MATCH($J715&amp; "-" &amp; $N715,'BM Data'!$O:$O,0),1),""))</f>
        <v/>
      </c>
      <c r="Q715" s="16" t="str">
        <f t="array" ref="Q715">IF($A715="","", IFERROR(INDEX('BM Data'!$J:$J,MATCH($J715&amp; "-" &amp; $N715,'BM Data'!$O:$O,0),1),""))</f>
        <v/>
      </c>
    </row>
    <row r="716">
      <c r="A716" s="10" t="str">
        <f>IFERROR(__xludf.DUMMYFUNCTION("""COMPUTED_VALUE"""),"")</f>
        <v/>
      </c>
      <c r="B716" s="3" t="str">
        <f>IFERROR(__xludf.DUMMYFUNCTION("""COMPUTED_VALUE"""),"")</f>
        <v/>
      </c>
      <c r="C716" s="11" t="str">
        <f>IFERROR(__xludf.DUMMYFUNCTION("""COMPUTED_VALUE"""),"")</f>
        <v/>
      </c>
      <c r="D716" s="11" t="str">
        <f>IFERROR(__xludf.DUMMYFUNCTION("""COMPUTED_VALUE"""),"")</f>
        <v/>
      </c>
      <c r="E716" s="11" t="str">
        <f>IFERROR(__xludf.DUMMYFUNCTION("""COMPUTED_VALUE"""),"")</f>
        <v/>
      </c>
      <c r="F716" s="11" t="str">
        <f>IFERROR(__xludf.DUMMYFUNCTION("""COMPUTED_VALUE"""),"")</f>
        <v/>
      </c>
      <c r="G716" s="11" t="str">
        <f>IFERROR(__xludf.DUMMYFUNCTION("""COMPUTED_VALUE"""),"")</f>
        <v/>
      </c>
      <c r="H716" s="12" t="str">
        <f>IFERROR(__xludf.DUMMYFUNCTION("""COMPUTED_VALUE"""),"")</f>
        <v/>
      </c>
      <c r="I716" s="12" t="str">
        <f>IFERROR(__xludf.DUMMYFUNCTION("""COMPUTED_VALUE"""),"")</f>
        <v/>
      </c>
      <c r="J716" s="13" t="str">
        <f t="shared" si="1"/>
        <v/>
      </c>
      <c r="K716" s="12" t="str">
        <f>IFERROR(IF(A716="","",if($G716="",Reference!$J$2, VLOOKUP($G716,Reference!$I$2:$J$1000,2,false))),"")</f>
        <v/>
      </c>
      <c r="L716" s="12" t="str">
        <f>IF(A716="","", IF(F716="",Reference!$M$2,F716))</f>
        <v/>
      </c>
      <c r="M716" s="14" t="str">
        <f t="shared" si="2"/>
        <v/>
      </c>
      <c r="N716" s="15" t="str">
        <f t="shared" si="3"/>
        <v/>
      </c>
      <c r="O716" s="14" t="str">
        <f t="shared" si="4"/>
        <v/>
      </c>
      <c r="P716" s="16" t="str">
        <f t="array" ref="P716">IF($A716="","", IFERROR(INDEX('BM Data'!$N:$N,MATCH($J716&amp; "-" &amp; $N716,'BM Data'!$O:$O,0),1),""))</f>
        <v/>
      </c>
      <c r="Q716" s="16" t="str">
        <f t="array" ref="Q716">IF($A716="","", IFERROR(INDEX('BM Data'!$J:$J,MATCH($J716&amp; "-" &amp; $N716,'BM Data'!$O:$O,0),1),""))</f>
        <v/>
      </c>
    </row>
    <row r="717">
      <c r="A717" s="10" t="str">
        <f>IFERROR(__xludf.DUMMYFUNCTION("""COMPUTED_VALUE"""),"")</f>
        <v/>
      </c>
      <c r="B717" s="3" t="str">
        <f>IFERROR(__xludf.DUMMYFUNCTION("""COMPUTED_VALUE"""),"")</f>
        <v/>
      </c>
      <c r="C717" s="11" t="str">
        <f>IFERROR(__xludf.DUMMYFUNCTION("""COMPUTED_VALUE"""),"")</f>
        <v/>
      </c>
      <c r="D717" s="11" t="str">
        <f>IFERROR(__xludf.DUMMYFUNCTION("""COMPUTED_VALUE"""),"")</f>
        <v/>
      </c>
      <c r="E717" s="11" t="str">
        <f>IFERROR(__xludf.DUMMYFUNCTION("""COMPUTED_VALUE"""),"")</f>
        <v/>
      </c>
      <c r="F717" s="11" t="str">
        <f>IFERROR(__xludf.DUMMYFUNCTION("""COMPUTED_VALUE"""),"")</f>
        <v/>
      </c>
      <c r="G717" s="11" t="str">
        <f>IFERROR(__xludf.DUMMYFUNCTION("""COMPUTED_VALUE"""),"")</f>
        <v/>
      </c>
      <c r="H717" s="12" t="str">
        <f>IFERROR(__xludf.DUMMYFUNCTION("""COMPUTED_VALUE"""),"")</f>
        <v/>
      </c>
      <c r="I717" s="12" t="str">
        <f>IFERROR(__xludf.DUMMYFUNCTION("""COMPUTED_VALUE"""),"")</f>
        <v/>
      </c>
      <c r="J717" s="13" t="str">
        <f t="shared" si="1"/>
        <v/>
      </c>
      <c r="K717" s="12" t="str">
        <f>IFERROR(IF(A717="","",if($G717="",Reference!$J$2, VLOOKUP($G717,Reference!$I$2:$J$1000,2,false))),"")</f>
        <v/>
      </c>
      <c r="L717" s="12" t="str">
        <f>IF(A717="","", IF(F717="",Reference!$M$2,F717))</f>
        <v/>
      </c>
      <c r="M717" s="14" t="str">
        <f t="shared" si="2"/>
        <v/>
      </c>
      <c r="N717" s="15" t="str">
        <f t="shared" si="3"/>
        <v/>
      </c>
      <c r="O717" s="14" t="str">
        <f t="shared" si="4"/>
        <v/>
      </c>
      <c r="P717" s="16" t="str">
        <f t="array" ref="P717">IF($A717="","", IFERROR(INDEX('BM Data'!$N:$N,MATCH($J717&amp; "-" &amp; $N717,'BM Data'!$O:$O,0),1),""))</f>
        <v/>
      </c>
      <c r="Q717" s="16" t="str">
        <f t="array" ref="Q717">IF($A717="","", IFERROR(INDEX('BM Data'!$J:$J,MATCH($J717&amp; "-" &amp; $N717,'BM Data'!$O:$O,0),1),""))</f>
        <v/>
      </c>
    </row>
    <row r="718">
      <c r="A718" s="10" t="str">
        <f>IFERROR(__xludf.DUMMYFUNCTION("""COMPUTED_VALUE"""),"")</f>
        <v/>
      </c>
      <c r="B718" s="3" t="str">
        <f>IFERROR(__xludf.DUMMYFUNCTION("""COMPUTED_VALUE"""),"")</f>
        <v/>
      </c>
      <c r="C718" s="11" t="str">
        <f>IFERROR(__xludf.DUMMYFUNCTION("""COMPUTED_VALUE"""),"")</f>
        <v/>
      </c>
      <c r="D718" s="11" t="str">
        <f>IFERROR(__xludf.DUMMYFUNCTION("""COMPUTED_VALUE"""),"")</f>
        <v/>
      </c>
      <c r="E718" s="11" t="str">
        <f>IFERROR(__xludf.DUMMYFUNCTION("""COMPUTED_VALUE"""),"")</f>
        <v/>
      </c>
      <c r="F718" s="11" t="str">
        <f>IFERROR(__xludf.DUMMYFUNCTION("""COMPUTED_VALUE"""),"")</f>
        <v/>
      </c>
      <c r="G718" s="11" t="str">
        <f>IFERROR(__xludf.DUMMYFUNCTION("""COMPUTED_VALUE"""),"")</f>
        <v/>
      </c>
      <c r="H718" s="12" t="str">
        <f>IFERROR(__xludf.DUMMYFUNCTION("""COMPUTED_VALUE"""),"")</f>
        <v/>
      </c>
      <c r="I718" s="12" t="str">
        <f>IFERROR(__xludf.DUMMYFUNCTION("""COMPUTED_VALUE"""),"")</f>
        <v/>
      </c>
      <c r="J718" s="13" t="str">
        <f t="shared" si="1"/>
        <v/>
      </c>
      <c r="K718" s="12" t="str">
        <f>IFERROR(IF(A718="","",if($G718="",Reference!$J$2, VLOOKUP($G718,Reference!$I$2:$J$1000,2,false))),"")</f>
        <v/>
      </c>
      <c r="L718" s="12" t="str">
        <f>IF(A718="","", IF(F718="",Reference!$M$2,F718))</f>
        <v/>
      </c>
      <c r="M718" s="14" t="str">
        <f t="shared" si="2"/>
        <v/>
      </c>
      <c r="N718" s="15" t="str">
        <f t="shared" si="3"/>
        <v/>
      </c>
      <c r="O718" s="14" t="str">
        <f t="shared" si="4"/>
        <v/>
      </c>
      <c r="P718" s="16" t="str">
        <f t="array" ref="P718">IF($A718="","", IFERROR(INDEX('BM Data'!$N:$N,MATCH($J718&amp; "-" &amp; $N718,'BM Data'!$O:$O,0),1),""))</f>
        <v/>
      </c>
      <c r="Q718" s="16" t="str">
        <f t="array" ref="Q718">IF($A718="","", IFERROR(INDEX('BM Data'!$J:$J,MATCH($J718&amp; "-" &amp; $N718,'BM Data'!$O:$O,0),1),""))</f>
        <v/>
      </c>
    </row>
    <row r="719">
      <c r="A719" s="10" t="str">
        <f>IFERROR(__xludf.DUMMYFUNCTION("""COMPUTED_VALUE"""),"")</f>
        <v/>
      </c>
      <c r="B719" s="3" t="str">
        <f>IFERROR(__xludf.DUMMYFUNCTION("""COMPUTED_VALUE"""),"")</f>
        <v/>
      </c>
      <c r="C719" s="11" t="str">
        <f>IFERROR(__xludf.DUMMYFUNCTION("""COMPUTED_VALUE"""),"")</f>
        <v/>
      </c>
      <c r="D719" s="11" t="str">
        <f>IFERROR(__xludf.DUMMYFUNCTION("""COMPUTED_VALUE"""),"")</f>
        <v/>
      </c>
      <c r="E719" s="11" t="str">
        <f>IFERROR(__xludf.DUMMYFUNCTION("""COMPUTED_VALUE"""),"")</f>
        <v/>
      </c>
      <c r="F719" s="11" t="str">
        <f>IFERROR(__xludf.DUMMYFUNCTION("""COMPUTED_VALUE"""),"")</f>
        <v/>
      </c>
      <c r="G719" s="11" t="str">
        <f>IFERROR(__xludf.DUMMYFUNCTION("""COMPUTED_VALUE"""),"")</f>
        <v/>
      </c>
      <c r="H719" s="12" t="str">
        <f>IFERROR(__xludf.DUMMYFUNCTION("""COMPUTED_VALUE"""),"")</f>
        <v/>
      </c>
      <c r="I719" s="12" t="str">
        <f>IFERROR(__xludf.DUMMYFUNCTION("""COMPUTED_VALUE"""),"")</f>
        <v/>
      </c>
      <c r="J719" s="13" t="str">
        <f t="shared" si="1"/>
        <v/>
      </c>
      <c r="K719" s="12" t="str">
        <f>IFERROR(IF(A719="","",if($G719="",Reference!$J$2, VLOOKUP($G719,Reference!$I$2:$J$1000,2,false))),"")</f>
        <v/>
      </c>
      <c r="L719" s="12" t="str">
        <f>IF(A719="","", IF(F719="",Reference!$M$2,F719))</f>
        <v/>
      </c>
      <c r="M719" s="14" t="str">
        <f t="shared" si="2"/>
        <v/>
      </c>
      <c r="N719" s="15" t="str">
        <f t="shared" si="3"/>
        <v/>
      </c>
      <c r="O719" s="14" t="str">
        <f t="shared" si="4"/>
        <v/>
      </c>
      <c r="P719" s="16" t="str">
        <f t="array" ref="P719">IF($A719="","", IFERROR(INDEX('BM Data'!$N:$N,MATCH($J719&amp; "-" &amp; $N719,'BM Data'!$O:$O,0),1),""))</f>
        <v/>
      </c>
      <c r="Q719" s="16" t="str">
        <f t="array" ref="Q719">IF($A719="","", IFERROR(INDEX('BM Data'!$J:$J,MATCH($J719&amp; "-" &amp; $N719,'BM Data'!$O:$O,0),1),""))</f>
        <v/>
      </c>
    </row>
    <row r="720">
      <c r="A720" s="10" t="str">
        <f>IFERROR(__xludf.DUMMYFUNCTION("""COMPUTED_VALUE"""),"")</f>
        <v/>
      </c>
      <c r="B720" s="3" t="str">
        <f>IFERROR(__xludf.DUMMYFUNCTION("""COMPUTED_VALUE"""),"")</f>
        <v/>
      </c>
      <c r="C720" s="11" t="str">
        <f>IFERROR(__xludf.DUMMYFUNCTION("""COMPUTED_VALUE"""),"")</f>
        <v/>
      </c>
      <c r="D720" s="11" t="str">
        <f>IFERROR(__xludf.DUMMYFUNCTION("""COMPUTED_VALUE"""),"")</f>
        <v/>
      </c>
      <c r="E720" s="11" t="str">
        <f>IFERROR(__xludf.DUMMYFUNCTION("""COMPUTED_VALUE"""),"")</f>
        <v/>
      </c>
      <c r="F720" s="11" t="str">
        <f>IFERROR(__xludf.DUMMYFUNCTION("""COMPUTED_VALUE"""),"")</f>
        <v/>
      </c>
      <c r="G720" s="11" t="str">
        <f>IFERROR(__xludf.DUMMYFUNCTION("""COMPUTED_VALUE"""),"")</f>
        <v/>
      </c>
      <c r="H720" s="12" t="str">
        <f>IFERROR(__xludf.DUMMYFUNCTION("""COMPUTED_VALUE"""),"")</f>
        <v/>
      </c>
      <c r="I720" s="12" t="str">
        <f>IFERROR(__xludf.DUMMYFUNCTION("""COMPUTED_VALUE"""),"")</f>
        <v/>
      </c>
      <c r="J720" s="13" t="str">
        <f t="shared" si="1"/>
        <v/>
      </c>
      <c r="K720" s="12" t="str">
        <f>IFERROR(IF(A720="","",if($G720="",Reference!$J$2, VLOOKUP($G720,Reference!$I$2:$J$1000,2,false))),"")</f>
        <v/>
      </c>
      <c r="L720" s="12" t="str">
        <f>IF(A720="","", IF(F720="",Reference!$M$2,F720))</f>
        <v/>
      </c>
      <c r="M720" s="14" t="str">
        <f t="shared" si="2"/>
        <v/>
      </c>
      <c r="N720" s="15" t="str">
        <f t="shared" si="3"/>
        <v/>
      </c>
      <c r="O720" s="14" t="str">
        <f t="shared" si="4"/>
        <v/>
      </c>
      <c r="P720" s="16" t="str">
        <f t="array" ref="P720">IF($A720="","", IFERROR(INDEX('BM Data'!$N:$N,MATCH($J720&amp; "-" &amp; $N720,'BM Data'!$O:$O,0),1),""))</f>
        <v/>
      </c>
      <c r="Q720" s="16" t="str">
        <f t="array" ref="Q720">IF($A720="","", IFERROR(INDEX('BM Data'!$J:$J,MATCH($J720&amp; "-" &amp; $N720,'BM Data'!$O:$O,0),1),""))</f>
        <v/>
      </c>
    </row>
    <row r="721">
      <c r="A721" s="10" t="str">
        <f>IFERROR(__xludf.DUMMYFUNCTION("""COMPUTED_VALUE"""),"")</f>
        <v/>
      </c>
      <c r="B721" s="3" t="str">
        <f>IFERROR(__xludf.DUMMYFUNCTION("""COMPUTED_VALUE"""),"")</f>
        <v/>
      </c>
      <c r="C721" s="11" t="str">
        <f>IFERROR(__xludf.DUMMYFUNCTION("""COMPUTED_VALUE"""),"")</f>
        <v/>
      </c>
      <c r="D721" s="11" t="str">
        <f>IFERROR(__xludf.DUMMYFUNCTION("""COMPUTED_VALUE"""),"")</f>
        <v/>
      </c>
      <c r="E721" s="11" t="str">
        <f>IFERROR(__xludf.DUMMYFUNCTION("""COMPUTED_VALUE"""),"")</f>
        <v/>
      </c>
      <c r="F721" s="11" t="str">
        <f>IFERROR(__xludf.DUMMYFUNCTION("""COMPUTED_VALUE"""),"")</f>
        <v/>
      </c>
      <c r="G721" s="11" t="str">
        <f>IFERROR(__xludf.DUMMYFUNCTION("""COMPUTED_VALUE"""),"")</f>
        <v/>
      </c>
      <c r="H721" s="12" t="str">
        <f>IFERROR(__xludf.DUMMYFUNCTION("""COMPUTED_VALUE"""),"")</f>
        <v/>
      </c>
      <c r="I721" s="12" t="str">
        <f>IFERROR(__xludf.DUMMYFUNCTION("""COMPUTED_VALUE"""),"")</f>
        <v/>
      </c>
      <c r="J721" s="13" t="str">
        <f t="shared" si="1"/>
        <v/>
      </c>
      <c r="K721" s="12" t="str">
        <f>IFERROR(IF(A721="","",if($G721="",Reference!$J$2, VLOOKUP($G721,Reference!$I$2:$J$1000,2,false))),"")</f>
        <v/>
      </c>
      <c r="L721" s="12" t="str">
        <f>IF(A721="","", IF(F721="",Reference!$M$2,F721))</f>
        <v/>
      </c>
      <c r="M721" s="14" t="str">
        <f t="shared" si="2"/>
        <v/>
      </c>
      <c r="N721" s="15" t="str">
        <f t="shared" si="3"/>
        <v/>
      </c>
      <c r="O721" s="14" t="str">
        <f t="shared" si="4"/>
        <v/>
      </c>
      <c r="P721" s="16" t="str">
        <f t="array" ref="P721">IF($A721="","", IFERROR(INDEX('BM Data'!$N:$N,MATCH($J721&amp; "-" &amp; $N721,'BM Data'!$O:$O,0),1),""))</f>
        <v/>
      </c>
      <c r="Q721" s="16" t="str">
        <f t="array" ref="Q721">IF($A721="","", IFERROR(INDEX('BM Data'!$J:$J,MATCH($J721&amp; "-" &amp; $N721,'BM Data'!$O:$O,0),1),""))</f>
        <v/>
      </c>
    </row>
    <row r="722">
      <c r="A722" s="10" t="str">
        <f>IFERROR(__xludf.DUMMYFUNCTION("""COMPUTED_VALUE"""),"")</f>
        <v/>
      </c>
      <c r="B722" s="3" t="str">
        <f>IFERROR(__xludf.DUMMYFUNCTION("""COMPUTED_VALUE"""),"")</f>
        <v/>
      </c>
      <c r="C722" s="11" t="str">
        <f>IFERROR(__xludf.DUMMYFUNCTION("""COMPUTED_VALUE"""),"")</f>
        <v/>
      </c>
      <c r="D722" s="11" t="str">
        <f>IFERROR(__xludf.DUMMYFUNCTION("""COMPUTED_VALUE"""),"")</f>
        <v/>
      </c>
      <c r="E722" s="11" t="str">
        <f>IFERROR(__xludf.DUMMYFUNCTION("""COMPUTED_VALUE"""),"")</f>
        <v/>
      </c>
      <c r="F722" s="11" t="str">
        <f>IFERROR(__xludf.DUMMYFUNCTION("""COMPUTED_VALUE"""),"")</f>
        <v/>
      </c>
      <c r="G722" s="11" t="str">
        <f>IFERROR(__xludf.DUMMYFUNCTION("""COMPUTED_VALUE"""),"")</f>
        <v/>
      </c>
      <c r="H722" s="12" t="str">
        <f>IFERROR(__xludf.DUMMYFUNCTION("""COMPUTED_VALUE"""),"")</f>
        <v/>
      </c>
      <c r="I722" s="12" t="str">
        <f>IFERROR(__xludf.DUMMYFUNCTION("""COMPUTED_VALUE"""),"")</f>
        <v/>
      </c>
      <c r="J722" s="13" t="str">
        <f t="shared" si="1"/>
        <v/>
      </c>
      <c r="K722" s="12" t="str">
        <f>IFERROR(IF(A722="","",if($G722="",Reference!$J$2, VLOOKUP($G722,Reference!$I$2:$J$1000,2,false))),"")</f>
        <v/>
      </c>
      <c r="L722" s="12" t="str">
        <f>IF(A722="","", IF(F722="",Reference!$M$2,F722))</f>
        <v/>
      </c>
      <c r="M722" s="14" t="str">
        <f t="shared" si="2"/>
        <v/>
      </c>
      <c r="N722" s="15" t="str">
        <f t="shared" si="3"/>
        <v/>
      </c>
      <c r="O722" s="14" t="str">
        <f t="shared" si="4"/>
        <v/>
      </c>
      <c r="P722" s="16" t="str">
        <f t="array" ref="P722">IF($A722="","", IFERROR(INDEX('BM Data'!$N:$N,MATCH($J722&amp; "-" &amp; $N722,'BM Data'!$O:$O,0),1),""))</f>
        <v/>
      </c>
      <c r="Q722" s="16" t="str">
        <f t="array" ref="Q722">IF($A722="","", IFERROR(INDEX('BM Data'!$J:$J,MATCH($J722&amp; "-" &amp; $N722,'BM Data'!$O:$O,0),1),""))</f>
        <v/>
      </c>
    </row>
    <row r="723">
      <c r="A723" s="10" t="str">
        <f>IFERROR(__xludf.DUMMYFUNCTION("""COMPUTED_VALUE"""),"")</f>
        <v/>
      </c>
      <c r="B723" s="3" t="str">
        <f>IFERROR(__xludf.DUMMYFUNCTION("""COMPUTED_VALUE"""),"")</f>
        <v/>
      </c>
      <c r="C723" s="11" t="str">
        <f>IFERROR(__xludf.DUMMYFUNCTION("""COMPUTED_VALUE"""),"")</f>
        <v/>
      </c>
      <c r="D723" s="11" t="str">
        <f>IFERROR(__xludf.DUMMYFUNCTION("""COMPUTED_VALUE"""),"")</f>
        <v/>
      </c>
      <c r="E723" s="11" t="str">
        <f>IFERROR(__xludf.DUMMYFUNCTION("""COMPUTED_VALUE"""),"")</f>
        <v/>
      </c>
      <c r="F723" s="11" t="str">
        <f>IFERROR(__xludf.DUMMYFUNCTION("""COMPUTED_VALUE"""),"")</f>
        <v/>
      </c>
      <c r="G723" s="11" t="str">
        <f>IFERROR(__xludf.DUMMYFUNCTION("""COMPUTED_VALUE"""),"")</f>
        <v/>
      </c>
      <c r="H723" s="12" t="str">
        <f>IFERROR(__xludf.DUMMYFUNCTION("""COMPUTED_VALUE"""),"")</f>
        <v/>
      </c>
      <c r="I723" s="12" t="str">
        <f>IFERROR(__xludf.DUMMYFUNCTION("""COMPUTED_VALUE"""),"")</f>
        <v/>
      </c>
      <c r="J723" s="13" t="str">
        <f t="shared" si="1"/>
        <v/>
      </c>
      <c r="K723" s="12" t="str">
        <f>IFERROR(IF(A723="","",if($G723="",Reference!$J$2, VLOOKUP($G723,Reference!$I$2:$J$1000,2,false))),"")</f>
        <v/>
      </c>
      <c r="L723" s="12" t="str">
        <f>IF(A723="","", IF(F723="",Reference!$M$2,F723))</f>
        <v/>
      </c>
      <c r="M723" s="14" t="str">
        <f t="shared" si="2"/>
        <v/>
      </c>
      <c r="N723" s="15" t="str">
        <f t="shared" si="3"/>
        <v/>
      </c>
      <c r="O723" s="14" t="str">
        <f t="shared" si="4"/>
        <v/>
      </c>
      <c r="P723" s="16" t="str">
        <f t="array" ref="P723">IF($A723="","", IFERROR(INDEX('BM Data'!$N:$N,MATCH($J723&amp; "-" &amp; $N723,'BM Data'!$O:$O,0),1),""))</f>
        <v/>
      </c>
      <c r="Q723" s="16" t="str">
        <f t="array" ref="Q723">IF($A723="","", IFERROR(INDEX('BM Data'!$J:$J,MATCH($J723&amp; "-" &amp; $N723,'BM Data'!$O:$O,0),1),""))</f>
        <v/>
      </c>
    </row>
    <row r="724">
      <c r="A724" s="10" t="str">
        <f>IFERROR(__xludf.DUMMYFUNCTION("""COMPUTED_VALUE"""),"")</f>
        <v/>
      </c>
      <c r="B724" s="3" t="str">
        <f>IFERROR(__xludf.DUMMYFUNCTION("""COMPUTED_VALUE"""),"")</f>
        <v/>
      </c>
      <c r="C724" s="11" t="str">
        <f>IFERROR(__xludf.DUMMYFUNCTION("""COMPUTED_VALUE"""),"")</f>
        <v/>
      </c>
      <c r="D724" s="11" t="str">
        <f>IFERROR(__xludf.DUMMYFUNCTION("""COMPUTED_VALUE"""),"")</f>
        <v/>
      </c>
      <c r="E724" s="11" t="str">
        <f>IFERROR(__xludf.DUMMYFUNCTION("""COMPUTED_VALUE"""),"")</f>
        <v/>
      </c>
      <c r="F724" s="11" t="str">
        <f>IFERROR(__xludf.DUMMYFUNCTION("""COMPUTED_VALUE"""),"")</f>
        <v/>
      </c>
      <c r="G724" s="11" t="str">
        <f>IFERROR(__xludf.DUMMYFUNCTION("""COMPUTED_VALUE"""),"")</f>
        <v/>
      </c>
      <c r="H724" s="12" t="str">
        <f>IFERROR(__xludf.DUMMYFUNCTION("""COMPUTED_VALUE"""),"")</f>
        <v/>
      </c>
      <c r="I724" s="12" t="str">
        <f>IFERROR(__xludf.DUMMYFUNCTION("""COMPUTED_VALUE"""),"")</f>
        <v/>
      </c>
      <c r="J724" s="13" t="str">
        <f t="shared" si="1"/>
        <v/>
      </c>
      <c r="K724" s="12" t="str">
        <f>IFERROR(IF(A724="","",if($G724="",Reference!$J$2, VLOOKUP($G724,Reference!$I$2:$J$1000,2,false))),"")</f>
        <v/>
      </c>
      <c r="L724" s="12" t="str">
        <f>IF(A724="","", IF(F724="",Reference!$M$2,F724))</f>
        <v/>
      </c>
      <c r="M724" s="14" t="str">
        <f t="shared" si="2"/>
        <v/>
      </c>
      <c r="N724" s="15" t="str">
        <f t="shared" si="3"/>
        <v/>
      </c>
      <c r="O724" s="14" t="str">
        <f t="shared" si="4"/>
        <v/>
      </c>
      <c r="P724" s="16" t="str">
        <f t="array" ref="P724">IF($A724="","", IFERROR(INDEX('BM Data'!$N:$N,MATCH($J724&amp; "-" &amp; $N724,'BM Data'!$O:$O,0),1),""))</f>
        <v/>
      </c>
      <c r="Q724" s="16" t="str">
        <f t="array" ref="Q724">IF($A724="","", IFERROR(INDEX('BM Data'!$J:$J,MATCH($J724&amp; "-" &amp; $N724,'BM Data'!$O:$O,0),1),""))</f>
        <v/>
      </c>
    </row>
    <row r="725">
      <c r="A725" s="10" t="str">
        <f>IFERROR(__xludf.DUMMYFUNCTION("""COMPUTED_VALUE"""),"")</f>
        <v/>
      </c>
      <c r="B725" s="3" t="str">
        <f>IFERROR(__xludf.DUMMYFUNCTION("""COMPUTED_VALUE"""),"")</f>
        <v/>
      </c>
      <c r="C725" s="11" t="str">
        <f>IFERROR(__xludf.DUMMYFUNCTION("""COMPUTED_VALUE"""),"")</f>
        <v/>
      </c>
      <c r="D725" s="11" t="str">
        <f>IFERROR(__xludf.DUMMYFUNCTION("""COMPUTED_VALUE"""),"")</f>
        <v/>
      </c>
      <c r="E725" s="11" t="str">
        <f>IFERROR(__xludf.DUMMYFUNCTION("""COMPUTED_VALUE"""),"")</f>
        <v/>
      </c>
      <c r="F725" s="11" t="str">
        <f>IFERROR(__xludf.DUMMYFUNCTION("""COMPUTED_VALUE"""),"")</f>
        <v/>
      </c>
      <c r="G725" s="11" t="str">
        <f>IFERROR(__xludf.DUMMYFUNCTION("""COMPUTED_VALUE"""),"")</f>
        <v/>
      </c>
      <c r="H725" s="12" t="str">
        <f>IFERROR(__xludf.DUMMYFUNCTION("""COMPUTED_VALUE"""),"")</f>
        <v/>
      </c>
      <c r="I725" s="12" t="str">
        <f>IFERROR(__xludf.DUMMYFUNCTION("""COMPUTED_VALUE"""),"")</f>
        <v/>
      </c>
      <c r="J725" s="13" t="str">
        <f t="shared" si="1"/>
        <v/>
      </c>
      <c r="K725" s="12" t="str">
        <f>IFERROR(IF(A725="","",if($G725="",Reference!$J$2, VLOOKUP($G725,Reference!$I$2:$J$1000,2,false))),"")</f>
        <v/>
      </c>
      <c r="L725" s="12" t="str">
        <f>IF(A725="","", IF(F725="",Reference!$M$2,F725))</f>
        <v/>
      </c>
      <c r="M725" s="14" t="str">
        <f t="shared" si="2"/>
        <v/>
      </c>
      <c r="N725" s="15" t="str">
        <f t="shared" si="3"/>
        <v/>
      </c>
      <c r="O725" s="14" t="str">
        <f t="shared" si="4"/>
        <v/>
      </c>
      <c r="P725" s="16" t="str">
        <f t="array" ref="P725">IF($A725="","", IFERROR(INDEX('BM Data'!$N:$N,MATCH($J725&amp; "-" &amp; $N725,'BM Data'!$O:$O,0),1),""))</f>
        <v/>
      </c>
      <c r="Q725" s="16" t="str">
        <f t="array" ref="Q725">IF($A725="","", IFERROR(INDEX('BM Data'!$J:$J,MATCH($J725&amp; "-" &amp; $N725,'BM Data'!$O:$O,0),1),""))</f>
        <v/>
      </c>
    </row>
    <row r="726">
      <c r="A726" s="10" t="str">
        <f>IFERROR(__xludf.DUMMYFUNCTION("""COMPUTED_VALUE"""),"")</f>
        <v/>
      </c>
      <c r="B726" s="3" t="str">
        <f>IFERROR(__xludf.DUMMYFUNCTION("""COMPUTED_VALUE"""),"")</f>
        <v/>
      </c>
      <c r="C726" s="11" t="str">
        <f>IFERROR(__xludf.DUMMYFUNCTION("""COMPUTED_VALUE"""),"")</f>
        <v/>
      </c>
      <c r="D726" s="11" t="str">
        <f>IFERROR(__xludf.DUMMYFUNCTION("""COMPUTED_VALUE"""),"")</f>
        <v/>
      </c>
      <c r="E726" s="11" t="str">
        <f>IFERROR(__xludf.DUMMYFUNCTION("""COMPUTED_VALUE"""),"")</f>
        <v/>
      </c>
      <c r="F726" s="11" t="str">
        <f>IFERROR(__xludf.DUMMYFUNCTION("""COMPUTED_VALUE"""),"")</f>
        <v/>
      </c>
      <c r="G726" s="11" t="str">
        <f>IFERROR(__xludf.DUMMYFUNCTION("""COMPUTED_VALUE"""),"")</f>
        <v/>
      </c>
      <c r="H726" s="12" t="str">
        <f>IFERROR(__xludf.DUMMYFUNCTION("""COMPUTED_VALUE"""),"")</f>
        <v/>
      </c>
      <c r="I726" s="12" t="str">
        <f>IFERROR(__xludf.DUMMYFUNCTION("""COMPUTED_VALUE"""),"")</f>
        <v/>
      </c>
      <c r="J726" s="13" t="str">
        <f t="shared" si="1"/>
        <v/>
      </c>
      <c r="K726" s="12" t="str">
        <f>IFERROR(IF(A726="","",if($G726="",Reference!$J$2, VLOOKUP($G726,Reference!$I$2:$J$1000,2,false))),"")</f>
        <v/>
      </c>
      <c r="L726" s="12" t="str">
        <f>IF(A726="","", IF(F726="",Reference!$M$2,F726))</f>
        <v/>
      </c>
      <c r="M726" s="14" t="str">
        <f t="shared" si="2"/>
        <v/>
      </c>
      <c r="N726" s="15" t="str">
        <f t="shared" si="3"/>
        <v/>
      </c>
      <c r="O726" s="14" t="str">
        <f t="shared" si="4"/>
        <v/>
      </c>
      <c r="P726" s="16" t="str">
        <f t="array" ref="P726">IF($A726="","", IFERROR(INDEX('BM Data'!$N:$N,MATCH($J726&amp; "-" &amp; $N726,'BM Data'!$O:$O,0),1),""))</f>
        <v/>
      </c>
      <c r="Q726" s="16" t="str">
        <f t="array" ref="Q726">IF($A726="","", IFERROR(INDEX('BM Data'!$J:$J,MATCH($J726&amp; "-" &amp; $N726,'BM Data'!$O:$O,0),1),""))</f>
        <v/>
      </c>
    </row>
    <row r="727">
      <c r="A727" s="10" t="str">
        <f>IFERROR(__xludf.DUMMYFUNCTION("""COMPUTED_VALUE"""),"")</f>
        <v/>
      </c>
      <c r="B727" s="3" t="str">
        <f>IFERROR(__xludf.DUMMYFUNCTION("""COMPUTED_VALUE"""),"")</f>
        <v/>
      </c>
      <c r="C727" s="11" t="str">
        <f>IFERROR(__xludf.DUMMYFUNCTION("""COMPUTED_VALUE"""),"")</f>
        <v/>
      </c>
      <c r="D727" s="11" t="str">
        <f>IFERROR(__xludf.DUMMYFUNCTION("""COMPUTED_VALUE"""),"")</f>
        <v/>
      </c>
      <c r="E727" s="11" t="str">
        <f>IFERROR(__xludf.DUMMYFUNCTION("""COMPUTED_VALUE"""),"")</f>
        <v/>
      </c>
      <c r="F727" s="11" t="str">
        <f>IFERROR(__xludf.DUMMYFUNCTION("""COMPUTED_VALUE"""),"")</f>
        <v/>
      </c>
      <c r="G727" s="11" t="str">
        <f>IFERROR(__xludf.DUMMYFUNCTION("""COMPUTED_VALUE"""),"")</f>
        <v/>
      </c>
      <c r="H727" s="12" t="str">
        <f>IFERROR(__xludf.DUMMYFUNCTION("""COMPUTED_VALUE"""),"")</f>
        <v/>
      </c>
      <c r="I727" s="12" t="str">
        <f>IFERROR(__xludf.DUMMYFUNCTION("""COMPUTED_VALUE"""),"")</f>
        <v/>
      </c>
      <c r="J727" s="13" t="str">
        <f t="shared" si="1"/>
        <v/>
      </c>
      <c r="K727" s="12" t="str">
        <f>IFERROR(IF(A727="","",if($G727="",Reference!$J$2, VLOOKUP($G727,Reference!$I$2:$J$1000,2,false))),"")</f>
        <v/>
      </c>
      <c r="L727" s="12" t="str">
        <f>IF(A727="","", IF(F727="",Reference!$M$2,F727))</f>
        <v/>
      </c>
      <c r="M727" s="14" t="str">
        <f t="shared" si="2"/>
        <v/>
      </c>
      <c r="N727" s="15" t="str">
        <f t="shared" si="3"/>
        <v/>
      </c>
      <c r="O727" s="14" t="str">
        <f t="shared" si="4"/>
        <v/>
      </c>
      <c r="P727" s="16" t="str">
        <f t="array" ref="P727">IF($A727="","", IFERROR(INDEX('BM Data'!$N:$N,MATCH($J727&amp; "-" &amp; $N727,'BM Data'!$O:$O,0),1),""))</f>
        <v/>
      </c>
      <c r="Q727" s="16" t="str">
        <f t="array" ref="Q727">IF($A727="","", IFERROR(INDEX('BM Data'!$J:$J,MATCH($J727&amp; "-" &amp; $N727,'BM Data'!$O:$O,0),1),""))</f>
        <v/>
      </c>
    </row>
    <row r="728">
      <c r="A728" s="10" t="str">
        <f>IFERROR(__xludf.DUMMYFUNCTION("""COMPUTED_VALUE"""),"")</f>
        <v/>
      </c>
      <c r="B728" s="3" t="str">
        <f>IFERROR(__xludf.DUMMYFUNCTION("""COMPUTED_VALUE"""),"")</f>
        <v/>
      </c>
      <c r="C728" s="11" t="str">
        <f>IFERROR(__xludf.DUMMYFUNCTION("""COMPUTED_VALUE"""),"")</f>
        <v/>
      </c>
      <c r="D728" s="11" t="str">
        <f>IFERROR(__xludf.DUMMYFUNCTION("""COMPUTED_VALUE"""),"")</f>
        <v/>
      </c>
      <c r="E728" s="11" t="str">
        <f>IFERROR(__xludf.DUMMYFUNCTION("""COMPUTED_VALUE"""),"")</f>
        <v/>
      </c>
      <c r="F728" s="11" t="str">
        <f>IFERROR(__xludf.DUMMYFUNCTION("""COMPUTED_VALUE"""),"")</f>
        <v/>
      </c>
      <c r="G728" s="11" t="str">
        <f>IFERROR(__xludf.DUMMYFUNCTION("""COMPUTED_VALUE"""),"")</f>
        <v/>
      </c>
      <c r="H728" s="12" t="str">
        <f>IFERROR(__xludf.DUMMYFUNCTION("""COMPUTED_VALUE"""),"")</f>
        <v/>
      </c>
      <c r="I728" s="12" t="str">
        <f>IFERROR(__xludf.DUMMYFUNCTION("""COMPUTED_VALUE"""),"")</f>
        <v/>
      </c>
      <c r="J728" s="13" t="str">
        <f t="shared" si="1"/>
        <v/>
      </c>
      <c r="K728" s="12" t="str">
        <f>IFERROR(IF(A728="","",if($G728="",Reference!$J$2, VLOOKUP($G728,Reference!$I$2:$J$1000,2,false))),"")</f>
        <v/>
      </c>
      <c r="L728" s="12" t="str">
        <f>IF(A728="","", IF(F728="",Reference!$M$2,F728))</f>
        <v/>
      </c>
      <c r="M728" s="14" t="str">
        <f t="shared" si="2"/>
        <v/>
      </c>
      <c r="N728" s="15" t="str">
        <f t="shared" si="3"/>
        <v/>
      </c>
      <c r="O728" s="14" t="str">
        <f t="shared" si="4"/>
        <v/>
      </c>
      <c r="P728" s="16" t="str">
        <f t="array" ref="P728">IF($A728="","", IFERROR(INDEX('BM Data'!$N:$N,MATCH($J728&amp; "-" &amp; $N728,'BM Data'!$O:$O,0),1),""))</f>
        <v/>
      </c>
      <c r="Q728" s="16" t="str">
        <f t="array" ref="Q728">IF($A728="","", IFERROR(INDEX('BM Data'!$J:$J,MATCH($J728&amp; "-" &amp; $N728,'BM Data'!$O:$O,0),1),""))</f>
        <v/>
      </c>
    </row>
    <row r="729">
      <c r="A729" s="10" t="str">
        <f>IFERROR(__xludf.DUMMYFUNCTION("""COMPUTED_VALUE"""),"")</f>
        <v/>
      </c>
      <c r="B729" s="3" t="str">
        <f>IFERROR(__xludf.DUMMYFUNCTION("""COMPUTED_VALUE"""),"")</f>
        <v/>
      </c>
      <c r="C729" s="11" t="str">
        <f>IFERROR(__xludf.DUMMYFUNCTION("""COMPUTED_VALUE"""),"")</f>
        <v/>
      </c>
      <c r="D729" s="11" t="str">
        <f>IFERROR(__xludf.DUMMYFUNCTION("""COMPUTED_VALUE"""),"")</f>
        <v/>
      </c>
      <c r="E729" s="11" t="str">
        <f>IFERROR(__xludf.DUMMYFUNCTION("""COMPUTED_VALUE"""),"")</f>
        <v/>
      </c>
      <c r="F729" s="11" t="str">
        <f>IFERROR(__xludf.DUMMYFUNCTION("""COMPUTED_VALUE"""),"")</f>
        <v/>
      </c>
      <c r="G729" s="11" t="str">
        <f>IFERROR(__xludf.DUMMYFUNCTION("""COMPUTED_VALUE"""),"")</f>
        <v/>
      </c>
      <c r="H729" s="12" t="str">
        <f>IFERROR(__xludf.DUMMYFUNCTION("""COMPUTED_VALUE"""),"")</f>
        <v/>
      </c>
      <c r="I729" s="12" t="str">
        <f>IFERROR(__xludf.DUMMYFUNCTION("""COMPUTED_VALUE"""),"")</f>
        <v/>
      </c>
      <c r="J729" s="13" t="str">
        <f t="shared" si="1"/>
        <v/>
      </c>
      <c r="K729" s="12" t="str">
        <f>IFERROR(IF(A729="","",if($G729="",Reference!$J$2, VLOOKUP($G729,Reference!$I$2:$J$1000,2,false))),"")</f>
        <v/>
      </c>
      <c r="L729" s="12" t="str">
        <f>IF(A729="","", IF(F729="",Reference!$M$2,F729))</f>
        <v/>
      </c>
      <c r="M729" s="14" t="str">
        <f t="shared" si="2"/>
        <v/>
      </c>
      <c r="N729" s="15" t="str">
        <f t="shared" si="3"/>
        <v/>
      </c>
      <c r="O729" s="14" t="str">
        <f t="shared" si="4"/>
        <v/>
      </c>
      <c r="P729" s="16" t="str">
        <f t="array" ref="P729">IF($A729="","", IFERROR(INDEX('BM Data'!$N:$N,MATCH($J729&amp; "-" &amp; $N729,'BM Data'!$O:$O,0),1),""))</f>
        <v/>
      </c>
      <c r="Q729" s="16" t="str">
        <f t="array" ref="Q729">IF($A729="","", IFERROR(INDEX('BM Data'!$J:$J,MATCH($J729&amp; "-" &amp; $N729,'BM Data'!$O:$O,0),1),""))</f>
        <v/>
      </c>
    </row>
    <row r="730">
      <c r="A730" s="10" t="str">
        <f>IFERROR(__xludf.DUMMYFUNCTION("""COMPUTED_VALUE"""),"")</f>
        <v/>
      </c>
      <c r="B730" s="3" t="str">
        <f>IFERROR(__xludf.DUMMYFUNCTION("""COMPUTED_VALUE"""),"")</f>
        <v/>
      </c>
      <c r="C730" s="11" t="str">
        <f>IFERROR(__xludf.DUMMYFUNCTION("""COMPUTED_VALUE"""),"")</f>
        <v/>
      </c>
      <c r="D730" s="11" t="str">
        <f>IFERROR(__xludf.DUMMYFUNCTION("""COMPUTED_VALUE"""),"")</f>
        <v/>
      </c>
      <c r="E730" s="11" t="str">
        <f>IFERROR(__xludf.DUMMYFUNCTION("""COMPUTED_VALUE"""),"")</f>
        <v/>
      </c>
      <c r="F730" s="11" t="str">
        <f>IFERROR(__xludf.DUMMYFUNCTION("""COMPUTED_VALUE"""),"")</f>
        <v/>
      </c>
      <c r="G730" s="11" t="str">
        <f>IFERROR(__xludf.DUMMYFUNCTION("""COMPUTED_VALUE"""),"")</f>
        <v/>
      </c>
      <c r="H730" s="12" t="str">
        <f>IFERROR(__xludf.DUMMYFUNCTION("""COMPUTED_VALUE"""),"")</f>
        <v/>
      </c>
      <c r="I730" s="12" t="str">
        <f>IFERROR(__xludf.DUMMYFUNCTION("""COMPUTED_VALUE"""),"")</f>
        <v/>
      </c>
      <c r="J730" s="13" t="str">
        <f t="shared" si="1"/>
        <v/>
      </c>
      <c r="K730" s="12" t="str">
        <f>IFERROR(IF(A730="","",if($G730="",Reference!$J$2, VLOOKUP($G730,Reference!$I$2:$J$1000,2,false))),"")</f>
        <v/>
      </c>
      <c r="L730" s="12" t="str">
        <f>IF(A730="","", IF(F730="",Reference!$M$2,F730))</f>
        <v/>
      </c>
      <c r="M730" s="14" t="str">
        <f t="shared" si="2"/>
        <v/>
      </c>
      <c r="N730" s="15" t="str">
        <f t="shared" si="3"/>
        <v/>
      </c>
      <c r="O730" s="14" t="str">
        <f t="shared" si="4"/>
        <v/>
      </c>
      <c r="P730" s="16" t="str">
        <f t="array" ref="P730">IF($A730="","", IFERROR(INDEX('BM Data'!$N:$N,MATCH($J730&amp; "-" &amp; $N730,'BM Data'!$O:$O,0),1),""))</f>
        <v/>
      </c>
      <c r="Q730" s="16" t="str">
        <f t="array" ref="Q730">IF($A730="","", IFERROR(INDEX('BM Data'!$J:$J,MATCH($J730&amp; "-" &amp; $N730,'BM Data'!$O:$O,0),1),""))</f>
        <v/>
      </c>
    </row>
    <row r="731">
      <c r="A731" s="10" t="str">
        <f>IFERROR(__xludf.DUMMYFUNCTION("""COMPUTED_VALUE"""),"")</f>
        <v/>
      </c>
      <c r="B731" s="3" t="str">
        <f>IFERROR(__xludf.DUMMYFUNCTION("""COMPUTED_VALUE"""),"")</f>
        <v/>
      </c>
      <c r="C731" s="11" t="str">
        <f>IFERROR(__xludf.DUMMYFUNCTION("""COMPUTED_VALUE"""),"")</f>
        <v/>
      </c>
      <c r="D731" s="11" t="str">
        <f>IFERROR(__xludf.DUMMYFUNCTION("""COMPUTED_VALUE"""),"")</f>
        <v/>
      </c>
      <c r="E731" s="11" t="str">
        <f>IFERROR(__xludf.DUMMYFUNCTION("""COMPUTED_VALUE"""),"")</f>
        <v/>
      </c>
      <c r="F731" s="11" t="str">
        <f>IFERROR(__xludf.DUMMYFUNCTION("""COMPUTED_VALUE"""),"")</f>
        <v/>
      </c>
      <c r="G731" s="11" t="str">
        <f>IFERROR(__xludf.DUMMYFUNCTION("""COMPUTED_VALUE"""),"")</f>
        <v/>
      </c>
      <c r="H731" s="12" t="str">
        <f>IFERROR(__xludf.DUMMYFUNCTION("""COMPUTED_VALUE"""),"")</f>
        <v/>
      </c>
      <c r="I731" s="12" t="str">
        <f>IFERROR(__xludf.DUMMYFUNCTION("""COMPUTED_VALUE"""),"")</f>
        <v/>
      </c>
      <c r="J731" s="13" t="str">
        <f t="shared" si="1"/>
        <v/>
      </c>
      <c r="K731" s="12" t="str">
        <f>IFERROR(IF(A731="","",if($G731="",Reference!$J$2, VLOOKUP($G731,Reference!$I$2:$J$1000,2,false))),"")</f>
        <v/>
      </c>
      <c r="L731" s="12" t="str">
        <f>IF(A731="","", IF(F731="",Reference!$M$2,F731))</f>
        <v/>
      </c>
      <c r="M731" s="14" t="str">
        <f t="shared" si="2"/>
        <v/>
      </c>
      <c r="N731" s="15" t="str">
        <f t="shared" si="3"/>
        <v/>
      </c>
      <c r="O731" s="14" t="str">
        <f t="shared" si="4"/>
        <v/>
      </c>
      <c r="P731" s="16" t="str">
        <f t="array" ref="P731">IF($A731="","", IFERROR(INDEX('BM Data'!$N:$N,MATCH($J731&amp; "-" &amp; $N731,'BM Data'!$O:$O,0),1),""))</f>
        <v/>
      </c>
      <c r="Q731" s="16" t="str">
        <f t="array" ref="Q731">IF($A731="","", IFERROR(INDEX('BM Data'!$J:$J,MATCH($J731&amp; "-" &amp; $N731,'BM Data'!$O:$O,0),1),""))</f>
        <v/>
      </c>
    </row>
    <row r="732">
      <c r="A732" s="10" t="str">
        <f>IFERROR(__xludf.DUMMYFUNCTION("""COMPUTED_VALUE"""),"")</f>
        <v/>
      </c>
      <c r="B732" s="3" t="str">
        <f>IFERROR(__xludf.DUMMYFUNCTION("""COMPUTED_VALUE"""),"")</f>
        <v/>
      </c>
      <c r="C732" s="11" t="str">
        <f>IFERROR(__xludf.DUMMYFUNCTION("""COMPUTED_VALUE"""),"")</f>
        <v/>
      </c>
      <c r="D732" s="11" t="str">
        <f>IFERROR(__xludf.DUMMYFUNCTION("""COMPUTED_VALUE"""),"")</f>
        <v/>
      </c>
      <c r="E732" s="11" t="str">
        <f>IFERROR(__xludf.DUMMYFUNCTION("""COMPUTED_VALUE"""),"")</f>
        <v/>
      </c>
      <c r="F732" s="11" t="str">
        <f>IFERROR(__xludf.DUMMYFUNCTION("""COMPUTED_VALUE"""),"")</f>
        <v/>
      </c>
      <c r="G732" s="11" t="str">
        <f>IFERROR(__xludf.DUMMYFUNCTION("""COMPUTED_VALUE"""),"")</f>
        <v/>
      </c>
      <c r="H732" s="12" t="str">
        <f>IFERROR(__xludf.DUMMYFUNCTION("""COMPUTED_VALUE"""),"")</f>
        <v/>
      </c>
      <c r="I732" s="12" t="str">
        <f>IFERROR(__xludf.DUMMYFUNCTION("""COMPUTED_VALUE"""),"")</f>
        <v/>
      </c>
      <c r="J732" s="13" t="str">
        <f t="shared" si="1"/>
        <v/>
      </c>
      <c r="K732" s="12" t="str">
        <f>IFERROR(IF(A732="","",if($G732="",Reference!$J$2, VLOOKUP($G732,Reference!$I$2:$J$1000,2,false))),"")</f>
        <v/>
      </c>
      <c r="L732" s="12" t="str">
        <f>IF(A732="","", IF(F732="",Reference!$M$2,F732))</f>
        <v/>
      </c>
      <c r="M732" s="14" t="str">
        <f t="shared" si="2"/>
        <v/>
      </c>
      <c r="N732" s="15" t="str">
        <f t="shared" si="3"/>
        <v/>
      </c>
      <c r="O732" s="14" t="str">
        <f t="shared" si="4"/>
        <v/>
      </c>
      <c r="P732" s="16" t="str">
        <f t="array" ref="P732">IF($A732="","", IFERROR(INDEX('BM Data'!$N:$N,MATCH($J732&amp; "-" &amp; $N732,'BM Data'!$O:$O,0),1),""))</f>
        <v/>
      </c>
      <c r="Q732" s="16" t="str">
        <f t="array" ref="Q732">IF($A732="","", IFERROR(INDEX('BM Data'!$J:$J,MATCH($J732&amp; "-" &amp; $N732,'BM Data'!$O:$O,0),1),""))</f>
        <v/>
      </c>
    </row>
    <row r="733">
      <c r="A733" s="10" t="str">
        <f>IFERROR(__xludf.DUMMYFUNCTION("""COMPUTED_VALUE"""),"")</f>
        <v/>
      </c>
      <c r="B733" s="3" t="str">
        <f>IFERROR(__xludf.DUMMYFUNCTION("""COMPUTED_VALUE"""),"")</f>
        <v/>
      </c>
      <c r="C733" s="11" t="str">
        <f>IFERROR(__xludf.DUMMYFUNCTION("""COMPUTED_VALUE"""),"")</f>
        <v/>
      </c>
      <c r="D733" s="11" t="str">
        <f>IFERROR(__xludf.DUMMYFUNCTION("""COMPUTED_VALUE"""),"")</f>
        <v/>
      </c>
      <c r="E733" s="11" t="str">
        <f>IFERROR(__xludf.DUMMYFUNCTION("""COMPUTED_VALUE"""),"")</f>
        <v/>
      </c>
      <c r="F733" s="11" t="str">
        <f>IFERROR(__xludf.DUMMYFUNCTION("""COMPUTED_VALUE"""),"")</f>
        <v/>
      </c>
      <c r="G733" s="11" t="str">
        <f>IFERROR(__xludf.DUMMYFUNCTION("""COMPUTED_VALUE"""),"")</f>
        <v/>
      </c>
      <c r="H733" s="12" t="str">
        <f>IFERROR(__xludf.DUMMYFUNCTION("""COMPUTED_VALUE"""),"")</f>
        <v/>
      </c>
      <c r="I733" s="12" t="str">
        <f>IFERROR(__xludf.DUMMYFUNCTION("""COMPUTED_VALUE"""),"")</f>
        <v/>
      </c>
      <c r="J733" s="13" t="str">
        <f t="shared" si="1"/>
        <v/>
      </c>
      <c r="K733" s="12" t="str">
        <f>IFERROR(IF(A733="","",if($G733="",Reference!$J$2, VLOOKUP($G733,Reference!$I$2:$J$1000,2,false))),"")</f>
        <v/>
      </c>
      <c r="L733" s="12" t="str">
        <f>IF(A733="","", IF(F733="",Reference!$M$2,F733))</f>
        <v/>
      </c>
      <c r="M733" s="14" t="str">
        <f t="shared" si="2"/>
        <v/>
      </c>
      <c r="N733" s="15" t="str">
        <f t="shared" si="3"/>
        <v/>
      </c>
      <c r="O733" s="14" t="str">
        <f t="shared" si="4"/>
        <v/>
      </c>
      <c r="P733" s="16" t="str">
        <f t="array" ref="P733">IF($A733="","", IFERROR(INDEX('BM Data'!$N:$N,MATCH($J733&amp; "-" &amp; $N733,'BM Data'!$O:$O,0),1),""))</f>
        <v/>
      </c>
      <c r="Q733" s="16" t="str">
        <f t="array" ref="Q733">IF($A733="","", IFERROR(INDEX('BM Data'!$J:$J,MATCH($J733&amp; "-" &amp; $N733,'BM Data'!$O:$O,0),1),""))</f>
        <v/>
      </c>
    </row>
    <row r="734">
      <c r="A734" s="10" t="str">
        <f>IFERROR(__xludf.DUMMYFUNCTION("""COMPUTED_VALUE"""),"")</f>
        <v/>
      </c>
      <c r="B734" s="3" t="str">
        <f>IFERROR(__xludf.DUMMYFUNCTION("""COMPUTED_VALUE"""),"")</f>
        <v/>
      </c>
      <c r="C734" s="11" t="str">
        <f>IFERROR(__xludf.DUMMYFUNCTION("""COMPUTED_VALUE"""),"")</f>
        <v/>
      </c>
      <c r="D734" s="11" t="str">
        <f>IFERROR(__xludf.DUMMYFUNCTION("""COMPUTED_VALUE"""),"")</f>
        <v/>
      </c>
      <c r="E734" s="11" t="str">
        <f>IFERROR(__xludf.DUMMYFUNCTION("""COMPUTED_VALUE"""),"")</f>
        <v/>
      </c>
      <c r="F734" s="11" t="str">
        <f>IFERROR(__xludf.DUMMYFUNCTION("""COMPUTED_VALUE"""),"")</f>
        <v/>
      </c>
      <c r="G734" s="11" t="str">
        <f>IFERROR(__xludf.DUMMYFUNCTION("""COMPUTED_VALUE"""),"")</f>
        <v/>
      </c>
      <c r="H734" s="12" t="str">
        <f>IFERROR(__xludf.DUMMYFUNCTION("""COMPUTED_VALUE"""),"")</f>
        <v/>
      </c>
      <c r="I734" s="12" t="str">
        <f>IFERROR(__xludf.DUMMYFUNCTION("""COMPUTED_VALUE"""),"")</f>
        <v/>
      </c>
      <c r="J734" s="13" t="str">
        <f t="shared" si="1"/>
        <v/>
      </c>
      <c r="K734" s="12" t="str">
        <f>IFERROR(IF(A734="","",if($G734="",Reference!$J$2, VLOOKUP($G734,Reference!$I$2:$J$1000,2,false))),"")</f>
        <v/>
      </c>
      <c r="L734" s="12" t="str">
        <f>IF(A734="","", IF(F734="",Reference!$M$2,F734))</f>
        <v/>
      </c>
      <c r="M734" s="14" t="str">
        <f t="shared" si="2"/>
        <v/>
      </c>
      <c r="N734" s="15" t="str">
        <f t="shared" si="3"/>
        <v/>
      </c>
      <c r="O734" s="14" t="str">
        <f t="shared" si="4"/>
        <v/>
      </c>
      <c r="P734" s="16" t="str">
        <f t="array" ref="P734">IF($A734="","", IFERROR(INDEX('BM Data'!$N:$N,MATCH($J734&amp; "-" &amp; $N734,'BM Data'!$O:$O,0),1),""))</f>
        <v/>
      </c>
      <c r="Q734" s="16" t="str">
        <f t="array" ref="Q734">IF($A734="","", IFERROR(INDEX('BM Data'!$J:$J,MATCH($J734&amp; "-" &amp; $N734,'BM Data'!$O:$O,0),1),""))</f>
        <v/>
      </c>
    </row>
    <row r="735">
      <c r="A735" s="10" t="str">
        <f>IFERROR(__xludf.DUMMYFUNCTION("""COMPUTED_VALUE"""),"")</f>
        <v/>
      </c>
      <c r="B735" s="3" t="str">
        <f>IFERROR(__xludf.DUMMYFUNCTION("""COMPUTED_VALUE"""),"")</f>
        <v/>
      </c>
      <c r="C735" s="11" t="str">
        <f>IFERROR(__xludf.DUMMYFUNCTION("""COMPUTED_VALUE"""),"")</f>
        <v/>
      </c>
      <c r="D735" s="11" t="str">
        <f>IFERROR(__xludf.DUMMYFUNCTION("""COMPUTED_VALUE"""),"")</f>
        <v/>
      </c>
      <c r="E735" s="11" t="str">
        <f>IFERROR(__xludf.DUMMYFUNCTION("""COMPUTED_VALUE"""),"")</f>
        <v/>
      </c>
      <c r="F735" s="11" t="str">
        <f>IFERROR(__xludf.DUMMYFUNCTION("""COMPUTED_VALUE"""),"")</f>
        <v/>
      </c>
      <c r="G735" s="11" t="str">
        <f>IFERROR(__xludf.DUMMYFUNCTION("""COMPUTED_VALUE"""),"")</f>
        <v/>
      </c>
      <c r="H735" s="12" t="str">
        <f>IFERROR(__xludf.DUMMYFUNCTION("""COMPUTED_VALUE"""),"")</f>
        <v/>
      </c>
      <c r="I735" s="12" t="str">
        <f>IFERROR(__xludf.DUMMYFUNCTION("""COMPUTED_VALUE"""),"")</f>
        <v/>
      </c>
      <c r="J735" s="13" t="str">
        <f t="shared" si="1"/>
        <v/>
      </c>
      <c r="K735" s="12" t="str">
        <f>IFERROR(IF(A735="","",if($G735="",Reference!$J$2, VLOOKUP($G735,Reference!$I$2:$J$1000,2,false))),"")</f>
        <v/>
      </c>
      <c r="L735" s="12" t="str">
        <f>IF(A735="","", IF(F735="",Reference!$M$2,F735))</f>
        <v/>
      </c>
      <c r="M735" s="14" t="str">
        <f t="shared" si="2"/>
        <v/>
      </c>
      <c r="N735" s="15" t="str">
        <f t="shared" si="3"/>
        <v/>
      </c>
      <c r="O735" s="14" t="str">
        <f t="shared" si="4"/>
        <v/>
      </c>
      <c r="P735" s="16" t="str">
        <f t="array" ref="P735">IF($A735="","", IFERROR(INDEX('BM Data'!$N:$N,MATCH($J735&amp; "-" &amp; $N735,'BM Data'!$O:$O,0),1),""))</f>
        <v/>
      </c>
      <c r="Q735" s="16" t="str">
        <f t="array" ref="Q735">IF($A735="","", IFERROR(INDEX('BM Data'!$J:$J,MATCH($J735&amp; "-" &amp; $N735,'BM Data'!$O:$O,0),1),""))</f>
        <v/>
      </c>
    </row>
    <row r="736">
      <c r="A736" s="10" t="str">
        <f>IFERROR(__xludf.DUMMYFUNCTION("""COMPUTED_VALUE"""),"")</f>
        <v/>
      </c>
      <c r="B736" s="3" t="str">
        <f>IFERROR(__xludf.DUMMYFUNCTION("""COMPUTED_VALUE"""),"")</f>
        <v/>
      </c>
      <c r="C736" s="11" t="str">
        <f>IFERROR(__xludf.DUMMYFUNCTION("""COMPUTED_VALUE"""),"")</f>
        <v/>
      </c>
      <c r="D736" s="11" t="str">
        <f>IFERROR(__xludf.DUMMYFUNCTION("""COMPUTED_VALUE"""),"")</f>
        <v/>
      </c>
      <c r="E736" s="11" t="str">
        <f>IFERROR(__xludf.DUMMYFUNCTION("""COMPUTED_VALUE"""),"")</f>
        <v/>
      </c>
      <c r="F736" s="11" t="str">
        <f>IFERROR(__xludf.DUMMYFUNCTION("""COMPUTED_VALUE"""),"")</f>
        <v/>
      </c>
      <c r="G736" s="11" t="str">
        <f>IFERROR(__xludf.DUMMYFUNCTION("""COMPUTED_VALUE"""),"")</f>
        <v/>
      </c>
      <c r="H736" s="12" t="str">
        <f>IFERROR(__xludf.DUMMYFUNCTION("""COMPUTED_VALUE"""),"")</f>
        <v/>
      </c>
      <c r="I736" s="12" t="str">
        <f>IFERROR(__xludf.DUMMYFUNCTION("""COMPUTED_VALUE"""),"")</f>
        <v/>
      </c>
      <c r="J736" s="13" t="str">
        <f t="shared" si="1"/>
        <v/>
      </c>
      <c r="K736" s="12" t="str">
        <f>IFERROR(IF(A736="","",if($G736="",Reference!$J$2, VLOOKUP($G736,Reference!$I$2:$J$1000,2,false))),"")</f>
        <v/>
      </c>
      <c r="L736" s="12" t="str">
        <f>IF(A736="","", IF(F736="",Reference!$M$2,F736))</f>
        <v/>
      </c>
      <c r="M736" s="14" t="str">
        <f t="shared" si="2"/>
        <v/>
      </c>
      <c r="N736" s="15" t="str">
        <f t="shared" si="3"/>
        <v/>
      </c>
      <c r="O736" s="14" t="str">
        <f t="shared" si="4"/>
        <v/>
      </c>
      <c r="P736" s="16" t="str">
        <f t="array" ref="P736">IF($A736="","", IFERROR(INDEX('BM Data'!$N:$N,MATCH($J736&amp; "-" &amp; $N736,'BM Data'!$O:$O,0),1),""))</f>
        <v/>
      </c>
      <c r="Q736" s="16" t="str">
        <f t="array" ref="Q736">IF($A736="","", IFERROR(INDEX('BM Data'!$J:$J,MATCH($J736&amp; "-" &amp; $N736,'BM Data'!$O:$O,0),1),""))</f>
        <v/>
      </c>
    </row>
    <row r="737">
      <c r="A737" s="10" t="str">
        <f>IFERROR(__xludf.DUMMYFUNCTION("""COMPUTED_VALUE"""),"")</f>
        <v/>
      </c>
      <c r="B737" s="3" t="str">
        <f>IFERROR(__xludf.DUMMYFUNCTION("""COMPUTED_VALUE"""),"")</f>
        <v/>
      </c>
      <c r="C737" s="11" t="str">
        <f>IFERROR(__xludf.DUMMYFUNCTION("""COMPUTED_VALUE"""),"")</f>
        <v/>
      </c>
      <c r="D737" s="11" t="str">
        <f>IFERROR(__xludf.DUMMYFUNCTION("""COMPUTED_VALUE"""),"")</f>
        <v/>
      </c>
      <c r="E737" s="11" t="str">
        <f>IFERROR(__xludf.DUMMYFUNCTION("""COMPUTED_VALUE"""),"")</f>
        <v/>
      </c>
      <c r="F737" s="11" t="str">
        <f>IFERROR(__xludf.DUMMYFUNCTION("""COMPUTED_VALUE"""),"")</f>
        <v/>
      </c>
      <c r="G737" s="11" t="str">
        <f>IFERROR(__xludf.DUMMYFUNCTION("""COMPUTED_VALUE"""),"")</f>
        <v/>
      </c>
      <c r="H737" s="12" t="str">
        <f>IFERROR(__xludf.DUMMYFUNCTION("""COMPUTED_VALUE"""),"")</f>
        <v/>
      </c>
      <c r="I737" s="12" t="str">
        <f>IFERROR(__xludf.DUMMYFUNCTION("""COMPUTED_VALUE"""),"")</f>
        <v/>
      </c>
      <c r="J737" s="13" t="str">
        <f t="shared" si="1"/>
        <v/>
      </c>
      <c r="K737" s="12" t="str">
        <f>IFERROR(IF(A737="","",if($G737="",Reference!$J$2, VLOOKUP($G737,Reference!$I$2:$J$1000,2,false))),"")</f>
        <v/>
      </c>
      <c r="L737" s="12" t="str">
        <f>IF(A737="","", IF(F737="",Reference!$M$2,F737))</f>
        <v/>
      </c>
      <c r="M737" s="14" t="str">
        <f t="shared" si="2"/>
        <v/>
      </c>
      <c r="N737" s="15" t="str">
        <f t="shared" si="3"/>
        <v/>
      </c>
      <c r="O737" s="14" t="str">
        <f t="shared" si="4"/>
        <v/>
      </c>
      <c r="P737" s="16" t="str">
        <f t="array" ref="P737">IF($A737="","", IFERROR(INDEX('BM Data'!$N:$N,MATCH($J737&amp; "-" &amp; $N737,'BM Data'!$O:$O,0),1),""))</f>
        <v/>
      </c>
      <c r="Q737" s="16" t="str">
        <f t="array" ref="Q737">IF($A737="","", IFERROR(INDEX('BM Data'!$J:$J,MATCH($J737&amp; "-" &amp; $N737,'BM Data'!$O:$O,0),1),""))</f>
        <v/>
      </c>
    </row>
    <row r="738">
      <c r="A738" s="10" t="str">
        <f>IFERROR(__xludf.DUMMYFUNCTION("""COMPUTED_VALUE"""),"")</f>
        <v/>
      </c>
      <c r="B738" s="3" t="str">
        <f>IFERROR(__xludf.DUMMYFUNCTION("""COMPUTED_VALUE"""),"")</f>
        <v/>
      </c>
      <c r="C738" s="11" t="str">
        <f>IFERROR(__xludf.DUMMYFUNCTION("""COMPUTED_VALUE"""),"")</f>
        <v/>
      </c>
      <c r="D738" s="11" t="str">
        <f>IFERROR(__xludf.DUMMYFUNCTION("""COMPUTED_VALUE"""),"")</f>
        <v/>
      </c>
      <c r="E738" s="11" t="str">
        <f>IFERROR(__xludf.DUMMYFUNCTION("""COMPUTED_VALUE"""),"")</f>
        <v/>
      </c>
      <c r="F738" s="11" t="str">
        <f>IFERROR(__xludf.DUMMYFUNCTION("""COMPUTED_VALUE"""),"")</f>
        <v/>
      </c>
      <c r="G738" s="11" t="str">
        <f>IFERROR(__xludf.DUMMYFUNCTION("""COMPUTED_VALUE"""),"")</f>
        <v/>
      </c>
      <c r="H738" s="12" t="str">
        <f>IFERROR(__xludf.DUMMYFUNCTION("""COMPUTED_VALUE"""),"")</f>
        <v/>
      </c>
      <c r="I738" s="12" t="str">
        <f>IFERROR(__xludf.DUMMYFUNCTION("""COMPUTED_VALUE"""),"")</f>
        <v/>
      </c>
      <c r="J738" s="13" t="str">
        <f t="shared" si="1"/>
        <v/>
      </c>
      <c r="K738" s="12" t="str">
        <f>IFERROR(IF(A738="","",if($G738="",Reference!$J$2, VLOOKUP($G738,Reference!$I$2:$J$1000,2,false))),"")</f>
        <v/>
      </c>
      <c r="L738" s="12" t="str">
        <f>IF(A738="","", IF(F738="",Reference!$M$2,F738))</f>
        <v/>
      </c>
      <c r="M738" s="14" t="str">
        <f t="shared" si="2"/>
        <v/>
      </c>
      <c r="N738" s="15" t="str">
        <f t="shared" si="3"/>
        <v/>
      </c>
      <c r="O738" s="14" t="str">
        <f t="shared" si="4"/>
        <v/>
      </c>
      <c r="P738" s="16" t="str">
        <f t="array" ref="P738">IF($A738="","", IFERROR(INDEX('BM Data'!$N:$N,MATCH($J738&amp; "-" &amp; $N738,'BM Data'!$O:$O,0),1),""))</f>
        <v/>
      </c>
      <c r="Q738" s="16" t="str">
        <f t="array" ref="Q738">IF($A738="","", IFERROR(INDEX('BM Data'!$J:$J,MATCH($J738&amp; "-" &amp; $N738,'BM Data'!$O:$O,0),1),""))</f>
        <v/>
      </c>
    </row>
    <row r="739">
      <c r="A739" s="10" t="str">
        <f>IFERROR(__xludf.DUMMYFUNCTION("""COMPUTED_VALUE"""),"")</f>
        <v/>
      </c>
      <c r="B739" s="3" t="str">
        <f>IFERROR(__xludf.DUMMYFUNCTION("""COMPUTED_VALUE"""),"")</f>
        <v/>
      </c>
      <c r="C739" s="11" t="str">
        <f>IFERROR(__xludf.DUMMYFUNCTION("""COMPUTED_VALUE"""),"")</f>
        <v/>
      </c>
      <c r="D739" s="11" t="str">
        <f>IFERROR(__xludf.DUMMYFUNCTION("""COMPUTED_VALUE"""),"")</f>
        <v/>
      </c>
      <c r="E739" s="11" t="str">
        <f>IFERROR(__xludf.DUMMYFUNCTION("""COMPUTED_VALUE"""),"")</f>
        <v/>
      </c>
      <c r="F739" s="11" t="str">
        <f>IFERROR(__xludf.DUMMYFUNCTION("""COMPUTED_VALUE"""),"")</f>
        <v/>
      </c>
      <c r="G739" s="11" t="str">
        <f>IFERROR(__xludf.DUMMYFUNCTION("""COMPUTED_VALUE"""),"")</f>
        <v/>
      </c>
      <c r="H739" s="12" t="str">
        <f>IFERROR(__xludf.DUMMYFUNCTION("""COMPUTED_VALUE"""),"")</f>
        <v/>
      </c>
      <c r="I739" s="12" t="str">
        <f>IFERROR(__xludf.DUMMYFUNCTION("""COMPUTED_VALUE"""),"")</f>
        <v/>
      </c>
      <c r="J739" s="13" t="str">
        <f t="shared" si="1"/>
        <v/>
      </c>
      <c r="K739" s="12" t="str">
        <f>IFERROR(IF(A739="","",if($G739="",Reference!$J$2, VLOOKUP($G739,Reference!$I$2:$J$1000,2,false))),"")</f>
        <v/>
      </c>
      <c r="L739" s="12" t="str">
        <f>IF(A739="","", IF(F739="",Reference!$M$2,F739))</f>
        <v/>
      </c>
      <c r="M739" s="14" t="str">
        <f t="shared" si="2"/>
        <v/>
      </c>
      <c r="N739" s="15" t="str">
        <f t="shared" si="3"/>
        <v/>
      </c>
      <c r="O739" s="14" t="str">
        <f t="shared" si="4"/>
        <v/>
      </c>
      <c r="P739" s="16" t="str">
        <f t="array" ref="P739">IF($A739="","", IFERROR(INDEX('BM Data'!$N:$N,MATCH($J739&amp; "-" &amp; $N739,'BM Data'!$O:$O,0),1),""))</f>
        <v/>
      </c>
      <c r="Q739" s="16" t="str">
        <f t="array" ref="Q739">IF($A739="","", IFERROR(INDEX('BM Data'!$J:$J,MATCH($J739&amp; "-" &amp; $N739,'BM Data'!$O:$O,0),1),""))</f>
        <v/>
      </c>
    </row>
    <row r="740">
      <c r="A740" s="10" t="str">
        <f>IFERROR(__xludf.DUMMYFUNCTION("""COMPUTED_VALUE"""),"")</f>
        <v/>
      </c>
      <c r="B740" s="3" t="str">
        <f>IFERROR(__xludf.DUMMYFUNCTION("""COMPUTED_VALUE"""),"")</f>
        <v/>
      </c>
      <c r="C740" s="11" t="str">
        <f>IFERROR(__xludf.DUMMYFUNCTION("""COMPUTED_VALUE"""),"")</f>
        <v/>
      </c>
      <c r="D740" s="11" t="str">
        <f>IFERROR(__xludf.DUMMYFUNCTION("""COMPUTED_VALUE"""),"")</f>
        <v/>
      </c>
      <c r="E740" s="11" t="str">
        <f>IFERROR(__xludf.DUMMYFUNCTION("""COMPUTED_VALUE"""),"")</f>
        <v/>
      </c>
      <c r="F740" s="11" t="str">
        <f>IFERROR(__xludf.DUMMYFUNCTION("""COMPUTED_VALUE"""),"")</f>
        <v/>
      </c>
      <c r="G740" s="11" t="str">
        <f>IFERROR(__xludf.DUMMYFUNCTION("""COMPUTED_VALUE"""),"")</f>
        <v/>
      </c>
      <c r="H740" s="12" t="str">
        <f>IFERROR(__xludf.DUMMYFUNCTION("""COMPUTED_VALUE"""),"")</f>
        <v/>
      </c>
      <c r="I740" s="12" t="str">
        <f>IFERROR(__xludf.DUMMYFUNCTION("""COMPUTED_VALUE"""),"")</f>
        <v/>
      </c>
      <c r="J740" s="13" t="str">
        <f t="shared" si="1"/>
        <v/>
      </c>
      <c r="K740" s="12" t="str">
        <f>IFERROR(IF(A740="","",if($G740="",Reference!$J$2, VLOOKUP($G740,Reference!$I$2:$J$1000,2,false))),"")</f>
        <v/>
      </c>
      <c r="L740" s="12" t="str">
        <f>IF(A740="","", IF(F740="",Reference!$M$2,F740))</f>
        <v/>
      </c>
      <c r="M740" s="14" t="str">
        <f t="shared" si="2"/>
        <v/>
      </c>
      <c r="N740" s="15" t="str">
        <f t="shared" si="3"/>
        <v/>
      </c>
      <c r="O740" s="14" t="str">
        <f t="shared" si="4"/>
        <v/>
      </c>
      <c r="P740" s="16" t="str">
        <f t="array" ref="P740">IF($A740="","", IFERROR(INDEX('BM Data'!$N:$N,MATCH($J740&amp; "-" &amp; $N740,'BM Data'!$O:$O,0),1),""))</f>
        <v/>
      </c>
      <c r="Q740" s="16" t="str">
        <f t="array" ref="Q740">IF($A740="","", IFERROR(INDEX('BM Data'!$J:$J,MATCH($J740&amp; "-" &amp; $N740,'BM Data'!$O:$O,0),1),""))</f>
        <v/>
      </c>
    </row>
    <row r="741">
      <c r="A741" s="10" t="str">
        <f>IFERROR(__xludf.DUMMYFUNCTION("""COMPUTED_VALUE"""),"")</f>
        <v/>
      </c>
      <c r="B741" s="3" t="str">
        <f>IFERROR(__xludf.DUMMYFUNCTION("""COMPUTED_VALUE"""),"")</f>
        <v/>
      </c>
      <c r="C741" s="11" t="str">
        <f>IFERROR(__xludf.DUMMYFUNCTION("""COMPUTED_VALUE"""),"")</f>
        <v/>
      </c>
      <c r="D741" s="11" t="str">
        <f>IFERROR(__xludf.DUMMYFUNCTION("""COMPUTED_VALUE"""),"")</f>
        <v/>
      </c>
      <c r="E741" s="11" t="str">
        <f>IFERROR(__xludf.DUMMYFUNCTION("""COMPUTED_VALUE"""),"")</f>
        <v/>
      </c>
      <c r="F741" s="11" t="str">
        <f>IFERROR(__xludf.DUMMYFUNCTION("""COMPUTED_VALUE"""),"")</f>
        <v/>
      </c>
      <c r="G741" s="11" t="str">
        <f>IFERROR(__xludf.DUMMYFUNCTION("""COMPUTED_VALUE"""),"")</f>
        <v/>
      </c>
      <c r="H741" s="12" t="str">
        <f>IFERROR(__xludf.DUMMYFUNCTION("""COMPUTED_VALUE"""),"")</f>
        <v/>
      </c>
      <c r="I741" s="12" t="str">
        <f>IFERROR(__xludf.DUMMYFUNCTION("""COMPUTED_VALUE"""),"")</f>
        <v/>
      </c>
      <c r="J741" s="13" t="str">
        <f t="shared" si="1"/>
        <v/>
      </c>
      <c r="K741" s="12" t="str">
        <f>IFERROR(IF(A741="","",if($G741="",Reference!$J$2, VLOOKUP($G741,Reference!$I$2:$J$1000,2,false))),"")</f>
        <v/>
      </c>
      <c r="L741" s="12" t="str">
        <f>IF(A741="","", IF(F741="",Reference!$M$2,F741))</f>
        <v/>
      </c>
      <c r="M741" s="14" t="str">
        <f t="shared" si="2"/>
        <v/>
      </c>
      <c r="N741" s="15" t="str">
        <f t="shared" si="3"/>
        <v/>
      </c>
      <c r="O741" s="14" t="str">
        <f t="shared" si="4"/>
        <v/>
      </c>
      <c r="P741" s="16" t="str">
        <f t="array" ref="P741">IF($A741="","", IFERROR(INDEX('BM Data'!$N:$N,MATCH($J741&amp; "-" &amp; $N741,'BM Data'!$O:$O,0),1),""))</f>
        <v/>
      </c>
      <c r="Q741" s="16" t="str">
        <f t="array" ref="Q741">IF($A741="","", IFERROR(INDEX('BM Data'!$J:$J,MATCH($J741&amp; "-" &amp; $N741,'BM Data'!$O:$O,0),1),""))</f>
        <v/>
      </c>
    </row>
    <row r="742">
      <c r="A742" s="10" t="str">
        <f>IFERROR(__xludf.DUMMYFUNCTION("""COMPUTED_VALUE"""),"")</f>
        <v/>
      </c>
      <c r="B742" s="3" t="str">
        <f>IFERROR(__xludf.DUMMYFUNCTION("""COMPUTED_VALUE"""),"")</f>
        <v/>
      </c>
      <c r="C742" s="11" t="str">
        <f>IFERROR(__xludf.DUMMYFUNCTION("""COMPUTED_VALUE"""),"")</f>
        <v/>
      </c>
      <c r="D742" s="11" t="str">
        <f>IFERROR(__xludf.DUMMYFUNCTION("""COMPUTED_VALUE"""),"")</f>
        <v/>
      </c>
      <c r="E742" s="11" t="str">
        <f>IFERROR(__xludf.DUMMYFUNCTION("""COMPUTED_VALUE"""),"")</f>
        <v/>
      </c>
      <c r="F742" s="11" t="str">
        <f>IFERROR(__xludf.DUMMYFUNCTION("""COMPUTED_VALUE"""),"")</f>
        <v/>
      </c>
      <c r="G742" s="11" t="str">
        <f>IFERROR(__xludf.DUMMYFUNCTION("""COMPUTED_VALUE"""),"")</f>
        <v/>
      </c>
      <c r="H742" s="12" t="str">
        <f>IFERROR(__xludf.DUMMYFUNCTION("""COMPUTED_VALUE"""),"")</f>
        <v/>
      </c>
      <c r="I742" s="12" t="str">
        <f>IFERROR(__xludf.DUMMYFUNCTION("""COMPUTED_VALUE"""),"")</f>
        <v/>
      </c>
      <c r="J742" s="13" t="str">
        <f t="shared" si="1"/>
        <v/>
      </c>
      <c r="K742" s="12" t="str">
        <f>IFERROR(IF(A742="","",if($G742="",Reference!$J$2, VLOOKUP($G742,Reference!$I$2:$J$1000,2,false))),"")</f>
        <v/>
      </c>
      <c r="L742" s="12" t="str">
        <f>IF(A742="","", IF(F742="",Reference!$M$2,F742))</f>
        <v/>
      </c>
      <c r="M742" s="14" t="str">
        <f t="shared" si="2"/>
        <v/>
      </c>
      <c r="N742" s="15" t="str">
        <f t="shared" si="3"/>
        <v/>
      </c>
      <c r="O742" s="14" t="str">
        <f t="shared" si="4"/>
        <v/>
      </c>
      <c r="P742" s="16" t="str">
        <f t="array" ref="P742">IF($A742="","", IFERROR(INDEX('BM Data'!$N:$N,MATCH($J742&amp; "-" &amp; $N742,'BM Data'!$O:$O,0),1),""))</f>
        <v/>
      </c>
      <c r="Q742" s="16" t="str">
        <f t="array" ref="Q742">IF($A742="","", IFERROR(INDEX('BM Data'!$J:$J,MATCH($J742&amp; "-" &amp; $N742,'BM Data'!$O:$O,0),1),""))</f>
        <v/>
      </c>
    </row>
    <row r="743">
      <c r="A743" s="10" t="str">
        <f>IFERROR(__xludf.DUMMYFUNCTION("""COMPUTED_VALUE"""),"")</f>
        <v/>
      </c>
      <c r="B743" s="3" t="str">
        <f>IFERROR(__xludf.DUMMYFUNCTION("""COMPUTED_VALUE"""),"")</f>
        <v/>
      </c>
      <c r="C743" s="11" t="str">
        <f>IFERROR(__xludf.DUMMYFUNCTION("""COMPUTED_VALUE"""),"")</f>
        <v/>
      </c>
      <c r="D743" s="11" t="str">
        <f>IFERROR(__xludf.DUMMYFUNCTION("""COMPUTED_VALUE"""),"")</f>
        <v/>
      </c>
      <c r="E743" s="11" t="str">
        <f>IFERROR(__xludf.DUMMYFUNCTION("""COMPUTED_VALUE"""),"")</f>
        <v/>
      </c>
      <c r="F743" s="11" t="str">
        <f>IFERROR(__xludf.DUMMYFUNCTION("""COMPUTED_VALUE"""),"")</f>
        <v/>
      </c>
      <c r="G743" s="11" t="str">
        <f>IFERROR(__xludf.DUMMYFUNCTION("""COMPUTED_VALUE"""),"")</f>
        <v/>
      </c>
      <c r="H743" s="12" t="str">
        <f>IFERROR(__xludf.DUMMYFUNCTION("""COMPUTED_VALUE"""),"")</f>
        <v/>
      </c>
      <c r="I743" s="12" t="str">
        <f>IFERROR(__xludf.DUMMYFUNCTION("""COMPUTED_VALUE"""),"")</f>
        <v/>
      </c>
      <c r="J743" s="13" t="str">
        <f t="shared" si="1"/>
        <v/>
      </c>
      <c r="K743" s="12" t="str">
        <f>IFERROR(IF(A743="","",if($G743="",Reference!$J$2, VLOOKUP($G743,Reference!$I$2:$J$1000,2,false))),"")</f>
        <v/>
      </c>
      <c r="L743" s="12" t="str">
        <f>IF(A743="","", IF(F743="",Reference!$M$2,F743))</f>
        <v/>
      </c>
      <c r="M743" s="14" t="str">
        <f t="shared" si="2"/>
        <v/>
      </c>
      <c r="N743" s="15" t="str">
        <f t="shared" si="3"/>
        <v/>
      </c>
      <c r="O743" s="14" t="str">
        <f t="shared" si="4"/>
        <v/>
      </c>
      <c r="P743" s="16" t="str">
        <f t="array" ref="P743">IF($A743="","", IFERROR(INDEX('BM Data'!$N:$N,MATCH($J743&amp; "-" &amp; $N743,'BM Data'!$O:$O,0),1),""))</f>
        <v/>
      </c>
      <c r="Q743" s="16" t="str">
        <f t="array" ref="Q743">IF($A743="","", IFERROR(INDEX('BM Data'!$J:$J,MATCH($J743&amp; "-" &amp; $N743,'BM Data'!$O:$O,0),1),""))</f>
        <v/>
      </c>
    </row>
    <row r="744">
      <c r="A744" s="10" t="str">
        <f>IFERROR(__xludf.DUMMYFUNCTION("""COMPUTED_VALUE"""),"")</f>
        <v/>
      </c>
      <c r="B744" s="3" t="str">
        <f>IFERROR(__xludf.DUMMYFUNCTION("""COMPUTED_VALUE"""),"")</f>
        <v/>
      </c>
      <c r="C744" s="11" t="str">
        <f>IFERROR(__xludf.DUMMYFUNCTION("""COMPUTED_VALUE"""),"")</f>
        <v/>
      </c>
      <c r="D744" s="11" t="str">
        <f>IFERROR(__xludf.DUMMYFUNCTION("""COMPUTED_VALUE"""),"")</f>
        <v/>
      </c>
      <c r="E744" s="11" t="str">
        <f>IFERROR(__xludf.DUMMYFUNCTION("""COMPUTED_VALUE"""),"")</f>
        <v/>
      </c>
      <c r="F744" s="11" t="str">
        <f>IFERROR(__xludf.DUMMYFUNCTION("""COMPUTED_VALUE"""),"")</f>
        <v/>
      </c>
      <c r="G744" s="11" t="str">
        <f>IFERROR(__xludf.DUMMYFUNCTION("""COMPUTED_VALUE"""),"")</f>
        <v/>
      </c>
      <c r="H744" s="12" t="str">
        <f>IFERROR(__xludf.DUMMYFUNCTION("""COMPUTED_VALUE"""),"")</f>
        <v/>
      </c>
      <c r="I744" s="12" t="str">
        <f>IFERROR(__xludf.DUMMYFUNCTION("""COMPUTED_VALUE"""),"")</f>
        <v/>
      </c>
      <c r="J744" s="13" t="str">
        <f t="shared" si="1"/>
        <v/>
      </c>
      <c r="K744" s="12" t="str">
        <f>IFERROR(IF(A744="","",if($G744="",Reference!$J$2, VLOOKUP($G744,Reference!$I$2:$J$1000,2,false))),"")</f>
        <v/>
      </c>
      <c r="L744" s="12" t="str">
        <f>IF(A744="","", IF(F744="",Reference!$M$2,F744))</f>
        <v/>
      </c>
      <c r="M744" s="14" t="str">
        <f t="shared" si="2"/>
        <v/>
      </c>
      <c r="N744" s="15" t="str">
        <f t="shared" si="3"/>
        <v/>
      </c>
      <c r="O744" s="14" t="str">
        <f t="shared" si="4"/>
        <v/>
      </c>
      <c r="P744" s="16" t="str">
        <f t="array" ref="P744">IF($A744="","", IFERROR(INDEX('BM Data'!$N:$N,MATCH($J744&amp; "-" &amp; $N744,'BM Data'!$O:$O,0),1),""))</f>
        <v/>
      </c>
      <c r="Q744" s="16" t="str">
        <f t="array" ref="Q744">IF($A744="","", IFERROR(INDEX('BM Data'!$J:$J,MATCH($J744&amp; "-" &amp; $N744,'BM Data'!$O:$O,0),1),""))</f>
        <v/>
      </c>
    </row>
    <row r="745">
      <c r="A745" s="10" t="str">
        <f>IFERROR(__xludf.DUMMYFUNCTION("""COMPUTED_VALUE"""),"")</f>
        <v/>
      </c>
      <c r="B745" s="3" t="str">
        <f>IFERROR(__xludf.DUMMYFUNCTION("""COMPUTED_VALUE"""),"")</f>
        <v/>
      </c>
      <c r="C745" s="11" t="str">
        <f>IFERROR(__xludf.DUMMYFUNCTION("""COMPUTED_VALUE"""),"")</f>
        <v/>
      </c>
      <c r="D745" s="11" t="str">
        <f>IFERROR(__xludf.DUMMYFUNCTION("""COMPUTED_VALUE"""),"")</f>
        <v/>
      </c>
      <c r="E745" s="11" t="str">
        <f>IFERROR(__xludf.DUMMYFUNCTION("""COMPUTED_VALUE"""),"")</f>
        <v/>
      </c>
      <c r="F745" s="11" t="str">
        <f>IFERROR(__xludf.DUMMYFUNCTION("""COMPUTED_VALUE"""),"")</f>
        <v/>
      </c>
      <c r="G745" s="11" t="str">
        <f>IFERROR(__xludf.DUMMYFUNCTION("""COMPUTED_VALUE"""),"")</f>
        <v/>
      </c>
      <c r="H745" s="12" t="str">
        <f>IFERROR(__xludf.DUMMYFUNCTION("""COMPUTED_VALUE"""),"")</f>
        <v/>
      </c>
      <c r="I745" s="12" t="str">
        <f>IFERROR(__xludf.DUMMYFUNCTION("""COMPUTED_VALUE"""),"")</f>
        <v/>
      </c>
      <c r="J745" s="13" t="str">
        <f t="shared" si="1"/>
        <v/>
      </c>
      <c r="K745" s="12" t="str">
        <f>IFERROR(IF(A745="","",if($G745="",Reference!$J$2, VLOOKUP($G745,Reference!$I$2:$J$1000,2,false))),"")</f>
        <v/>
      </c>
      <c r="L745" s="12" t="str">
        <f>IF(A745="","", IF(F745="",Reference!$M$2,F745))</f>
        <v/>
      </c>
      <c r="M745" s="14" t="str">
        <f t="shared" si="2"/>
        <v/>
      </c>
      <c r="N745" s="15" t="str">
        <f t="shared" si="3"/>
        <v/>
      </c>
      <c r="O745" s="14" t="str">
        <f t="shared" si="4"/>
        <v/>
      </c>
      <c r="P745" s="16" t="str">
        <f t="array" ref="P745">IF($A745="","", IFERROR(INDEX('BM Data'!$N:$N,MATCH($J745&amp; "-" &amp; $N745,'BM Data'!$O:$O,0),1),""))</f>
        <v/>
      </c>
      <c r="Q745" s="16" t="str">
        <f t="array" ref="Q745">IF($A745="","", IFERROR(INDEX('BM Data'!$J:$J,MATCH($J745&amp; "-" &amp; $N745,'BM Data'!$O:$O,0),1),""))</f>
        <v/>
      </c>
    </row>
    <row r="746">
      <c r="A746" s="10" t="str">
        <f>IFERROR(__xludf.DUMMYFUNCTION("""COMPUTED_VALUE"""),"")</f>
        <v/>
      </c>
      <c r="B746" s="3" t="str">
        <f>IFERROR(__xludf.DUMMYFUNCTION("""COMPUTED_VALUE"""),"")</f>
        <v/>
      </c>
      <c r="C746" s="11" t="str">
        <f>IFERROR(__xludf.DUMMYFUNCTION("""COMPUTED_VALUE"""),"")</f>
        <v/>
      </c>
      <c r="D746" s="11" t="str">
        <f>IFERROR(__xludf.DUMMYFUNCTION("""COMPUTED_VALUE"""),"")</f>
        <v/>
      </c>
      <c r="E746" s="11" t="str">
        <f>IFERROR(__xludf.DUMMYFUNCTION("""COMPUTED_VALUE"""),"")</f>
        <v/>
      </c>
      <c r="F746" s="11" t="str">
        <f>IFERROR(__xludf.DUMMYFUNCTION("""COMPUTED_VALUE"""),"")</f>
        <v/>
      </c>
      <c r="G746" s="11" t="str">
        <f>IFERROR(__xludf.DUMMYFUNCTION("""COMPUTED_VALUE"""),"")</f>
        <v/>
      </c>
      <c r="H746" s="12" t="str">
        <f>IFERROR(__xludf.DUMMYFUNCTION("""COMPUTED_VALUE"""),"")</f>
        <v/>
      </c>
      <c r="I746" s="12" t="str">
        <f>IFERROR(__xludf.DUMMYFUNCTION("""COMPUTED_VALUE"""),"")</f>
        <v/>
      </c>
      <c r="J746" s="13" t="str">
        <f t="shared" si="1"/>
        <v/>
      </c>
      <c r="K746" s="12" t="str">
        <f>IFERROR(IF(A746="","",if($G746="",Reference!$J$2, VLOOKUP($G746,Reference!$I$2:$J$1000,2,false))),"")</f>
        <v/>
      </c>
      <c r="L746" s="12" t="str">
        <f>IF(A746="","", IF(F746="",Reference!$M$2,F746))</f>
        <v/>
      </c>
      <c r="M746" s="14" t="str">
        <f t="shared" si="2"/>
        <v/>
      </c>
      <c r="N746" s="15" t="str">
        <f t="shared" si="3"/>
        <v/>
      </c>
      <c r="O746" s="14" t="str">
        <f t="shared" si="4"/>
        <v/>
      </c>
      <c r="P746" s="16" t="str">
        <f t="array" ref="P746">IF($A746="","", IFERROR(INDEX('BM Data'!$N:$N,MATCH($J746&amp; "-" &amp; $N746,'BM Data'!$O:$O,0),1),""))</f>
        <v/>
      </c>
      <c r="Q746" s="16" t="str">
        <f t="array" ref="Q746">IF($A746="","", IFERROR(INDEX('BM Data'!$J:$J,MATCH($J746&amp; "-" &amp; $N746,'BM Data'!$O:$O,0),1),""))</f>
        <v/>
      </c>
    </row>
    <row r="747">
      <c r="A747" s="10" t="str">
        <f>IFERROR(__xludf.DUMMYFUNCTION("""COMPUTED_VALUE"""),"")</f>
        <v/>
      </c>
      <c r="B747" s="3" t="str">
        <f>IFERROR(__xludf.DUMMYFUNCTION("""COMPUTED_VALUE"""),"")</f>
        <v/>
      </c>
      <c r="C747" s="11" t="str">
        <f>IFERROR(__xludf.DUMMYFUNCTION("""COMPUTED_VALUE"""),"")</f>
        <v/>
      </c>
      <c r="D747" s="11" t="str">
        <f>IFERROR(__xludf.DUMMYFUNCTION("""COMPUTED_VALUE"""),"")</f>
        <v/>
      </c>
      <c r="E747" s="11" t="str">
        <f>IFERROR(__xludf.DUMMYFUNCTION("""COMPUTED_VALUE"""),"")</f>
        <v/>
      </c>
      <c r="F747" s="11" t="str">
        <f>IFERROR(__xludf.DUMMYFUNCTION("""COMPUTED_VALUE"""),"")</f>
        <v/>
      </c>
      <c r="G747" s="11" t="str">
        <f>IFERROR(__xludf.DUMMYFUNCTION("""COMPUTED_VALUE"""),"")</f>
        <v/>
      </c>
      <c r="H747" s="12" t="str">
        <f>IFERROR(__xludf.DUMMYFUNCTION("""COMPUTED_VALUE"""),"")</f>
        <v/>
      </c>
      <c r="I747" s="12" t="str">
        <f>IFERROR(__xludf.DUMMYFUNCTION("""COMPUTED_VALUE"""),"")</f>
        <v/>
      </c>
      <c r="J747" s="13" t="str">
        <f t="shared" si="1"/>
        <v/>
      </c>
      <c r="K747" s="12" t="str">
        <f>IFERROR(IF(A747="","",if($G747="",Reference!$J$2, VLOOKUP($G747,Reference!$I$2:$J$1000,2,false))),"")</f>
        <v/>
      </c>
      <c r="L747" s="12" t="str">
        <f>IF(A747="","", IF(F747="",Reference!$M$2,F747))</f>
        <v/>
      </c>
      <c r="M747" s="14" t="str">
        <f t="shared" si="2"/>
        <v/>
      </c>
      <c r="N747" s="15" t="str">
        <f t="shared" si="3"/>
        <v/>
      </c>
      <c r="O747" s="14" t="str">
        <f t="shared" si="4"/>
        <v/>
      </c>
      <c r="P747" s="16" t="str">
        <f t="array" ref="P747">IF($A747="","", IFERROR(INDEX('BM Data'!$N:$N,MATCH($J747&amp; "-" &amp; $N747,'BM Data'!$O:$O,0),1),""))</f>
        <v/>
      </c>
      <c r="Q747" s="16" t="str">
        <f t="array" ref="Q747">IF($A747="","", IFERROR(INDEX('BM Data'!$J:$J,MATCH($J747&amp; "-" &amp; $N747,'BM Data'!$O:$O,0),1),""))</f>
        <v/>
      </c>
    </row>
    <row r="748">
      <c r="A748" s="10" t="str">
        <f>IFERROR(__xludf.DUMMYFUNCTION("""COMPUTED_VALUE"""),"")</f>
        <v/>
      </c>
      <c r="B748" s="3" t="str">
        <f>IFERROR(__xludf.DUMMYFUNCTION("""COMPUTED_VALUE"""),"")</f>
        <v/>
      </c>
      <c r="C748" s="11" t="str">
        <f>IFERROR(__xludf.DUMMYFUNCTION("""COMPUTED_VALUE"""),"")</f>
        <v/>
      </c>
      <c r="D748" s="11" t="str">
        <f>IFERROR(__xludf.DUMMYFUNCTION("""COMPUTED_VALUE"""),"")</f>
        <v/>
      </c>
      <c r="E748" s="11" t="str">
        <f>IFERROR(__xludf.DUMMYFUNCTION("""COMPUTED_VALUE"""),"")</f>
        <v/>
      </c>
      <c r="F748" s="11" t="str">
        <f>IFERROR(__xludf.DUMMYFUNCTION("""COMPUTED_VALUE"""),"")</f>
        <v/>
      </c>
      <c r="G748" s="11" t="str">
        <f>IFERROR(__xludf.DUMMYFUNCTION("""COMPUTED_VALUE"""),"")</f>
        <v/>
      </c>
      <c r="H748" s="12" t="str">
        <f>IFERROR(__xludf.DUMMYFUNCTION("""COMPUTED_VALUE"""),"")</f>
        <v/>
      </c>
      <c r="I748" s="12" t="str">
        <f>IFERROR(__xludf.DUMMYFUNCTION("""COMPUTED_VALUE"""),"")</f>
        <v/>
      </c>
      <c r="J748" s="13" t="str">
        <f t="shared" si="1"/>
        <v/>
      </c>
      <c r="K748" s="12" t="str">
        <f>IFERROR(IF(A748="","",if($G748="",Reference!$J$2, VLOOKUP($G748,Reference!$I$2:$J$1000,2,false))),"")</f>
        <v/>
      </c>
      <c r="L748" s="12" t="str">
        <f>IF(A748="","", IF(F748="",Reference!$M$2,F748))</f>
        <v/>
      </c>
      <c r="M748" s="14" t="str">
        <f t="shared" si="2"/>
        <v/>
      </c>
      <c r="N748" s="15" t="str">
        <f t="shared" si="3"/>
        <v/>
      </c>
      <c r="O748" s="14" t="str">
        <f t="shared" si="4"/>
        <v/>
      </c>
      <c r="P748" s="16" t="str">
        <f t="array" ref="P748">IF($A748="","", IFERROR(INDEX('BM Data'!$N:$N,MATCH($J748&amp; "-" &amp; $N748,'BM Data'!$O:$O,0),1),""))</f>
        <v/>
      </c>
      <c r="Q748" s="16" t="str">
        <f t="array" ref="Q748">IF($A748="","", IFERROR(INDEX('BM Data'!$J:$J,MATCH($J748&amp; "-" &amp; $N748,'BM Data'!$O:$O,0),1),""))</f>
        <v/>
      </c>
    </row>
    <row r="749">
      <c r="A749" s="10" t="str">
        <f>IFERROR(__xludf.DUMMYFUNCTION("""COMPUTED_VALUE"""),"")</f>
        <v/>
      </c>
      <c r="B749" s="3" t="str">
        <f>IFERROR(__xludf.DUMMYFUNCTION("""COMPUTED_VALUE"""),"")</f>
        <v/>
      </c>
      <c r="C749" s="11" t="str">
        <f>IFERROR(__xludf.DUMMYFUNCTION("""COMPUTED_VALUE"""),"")</f>
        <v/>
      </c>
      <c r="D749" s="11" t="str">
        <f>IFERROR(__xludf.DUMMYFUNCTION("""COMPUTED_VALUE"""),"")</f>
        <v/>
      </c>
      <c r="E749" s="11" t="str">
        <f>IFERROR(__xludf.DUMMYFUNCTION("""COMPUTED_VALUE"""),"")</f>
        <v/>
      </c>
      <c r="F749" s="11" t="str">
        <f>IFERROR(__xludf.DUMMYFUNCTION("""COMPUTED_VALUE"""),"")</f>
        <v/>
      </c>
      <c r="G749" s="11" t="str">
        <f>IFERROR(__xludf.DUMMYFUNCTION("""COMPUTED_VALUE"""),"")</f>
        <v/>
      </c>
      <c r="H749" s="12" t="str">
        <f>IFERROR(__xludf.DUMMYFUNCTION("""COMPUTED_VALUE"""),"")</f>
        <v/>
      </c>
      <c r="I749" s="12" t="str">
        <f>IFERROR(__xludf.DUMMYFUNCTION("""COMPUTED_VALUE"""),"")</f>
        <v/>
      </c>
      <c r="J749" s="13" t="str">
        <f t="shared" si="1"/>
        <v/>
      </c>
      <c r="K749" s="12" t="str">
        <f>IFERROR(IF(A749="","",if($G749="",Reference!$J$2, VLOOKUP($G749,Reference!$I$2:$J$1000,2,false))),"")</f>
        <v/>
      </c>
      <c r="L749" s="12" t="str">
        <f>IF(A749="","", IF(F749="",Reference!$M$2,F749))</f>
        <v/>
      </c>
      <c r="M749" s="14" t="str">
        <f t="shared" si="2"/>
        <v/>
      </c>
      <c r="N749" s="15" t="str">
        <f t="shared" si="3"/>
        <v/>
      </c>
      <c r="O749" s="14" t="str">
        <f t="shared" si="4"/>
        <v/>
      </c>
      <c r="P749" s="16" t="str">
        <f t="array" ref="P749">IF($A749="","", IFERROR(INDEX('BM Data'!$N:$N,MATCH($J749&amp; "-" &amp; $N749,'BM Data'!$O:$O,0),1),""))</f>
        <v/>
      </c>
      <c r="Q749" s="16" t="str">
        <f t="array" ref="Q749">IF($A749="","", IFERROR(INDEX('BM Data'!$J:$J,MATCH($J749&amp; "-" &amp; $N749,'BM Data'!$O:$O,0),1),""))</f>
        <v/>
      </c>
    </row>
    <row r="750">
      <c r="A750" s="10" t="str">
        <f>IFERROR(__xludf.DUMMYFUNCTION("""COMPUTED_VALUE"""),"")</f>
        <v/>
      </c>
      <c r="B750" s="3" t="str">
        <f>IFERROR(__xludf.DUMMYFUNCTION("""COMPUTED_VALUE"""),"")</f>
        <v/>
      </c>
      <c r="C750" s="11" t="str">
        <f>IFERROR(__xludf.DUMMYFUNCTION("""COMPUTED_VALUE"""),"")</f>
        <v/>
      </c>
      <c r="D750" s="11" t="str">
        <f>IFERROR(__xludf.DUMMYFUNCTION("""COMPUTED_VALUE"""),"")</f>
        <v/>
      </c>
      <c r="E750" s="11" t="str">
        <f>IFERROR(__xludf.DUMMYFUNCTION("""COMPUTED_VALUE"""),"")</f>
        <v/>
      </c>
      <c r="F750" s="11" t="str">
        <f>IFERROR(__xludf.DUMMYFUNCTION("""COMPUTED_VALUE"""),"")</f>
        <v/>
      </c>
      <c r="G750" s="11" t="str">
        <f>IFERROR(__xludf.DUMMYFUNCTION("""COMPUTED_VALUE"""),"")</f>
        <v/>
      </c>
      <c r="H750" s="12" t="str">
        <f>IFERROR(__xludf.DUMMYFUNCTION("""COMPUTED_VALUE"""),"")</f>
        <v/>
      </c>
      <c r="I750" s="12" t="str">
        <f>IFERROR(__xludf.DUMMYFUNCTION("""COMPUTED_VALUE"""),"")</f>
        <v/>
      </c>
      <c r="J750" s="13" t="str">
        <f t="shared" si="1"/>
        <v/>
      </c>
      <c r="K750" s="12" t="str">
        <f>IFERROR(IF(A750="","",if($G750="",Reference!$J$2, VLOOKUP($G750,Reference!$I$2:$J$1000,2,false))),"")</f>
        <v/>
      </c>
      <c r="L750" s="12" t="str">
        <f>IF(A750="","", IF(F750="",Reference!$M$2,F750))</f>
        <v/>
      </c>
      <c r="M750" s="14" t="str">
        <f t="shared" si="2"/>
        <v/>
      </c>
      <c r="N750" s="15" t="str">
        <f t="shared" si="3"/>
        <v/>
      </c>
      <c r="O750" s="14" t="str">
        <f t="shared" si="4"/>
        <v/>
      </c>
      <c r="P750" s="16" t="str">
        <f t="array" ref="P750">IF($A750="","", IFERROR(INDEX('BM Data'!$N:$N,MATCH($J750&amp; "-" &amp; $N750,'BM Data'!$O:$O,0),1),""))</f>
        <v/>
      </c>
      <c r="Q750" s="16" t="str">
        <f t="array" ref="Q750">IF($A750="","", IFERROR(INDEX('BM Data'!$J:$J,MATCH($J750&amp; "-" &amp; $N750,'BM Data'!$O:$O,0),1),""))</f>
        <v/>
      </c>
    </row>
    <row r="751">
      <c r="A751" s="10" t="str">
        <f>IFERROR(__xludf.DUMMYFUNCTION("""COMPUTED_VALUE"""),"")</f>
        <v/>
      </c>
      <c r="B751" s="3" t="str">
        <f>IFERROR(__xludf.DUMMYFUNCTION("""COMPUTED_VALUE"""),"")</f>
        <v/>
      </c>
      <c r="C751" s="11" t="str">
        <f>IFERROR(__xludf.DUMMYFUNCTION("""COMPUTED_VALUE"""),"")</f>
        <v/>
      </c>
      <c r="D751" s="11" t="str">
        <f>IFERROR(__xludf.DUMMYFUNCTION("""COMPUTED_VALUE"""),"")</f>
        <v/>
      </c>
      <c r="E751" s="11" t="str">
        <f>IFERROR(__xludf.DUMMYFUNCTION("""COMPUTED_VALUE"""),"")</f>
        <v/>
      </c>
      <c r="F751" s="11" t="str">
        <f>IFERROR(__xludf.DUMMYFUNCTION("""COMPUTED_VALUE"""),"")</f>
        <v/>
      </c>
      <c r="G751" s="11" t="str">
        <f>IFERROR(__xludf.DUMMYFUNCTION("""COMPUTED_VALUE"""),"")</f>
        <v/>
      </c>
      <c r="H751" s="12" t="str">
        <f>IFERROR(__xludf.DUMMYFUNCTION("""COMPUTED_VALUE"""),"")</f>
        <v/>
      </c>
      <c r="I751" s="12" t="str">
        <f>IFERROR(__xludf.DUMMYFUNCTION("""COMPUTED_VALUE"""),"")</f>
        <v/>
      </c>
      <c r="J751" s="13" t="str">
        <f t="shared" si="1"/>
        <v/>
      </c>
      <c r="K751" s="12" t="str">
        <f>IFERROR(IF(A751="","",if($G751="",Reference!$J$2, VLOOKUP($G751,Reference!$I$2:$J$1000,2,false))),"")</f>
        <v/>
      </c>
      <c r="L751" s="12" t="str">
        <f>IF(A751="","", IF(F751="",Reference!$M$2,F751))</f>
        <v/>
      </c>
      <c r="M751" s="14" t="str">
        <f t="shared" si="2"/>
        <v/>
      </c>
      <c r="N751" s="15" t="str">
        <f t="shared" si="3"/>
        <v/>
      </c>
      <c r="O751" s="14" t="str">
        <f t="shared" si="4"/>
        <v/>
      </c>
      <c r="P751" s="16" t="str">
        <f t="array" ref="P751">IF($A751="","", IFERROR(INDEX('BM Data'!$N:$N,MATCH($J751&amp; "-" &amp; $N751,'BM Data'!$O:$O,0),1),""))</f>
        <v/>
      </c>
      <c r="Q751" s="16" t="str">
        <f t="array" ref="Q751">IF($A751="","", IFERROR(INDEX('BM Data'!$J:$J,MATCH($J751&amp; "-" &amp; $N751,'BM Data'!$O:$O,0),1),""))</f>
        <v/>
      </c>
    </row>
    <row r="752">
      <c r="A752" s="10" t="str">
        <f>IFERROR(__xludf.DUMMYFUNCTION("""COMPUTED_VALUE"""),"")</f>
        <v/>
      </c>
      <c r="B752" s="3" t="str">
        <f>IFERROR(__xludf.DUMMYFUNCTION("""COMPUTED_VALUE"""),"")</f>
        <v/>
      </c>
      <c r="C752" s="11" t="str">
        <f>IFERROR(__xludf.DUMMYFUNCTION("""COMPUTED_VALUE"""),"")</f>
        <v/>
      </c>
      <c r="D752" s="11" t="str">
        <f>IFERROR(__xludf.DUMMYFUNCTION("""COMPUTED_VALUE"""),"")</f>
        <v/>
      </c>
      <c r="E752" s="11" t="str">
        <f>IFERROR(__xludf.DUMMYFUNCTION("""COMPUTED_VALUE"""),"")</f>
        <v/>
      </c>
      <c r="F752" s="11" t="str">
        <f>IFERROR(__xludf.DUMMYFUNCTION("""COMPUTED_VALUE"""),"")</f>
        <v/>
      </c>
      <c r="G752" s="11" t="str">
        <f>IFERROR(__xludf.DUMMYFUNCTION("""COMPUTED_VALUE"""),"")</f>
        <v/>
      </c>
      <c r="H752" s="12" t="str">
        <f>IFERROR(__xludf.DUMMYFUNCTION("""COMPUTED_VALUE"""),"")</f>
        <v/>
      </c>
      <c r="I752" s="12" t="str">
        <f>IFERROR(__xludf.DUMMYFUNCTION("""COMPUTED_VALUE"""),"")</f>
        <v/>
      </c>
      <c r="J752" s="13" t="str">
        <f t="shared" si="1"/>
        <v/>
      </c>
      <c r="K752" s="12" t="str">
        <f>IFERROR(IF(A752="","",if($G752="",Reference!$J$2, VLOOKUP($G752,Reference!$I$2:$J$1000,2,false))),"")</f>
        <v/>
      </c>
      <c r="L752" s="12" t="str">
        <f>IF(A752="","", IF(F752="",Reference!$M$2,F752))</f>
        <v/>
      </c>
      <c r="M752" s="14" t="str">
        <f t="shared" si="2"/>
        <v/>
      </c>
      <c r="N752" s="15" t="str">
        <f t="shared" si="3"/>
        <v/>
      </c>
      <c r="O752" s="14" t="str">
        <f t="shared" si="4"/>
        <v/>
      </c>
      <c r="P752" s="16" t="str">
        <f t="array" ref="P752">IF($A752="","", IFERROR(INDEX('BM Data'!$N:$N,MATCH($J752&amp; "-" &amp; $N752,'BM Data'!$O:$O,0),1),""))</f>
        <v/>
      </c>
      <c r="Q752" s="16" t="str">
        <f t="array" ref="Q752">IF($A752="","", IFERROR(INDEX('BM Data'!$J:$J,MATCH($J752&amp; "-" &amp; $N752,'BM Data'!$O:$O,0),1),""))</f>
        <v/>
      </c>
    </row>
    <row r="753">
      <c r="A753" s="10" t="str">
        <f>IFERROR(__xludf.DUMMYFUNCTION("""COMPUTED_VALUE"""),"")</f>
        <v/>
      </c>
      <c r="B753" s="3" t="str">
        <f>IFERROR(__xludf.DUMMYFUNCTION("""COMPUTED_VALUE"""),"")</f>
        <v/>
      </c>
      <c r="C753" s="11" t="str">
        <f>IFERROR(__xludf.DUMMYFUNCTION("""COMPUTED_VALUE"""),"")</f>
        <v/>
      </c>
      <c r="D753" s="11" t="str">
        <f>IFERROR(__xludf.DUMMYFUNCTION("""COMPUTED_VALUE"""),"")</f>
        <v/>
      </c>
      <c r="E753" s="11" t="str">
        <f>IFERROR(__xludf.DUMMYFUNCTION("""COMPUTED_VALUE"""),"")</f>
        <v/>
      </c>
      <c r="F753" s="11" t="str">
        <f>IFERROR(__xludf.DUMMYFUNCTION("""COMPUTED_VALUE"""),"")</f>
        <v/>
      </c>
      <c r="G753" s="11" t="str">
        <f>IFERROR(__xludf.DUMMYFUNCTION("""COMPUTED_VALUE"""),"")</f>
        <v/>
      </c>
      <c r="H753" s="12" t="str">
        <f>IFERROR(__xludf.DUMMYFUNCTION("""COMPUTED_VALUE"""),"")</f>
        <v/>
      </c>
      <c r="I753" s="12" t="str">
        <f>IFERROR(__xludf.DUMMYFUNCTION("""COMPUTED_VALUE"""),"")</f>
        <v/>
      </c>
      <c r="J753" s="13" t="str">
        <f t="shared" si="1"/>
        <v/>
      </c>
      <c r="K753" s="12" t="str">
        <f>IFERROR(IF(A753="","",if($G753="",Reference!$J$2, VLOOKUP($G753,Reference!$I$2:$J$1000,2,false))),"")</f>
        <v/>
      </c>
      <c r="L753" s="12" t="str">
        <f>IF(A753="","", IF(F753="",Reference!$M$2,F753))</f>
        <v/>
      </c>
      <c r="M753" s="14" t="str">
        <f t="shared" si="2"/>
        <v/>
      </c>
      <c r="N753" s="15" t="str">
        <f t="shared" si="3"/>
        <v/>
      </c>
      <c r="O753" s="14" t="str">
        <f t="shared" si="4"/>
        <v/>
      </c>
      <c r="P753" s="16" t="str">
        <f t="array" ref="P753">IF($A753="","", IFERROR(INDEX('BM Data'!$N:$N,MATCH($J753&amp; "-" &amp; $N753,'BM Data'!$O:$O,0),1),""))</f>
        <v/>
      </c>
      <c r="Q753" s="16" t="str">
        <f t="array" ref="Q753">IF($A753="","", IFERROR(INDEX('BM Data'!$J:$J,MATCH($J753&amp; "-" &amp; $N753,'BM Data'!$O:$O,0),1),""))</f>
        <v/>
      </c>
    </row>
    <row r="754">
      <c r="A754" s="10" t="str">
        <f>IFERROR(__xludf.DUMMYFUNCTION("""COMPUTED_VALUE"""),"")</f>
        <v/>
      </c>
      <c r="B754" s="3" t="str">
        <f>IFERROR(__xludf.DUMMYFUNCTION("""COMPUTED_VALUE"""),"")</f>
        <v/>
      </c>
      <c r="C754" s="11" t="str">
        <f>IFERROR(__xludf.DUMMYFUNCTION("""COMPUTED_VALUE"""),"")</f>
        <v/>
      </c>
      <c r="D754" s="11" t="str">
        <f>IFERROR(__xludf.DUMMYFUNCTION("""COMPUTED_VALUE"""),"")</f>
        <v/>
      </c>
      <c r="E754" s="11" t="str">
        <f>IFERROR(__xludf.DUMMYFUNCTION("""COMPUTED_VALUE"""),"")</f>
        <v/>
      </c>
      <c r="F754" s="11" t="str">
        <f>IFERROR(__xludf.DUMMYFUNCTION("""COMPUTED_VALUE"""),"")</f>
        <v/>
      </c>
      <c r="G754" s="11" t="str">
        <f>IFERROR(__xludf.DUMMYFUNCTION("""COMPUTED_VALUE"""),"")</f>
        <v/>
      </c>
      <c r="H754" s="12" t="str">
        <f>IFERROR(__xludf.DUMMYFUNCTION("""COMPUTED_VALUE"""),"")</f>
        <v/>
      </c>
      <c r="I754" s="12" t="str">
        <f>IFERROR(__xludf.DUMMYFUNCTION("""COMPUTED_VALUE"""),"")</f>
        <v/>
      </c>
      <c r="J754" s="13" t="str">
        <f t="shared" si="1"/>
        <v/>
      </c>
      <c r="K754" s="12" t="str">
        <f>IFERROR(IF(A754="","",if($G754="",Reference!$J$2, VLOOKUP($G754,Reference!$I$2:$J$1000,2,false))),"")</f>
        <v/>
      </c>
      <c r="L754" s="12" t="str">
        <f>IF(A754="","", IF(F754="",Reference!$M$2,F754))</f>
        <v/>
      </c>
      <c r="M754" s="14" t="str">
        <f t="shared" si="2"/>
        <v/>
      </c>
      <c r="N754" s="15" t="str">
        <f t="shared" si="3"/>
        <v/>
      </c>
      <c r="O754" s="14" t="str">
        <f t="shared" si="4"/>
        <v/>
      </c>
      <c r="P754" s="16" t="str">
        <f t="array" ref="P754">IF($A754="","", IFERROR(INDEX('BM Data'!$N:$N,MATCH($J754&amp; "-" &amp; $N754,'BM Data'!$O:$O,0),1),""))</f>
        <v/>
      </c>
      <c r="Q754" s="16" t="str">
        <f t="array" ref="Q754">IF($A754="","", IFERROR(INDEX('BM Data'!$J:$J,MATCH($J754&amp; "-" &amp; $N754,'BM Data'!$O:$O,0),1),""))</f>
        <v/>
      </c>
    </row>
    <row r="755">
      <c r="A755" s="10" t="str">
        <f>IFERROR(__xludf.DUMMYFUNCTION("""COMPUTED_VALUE"""),"")</f>
        <v/>
      </c>
      <c r="B755" s="3" t="str">
        <f>IFERROR(__xludf.DUMMYFUNCTION("""COMPUTED_VALUE"""),"")</f>
        <v/>
      </c>
      <c r="C755" s="11" t="str">
        <f>IFERROR(__xludf.DUMMYFUNCTION("""COMPUTED_VALUE"""),"")</f>
        <v/>
      </c>
      <c r="D755" s="11" t="str">
        <f>IFERROR(__xludf.DUMMYFUNCTION("""COMPUTED_VALUE"""),"")</f>
        <v/>
      </c>
      <c r="E755" s="11" t="str">
        <f>IFERROR(__xludf.DUMMYFUNCTION("""COMPUTED_VALUE"""),"")</f>
        <v/>
      </c>
      <c r="F755" s="11" t="str">
        <f>IFERROR(__xludf.DUMMYFUNCTION("""COMPUTED_VALUE"""),"")</f>
        <v/>
      </c>
      <c r="G755" s="11" t="str">
        <f>IFERROR(__xludf.DUMMYFUNCTION("""COMPUTED_VALUE"""),"")</f>
        <v/>
      </c>
      <c r="H755" s="12" t="str">
        <f>IFERROR(__xludf.DUMMYFUNCTION("""COMPUTED_VALUE"""),"")</f>
        <v/>
      </c>
      <c r="I755" s="12" t="str">
        <f>IFERROR(__xludf.DUMMYFUNCTION("""COMPUTED_VALUE"""),"")</f>
        <v/>
      </c>
      <c r="J755" s="13" t="str">
        <f t="shared" si="1"/>
        <v/>
      </c>
      <c r="K755" s="12" t="str">
        <f>IFERROR(IF(A755="","",if($G755="",Reference!$J$2, VLOOKUP($G755,Reference!$I$2:$J$1000,2,false))),"")</f>
        <v/>
      </c>
      <c r="L755" s="12" t="str">
        <f>IF(A755="","", IF(F755="",Reference!$M$2,F755))</f>
        <v/>
      </c>
      <c r="M755" s="14" t="str">
        <f t="shared" si="2"/>
        <v/>
      </c>
      <c r="N755" s="15" t="str">
        <f t="shared" si="3"/>
        <v/>
      </c>
      <c r="O755" s="14" t="str">
        <f t="shared" si="4"/>
        <v/>
      </c>
      <c r="P755" s="16" t="str">
        <f t="array" ref="P755">IF($A755="","", IFERROR(INDEX('BM Data'!$N:$N,MATCH($J755&amp; "-" &amp; $N755,'BM Data'!$O:$O,0),1),""))</f>
        <v/>
      </c>
      <c r="Q755" s="16" t="str">
        <f t="array" ref="Q755">IF($A755="","", IFERROR(INDEX('BM Data'!$J:$J,MATCH($J755&amp; "-" &amp; $N755,'BM Data'!$O:$O,0),1),""))</f>
        <v/>
      </c>
    </row>
    <row r="756">
      <c r="A756" s="10" t="str">
        <f>IFERROR(__xludf.DUMMYFUNCTION("""COMPUTED_VALUE"""),"")</f>
        <v/>
      </c>
      <c r="B756" s="3" t="str">
        <f>IFERROR(__xludf.DUMMYFUNCTION("""COMPUTED_VALUE"""),"")</f>
        <v/>
      </c>
      <c r="C756" s="11" t="str">
        <f>IFERROR(__xludf.DUMMYFUNCTION("""COMPUTED_VALUE"""),"")</f>
        <v/>
      </c>
      <c r="D756" s="11" t="str">
        <f>IFERROR(__xludf.DUMMYFUNCTION("""COMPUTED_VALUE"""),"")</f>
        <v/>
      </c>
      <c r="E756" s="11" t="str">
        <f>IFERROR(__xludf.DUMMYFUNCTION("""COMPUTED_VALUE"""),"")</f>
        <v/>
      </c>
      <c r="F756" s="11" t="str">
        <f>IFERROR(__xludf.DUMMYFUNCTION("""COMPUTED_VALUE"""),"")</f>
        <v/>
      </c>
      <c r="G756" s="11" t="str">
        <f>IFERROR(__xludf.DUMMYFUNCTION("""COMPUTED_VALUE"""),"")</f>
        <v/>
      </c>
      <c r="H756" s="12" t="str">
        <f>IFERROR(__xludf.DUMMYFUNCTION("""COMPUTED_VALUE"""),"")</f>
        <v/>
      </c>
      <c r="I756" s="12" t="str">
        <f>IFERROR(__xludf.DUMMYFUNCTION("""COMPUTED_VALUE"""),"")</f>
        <v/>
      </c>
      <c r="J756" s="13" t="str">
        <f t="shared" si="1"/>
        <v/>
      </c>
      <c r="K756" s="12" t="str">
        <f>IFERROR(IF(A756="","",if($G756="",Reference!$J$2, VLOOKUP($G756,Reference!$I$2:$J$1000,2,false))),"")</f>
        <v/>
      </c>
      <c r="L756" s="12" t="str">
        <f>IF(A756="","", IF(F756="",Reference!$M$2,F756))</f>
        <v/>
      </c>
      <c r="M756" s="14" t="str">
        <f t="shared" si="2"/>
        <v/>
      </c>
      <c r="N756" s="15" t="str">
        <f t="shared" si="3"/>
        <v/>
      </c>
      <c r="O756" s="14" t="str">
        <f t="shared" si="4"/>
        <v/>
      </c>
      <c r="P756" s="16" t="str">
        <f t="array" ref="P756">IF($A756="","", IFERROR(INDEX('BM Data'!$N:$N,MATCH($J756&amp; "-" &amp; $N756,'BM Data'!$O:$O,0),1),""))</f>
        <v/>
      </c>
      <c r="Q756" s="16" t="str">
        <f t="array" ref="Q756">IF($A756="","", IFERROR(INDEX('BM Data'!$J:$J,MATCH($J756&amp; "-" &amp; $N756,'BM Data'!$O:$O,0),1),""))</f>
        <v/>
      </c>
    </row>
    <row r="757">
      <c r="A757" s="10" t="str">
        <f>IFERROR(__xludf.DUMMYFUNCTION("""COMPUTED_VALUE"""),"")</f>
        <v/>
      </c>
      <c r="B757" s="3" t="str">
        <f>IFERROR(__xludf.DUMMYFUNCTION("""COMPUTED_VALUE"""),"")</f>
        <v/>
      </c>
      <c r="C757" s="11" t="str">
        <f>IFERROR(__xludf.DUMMYFUNCTION("""COMPUTED_VALUE"""),"")</f>
        <v/>
      </c>
      <c r="D757" s="11" t="str">
        <f>IFERROR(__xludf.DUMMYFUNCTION("""COMPUTED_VALUE"""),"")</f>
        <v/>
      </c>
      <c r="E757" s="11" t="str">
        <f>IFERROR(__xludf.DUMMYFUNCTION("""COMPUTED_VALUE"""),"")</f>
        <v/>
      </c>
      <c r="F757" s="11" t="str">
        <f>IFERROR(__xludf.DUMMYFUNCTION("""COMPUTED_VALUE"""),"")</f>
        <v/>
      </c>
      <c r="G757" s="11" t="str">
        <f>IFERROR(__xludf.DUMMYFUNCTION("""COMPUTED_VALUE"""),"")</f>
        <v/>
      </c>
      <c r="H757" s="12" t="str">
        <f>IFERROR(__xludf.DUMMYFUNCTION("""COMPUTED_VALUE"""),"")</f>
        <v/>
      </c>
      <c r="I757" s="12" t="str">
        <f>IFERROR(__xludf.DUMMYFUNCTION("""COMPUTED_VALUE"""),"")</f>
        <v/>
      </c>
      <c r="J757" s="13" t="str">
        <f t="shared" si="1"/>
        <v/>
      </c>
      <c r="K757" s="12" t="str">
        <f>IFERROR(IF(A757="","",if($G757="",Reference!$J$2, VLOOKUP($G757,Reference!$I$2:$J$1000,2,false))),"")</f>
        <v/>
      </c>
      <c r="L757" s="12" t="str">
        <f>IF(A757="","", IF(F757="",Reference!$M$2,F757))</f>
        <v/>
      </c>
      <c r="M757" s="14" t="str">
        <f t="shared" si="2"/>
        <v/>
      </c>
      <c r="N757" s="15" t="str">
        <f t="shared" si="3"/>
        <v/>
      </c>
      <c r="O757" s="14" t="str">
        <f t="shared" si="4"/>
        <v/>
      </c>
      <c r="P757" s="16" t="str">
        <f t="array" ref="P757">IF($A757="","", IFERROR(INDEX('BM Data'!$N:$N,MATCH($J757&amp; "-" &amp; $N757,'BM Data'!$O:$O,0),1),""))</f>
        <v/>
      </c>
      <c r="Q757" s="16" t="str">
        <f t="array" ref="Q757">IF($A757="","", IFERROR(INDEX('BM Data'!$J:$J,MATCH($J757&amp; "-" &amp; $N757,'BM Data'!$O:$O,0),1),""))</f>
        <v/>
      </c>
    </row>
    <row r="758">
      <c r="A758" s="10" t="str">
        <f>IFERROR(__xludf.DUMMYFUNCTION("""COMPUTED_VALUE"""),"")</f>
        <v/>
      </c>
      <c r="B758" s="3" t="str">
        <f>IFERROR(__xludf.DUMMYFUNCTION("""COMPUTED_VALUE"""),"")</f>
        <v/>
      </c>
      <c r="C758" s="11" t="str">
        <f>IFERROR(__xludf.DUMMYFUNCTION("""COMPUTED_VALUE"""),"")</f>
        <v/>
      </c>
      <c r="D758" s="11" t="str">
        <f>IFERROR(__xludf.DUMMYFUNCTION("""COMPUTED_VALUE"""),"")</f>
        <v/>
      </c>
      <c r="E758" s="11" t="str">
        <f>IFERROR(__xludf.DUMMYFUNCTION("""COMPUTED_VALUE"""),"")</f>
        <v/>
      </c>
      <c r="F758" s="11" t="str">
        <f>IFERROR(__xludf.DUMMYFUNCTION("""COMPUTED_VALUE"""),"")</f>
        <v/>
      </c>
      <c r="G758" s="11" t="str">
        <f>IFERROR(__xludf.DUMMYFUNCTION("""COMPUTED_VALUE"""),"")</f>
        <v/>
      </c>
      <c r="H758" s="12" t="str">
        <f>IFERROR(__xludf.DUMMYFUNCTION("""COMPUTED_VALUE"""),"")</f>
        <v/>
      </c>
      <c r="I758" s="12" t="str">
        <f>IFERROR(__xludf.DUMMYFUNCTION("""COMPUTED_VALUE"""),"")</f>
        <v/>
      </c>
      <c r="J758" s="13" t="str">
        <f t="shared" si="1"/>
        <v/>
      </c>
      <c r="K758" s="12" t="str">
        <f>IFERROR(IF(A758="","",if($G758="",Reference!$J$2, VLOOKUP($G758,Reference!$I$2:$J$1000,2,false))),"")</f>
        <v/>
      </c>
      <c r="L758" s="12" t="str">
        <f>IF(A758="","", IF(F758="",Reference!$M$2,F758))</f>
        <v/>
      </c>
      <c r="M758" s="14" t="str">
        <f t="shared" si="2"/>
        <v/>
      </c>
      <c r="N758" s="15" t="str">
        <f t="shared" si="3"/>
        <v/>
      </c>
      <c r="O758" s="14" t="str">
        <f t="shared" si="4"/>
        <v/>
      </c>
      <c r="P758" s="16" t="str">
        <f t="array" ref="P758">IF($A758="","", IFERROR(INDEX('BM Data'!$N:$N,MATCH($J758&amp; "-" &amp; $N758,'BM Data'!$O:$O,0),1),""))</f>
        <v/>
      </c>
      <c r="Q758" s="16" t="str">
        <f t="array" ref="Q758">IF($A758="","", IFERROR(INDEX('BM Data'!$J:$J,MATCH($J758&amp; "-" &amp; $N758,'BM Data'!$O:$O,0),1),""))</f>
        <v/>
      </c>
    </row>
    <row r="759">
      <c r="A759" s="10" t="str">
        <f>IFERROR(__xludf.DUMMYFUNCTION("""COMPUTED_VALUE"""),"")</f>
        <v/>
      </c>
      <c r="B759" s="3" t="str">
        <f>IFERROR(__xludf.DUMMYFUNCTION("""COMPUTED_VALUE"""),"")</f>
        <v/>
      </c>
      <c r="C759" s="11" t="str">
        <f>IFERROR(__xludf.DUMMYFUNCTION("""COMPUTED_VALUE"""),"")</f>
        <v/>
      </c>
      <c r="D759" s="11" t="str">
        <f>IFERROR(__xludf.DUMMYFUNCTION("""COMPUTED_VALUE"""),"")</f>
        <v/>
      </c>
      <c r="E759" s="11" t="str">
        <f>IFERROR(__xludf.DUMMYFUNCTION("""COMPUTED_VALUE"""),"")</f>
        <v/>
      </c>
      <c r="F759" s="11" t="str">
        <f>IFERROR(__xludf.DUMMYFUNCTION("""COMPUTED_VALUE"""),"")</f>
        <v/>
      </c>
      <c r="G759" s="11" t="str">
        <f>IFERROR(__xludf.DUMMYFUNCTION("""COMPUTED_VALUE"""),"")</f>
        <v/>
      </c>
      <c r="H759" s="12" t="str">
        <f>IFERROR(__xludf.DUMMYFUNCTION("""COMPUTED_VALUE"""),"")</f>
        <v/>
      </c>
      <c r="I759" s="12" t="str">
        <f>IFERROR(__xludf.DUMMYFUNCTION("""COMPUTED_VALUE"""),"")</f>
        <v/>
      </c>
      <c r="J759" s="13" t="str">
        <f t="shared" si="1"/>
        <v/>
      </c>
      <c r="K759" s="12" t="str">
        <f>IFERROR(IF(A759="","",if($G759="",Reference!$J$2, VLOOKUP($G759,Reference!$I$2:$J$1000,2,false))),"")</f>
        <v/>
      </c>
      <c r="L759" s="12" t="str">
        <f>IF(A759="","", IF(F759="",Reference!$M$2,F759))</f>
        <v/>
      </c>
      <c r="M759" s="14" t="str">
        <f t="shared" si="2"/>
        <v/>
      </c>
      <c r="N759" s="15" t="str">
        <f t="shared" si="3"/>
        <v/>
      </c>
      <c r="O759" s="14" t="str">
        <f t="shared" si="4"/>
        <v/>
      </c>
      <c r="P759" s="16" t="str">
        <f t="array" ref="P759">IF($A759="","", IFERROR(INDEX('BM Data'!$N:$N,MATCH($J759&amp; "-" &amp; $N759,'BM Data'!$O:$O,0),1),""))</f>
        <v/>
      </c>
      <c r="Q759" s="16" t="str">
        <f t="array" ref="Q759">IF($A759="","", IFERROR(INDEX('BM Data'!$J:$J,MATCH($J759&amp; "-" &amp; $N759,'BM Data'!$O:$O,0),1),""))</f>
        <v/>
      </c>
    </row>
    <row r="760">
      <c r="A760" s="10" t="str">
        <f>IFERROR(__xludf.DUMMYFUNCTION("""COMPUTED_VALUE"""),"")</f>
        <v/>
      </c>
      <c r="B760" s="3" t="str">
        <f>IFERROR(__xludf.DUMMYFUNCTION("""COMPUTED_VALUE"""),"")</f>
        <v/>
      </c>
      <c r="C760" s="11" t="str">
        <f>IFERROR(__xludf.DUMMYFUNCTION("""COMPUTED_VALUE"""),"")</f>
        <v/>
      </c>
      <c r="D760" s="11" t="str">
        <f>IFERROR(__xludf.DUMMYFUNCTION("""COMPUTED_VALUE"""),"")</f>
        <v/>
      </c>
      <c r="E760" s="11" t="str">
        <f>IFERROR(__xludf.DUMMYFUNCTION("""COMPUTED_VALUE"""),"")</f>
        <v/>
      </c>
      <c r="F760" s="11" t="str">
        <f>IFERROR(__xludf.DUMMYFUNCTION("""COMPUTED_VALUE"""),"")</f>
        <v/>
      </c>
      <c r="G760" s="11" t="str">
        <f>IFERROR(__xludf.DUMMYFUNCTION("""COMPUTED_VALUE"""),"")</f>
        <v/>
      </c>
      <c r="H760" s="12" t="str">
        <f>IFERROR(__xludf.DUMMYFUNCTION("""COMPUTED_VALUE"""),"")</f>
        <v/>
      </c>
      <c r="I760" s="12" t="str">
        <f>IFERROR(__xludf.DUMMYFUNCTION("""COMPUTED_VALUE"""),"")</f>
        <v/>
      </c>
      <c r="J760" s="13" t="str">
        <f t="shared" si="1"/>
        <v/>
      </c>
      <c r="K760" s="12" t="str">
        <f>IFERROR(IF(A760="","",if($G760="",Reference!$J$2, VLOOKUP($G760,Reference!$I$2:$J$1000,2,false))),"")</f>
        <v/>
      </c>
      <c r="L760" s="12" t="str">
        <f>IF(A760="","", IF(F760="",Reference!$M$2,F760))</f>
        <v/>
      </c>
      <c r="M760" s="14" t="str">
        <f t="shared" si="2"/>
        <v/>
      </c>
      <c r="N760" s="15" t="str">
        <f t="shared" si="3"/>
        <v/>
      </c>
      <c r="O760" s="14" t="str">
        <f t="shared" si="4"/>
        <v/>
      </c>
      <c r="P760" s="16" t="str">
        <f t="array" ref="P760">IF($A760="","", IFERROR(INDEX('BM Data'!$N:$N,MATCH($J760&amp; "-" &amp; $N760,'BM Data'!$O:$O,0),1),""))</f>
        <v/>
      </c>
      <c r="Q760" s="16" t="str">
        <f t="array" ref="Q760">IF($A760="","", IFERROR(INDEX('BM Data'!$J:$J,MATCH($J760&amp; "-" &amp; $N760,'BM Data'!$O:$O,0),1),""))</f>
        <v/>
      </c>
    </row>
    <row r="761">
      <c r="A761" s="10" t="str">
        <f>IFERROR(__xludf.DUMMYFUNCTION("""COMPUTED_VALUE"""),"")</f>
        <v/>
      </c>
      <c r="B761" s="3" t="str">
        <f>IFERROR(__xludf.DUMMYFUNCTION("""COMPUTED_VALUE"""),"")</f>
        <v/>
      </c>
      <c r="C761" s="11" t="str">
        <f>IFERROR(__xludf.DUMMYFUNCTION("""COMPUTED_VALUE"""),"")</f>
        <v/>
      </c>
      <c r="D761" s="11" t="str">
        <f>IFERROR(__xludf.DUMMYFUNCTION("""COMPUTED_VALUE"""),"")</f>
        <v/>
      </c>
      <c r="E761" s="11" t="str">
        <f>IFERROR(__xludf.DUMMYFUNCTION("""COMPUTED_VALUE"""),"")</f>
        <v/>
      </c>
      <c r="F761" s="11" t="str">
        <f>IFERROR(__xludf.DUMMYFUNCTION("""COMPUTED_VALUE"""),"")</f>
        <v/>
      </c>
      <c r="G761" s="11" t="str">
        <f>IFERROR(__xludf.DUMMYFUNCTION("""COMPUTED_VALUE"""),"")</f>
        <v/>
      </c>
      <c r="H761" s="12" t="str">
        <f>IFERROR(__xludf.DUMMYFUNCTION("""COMPUTED_VALUE"""),"")</f>
        <v/>
      </c>
      <c r="I761" s="12" t="str">
        <f>IFERROR(__xludf.DUMMYFUNCTION("""COMPUTED_VALUE"""),"")</f>
        <v/>
      </c>
      <c r="J761" s="13" t="str">
        <f t="shared" si="1"/>
        <v/>
      </c>
      <c r="K761" s="12" t="str">
        <f>IFERROR(IF(A761="","",if($G761="",Reference!$J$2, VLOOKUP($G761,Reference!$I$2:$J$1000,2,false))),"")</f>
        <v/>
      </c>
      <c r="L761" s="12" t="str">
        <f>IF(A761="","", IF(F761="",Reference!$M$2,F761))</f>
        <v/>
      </c>
      <c r="M761" s="14" t="str">
        <f t="shared" si="2"/>
        <v/>
      </c>
      <c r="N761" s="15" t="str">
        <f t="shared" si="3"/>
        <v/>
      </c>
      <c r="O761" s="14" t="str">
        <f t="shared" si="4"/>
        <v/>
      </c>
      <c r="P761" s="16" t="str">
        <f t="array" ref="P761">IF($A761="","", IFERROR(INDEX('BM Data'!$N:$N,MATCH($J761&amp; "-" &amp; $N761,'BM Data'!$O:$O,0),1),""))</f>
        <v/>
      </c>
      <c r="Q761" s="16" t="str">
        <f t="array" ref="Q761">IF($A761="","", IFERROR(INDEX('BM Data'!$J:$J,MATCH($J761&amp; "-" &amp; $N761,'BM Data'!$O:$O,0),1),""))</f>
        <v/>
      </c>
    </row>
    <row r="762">
      <c r="A762" s="10" t="str">
        <f>IFERROR(__xludf.DUMMYFUNCTION("""COMPUTED_VALUE"""),"")</f>
        <v/>
      </c>
      <c r="B762" s="3" t="str">
        <f>IFERROR(__xludf.DUMMYFUNCTION("""COMPUTED_VALUE"""),"")</f>
        <v/>
      </c>
      <c r="C762" s="11" t="str">
        <f>IFERROR(__xludf.DUMMYFUNCTION("""COMPUTED_VALUE"""),"")</f>
        <v/>
      </c>
      <c r="D762" s="11" t="str">
        <f>IFERROR(__xludf.DUMMYFUNCTION("""COMPUTED_VALUE"""),"")</f>
        <v/>
      </c>
      <c r="E762" s="11" t="str">
        <f>IFERROR(__xludf.DUMMYFUNCTION("""COMPUTED_VALUE"""),"")</f>
        <v/>
      </c>
      <c r="F762" s="11" t="str">
        <f>IFERROR(__xludf.DUMMYFUNCTION("""COMPUTED_VALUE"""),"")</f>
        <v/>
      </c>
      <c r="G762" s="11" t="str">
        <f>IFERROR(__xludf.DUMMYFUNCTION("""COMPUTED_VALUE"""),"")</f>
        <v/>
      </c>
      <c r="H762" s="12" t="str">
        <f>IFERROR(__xludf.DUMMYFUNCTION("""COMPUTED_VALUE"""),"")</f>
        <v/>
      </c>
      <c r="I762" s="12" t="str">
        <f>IFERROR(__xludf.DUMMYFUNCTION("""COMPUTED_VALUE"""),"")</f>
        <v/>
      </c>
      <c r="J762" s="13" t="str">
        <f t="shared" si="1"/>
        <v/>
      </c>
      <c r="K762" s="12" t="str">
        <f>IFERROR(IF(A762="","",if($G762="",Reference!$J$2, VLOOKUP($G762,Reference!$I$2:$J$1000,2,false))),"")</f>
        <v/>
      </c>
      <c r="L762" s="12" t="str">
        <f>IF(A762="","", IF(F762="",Reference!$M$2,F762))</f>
        <v/>
      </c>
      <c r="M762" s="14" t="str">
        <f t="shared" si="2"/>
        <v/>
      </c>
      <c r="N762" s="15" t="str">
        <f t="shared" si="3"/>
        <v/>
      </c>
      <c r="O762" s="14" t="str">
        <f t="shared" si="4"/>
        <v/>
      </c>
      <c r="P762" s="16" t="str">
        <f t="array" ref="P762">IF($A762="","", IFERROR(INDEX('BM Data'!$N:$N,MATCH($J762&amp; "-" &amp; $N762,'BM Data'!$O:$O,0),1),""))</f>
        <v/>
      </c>
      <c r="Q762" s="16" t="str">
        <f t="array" ref="Q762">IF($A762="","", IFERROR(INDEX('BM Data'!$J:$J,MATCH($J762&amp; "-" &amp; $N762,'BM Data'!$O:$O,0),1),""))</f>
        <v/>
      </c>
    </row>
    <row r="763">
      <c r="A763" s="10" t="str">
        <f>IFERROR(__xludf.DUMMYFUNCTION("""COMPUTED_VALUE"""),"")</f>
        <v/>
      </c>
      <c r="B763" s="3" t="str">
        <f>IFERROR(__xludf.DUMMYFUNCTION("""COMPUTED_VALUE"""),"")</f>
        <v/>
      </c>
      <c r="C763" s="11" t="str">
        <f>IFERROR(__xludf.DUMMYFUNCTION("""COMPUTED_VALUE"""),"")</f>
        <v/>
      </c>
      <c r="D763" s="11" t="str">
        <f>IFERROR(__xludf.DUMMYFUNCTION("""COMPUTED_VALUE"""),"")</f>
        <v/>
      </c>
      <c r="E763" s="11" t="str">
        <f>IFERROR(__xludf.DUMMYFUNCTION("""COMPUTED_VALUE"""),"")</f>
        <v/>
      </c>
      <c r="F763" s="11" t="str">
        <f>IFERROR(__xludf.DUMMYFUNCTION("""COMPUTED_VALUE"""),"")</f>
        <v/>
      </c>
      <c r="G763" s="11" t="str">
        <f>IFERROR(__xludf.DUMMYFUNCTION("""COMPUTED_VALUE"""),"")</f>
        <v/>
      </c>
      <c r="H763" s="12" t="str">
        <f>IFERROR(__xludf.DUMMYFUNCTION("""COMPUTED_VALUE"""),"")</f>
        <v/>
      </c>
      <c r="I763" s="12" t="str">
        <f>IFERROR(__xludf.DUMMYFUNCTION("""COMPUTED_VALUE"""),"")</f>
        <v/>
      </c>
      <c r="J763" s="13" t="str">
        <f t="shared" si="1"/>
        <v/>
      </c>
      <c r="K763" s="12" t="str">
        <f>IFERROR(IF(A763="","",if($G763="",Reference!$J$2, VLOOKUP($G763,Reference!$I$2:$J$1000,2,false))),"")</f>
        <v/>
      </c>
      <c r="L763" s="12" t="str">
        <f>IF(A763="","", IF(F763="",Reference!$M$2,F763))</f>
        <v/>
      </c>
      <c r="M763" s="14" t="str">
        <f t="shared" si="2"/>
        <v/>
      </c>
      <c r="N763" s="15" t="str">
        <f t="shared" si="3"/>
        <v/>
      </c>
      <c r="O763" s="14" t="str">
        <f t="shared" si="4"/>
        <v/>
      </c>
      <c r="P763" s="16" t="str">
        <f t="array" ref="P763">IF($A763="","", IFERROR(INDEX('BM Data'!$N:$N,MATCH($J763&amp; "-" &amp; $N763,'BM Data'!$O:$O,0),1),""))</f>
        <v/>
      </c>
      <c r="Q763" s="16" t="str">
        <f t="array" ref="Q763">IF($A763="","", IFERROR(INDEX('BM Data'!$J:$J,MATCH($J763&amp; "-" &amp; $N763,'BM Data'!$O:$O,0),1),""))</f>
        <v/>
      </c>
    </row>
    <row r="764">
      <c r="A764" s="10" t="str">
        <f>IFERROR(__xludf.DUMMYFUNCTION("""COMPUTED_VALUE"""),"")</f>
        <v/>
      </c>
      <c r="B764" s="3" t="str">
        <f>IFERROR(__xludf.DUMMYFUNCTION("""COMPUTED_VALUE"""),"")</f>
        <v/>
      </c>
      <c r="C764" s="11" t="str">
        <f>IFERROR(__xludf.DUMMYFUNCTION("""COMPUTED_VALUE"""),"")</f>
        <v/>
      </c>
      <c r="D764" s="11" t="str">
        <f>IFERROR(__xludf.DUMMYFUNCTION("""COMPUTED_VALUE"""),"")</f>
        <v/>
      </c>
      <c r="E764" s="11" t="str">
        <f>IFERROR(__xludf.DUMMYFUNCTION("""COMPUTED_VALUE"""),"")</f>
        <v/>
      </c>
      <c r="F764" s="11" t="str">
        <f>IFERROR(__xludf.DUMMYFUNCTION("""COMPUTED_VALUE"""),"")</f>
        <v/>
      </c>
      <c r="G764" s="11" t="str">
        <f>IFERROR(__xludf.DUMMYFUNCTION("""COMPUTED_VALUE"""),"")</f>
        <v/>
      </c>
      <c r="H764" s="12" t="str">
        <f>IFERROR(__xludf.DUMMYFUNCTION("""COMPUTED_VALUE"""),"")</f>
        <v/>
      </c>
      <c r="I764" s="12" t="str">
        <f>IFERROR(__xludf.DUMMYFUNCTION("""COMPUTED_VALUE"""),"")</f>
        <v/>
      </c>
      <c r="J764" s="13" t="str">
        <f t="shared" si="1"/>
        <v/>
      </c>
      <c r="K764" s="12" t="str">
        <f>IFERROR(IF(A764="","",if($G764="",Reference!$J$2, VLOOKUP($G764,Reference!$I$2:$J$1000,2,false))),"")</f>
        <v/>
      </c>
      <c r="L764" s="12" t="str">
        <f>IF(A764="","", IF(F764="",Reference!$M$2,F764))</f>
        <v/>
      </c>
      <c r="M764" s="14" t="str">
        <f t="shared" si="2"/>
        <v/>
      </c>
      <c r="N764" s="15" t="str">
        <f t="shared" si="3"/>
        <v/>
      </c>
      <c r="O764" s="14" t="str">
        <f t="shared" si="4"/>
        <v/>
      </c>
      <c r="P764" s="16" t="str">
        <f t="array" ref="P764">IF($A764="","", IFERROR(INDEX('BM Data'!$N:$N,MATCH($J764&amp; "-" &amp; $N764,'BM Data'!$O:$O,0),1),""))</f>
        <v/>
      </c>
      <c r="Q764" s="16" t="str">
        <f t="array" ref="Q764">IF($A764="","", IFERROR(INDEX('BM Data'!$J:$J,MATCH($J764&amp; "-" &amp; $N764,'BM Data'!$O:$O,0),1),""))</f>
        <v/>
      </c>
    </row>
    <row r="765">
      <c r="A765" s="10" t="str">
        <f>IFERROR(__xludf.DUMMYFUNCTION("""COMPUTED_VALUE"""),"")</f>
        <v/>
      </c>
      <c r="B765" s="3" t="str">
        <f>IFERROR(__xludf.DUMMYFUNCTION("""COMPUTED_VALUE"""),"")</f>
        <v/>
      </c>
      <c r="C765" s="11" t="str">
        <f>IFERROR(__xludf.DUMMYFUNCTION("""COMPUTED_VALUE"""),"")</f>
        <v/>
      </c>
      <c r="D765" s="11" t="str">
        <f>IFERROR(__xludf.DUMMYFUNCTION("""COMPUTED_VALUE"""),"")</f>
        <v/>
      </c>
      <c r="E765" s="11" t="str">
        <f>IFERROR(__xludf.DUMMYFUNCTION("""COMPUTED_VALUE"""),"")</f>
        <v/>
      </c>
      <c r="F765" s="11" t="str">
        <f>IFERROR(__xludf.DUMMYFUNCTION("""COMPUTED_VALUE"""),"")</f>
        <v/>
      </c>
      <c r="G765" s="11" t="str">
        <f>IFERROR(__xludf.DUMMYFUNCTION("""COMPUTED_VALUE"""),"")</f>
        <v/>
      </c>
      <c r="H765" s="12" t="str">
        <f>IFERROR(__xludf.DUMMYFUNCTION("""COMPUTED_VALUE"""),"")</f>
        <v/>
      </c>
      <c r="I765" s="12" t="str">
        <f>IFERROR(__xludf.DUMMYFUNCTION("""COMPUTED_VALUE"""),"")</f>
        <v/>
      </c>
      <c r="J765" s="13" t="str">
        <f t="shared" si="1"/>
        <v/>
      </c>
      <c r="K765" s="12" t="str">
        <f>IFERROR(IF(A765="","",if($G765="",Reference!$J$2, VLOOKUP($G765,Reference!$I$2:$J$1000,2,false))),"")</f>
        <v/>
      </c>
      <c r="L765" s="12" t="str">
        <f>IF(A765="","", IF(F765="",Reference!$M$2,F765))</f>
        <v/>
      </c>
      <c r="M765" s="14" t="str">
        <f t="shared" si="2"/>
        <v/>
      </c>
      <c r="N765" s="15" t="str">
        <f t="shared" si="3"/>
        <v/>
      </c>
      <c r="O765" s="14" t="str">
        <f t="shared" si="4"/>
        <v/>
      </c>
      <c r="P765" s="16" t="str">
        <f t="array" ref="P765">IF($A765="","", IFERROR(INDEX('BM Data'!$N:$N,MATCH($J765&amp; "-" &amp; $N765,'BM Data'!$O:$O,0),1),""))</f>
        <v/>
      </c>
      <c r="Q765" s="16" t="str">
        <f t="array" ref="Q765">IF($A765="","", IFERROR(INDEX('BM Data'!$J:$J,MATCH($J765&amp; "-" &amp; $N765,'BM Data'!$O:$O,0),1),""))</f>
        <v/>
      </c>
    </row>
    <row r="766">
      <c r="A766" s="10" t="str">
        <f>IFERROR(__xludf.DUMMYFUNCTION("""COMPUTED_VALUE"""),"")</f>
        <v/>
      </c>
      <c r="B766" s="3" t="str">
        <f>IFERROR(__xludf.DUMMYFUNCTION("""COMPUTED_VALUE"""),"")</f>
        <v/>
      </c>
      <c r="C766" s="11" t="str">
        <f>IFERROR(__xludf.DUMMYFUNCTION("""COMPUTED_VALUE"""),"")</f>
        <v/>
      </c>
      <c r="D766" s="11" t="str">
        <f>IFERROR(__xludf.DUMMYFUNCTION("""COMPUTED_VALUE"""),"")</f>
        <v/>
      </c>
      <c r="E766" s="11" t="str">
        <f>IFERROR(__xludf.DUMMYFUNCTION("""COMPUTED_VALUE"""),"")</f>
        <v/>
      </c>
      <c r="F766" s="11" t="str">
        <f>IFERROR(__xludf.DUMMYFUNCTION("""COMPUTED_VALUE"""),"")</f>
        <v/>
      </c>
      <c r="G766" s="11" t="str">
        <f>IFERROR(__xludf.DUMMYFUNCTION("""COMPUTED_VALUE"""),"")</f>
        <v/>
      </c>
      <c r="H766" s="12" t="str">
        <f>IFERROR(__xludf.DUMMYFUNCTION("""COMPUTED_VALUE"""),"")</f>
        <v/>
      </c>
      <c r="I766" s="12" t="str">
        <f>IFERROR(__xludf.DUMMYFUNCTION("""COMPUTED_VALUE"""),"")</f>
        <v/>
      </c>
      <c r="J766" s="13" t="str">
        <f t="shared" si="1"/>
        <v/>
      </c>
      <c r="K766" s="12" t="str">
        <f>IFERROR(IF(A766="","",if($G766="",Reference!$J$2, VLOOKUP($G766,Reference!$I$2:$J$1000,2,false))),"")</f>
        <v/>
      </c>
      <c r="L766" s="12" t="str">
        <f>IF(A766="","", IF(F766="",Reference!$M$2,F766))</f>
        <v/>
      </c>
      <c r="M766" s="14" t="str">
        <f t="shared" si="2"/>
        <v/>
      </c>
      <c r="N766" s="15" t="str">
        <f t="shared" si="3"/>
        <v/>
      </c>
      <c r="O766" s="14" t="str">
        <f t="shared" si="4"/>
        <v/>
      </c>
      <c r="P766" s="16" t="str">
        <f t="array" ref="P766">IF($A766="","", IFERROR(INDEX('BM Data'!$N:$N,MATCH($J766&amp; "-" &amp; $N766,'BM Data'!$O:$O,0),1),""))</f>
        <v/>
      </c>
      <c r="Q766" s="16" t="str">
        <f t="array" ref="Q766">IF($A766="","", IFERROR(INDEX('BM Data'!$J:$J,MATCH($J766&amp; "-" &amp; $N766,'BM Data'!$O:$O,0),1),""))</f>
        <v/>
      </c>
    </row>
    <row r="767">
      <c r="A767" s="10" t="str">
        <f>IFERROR(__xludf.DUMMYFUNCTION("""COMPUTED_VALUE"""),"")</f>
        <v/>
      </c>
      <c r="B767" s="3" t="str">
        <f>IFERROR(__xludf.DUMMYFUNCTION("""COMPUTED_VALUE"""),"")</f>
        <v/>
      </c>
      <c r="C767" s="11" t="str">
        <f>IFERROR(__xludf.DUMMYFUNCTION("""COMPUTED_VALUE"""),"")</f>
        <v/>
      </c>
      <c r="D767" s="11" t="str">
        <f>IFERROR(__xludf.DUMMYFUNCTION("""COMPUTED_VALUE"""),"")</f>
        <v/>
      </c>
      <c r="E767" s="11" t="str">
        <f>IFERROR(__xludf.DUMMYFUNCTION("""COMPUTED_VALUE"""),"")</f>
        <v/>
      </c>
      <c r="F767" s="11" t="str">
        <f>IFERROR(__xludf.DUMMYFUNCTION("""COMPUTED_VALUE"""),"")</f>
        <v/>
      </c>
      <c r="G767" s="11" t="str">
        <f>IFERROR(__xludf.DUMMYFUNCTION("""COMPUTED_VALUE"""),"")</f>
        <v/>
      </c>
      <c r="H767" s="12" t="str">
        <f>IFERROR(__xludf.DUMMYFUNCTION("""COMPUTED_VALUE"""),"")</f>
        <v/>
      </c>
      <c r="I767" s="12" t="str">
        <f>IFERROR(__xludf.DUMMYFUNCTION("""COMPUTED_VALUE"""),"")</f>
        <v/>
      </c>
      <c r="J767" s="13" t="str">
        <f t="shared" si="1"/>
        <v/>
      </c>
      <c r="K767" s="12" t="str">
        <f>IFERROR(IF(A767="","",if($G767="",Reference!$J$2, VLOOKUP($G767,Reference!$I$2:$J$1000,2,false))),"")</f>
        <v/>
      </c>
      <c r="L767" s="12" t="str">
        <f>IF(A767="","", IF(F767="",Reference!$M$2,F767))</f>
        <v/>
      </c>
      <c r="M767" s="14" t="str">
        <f t="shared" si="2"/>
        <v/>
      </c>
      <c r="N767" s="15" t="str">
        <f t="shared" si="3"/>
        <v/>
      </c>
      <c r="O767" s="14" t="str">
        <f t="shared" si="4"/>
        <v/>
      </c>
      <c r="P767" s="16" t="str">
        <f t="array" ref="P767">IF($A767="","", IFERROR(INDEX('BM Data'!$N:$N,MATCH($J767&amp; "-" &amp; $N767,'BM Data'!$O:$O,0),1),""))</f>
        <v/>
      </c>
      <c r="Q767" s="16" t="str">
        <f t="array" ref="Q767">IF($A767="","", IFERROR(INDEX('BM Data'!$J:$J,MATCH($J767&amp; "-" &amp; $N767,'BM Data'!$O:$O,0),1),""))</f>
        <v/>
      </c>
    </row>
    <row r="768">
      <c r="A768" s="10" t="str">
        <f>IFERROR(__xludf.DUMMYFUNCTION("""COMPUTED_VALUE"""),"")</f>
        <v/>
      </c>
      <c r="B768" s="3" t="str">
        <f>IFERROR(__xludf.DUMMYFUNCTION("""COMPUTED_VALUE"""),"")</f>
        <v/>
      </c>
      <c r="C768" s="11" t="str">
        <f>IFERROR(__xludf.DUMMYFUNCTION("""COMPUTED_VALUE"""),"")</f>
        <v/>
      </c>
      <c r="D768" s="11" t="str">
        <f>IFERROR(__xludf.DUMMYFUNCTION("""COMPUTED_VALUE"""),"")</f>
        <v/>
      </c>
      <c r="E768" s="11" t="str">
        <f>IFERROR(__xludf.DUMMYFUNCTION("""COMPUTED_VALUE"""),"")</f>
        <v/>
      </c>
      <c r="F768" s="11" t="str">
        <f>IFERROR(__xludf.DUMMYFUNCTION("""COMPUTED_VALUE"""),"")</f>
        <v/>
      </c>
      <c r="G768" s="11" t="str">
        <f>IFERROR(__xludf.DUMMYFUNCTION("""COMPUTED_VALUE"""),"")</f>
        <v/>
      </c>
      <c r="H768" s="12" t="str">
        <f>IFERROR(__xludf.DUMMYFUNCTION("""COMPUTED_VALUE"""),"")</f>
        <v/>
      </c>
      <c r="I768" s="12" t="str">
        <f>IFERROR(__xludf.DUMMYFUNCTION("""COMPUTED_VALUE"""),"")</f>
        <v/>
      </c>
      <c r="J768" s="13" t="str">
        <f t="shared" si="1"/>
        <v/>
      </c>
      <c r="K768" s="12" t="str">
        <f>IFERROR(IF(A768="","",if($G768="",Reference!$J$2, VLOOKUP($G768,Reference!$I$2:$J$1000,2,false))),"")</f>
        <v/>
      </c>
      <c r="L768" s="12" t="str">
        <f>IF(A768="","", IF(F768="",Reference!$M$2,F768))</f>
        <v/>
      </c>
      <c r="M768" s="14" t="str">
        <f t="shared" si="2"/>
        <v/>
      </c>
      <c r="N768" s="15" t="str">
        <f t="shared" si="3"/>
        <v/>
      </c>
      <c r="O768" s="14" t="str">
        <f t="shared" si="4"/>
        <v/>
      </c>
      <c r="P768" s="16" t="str">
        <f t="array" ref="P768">IF($A768="","", IFERROR(INDEX('BM Data'!$N:$N,MATCH($J768&amp; "-" &amp; $N768,'BM Data'!$O:$O,0),1),""))</f>
        <v/>
      </c>
      <c r="Q768" s="16" t="str">
        <f t="array" ref="Q768">IF($A768="","", IFERROR(INDEX('BM Data'!$J:$J,MATCH($J768&amp; "-" &amp; $N768,'BM Data'!$O:$O,0),1),""))</f>
        <v/>
      </c>
    </row>
    <row r="769">
      <c r="A769" s="10" t="str">
        <f>IFERROR(__xludf.DUMMYFUNCTION("""COMPUTED_VALUE"""),"")</f>
        <v/>
      </c>
      <c r="B769" s="3" t="str">
        <f>IFERROR(__xludf.DUMMYFUNCTION("""COMPUTED_VALUE"""),"")</f>
        <v/>
      </c>
      <c r="C769" s="11" t="str">
        <f>IFERROR(__xludf.DUMMYFUNCTION("""COMPUTED_VALUE"""),"")</f>
        <v/>
      </c>
      <c r="D769" s="11" t="str">
        <f>IFERROR(__xludf.DUMMYFUNCTION("""COMPUTED_VALUE"""),"")</f>
        <v/>
      </c>
      <c r="E769" s="11" t="str">
        <f>IFERROR(__xludf.DUMMYFUNCTION("""COMPUTED_VALUE"""),"")</f>
        <v/>
      </c>
      <c r="F769" s="11" t="str">
        <f>IFERROR(__xludf.DUMMYFUNCTION("""COMPUTED_VALUE"""),"")</f>
        <v/>
      </c>
      <c r="G769" s="11" t="str">
        <f>IFERROR(__xludf.DUMMYFUNCTION("""COMPUTED_VALUE"""),"")</f>
        <v/>
      </c>
      <c r="H769" s="12" t="str">
        <f>IFERROR(__xludf.DUMMYFUNCTION("""COMPUTED_VALUE"""),"")</f>
        <v/>
      </c>
      <c r="I769" s="12" t="str">
        <f>IFERROR(__xludf.DUMMYFUNCTION("""COMPUTED_VALUE"""),"")</f>
        <v/>
      </c>
      <c r="J769" s="13" t="str">
        <f t="shared" si="1"/>
        <v/>
      </c>
      <c r="K769" s="12" t="str">
        <f>IFERROR(IF(A769="","",if($G769="",Reference!$J$2, VLOOKUP($G769,Reference!$I$2:$J$1000,2,false))),"")</f>
        <v/>
      </c>
      <c r="L769" s="12" t="str">
        <f>IF(A769="","", IF(F769="",Reference!$M$2,F769))</f>
        <v/>
      </c>
      <c r="M769" s="14" t="str">
        <f t="shared" si="2"/>
        <v/>
      </c>
      <c r="N769" s="15" t="str">
        <f t="shared" si="3"/>
        <v/>
      </c>
      <c r="O769" s="14" t="str">
        <f t="shared" si="4"/>
        <v/>
      </c>
      <c r="P769" s="16" t="str">
        <f t="array" ref="P769">IF($A769="","", IFERROR(INDEX('BM Data'!$N:$N,MATCH($J769&amp; "-" &amp; $N769,'BM Data'!$O:$O,0),1),""))</f>
        <v/>
      </c>
      <c r="Q769" s="16" t="str">
        <f t="array" ref="Q769">IF($A769="","", IFERROR(INDEX('BM Data'!$J:$J,MATCH($J769&amp; "-" &amp; $N769,'BM Data'!$O:$O,0),1),""))</f>
        <v/>
      </c>
    </row>
    <row r="770">
      <c r="A770" s="10" t="str">
        <f>IFERROR(__xludf.DUMMYFUNCTION("""COMPUTED_VALUE"""),"")</f>
        <v/>
      </c>
      <c r="B770" s="3" t="str">
        <f>IFERROR(__xludf.DUMMYFUNCTION("""COMPUTED_VALUE"""),"")</f>
        <v/>
      </c>
      <c r="C770" s="11" t="str">
        <f>IFERROR(__xludf.DUMMYFUNCTION("""COMPUTED_VALUE"""),"")</f>
        <v/>
      </c>
      <c r="D770" s="11" t="str">
        <f>IFERROR(__xludf.DUMMYFUNCTION("""COMPUTED_VALUE"""),"")</f>
        <v/>
      </c>
      <c r="E770" s="11" t="str">
        <f>IFERROR(__xludf.DUMMYFUNCTION("""COMPUTED_VALUE"""),"")</f>
        <v/>
      </c>
      <c r="F770" s="11" t="str">
        <f>IFERROR(__xludf.DUMMYFUNCTION("""COMPUTED_VALUE"""),"")</f>
        <v/>
      </c>
      <c r="G770" s="11" t="str">
        <f>IFERROR(__xludf.DUMMYFUNCTION("""COMPUTED_VALUE"""),"")</f>
        <v/>
      </c>
      <c r="H770" s="12" t="str">
        <f>IFERROR(__xludf.DUMMYFUNCTION("""COMPUTED_VALUE"""),"")</f>
        <v/>
      </c>
      <c r="I770" s="12" t="str">
        <f>IFERROR(__xludf.DUMMYFUNCTION("""COMPUTED_VALUE"""),"")</f>
        <v/>
      </c>
      <c r="J770" s="13" t="str">
        <f t="shared" si="1"/>
        <v/>
      </c>
      <c r="K770" s="12" t="str">
        <f>IFERROR(IF(A770="","",if($G770="",Reference!$J$2, VLOOKUP($G770,Reference!$I$2:$J$1000,2,false))),"")</f>
        <v/>
      </c>
      <c r="L770" s="12" t="str">
        <f>IF(A770="","", IF(F770="",Reference!$M$2,F770))</f>
        <v/>
      </c>
      <c r="M770" s="14" t="str">
        <f t="shared" si="2"/>
        <v/>
      </c>
      <c r="N770" s="15" t="str">
        <f t="shared" si="3"/>
        <v/>
      </c>
      <c r="O770" s="14" t="str">
        <f t="shared" si="4"/>
        <v/>
      </c>
      <c r="P770" s="16" t="str">
        <f t="array" ref="P770">IF($A770="","", IFERROR(INDEX('BM Data'!$N:$N,MATCH($J770&amp; "-" &amp; $N770,'BM Data'!$O:$O,0),1),""))</f>
        <v/>
      </c>
      <c r="Q770" s="16" t="str">
        <f t="array" ref="Q770">IF($A770="","", IFERROR(INDEX('BM Data'!$J:$J,MATCH($J770&amp; "-" &amp; $N770,'BM Data'!$O:$O,0),1),""))</f>
        <v/>
      </c>
    </row>
    <row r="771">
      <c r="A771" s="10" t="str">
        <f>IFERROR(__xludf.DUMMYFUNCTION("""COMPUTED_VALUE"""),"")</f>
        <v/>
      </c>
      <c r="B771" s="3" t="str">
        <f>IFERROR(__xludf.DUMMYFUNCTION("""COMPUTED_VALUE"""),"")</f>
        <v/>
      </c>
      <c r="C771" s="11" t="str">
        <f>IFERROR(__xludf.DUMMYFUNCTION("""COMPUTED_VALUE"""),"")</f>
        <v/>
      </c>
      <c r="D771" s="11" t="str">
        <f>IFERROR(__xludf.DUMMYFUNCTION("""COMPUTED_VALUE"""),"")</f>
        <v/>
      </c>
      <c r="E771" s="11" t="str">
        <f>IFERROR(__xludf.DUMMYFUNCTION("""COMPUTED_VALUE"""),"")</f>
        <v/>
      </c>
      <c r="F771" s="11" t="str">
        <f>IFERROR(__xludf.DUMMYFUNCTION("""COMPUTED_VALUE"""),"")</f>
        <v/>
      </c>
      <c r="G771" s="11" t="str">
        <f>IFERROR(__xludf.DUMMYFUNCTION("""COMPUTED_VALUE"""),"")</f>
        <v/>
      </c>
      <c r="H771" s="12" t="str">
        <f>IFERROR(__xludf.DUMMYFUNCTION("""COMPUTED_VALUE"""),"")</f>
        <v/>
      </c>
      <c r="I771" s="12" t="str">
        <f>IFERROR(__xludf.DUMMYFUNCTION("""COMPUTED_VALUE"""),"")</f>
        <v/>
      </c>
      <c r="J771" s="13" t="str">
        <f t="shared" si="1"/>
        <v/>
      </c>
      <c r="K771" s="12" t="str">
        <f>IFERROR(IF(A771="","",if($G771="",Reference!$J$2, VLOOKUP($G771,Reference!$I$2:$J$1000,2,false))),"")</f>
        <v/>
      </c>
      <c r="L771" s="12" t="str">
        <f>IF(A771="","", IF(F771="",Reference!$M$2,F771))</f>
        <v/>
      </c>
      <c r="M771" s="14" t="str">
        <f t="shared" si="2"/>
        <v/>
      </c>
      <c r="N771" s="15" t="str">
        <f t="shared" si="3"/>
        <v/>
      </c>
      <c r="O771" s="14" t="str">
        <f t="shared" si="4"/>
        <v/>
      </c>
      <c r="P771" s="16" t="str">
        <f t="array" ref="P771">IF($A771="","", IFERROR(INDEX('BM Data'!$N:$N,MATCH($J771&amp; "-" &amp; $N771,'BM Data'!$O:$O,0),1),""))</f>
        <v/>
      </c>
      <c r="Q771" s="16" t="str">
        <f t="array" ref="Q771">IF($A771="","", IFERROR(INDEX('BM Data'!$J:$J,MATCH($J771&amp; "-" &amp; $N771,'BM Data'!$O:$O,0),1),""))</f>
        <v/>
      </c>
    </row>
    <row r="772">
      <c r="A772" s="10" t="str">
        <f>IFERROR(__xludf.DUMMYFUNCTION("""COMPUTED_VALUE"""),"")</f>
        <v/>
      </c>
      <c r="B772" s="3" t="str">
        <f>IFERROR(__xludf.DUMMYFUNCTION("""COMPUTED_VALUE"""),"")</f>
        <v/>
      </c>
      <c r="C772" s="11" t="str">
        <f>IFERROR(__xludf.DUMMYFUNCTION("""COMPUTED_VALUE"""),"")</f>
        <v/>
      </c>
      <c r="D772" s="11" t="str">
        <f>IFERROR(__xludf.DUMMYFUNCTION("""COMPUTED_VALUE"""),"")</f>
        <v/>
      </c>
      <c r="E772" s="11" t="str">
        <f>IFERROR(__xludf.DUMMYFUNCTION("""COMPUTED_VALUE"""),"")</f>
        <v/>
      </c>
      <c r="F772" s="11" t="str">
        <f>IFERROR(__xludf.DUMMYFUNCTION("""COMPUTED_VALUE"""),"")</f>
        <v/>
      </c>
      <c r="G772" s="11" t="str">
        <f>IFERROR(__xludf.DUMMYFUNCTION("""COMPUTED_VALUE"""),"")</f>
        <v/>
      </c>
      <c r="H772" s="12" t="str">
        <f>IFERROR(__xludf.DUMMYFUNCTION("""COMPUTED_VALUE"""),"")</f>
        <v/>
      </c>
      <c r="I772" s="12" t="str">
        <f>IFERROR(__xludf.DUMMYFUNCTION("""COMPUTED_VALUE"""),"")</f>
        <v/>
      </c>
      <c r="J772" s="13" t="str">
        <f t="shared" si="1"/>
        <v/>
      </c>
      <c r="K772" s="12" t="str">
        <f>IFERROR(IF(A772="","",if($G772="",Reference!$J$2, VLOOKUP($G772,Reference!$I$2:$J$1000,2,false))),"")</f>
        <v/>
      </c>
      <c r="L772" s="12" t="str">
        <f>IF(A772="","", IF(F772="",Reference!$M$2,F772))</f>
        <v/>
      </c>
      <c r="M772" s="14" t="str">
        <f t="shared" si="2"/>
        <v/>
      </c>
      <c r="N772" s="15" t="str">
        <f t="shared" si="3"/>
        <v/>
      </c>
      <c r="O772" s="14" t="str">
        <f t="shared" si="4"/>
        <v/>
      </c>
      <c r="P772" s="16" t="str">
        <f t="array" ref="P772">IF($A772="","", IFERROR(INDEX('BM Data'!$N:$N,MATCH($J772&amp; "-" &amp; $N772,'BM Data'!$O:$O,0),1),""))</f>
        <v/>
      </c>
      <c r="Q772" s="16" t="str">
        <f t="array" ref="Q772">IF($A772="","", IFERROR(INDEX('BM Data'!$J:$J,MATCH($J772&amp; "-" &amp; $N772,'BM Data'!$O:$O,0),1),""))</f>
        <v/>
      </c>
    </row>
    <row r="773">
      <c r="A773" s="10" t="str">
        <f>IFERROR(__xludf.DUMMYFUNCTION("""COMPUTED_VALUE"""),"")</f>
        <v/>
      </c>
      <c r="B773" s="3" t="str">
        <f>IFERROR(__xludf.DUMMYFUNCTION("""COMPUTED_VALUE"""),"")</f>
        <v/>
      </c>
      <c r="C773" s="11" t="str">
        <f>IFERROR(__xludf.DUMMYFUNCTION("""COMPUTED_VALUE"""),"")</f>
        <v/>
      </c>
      <c r="D773" s="11" t="str">
        <f>IFERROR(__xludf.DUMMYFUNCTION("""COMPUTED_VALUE"""),"")</f>
        <v/>
      </c>
      <c r="E773" s="11" t="str">
        <f>IFERROR(__xludf.DUMMYFUNCTION("""COMPUTED_VALUE"""),"")</f>
        <v/>
      </c>
      <c r="F773" s="11" t="str">
        <f>IFERROR(__xludf.DUMMYFUNCTION("""COMPUTED_VALUE"""),"")</f>
        <v/>
      </c>
      <c r="G773" s="11" t="str">
        <f>IFERROR(__xludf.DUMMYFUNCTION("""COMPUTED_VALUE"""),"")</f>
        <v/>
      </c>
      <c r="H773" s="12" t="str">
        <f>IFERROR(__xludf.DUMMYFUNCTION("""COMPUTED_VALUE"""),"")</f>
        <v/>
      </c>
      <c r="I773" s="12" t="str">
        <f>IFERROR(__xludf.DUMMYFUNCTION("""COMPUTED_VALUE"""),"")</f>
        <v/>
      </c>
      <c r="J773" s="13" t="str">
        <f t="shared" si="1"/>
        <v/>
      </c>
      <c r="K773" s="12" t="str">
        <f>IFERROR(IF(A773="","",if($G773="",Reference!$J$2, VLOOKUP($G773,Reference!$I$2:$J$1000,2,false))),"")</f>
        <v/>
      </c>
      <c r="L773" s="12" t="str">
        <f>IF(A773="","", IF(F773="",Reference!$M$2,F773))</f>
        <v/>
      </c>
      <c r="M773" s="14" t="str">
        <f t="shared" si="2"/>
        <v/>
      </c>
      <c r="N773" s="15" t="str">
        <f t="shared" si="3"/>
        <v/>
      </c>
      <c r="O773" s="14" t="str">
        <f t="shared" si="4"/>
        <v/>
      </c>
      <c r="P773" s="16" t="str">
        <f t="array" ref="P773">IF($A773="","", IFERROR(INDEX('BM Data'!$N:$N,MATCH($J773&amp; "-" &amp; $N773,'BM Data'!$O:$O,0),1),""))</f>
        <v/>
      </c>
      <c r="Q773" s="16" t="str">
        <f t="array" ref="Q773">IF($A773="","", IFERROR(INDEX('BM Data'!$J:$J,MATCH($J773&amp; "-" &amp; $N773,'BM Data'!$O:$O,0),1),""))</f>
        <v/>
      </c>
    </row>
    <row r="774">
      <c r="A774" s="10" t="str">
        <f>IFERROR(__xludf.DUMMYFUNCTION("""COMPUTED_VALUE"""),"")</f>
        <v/>
      </c>
      <c r="B774" s="3" t="str">
        <f>IFERROR(__xludf.DUMMYFUNCTION("""COMPUTED_VALUE"""),"")</f>
        <v/>
      </c>
      <c r="C774" s="11" t="str">
        <f>IFERROR(__xludf.DUMMYFUNCTION("""COMPUTED_VALUE"""),"")</f>
        <v/>
      </c>
      <c r="D774" s="11" t="str">
        <f>IFERROR(__xludf.DUMMYFUNCTION("""COMPUTED_VALUE"""),"")</f>
        <v/>
      </c>
      <c r="E774" s="11" t="str">
        <f>IFERROR(__xludf.DUMMYFUNCTION("""COMPUTED_VALUE"""),"")</f>
        <v/>
      </c>
      <c r="F774" s="11" t="str">
        <f>IFERROR(__xludf.DUMMYFUNCTION("""COMPUTED_VALUE"""),"")</f>
        <v/>
      </c>
      <c r="G774" s="11" t="str">
        <f>IFERROR(__xludf.DUMMYFUNCTION("""COMPUTED_VALUE"""),"")</f>
        <v/>
      </c>
      <c r="H774" s="12" t="str">
        <f>IFERROR(__xludf.DUMMYFUNCTION("""COMPUTED_VALUE"""),"")</f>
        <v/>
      </c>
      <c r="I774" s="12" t="str">
        <f>IFERROR(__xludf.DUMMYFUNCTION("""COMPUTED_VALUE"""),"")</f>
        <v/>
      </c>
      <c r="J774" s="13" t="str">
        <f t="shared" si="1"/>
        <v/>
      </c>
      <c r="K774" s="12" t="str">
        <f>IFERROR(IF(A774="","",if($G774="",Reference!$J$2, VLOOKUP($G774,Reference!$I$2:$J$1000,2,false))),"")</f>
        <v/>
      </c>
      <c r="L774" s="12" t="str">
        <f>IF(A774="","", IF(F774="",Reference!$M$2,F774))</f>
        <v/>
      </c>
      <c r="M774" s="14" t="str">
        <f t="shared" si="2"/>
        <v/>
      </c>
      <c r="N774" s="15" t="str">
        <f t="shared" si="3"/>
        <v/>
      </c>
      <c r="O774" s="14" t="str">
        <f t="shared" si="4"/>
        <v/>
      </c>
      <c r="P774" s="16" t="str">
        <f t="array" ref="P774">IF($A774="","", IFERROR(INDEX('BM Data'!$N:$N,MATCH($J774&amp; "-" &amp; $N774,'BM Data'!$O:$O,0),1),""))</f>
        <v/>
      </c>
      <c r="Q774" s="16" t="str">
        <f t="array" ref="Q774">IF($A774="","", IFERROR(INDEX('BM Data'!$J:$J,MATCH($J774&amp; "-" &amp; $N774,'BM Data'!$O:$O,0),1),""))</f>
        <v/>
      </c>
    </row>
    <row r="775">
      <c r="A775" s="10" t="str">
        <f>IFERROR(__xludf.DUMMYFUNCTION("""COMPUTED_VALUE"""),"")</f>
        <v/>
      </c>
      <c r="B775" s="3" t="str">
        <f>IFERROR(__xludf.DUMMYFUNCTION("""COMPUTED_VALUE"""),"")</f>
        <v/>
      </c>
      <c r="C775" s="11" t="str">
        <f>IFERROR(__xludf.DUMMYFUNCTION("""COMPUTED_VALUE"""),"")</f>
        <v/>
      </c>
      <c r="D775" s="11" t="str">
        <f>IFERROR(__xludf.DUMMYFUNCTION("""COMPUTED_VALUE"""),"")</f>
        <v/>
      </c>
      <c r="E775" s="11" t="str">
        <f>IFERROR(__xludf.DUMMYFUNCTION("""COMPUTED_VALUE"""),"")</f>
        <v/>
      </c>
      <c r="F775" s="11" t="str">
        <f>IFERROR(__xludf.DUMMYFUNCTION("""COMPUTED_VALUE"""),"")</f>
        <v/>
      </c>
      <c r="G775" s="11" t="str">
        <f>IFERROR(__xludf.DUMMYFUNCTION("""COMPUTED_VALUE"""),"")</f>
        <v/>
      </c>
      <c r="H775" s="12" t="str">
        <f>IFERROR(__xludf.DUMMYFUNCTION("""COMPUTED_VALUE"""),"")</f>
        <v/>
      </c>
      <c r="I775" s="12" t="str">
        <f>IFERROR(__xludf.DUMMYFUNCTION("""COMPUTED_VALUE"""),"")</f>
        <v/>
      </c>
      <c r="J775" s="13" t="str">
        <f t="shared" si="1"/>
        <v/>
      </c>
      <c r="K775" s="12" t="str">
        <f>IFERROR(IF(A775="","",if($G775="",Reference!$J$2, VLOOKUP($G775,Reference!$I$2:$J$1000,2,false))),"")</f>
        <v/>
      </c>
      <c r="L775" s="12" t="str">
        <f>IF(A775="","", IF(F775="",Reference!$M$2,F775))</f>
        <v/>
      </c>
      <c r="M775" s="14" t="str">
        <f t="shared" si="2"/>
        <v/>
      </c>
      <c r="N775" s="15" t="str">
        <f t="shared" si="3"/>
        <v/>
      </c>
      <c r="O775" s="14" t="str">
        <f t="shared" si="4"/>
        <v/>
      </c>
      <c r="P775" s="16" t="str">
        <f t="array" ref="P775">IF($A775="","", IFERROR(INDEX('BM Data'!$N:$N,MATCH($J775&amp; "-" &amp; $N775,'BM Data'!$O:$O,0),1),""))</f>
        <v/>
      </c>
      <c r="Q775" s="16" t="str">
        <f t="array" ref="Q775">IF($A775="","", IFERROR(INDEX('BM Data'!$J:$J,MATCH($J775&amp; "-" &amp; $N775,'BM Data'!$O:$O,0),1),""))</f>
        <v/>
      </c>
    </row>
    <row r="776">
      <c r="A776" s="10" t="str">
        <f>IFERROR(__xludf.DUMMYFUNCTION("""COMPUTED_VALUE"""),"")</f>
        <v/>
      </c>
      <c r="B776" s="3" t="str">
        <f>IFERROR(__xludf.DUMMYFUNCTION("""COMPUTED_VALUE"""),"")</f>
        <v/>
      </c>
      <c r="C776" s="11" t="str">
        <f>IFERROR(__xludf.DUMMYFUNCTION("""COMPUTED_VALUE"""),"")</f>
        <v/>
      </c>
      <c r="D776" s="11" t="str">
        <f>IFERROR(__xludf.DUMMYFUNCTION("""COMPUTED_VALUE"""),"")</f>
        <v/>
      </c>
      <c r="E776" s="11" t="str">
        <f>IFERROR(__xludf.DUMMYFUNCTION("""COMPUTED_VALUE"""),"")</f>
        <v/>
      </c>
      <c r="F776" s="11" t="str">
        <f>IFERROR(__xludf.DUMMYFUNCTION("""COMPUTED_VALUE"""),"")</f>
        <v/>
      </c>
      <c r="G776" s="11" t="str">
        <f>IFERROR(__xludf.DUMMYFUNCTION("""COMPUTED_VALUE"""),"")</f>
        <v/>
      </c>
      <c r="H776" s="12" t="str">
        <f>IFERROR(__xludf.DUMMYFUNCTION("""COMPUTED_VALUE"""),"")</f>
        <v/>
      </c>
      <c r="I776" s="12" t="str">
        <f>IFERROR(__xludf.DUMMYFUNCTION("""COMPUTED_VALUE"""),"")</f>
        <v/>
      </c>
      <c r="J776" s="13" t="str">
        <f t="shared" si="1"/>
        <v/>
      </c>
      <c r="K776" s="12" t="str">
        <f>IFERROR(IF(A776="","",if($G776="",Reference!$J$2, VLOOKUP($G776,Reference!$I$2:$J$1000,2,false))),"")</f>
        <v/>
      </c>
      <c r="L776" s="12" t="str">
        <f>IF(A776="","", IF(F776="",Reference!$M$2,F776))</f>
        <v/>
      </c>
      <c r="M776" s="14" t="str">
        <f t="shared" si="2"/>
        <v/>
      </c>
      <c r="N776" s="15" t="str">
        <f t="shared" si="3"/>
        <v/>
      </c>
      <c r="O776" s="14" t="str">
        <f t="shared" si="4"/>
        <v/>
      </c>
      <c r="P776" s="16" t="str">
        <f t="array" ref="P776">IF($A776="","", IFERROR(INDEX('BM Data'!$N:$N,MATCH($J776&amp; "-" &amp; $N776,'BM Data'!$O:$O,0),1),""))</f>
        <v/>
      </c>
      <c r="Q776" s="16" t="str">
        <f t="array" ref="Q776">IF($A776="","", IFERROR(INDEX('BM Data'!$J:$J,MATCH($J776&amp; "-" &amp; $N776,'BM Data'!$O:$O,0),1),""))</f>
        <v/>
      </c>
    </row>
    <row r="777">
      <c r="A777" s="10" t="str">
        <f>IFERROR(__xludf.DUMMYFUNCTION("""COMPUTED_VALUE"""),"")</f>
        <v/>
      </c>
      <c r="B777" s="3" t="str">
        <f>IFERROR(__xludf.DUMMYFUNCTION("""COMPUTED_VALUE"""),"")</f>
        <v/>
      </c>
      <c r="C777" s="11" t="str">
        <f>IFERROR(__xludf.DUMMYFUNCTION("""COMPUTED_VALUE"""),"")</f>
        <v/>
      </c>
      <c r="D777" s="11" t="str">
        <f>IFERROR(__xludf.DUMMYFUNCTION("""COMPUTED_VALUE"""),"")</f>
        <v/>
      </c>
      <c r="E777" s="11" t="str">
        <f>IFERROR(__xludf.DUMMYFUNCTION("""COMPUTED_VALUE"""),"")</f>
        <v/>
      </c>
      <c r="F777" s="11" t="str">
        <f>IFERROR(__xludf.DUMMYFUNCTION("""COMPUTED_VALUE"""),"")</f>
        <v/>
      </c>
      <c r="G777" s="11" t="str">
        <f>IFERROR(__xludf.DUMMYFUNCTION("""COMPUTED_VALUE"""),"")</f>
        <v/>
      </c>
      <c r="H777" s="12" t="str">
        <f>IFERROR(__xludf.DUMMYFUNCTION("""COMPUTED_VALUE"""),"")</f>
        <v/>
      </c>
      <c r="I777" s="12" t="str">
        <f>IFERROR(__xludf.DUMMYFUNCTION("""COMPUTED_VALUE"""),"")</f>
        <v/>
      </c>
      <c r="J777" s="13" t="str">
        <f t="shared" si="1"/>
        <v/>
      </c>
      <c r="K777" s="12" t="str">
        <f>IFERROR(IF(A777="","",if($G777="",Reference!$J$2, VLOOKUP($G777,Reference!$I$2:$J$1000,2,false))),"")</f>
        <v/>
      </c>
      <c r="L777" s="12" t="str">
        <f>IF(A777="","", IF(F777="",Reference!$M$2,F777))</f>
        <v/>
      </c>
      <c r="M777" s="14" t="str">
        <f t="shared" si="2"/>
        <v/>
      </c>
      <c r="N777" s="15" t="str">
        <f t="shared" si="3"/>
        <v/>
      </c>
      <c r="O777" s="14" t="str">
        <f t="shared" si="4"/>
        <v/>
      </c>
      <c r="P777" s="16" t="str">
        <f t="array" ref="P777">IF($A777="","", IFERROR(INDEX('BM Data'!$N:$N,MATCH($J777&amp; "-" &amp; $N777,'BM Data'!$O:$O,0),1),""))</f>
        <v/>
      </c>
      <c r="Q777" s="16" t="str">
        <f t="array" ref="Q777">IF($A777="","", IFERROR(INDEX('BM Data'!$J:$J,MATCH($J777&amp; "-" &amp; $N777,'BM Data'!$O:$O,0),1),""))</f>
        <v/>
      </c>
    </row>
    <row r="778">
      <c r="A778" s="10" t="str">
        <f>IFERROR(__xludf.DUMMYFUNCTION("""COMPUTED_VALUE"""),"")</f>
        <v/>
      </c>
      <c r="B778" s="3" t="str">
        <f>IFERROR(__xludf.DUMMYFUNCTION("""COMPUTED_VALUE"""),"")</f>
        <v/>
      </c>
      <c r="C778" s="11" t="str">
        <f>IFERROR(__xludf.DUMMYFUNCTION("""COMPUTED_VALUE"""),"")</f>
        <v/>
      </c>
      <c r="D778" s="11" t="str">
        <f>IFERROR(__xludf.DUMMYFUNCTION("""COMPUTED_VALUE"""),"")</f>
        <v/>
      </c>
      <c r="E778" s="11" t="str">
        <f>IFERROR(__xludf.DUMMYFUNCTION("""COMPUTED_VALUE"""),"")</f>
        <v/>
      </c>
      <c r="F778" s="11" t="str">
        <f>IFERROR(__xludf.DUMMYFUNCTION("""COMPUTED_VALUE"""),"")</f>
        <v/>
      </c>
      <c r="G778" s="11" t="str">
        <f>IFERROR(__xludf.DUMMYFUNCTION("""COMPUTED_VALUE"""),"")</f>
        <v/>
      </c>
      <c r="H778" s="12" t="str">
        <f>IFERROR(__xludf.DUMMYFUNCTION("""COMPUTED_VALUE"""),"")</f>
        <v/>
      </c>
      <c r="I778" s="12" t="str">
        <f>IFERROR(__xludf.DUMMYFUNCTION("""COMPUTED_VALUE"""),"")</f>
        <v/>
      </c>
      <c r="J778" s="13" t="str">
        <f t="shared" si="1"/>
        <v/>
      </c>
      <c r="K778" s="12" t="str">
        <f>IFERROR(IF(A778="","",if($G778="",Reference!$J$2, VLOOKUP($G778,Reference!$I$2:$J$1000,2,false))),"")</f>
        <v/>
      </c>
      <c r="L778" s="12" t="str">
        <f>IF(A778="","", IF(F778="",Reference!$M$2,F778))</f>
        <v/>
      </c>
      <c r="M778" s="14" t="str">
        <f t="shared" si="2"/>
        <v/>
      </c>
      <c r="N778" s="15" t="str">
        <f t="shared" si="3"/>
        <v/>
      </c>
      <c r="O778" s="14" t="str">
        <f t="shared" si="4"/>
        <v/>
      </c>
      <c r="P778" s="16" t="str">
        <f t="array" ref="P778">IF($A778="","", IFERROR(INDEX('BM Data'!$N:$N,MATCH($J778&amp; "-" &amp; $N778,'BM Data'!$O:$O,0),1),""))</f>
        <v/>
      </c>
      <c r="Q778" s="16" t="str">
        <f t="array" ref="Q778">IF($A778="","", IFERROR(INDEX('BM Data'!$J:$J,MATCH($J778&amp; "-" &amp; $N778,'BM Data'!$O:$O,0),1),""))</f>
        <v/>
      </c>
    </row>
    <row r="779">
      <c r="A779" s="10" t="str">
        <f>IFERROR(__xludf.DUMMYFUNCTION("""COMPUTED_VALUE"""),"")</f>
        <v/>
      </c>
      <c r="B779" s="3" t="str">
        <f>IFERROR(__xludf.DUMMYFUNCTION("""COMPUTED_VALUE"""),"")</f>
        <v/>
      </c>
      <c r="C779" s="11" t="str">
        <f>IFERROR(__xludf.DUMMYFUNCTION("""COMPUTED_VALUE"""),"")</f>
        <v/>
      </c>
      <c r="D779" s="11" t="str">
        <f>IFERROR(__xludf.DUMMYFUNCTION("""COMPUTED_VALUE"""),"")</f>
        <v/>
      </c>
      <c r="E779" s="11" t="str">
        <f>IFERROR(__xludf.DUMMYFUNCTION("""COMPUTED_VALUE"""),"")</f>
        <v/>
      </c>
      <c r="F779" s="11" t="str">
        <f>IFERROR(__xludf.DUMMYFUNCTION("""COMPUTED_VALUE"""),"")</f>
        <v/>
      </c>
      <c r="G779" s="11" t="str">
        <f>IFERROR(__xludf.DUMMYFUNCTION("""COMPUTED_VALUE"""),"")</f>
        <v/>
      </c>
      <c r="H779" s="12" t="str">
        <f>IFERROR(__xludf.DUMMYFUNCTION("""COMPUTED_VALUE"""),"")</f>
        <v/>
      </c>
      <c r="I779" s="12" t="str">
        <f>IFERROR(__xludf.DUMMYFUNCTION("""COMPUTED_VALUE"""),"")</f>
        <v/>
      </c>
      <c r="J779" s="13" t="str">
        <f t="shared" si="1"/>
        <v/>
      </c>
      <c r="K779" s="12" t="str">
        <f>IFERROR(IF(A779="","",if($G779="",Reference!$J$2, VLOOKUP($G779,Reference!$I$2:$J$1000,2,false))),"")</f>
        <v/>
      </c>
      <c r="L779" s="12" t="str">
        <f>IF(A779="","", IF(F779="",Reference!$M$2,F779))</f>
        <v/>
      </c>
      <c r="M779" s="14" t="str">
        <f t="shared" si="2"/>
        <v/>
      </c>
      <c r="N779" s="15" t="str">
        <f t="shared" si="3"/>
        <v/>
      </c>
      <c r="O779" s="14" t="str">
        <f t="shared" si="4"/>
        <v/>
      </c>
      <c r="P779" s="16" t="str">
        <f t="array" ref="P779">IF($A779="","", IFERROR(INDEX('BM Data'!$N:$N,MATCH($J779&amp; "-" &amp; $N779,'BM Data'!$O:$O,0),1),""))</f>
        <v/>
      </c>
      <c r="Q779" s="16" t="str">
        <f t="array" ref="Q779">IF($A779="","", IFERROR(INDEX('BM Data'!$J:$J,MATCH($J779&amp; "-" &amp; $N779,'BM Data'!$O:$O,0),1),""))</f>
        <v/>
      </c>
    </row>
    <row r="780">
      <c r="A780" s="10" t="str">
        <f>IFERROR(__xludf.DUMMYFUNCTION("""COMPUTED_VALUE"""),"")</f>
        <v/>
      </c>
      <c r="B780" s="3" t="str">
        <f>IFERROR(__xludf.DUMMYFUNCTION("""COMPUTED_VALUE"""),"")</f>
        <v/>
      </c>
      <c r="C780" s="11" t="str">
        <f>IFERROR(__xludf.DUMMYFUNCTION("""COMPUTED_VALUE"""),"")</f>
        <v/>
      </c>
      <c r="D780" s="11" t="str">
        <f>IFERROR(__xludf.DUMMYFUNCTION("""COMPUTED_VALUE"""),"")</f>
        <v/>
      </c>
      <c r="E780" s="11" t="str">
        <f>IFERROR(__xludf.DUMMYFUNCTION("""COMPUTED_VALUE"""),"")</f>
        <v/>
      </c>
      <c r="F780" s="11" t="str">
        <f>IFERROR(__xludf.DUMMYFUNCTION("""COMPUTED_VALUE"""),"")</f>
        <v/>
      </c>
      <c r="G780" s="11" t="str">
        <f>IFERROR(__xludf.DUMMYFUNCTION("""COMPUTED_VALUE"""),"")</f>
        <v/>
      </c>
      <c r="H780" s="12" t="str">
        <f>IFERROR(__xludf.DUMMYFUNCTION("""COMPUTED_VALUE"""),"")</f>
        <v/>
      </c>
      <c r="I780" s="12" t="str">
        <f>IFERROR(__xludf.DUMMYFUNCTION("""COMPUTED_VALUE"""),"")</f>
        <v/>
      </c>
      <c r="J780" s="13" t="str">
        <f t="shared" si="1"/>
        <v/>
      </c>
      <c r="K780" s="12" t="str">
        <f>IFERROR(IF(A780="","",if($G780="",Reference!$J$2, VLOOKUP($G780,Reference!$I$2:$J$1000,2,false))),"")</f>
        <v/>
      </c>
      <c r="L780" s="12" t="str">
        <f>IF(A780="","", IF(F780="",Reference!$M$2,F780))</f>
        <v/>
      </c>
      <c r="M780" s="14" t="str">
        <f t="shared" si="2"/>
        <v/>
      </c>
      <c r="N780" s="15" t="str">
        <f t="shared" si="3"/>
        <v/>
      </c>
      <c r="O780" s="14" t="str">
        <f t="shared" si="4"/>
        <v/>
      </c>
      <c r="P780" s="16" t="str">
        <f t="array" ref="P780">IF($A780="","", IFERROR(INDEX('BM Data'!$N:$N,MATCH($J780&amp; "-" &amp; $N780,'BM Data'!$O:$O,0),1),""))</f>
        <v/>
      </c>
      <c r="Q780" s="16" t="str">
        <f t="array" ref="Q780">IF($A780="","", IFERROR(INDEX('BM Data'!$J:$J,MATCH($J780&amp; "-" &amp; $N780,'BM Data'!$O:$O,0),1),""))</f>
        <v/>
      </c>
    </row>
    <row r="781">
      <c r="A781" s="10" t="str">
        <f>IFERROR(__xludf.DUMMYFUNCTION("""COMPUTED_VALUE"""),"")</f>
        <v/>
      </c>
      <c r="B781" s="3" t="str">
        <f>IFERROR(__xludf.DUMMYFUNCTION("""COMPUTED_VALUE"""),"")</f>
        <v/>
      </c>
      <c r="C781" s="11" t="str">
        <f>IFERROR(__xludf.DUMMYFUNCTION("""COMPUTED_VALUE"""),"")</f>
        <v/>
      </c>
      <c r="D781" s="11" t="str">
        <f>IFERROR(__xludf.DUMMYFUNCTION("""COMPUTED_VALUE"""),"")</f>
        <v/>
      </c>
      <c r="E781" s="11" t="str">
        <f>IFERROR(__xludf.DUMMYFUNCTION("""COMPUTED_VALUE"""),"")</f>
        <v/>
      </c>
      <c r="F781" s="11" t="str">
        <f>IFERROR(__xludf.DUMMYFUNCTION("""COMPUTED_VALUE"""),"")</f>
        <v/>
      </c>
      <c r="G781" s="11" t="str">
        <f>IFERROR(__xludf.DUMMYFUNCTION("""COMPUTED_VALUE"""),"")</f>
        <v/>
      </c>
      <c r="H781" s="12" t="str">
        <f>IFERROR(__xludf.DUMMYFUNCTION("""COMPUTED_VALUE"""),"")</f>
        <v/>
      </c>
      <c r="I781" s="12" t="str">
        <f>IFERROR(__xludf.DUMMYFUNCTION("""COMPUTED_VALUE"""),"")</f>
        <v/>
      </c>
      <c r="J781" s="13" t="str">
        <f t="shared" si="1"/>
        <v/>
      </c>
      <c r="K781" s="12" t="str">
        <f>IFERROR(IF(A781="","",if($G781="",Reference!$J$2, VLOOKUP($G781,Reference!$I$2:$J$1000,2,false))),"")</f>
        <v/>
      </c>
      <c r="L781" s="12" t="str">
        <f>IF(A781="","", IF(F781="",Reference!$M$2,F781))</f>
        <v/>
      </c>
      <c r="M781" s="14" t="str">
        <f t="shared" si="2"/>
        <v/>
      </c>
      <c r="N781" s="15" t="str">
        <f t="shared" si="3"/>
        <v/>
      </c>
      <c r="O781" s="14" t="str">
        <f t="shared" si="4"/>
        <v/>
      </c>
      <c r="P781" s="16" t="str">
        <f t="array" ref="P781">IF($A781="","", IFERROR(INDEX('BM Data'!$N:$N,MATCH($J781&amp; "-" &amp; $N781,'BM Data'!$O:$O,0),1),""))</f>
        <v/>
      </c>
      <c r="Q781" s="16" t="str">
        <f t="array" ref="Q781">IF($A781="","", IFERROR(INDEX('BM Data'!$J:$J,MATCH($J781&amp; "-" &amp; $N781,'BM Data'!$O:$O,0),1),""))</f>
        <v/>
      </c>
    </row>
    <row r="782">
      <c r="A782" s="10" t="str">
        <f>IFERROR(__xludf.DUMMYFUNCTION("""COMPUTED_VALUE"""),"")</f>
        <v/>
      </c>
      <c r="B782" s="3" t="str">
        <f>IFERROR(__xludf.DUMMYFUNCTION("""COMPUTED_VALUE"""),"")</f>
        <v/>
      </c>
      <c r="C782" s="11" t="str">
        <f>IFERROR(__xludf.DUMMYFUNCTION("""COMPUTED_VALUE"""),"")</f>
        <v/>
      </c>
      <c r="D782" s="11" t="str">
        <f>IFERROR(__xludf.DUMMYFUNCTION("""COMPUTED_VALUE"""),"")</f>
        <v/>
      </c>
      <c r="E782" s="11" t="str">
        <f>IFERROR(__xludf.DUMMYFUNCTION("""COMPUTED_VALUE"""),"")</f>
        <v/>
      </c>
      <c r="F782" s="11" t="str">
        <f>IFERROR(__xludf.DUMMYFUNCTION("""COMPUTED_VALUE"""),"")</f>
        <v/>
      </c>
      <c r="G782" s="11" t="str">
        <f>IFERROR(__xludf.DUMMYFUNCTION("""COMPUTED_VALUE"""),"")</f>
        <v/>
      </c>
      <c r="H782" s="12" t="str">
        <f>IFERROR(__xludf.DUMMYFUNCTION("""COMPUTED_VALUE"""),"")</f>
        <v/>
      </c>
      <c r="I782" s="12" t="str">
        <f>IFERROR(__xludf.DUMMYFUNCTION("""COMPUTED_VALUE"""),"")</f>
        <v/>
      </c>
      <c r="J782" s="13" t="str">
        <f t="shared" si="1"/>
        <v/>
      </c>
      <c r="K782" s="12" t="str">
        <f>IFERROR(IF(A782="","",if($G782="",Reference!$J$2, VLOOKUP($G782,Reference!$I$2:$J$1000,2,false))),"")</f>
        <v/>
      </c>
      <c r="L782" s="12" t="str">
        <f>IF(A782="","", IF(F782="",Reference!$M$2,F782))</f>
        <v/>
      </c>
      <c r="M782" s="14" t="str">
        <f t="shared" si="2"/>
        <v/>
      </c>
      <c r="N782" s="15" t="str">
        <f t="shared" si="3"/>
        <v/>
      </c>
      <c r="O782" s="14" t="str">
        <f t="shared" si="4"/>
        <v/>
      </c>
      <c r="P782" s="16" t="str">
        <f t="array" ref="P782">IF($A782="","", IFERROR(INDEX('BM Data'!$N:$N,MATCH($J782&amp; "-" &amp; $N782,'BM Data'!$O:$O,0),1),""))</f>
        <v/>
      </c>
      <c r="Q782" s="16" t="str">
        <f t="array" ref="Q782">IF($A782="","", IFERROR(INDEX('BM Data'!$J:$J,MATCH($J782&amp; "-" &amp; $N782,'BM Data'!$O:$O,0),1),""))</f>
        <v/>
      </c>
    </row>
    <row r="783">
      <c r="A783" s="10" t="str">
        <f>IFERROR(__xludf.DUMMYFUNCTION("""COMPUTED_VALUE"""),"")</f>
        <v/>
      </c>
      <c r="B783" s="3" t="str">
        <f>IFERROR(__xludf.DUMMYFUNCTION("""COMPUTED_VALUE"""),"")</f>
        <v/>
      </c>
      <c r="C783" s="11" t="str">
        <f>IFERROR(__xludf.DUMMYFUNCTION("""COMPUTED_VALUE"""),"")</f>
        <v/>
      </c>
      <c r="D783" s="11" t="str">
        <f>IFERROR(__xludf.DUMMYFUNCTION("""COMPUTED_VALUE"""),"")</f>
        <v/>
      </c>
      <c r="E783" s="11" t="str">
        <f>IFERROR(__xludf.DUMMYFUNCTION("""COMPUTED_VALUE"""),"")</f>
        <v/>
      </c>
      <c r="F783" s="11" t="str">
        <f>IFERROR(__xludf.DUMMYFUNCTION("""COMPUTED_VALUE"""),"")</f>
        <v/>
      </c>
      <c r="G783" s="11" t="str">
        <f>IFERROR(__xludf.DUMMYFUNCTION("""COMPUTED_VALUE"""),"")</f>
        <v/>
      </c>
      <c r="H783" s="12" t="str">
        <f>IFERROR(__xludf.DUMMYFUNCTION("""COMPUTED_VALUE"""),"")</f>
        <v/>
      </c>
      <c r="I783" s="12" t="str">
        <f>IFERROR(__xludf.DUMMYFUNCTION("""COMPUTED_VALUE"""),"")</f>
        <v/>
      </c>
      <c r="J783" s="13" t="str">
        <f t="shared" si="1"/>
        <v/>
      </c>
      <c r="K783" s="12" t="str">
        <f>IFERROR(IF(A783="","",if($G783="",Reference!$J$2, VLOOKUP($G783,Reference!$I$2:$J$1000,2,false))),"")</f>
        <v/>
      </c>
      <c r="L783" s="12" t="str">
        <f>IF(A783="","", IF(F783="",Reference!$M$2,F783))</f>
        <v/>
      </c>
      <c r="M783" s="14" t="str">
        <f t="shared" si="2"/>
        <v/>
      </c>
      <c r="N783" s="15" t="str">
        <f t="shared" si="3"/>
        <v/>
      </c>
      <c r="O783" s="14" t="str">
        <f t="shared" si="4"/>
        <v/>
      </c>
      <c r="P783" s="16" t="str">
        <f t="array" ref="P783">IF($A783="","", IFERROR(INDEX('BM Data'!$N:$N,MATCH($J783&amp; "-" &amp; $N783,'BM Data'!$O:$O,0),1),""))</f>
        <v/>
      </c>
      <c r="Q783" s="16" t="str">
        <f t="array" ref="Q783">IF($A783="","", IFERROR(INDEX('BM Data'!$J:$J,MATCH($J783&amp; "-" &amp; $N783,'BM Data'!$O:$O,0),1),""))</f>
        <v/>
      </c>
    </row>
    <row r="784">
      <c r="A784" s="10" t="str">
        <f>IFERROR(__xludf.DUMMYFUNCTION("""COMPUTED_VALUE"""),"")</f>
        <v/>
      </c>
      <c r="B784" s="3" t="str">
        <f>IFERROR(__xludf.DUMMYFUNCTION("""COMPUTED_VALUE"""),"")</f>
        <v/>
      </c>
      <c r="C784" s="11" t="str">
        <f>IFERROR(__xludf.DUMMYFUNCTION("""COMPUTED_VALUE"""),"")</f>
        <v/>
      </c>
      <c r="D784" s="11" t="str">
        <f>IFERROR(__xludf.DUMMYFUNCTION("""COMPUTED_VALUE"""),"")</f>
        <v/>
      </c>
      <c r="E784" s="11" t="str">
        <f>IFERROR(__xludf.DUMMYFUNCTION("""COMPUTED_VALUE"""),"")</f>
        <v/>
      </c>
      <c r="F784" s="11" t="str">
        <f>IFERROR(__xludf.DUMMYFUNCTION("""COMPUTED_VALUE"""),"")</f>
        <v/>
      </c>
      <c r="G784" s="11" t="str">
        <f>IFERROR(__xludf.DUMMYFUNCTION("""COMPUTED_VALUE"""),"")</f>
        <v/>
      </c>
      <c r="H784" s="12" t="str">
        <f>IFERROR(__xludf.DUMMYFUNCTION("""COMPUTED_VALUE"""),"")</f>
        <v/>
      </c>
      <c r="I784" s="12" t="str">
        <f>IFERROR(__xludf.DUMMYFUNCTION("""COMPUTED_VALUE"""),"")</f>
        <v/>
      </c>
      <c r="J784" s="13" t="str">
        <f t="shared" si="1"/>
        <v/>
      </c>
      <c r="K784" s="12" t="str">
        <f>IFERROR(IF(A784="","",if($G784="",Reference!$J$2, VLOOKUP($G784,Reference!$I$2:$J$1000,2,false))),"")</f>
        <v/>
      </c>
      <c r="L784" s="12" t="str">
        <f>IF(A784="","", IF(F784="",Reference!$M$2,F784))</f>
        <v/>
      </c>
      <c r="M784" s="14" t="str">
        <f t="shared" si="2"/>
        <v/>
      </c>
      <c r="N784" s="15" t="str">
        <f t="shared" si="3"/>
        <v/>
      </c>
      <c r="O784" s="14" t="str">
        <f t="shared" si="4"/>
        <v/>
      </c>
      <c r="P784" s="16" t="str">
        <f t="array" ref="P784">IF($A784="","", IFERROR(INDEX('BM Data'!$N:$N,MATCH($J784&amp; "-" &amp; $N784,'BM Data'!$O:$O,0),1),""))</f>
        <v/>
      </c>
      <c r="Q784" s="16" t="str">
        <f t="array" ref="Q784">IF($A784="","", IFERROR(INDEX('BM Data'!$J:$J,MATCH($J784&amp; "-" &amp; $N784,'BM Data'!$O:$O,0),1),""))</f>
        <v/>
      </c>
    </row>
    <row r="785">
      <c r="A785" s="10" t="str">
        <f>IFERROR(__xludf.DUMMYFUNCTION("""COMPUTED_VALUE"""),"")</f>
        <v/>
      </c>
      <c r="B785" s="3" t="str">
        <f>IFERROR(__xludf.DUMMYFUNCTION("""COMPUTED_VALUE"""),"")</f>
        <v/>
      </c>
      <c r="C785" s="11" t="str">
        <f>IFERROR(__xludf.DUMMYFUNCTION("""COMPUTED_VALUE"""),"")</f>
        <v/>
      </c>
      <c r="D785" s="11" t="str">
        <f>IFERROR(__xludf.DUMMYFUNCTION("""COMPUTED_VALUE"""),"")</f>
        <v/>
      </c>
      <c r="E785" s="11" t="str">
        <f>IFERROR(__xludf.DUMMYFUNCTION("""COMPUTED_VALUE"""),"")</f>
        <v/>
      </c>
      <c r="F785" s="11" t="str">
        <f>IFERROR(__xludf.DUMMYFUNCTION("""COMPUTED_VALUE"""),"")</f>
        <v/>
      </c>
      <c r="G785" s="11" t="str">
        <f>IFERROR(__xludf.DUMMYFUNCTION("""COMPUTED_VALUE"""),"")</f>
        <v/>
      </c>
      <c r="H785" s="12" t="str">
        <f>IFERROR(__xludf.DUMMYFUNCTION("""COMPUTED_VALUE"""),"")</f>
        <v/>
      </c>
      <c r="I785" s="12" t="str">
        <f>IFERROR(__xludf.DUMMYFUNCTION("""COMPUTED_VALUE"""),"")</f>
        <v/>
      </c>
      <c r="J785" s="13" t="str">
        <f t="shared" si="1"/>
        <v/>
      </c>
      <c r="K785" s="12" t="str">
        <f>IFERROR(IF(A785="","",if($G785="",Reference!$J$2, VLOOKUP($G785,Reference!$I$2:$J$1000,2,false))),"")</f>
        <v/>
      </c>
      <c r="L785" s="12" t="str">
        <f>IF(A785="","", IF(F785="",Reference!$M$2,F785))</f>
        <v/>
      </c>
      <c r="M785" s="14" t="str">
        <f t="shared" si="2"/>
        <v/>
      </c>
      <c r="N785" s="15" t="str">
        <f t="shared" si="3"/>
        <v/>
      </c>
      <c r="O785" s="14" t="str">
        <f t="shared" si="4"/>
        <v/>
      </c>
      <c r="P785" s="16" t="str">
        <f t="array" ref="P785">IF($A785="","", IFERROR(INDEX('BM Data'!$N:$N,MATCH($J785&amp; "-" &amp; $N785,'BM Data'!$O:$O,0),1),""))</f>
        <v/>
      </c>
      <c r="Q785" s="16" t="str">
        <f t="array" ref="Q785">IF($A785="","", IFERROR(INDEX('BM Data'!$J:$J,MATCH($J785&amp; "-" &amp; $N785,'BM Data'!$O:$O,0),1),""))</f>
        <v/>
      </c>
    </row>
    <row r="786">
      <c r="A786" s="10" t="str">
        <f>IFERROR(__xludf.DUMMYFUNCTION("""COMPUTED_VALUE"""),"")</f>
        <v/>
      </c>
      <c r="B786" s="3" t="str">
        <f>IFERROR(__xludf.DUMMYFUNCTION("""COMPUTED_VALUE"""),"")</f>
        <v/>
      </c>
      <c r="C786" s="11" t="str">
        <f>IFERROR(__xludf.DUMMYFUNCTION("""COMPUTED_VALUE"""),"")</f>
        <v/>
      </c>
      <c r="D786" s="11" t="str">
        <f>IFERROR(__xludf.DUMMYFUNCTION("""COMPUTED_VALUE"""),"")</f>
        <v/>
      </c>
      <c r="E786" s="11" t="str">
        <f>IFERROR(__xludf.DUMMYFUNCTION("""COMPUTED_VALUE"""),"")</f>
        <v/>
      </c>
      <c r="F786" s="11" t="str">
        <f>IFERROR(__xludf.DUMMYFUNCTION("""COMPUTED_VALUE"""),"")</f>
        <v/>
      </c>
      <c r="G786" s="11" t="str">
        <f>IFERROR(__xludf.DUMMYFUNCTION("""COMPUTED_VALUE"""),"")</f>
        <v/>
      </c>
      <c r="H786" s="12" t="str">
        <f>IFERROR(__xludf.DUMMYFUNCTION("""COMPUTED_VALUE"""),"")</f>
        <v/>
      </c>
      <c r="I786" s="12" t="str">
        <f>IFERROR(__xludf.DUMMYFUNCTION("""COMPUTED_VALUE"""),"")</f>
        <v/>
      </c>
      <c r="J786" s="13" t="str">
        <f t="shared" si="1"/>
        <v/>
      </c>
      <c r="K786" s="12" t="str">
        <f>IFERROR(IF(A786="","",if($G786="",Reference!$J$2, VLOOKUP($G786,Reference!$I$2:$J$1000,2,false))),"")</f>
        <v/>
      </c>
      <c r="L786" s="12" t="str">
        <f>IF(A786="","", IF(F786="",Reference!$M$2,F786))</f>
        <v/>
      </c>
      <c r="M786" s="14" t="str">
        <f t="shared" si="2"/>
        <v/>
      </c>
      <c r="N786" s="15" t="str">
        <f t="shared" si="3"/>
        <v/>
      </c>
      <c r="O786" s="14" t="str">
        <f t="shared" si="4"/>
        <v/>
      </c>
      <c r="P786" s="16" t="str">
        <f t="array" ref="P786">IF($A786="","", IFERROR(INDEX('BM Data'!$N:$N,MATCH($J786&amp; "-" &amp; $N786,'BM Data'!$O:$O,0),1),""))</f>
        <v/>
      </c>
      <c r="Q786" s="16" t="str">
        <f t="array" ref="Q786">IF($A786="","", IFERROR(INDEX('BM Data'!$J:$J,MATCH($J786&amp; "-" &amp; $N786,'BM Data'!$O:$O,0),1),""))</f>
        <v/>
      </c>
    </row>
    <row r="787">
      <c r="A787" s="10" t="str">
        <f>IFERROR(__xludf.DUMMYFUNCTION("""COMPUTED_VALUE"""),"")</f>
        <v/>
      </c>
      <c r="B787" s="3" t="str">
        <f>IFERROR(__xludf.DUMMYFUNCTION("""COMPUTED_VALUE"""),"")</f>
        <v/>
      </c>
      <c r="C787" s="11" t="str">
        <f>IFERROR(__xludf.DUMMYFUNCTION("""COMPUTED_VALUE"""),"")</f>
        <v/>
      </c>
      <c r="D787" s="11" t="str">
        <f>IFERROR(__xludf.DUMMYFUNCTION("""COMPUTED_VALUE"""),"")</f>
        <v/>
      </c>
      <c r="E787" s="11" t="str">
        <f>IFERROR(__xludf.DUMMYFUNCTION("""COMPUTED_VALUE"""),"")</f>
        <v/>
      </c>
      <c r="F787" s="11" t="str">
        <f>IFERROR(__xludf.DUMMYFUNCTION("""COMPUTED_VALUE"""),"")</f>
        <v/>
      </c>
      <c r="G787" s="11" t="str">
        <f>IFERROR(__xludf.DUMMYFUNCTION("""COMPUTED_VALUE"""),"")</f>
        <v/>
      </c>
      <c r="H787" s="12" t="str">
        <f>IFERROR(__xludf.DUMMYFUNCTION("""COMPUTED_VALUE"""),"")</f>
        <v/>
      </c>
      <c r="I787" s="12" t="str">
        <f>IFERROR(__xludf.DUMMYFUNCTION("""COMPUTED_VALUE"""),"")</f>
        <v/>
      </c>
      <c r="J787" s="13" t="str">
        <f t="shared" si="1"/>
        <v/>
      </c>
      <c r="K787" s="12" t="str">
        <f>IFERROR(IF(A787="","",if($G787="",Reference!$J$2, VLOOKUP($G787,Reference!$I$2:$J$1000,2,false))),"")</f>
        <v/>
      </c>
      <c r="L787" s="12" t="str">
        <f>IF(A787="","", IF(F787="",Reference!$M$2,F787))</f>
        <v/>
      </c>
      <c r="M787" s="14" t="str">
        <f t="shared" si="2"/>
        <v/>
      </c>
      <c r="N787" s="15" t="str">
        <f t="shared" si="3"/>
        <v/>
      </c>
      <c r="O787" s="14" t="str">
        <f t="shared" si="4"/>
        <v/>
      </c>
      <c r="P787" s="16" t="str">
        <f t="array" ref="P787">IF($A787="","", IFERROR(INDEX('BM Data'!$N:$N,MATCH($J787&amp; "-" &amp; $N787,'BM Data'!$O:$O,0),1),""))</f>
        <v/>
      </c>
      <c r="Q787" s="16" t="str">
        <f t="array" ref="Q787">IF($A787="","", IFERROR(INDEX('BM Data'!$J:$J,MATCH($J787&amp; "-" &amp; $N787,'BM Data'!$O:$O,0),1),""))</f>
        <v/>
      </c>
    </row>
    <row r="788">
      <c r="A788" s="10" t="str">
        <f>IFERROR(__xludf.DUMMYFUNCTION("""COMPUTED_VALUE"""),"")</f>
        <v/>
      </c>
      <c r="B788" s="3" t="str">
        <f>IFERROR(__xludf.DUMMYFUNCTION("""COMPUTED_VALUE"""),"")</f>
        <v/>
      </c>
      <c r="C788" s="11" t="str">
        <f>IFERROR(__xludf.DUMMYFUNCTION("""COMPUTED_VALUE"""),"")</f>
        <v/>
      </c>
      <c r="D788" s="11" t="str">
        <f>IFERROR(__xludf.DUMMYFUNCTION("""COMPUTED_VALUE"""),"")</f>
        <v/>
      </c>
      <c r="E788" s="11" t="str">
        <f>IFERROR(__xludf.DUMMYFUNCTION("""COMPUTED_VALUE"""),"")</f>
        <v/>
      </c>
      <c r="F788" s="11" t="str">
        <f>IFERROR(__xludf.DUMMYFUNCTION("""COMPUTED_VALUE"""),"")</f>
        <v/>
      </c>
      <c r="G788" s="11" t="str">
        <f>IFERROR(__xludf.DUMMYFUNCTION("""COMPUTED_VALUE"""),"")</f>
        <v/>
      </c>
      <c r="H788" s="12" t="str">
        <f>IFERROR(__xludf.DUMMYFUNCTION("""COMPUTED_VALUE"""),"")</f>
        <v/>
      </c>
      <c r="I788" s="12" t="str">
        <f>IFERROR(__xludf.DUMMYFUNCTION("""COMPUTED_VALUE"""),"")</f>
        <v/>
      </c>
      <c r="J788" s="13" t="str">
        <f t="shared" si="1"/>
        <v/>
      </c>
      <c r="K788" s="12" t="str">
        <f>IFERROR(IF(A788="","",if($G788="",Reference!$J$2, VLOOKUP($G788,Reference!$I$2:$J$1000,2,false))),"")</f>
        <v/>
      </c>
      <c r="L788" s="12" t="str">
        <f>IF(A788="","", IF(F788="",Reference!$M$2,F788))</f>
        <v/>
      </c>
      <c r="M788" s="14" t="str">
        <f t="shared" si="2"/>
        <v/>
      </c>
      <c r="N788" s="15" t="str">
        <f t="shared" si="3"/>
        <v/>
      </c>
      <c r="O788" s="14" t="str">
        <f t="shared" si="4"/>
        <v/>
      </c>
      <c r="P788" s="16" t="str">
        <f t="array" ref="P788">IF($A788="","", IFERROR(INDEX('BM Data'!$N:$N,MATCH($J788&amp; "-" &amp; $N788,'BM Data'!$O:$O,0),1),""))</f>
        <v/>
      </c>
      <c r="Q788" s="16" t="str">
        <f t="array" ref="Q788">IF($A788="","", IFERROR(INDEX('BM Data'!$J:$J,MATCH($J788&amp; "-" &amp; $N788,'BM Data'!$O:$O,0),1),""))</f>
        <v/>
      </c>
    </row>
    <row r="789">
      <c r="A789" s="10" t="str">
        <f>IFERROR(__xludf.DUMMYFUNCTION("""COMPUTED_VALUE"""),"")</f>
        <v/>
      </c>
      <c r="B789" s="3" t="str">
        <f>IFERROR(__xludf.DUMMYFUNCTION("""COMPUTED_VALUE"""),"")</f>
        <v/>
      </c>
      <c r="C789" s="11" t="str">
        <f>IFERROR(__xludf.DUMMYFUNCTION("""COMPUTED_VALUE"""),"")</f>
        <v/>
      </c>
      <c r="D789" s="11" t="str">
        <f>IFERROR(__xludf.DUMMYFUNCTION("""COMPUTED_VALUE"""),"")</f>
        <v/>
      </c>
      <c r="E789" s="11" t="str">
        <f>IFERROR(__xludf.DUMMYFUNCTION("""COMPUTED_VALUE"""),"")</f>
        <v/>
      </c>
      <c r="F789" s="11" t="str">
        <f>IFERROR(__xludf.DUMMYFUNCTION("""COMPUTED_VALUE"""),"")</f>
        <v/>
      </c>
      <c r="G789" s="11" t="str">
        <f>IFERROR(__xludf.DUMMYFUNCTION("""COMPUTED_VALUE"""),"")</f>
        <v/>
      </c>
      <c r="H789" s="12" t="str">
        <f>IFERROR(__xludf.DUMMYFUNCTION("""COMPUTED_VALUE"""),"")</f>
        <v/>
      </c>
      <c r="I789" s="12" t="str">
        <f>IFERROR(__xludf.DUMMYFUNCTION("""COMPUTED_VALUE"""),"")</f>
        <v/>
      </c>
      <c r="J789" s="13" t="str">
        <f t="shared" si="1"/>
        <v/>
      </c>
      <c r="K789" s="12" t="str">
        <f>IFERROR(IF(A789="","",if($G789="",Reference!$J$2, VLOOKUP($G789,Reference!$I$2:$J$1000,2,false))),"")</f>
        <v/>
      </c>
      <c r="L789" s="12" t="str">
        <f>IF(A789="","", IF(F789="",Reference!$M$2,F789))</f>
        <v/>
      </c>
      <c r="M789" s="14" t="str">
        <f t="shared" si="2"/>
        <v/>
      </c>
      <c r="N789" s="15" t="str">
        <f t="shared" si="3"/>
        <v/>
      </c>
      <c r="O789" s="14" t="str">
        <f t="shared" si="4"/>
        <v/>
      </c>
      <c r="P789" s="16" t="str">
        <f t="array" ref="P789">IF($A789="","", IFERROR(INDEX('BM Data'!$N:$N,MATCH($J789&amp; "-" &amp; $N789,'BM Data'!$O:$O,0),1),""))</f>
        <v/>
      </c>
      <c r="Q789" s="16" t="str">
        <f t="array" ref="Q789">IF($A789="","", IFERROR(INDEX('BM Data'!$J:$J,MATCH($J789&amp; "-" &amp; $N789,'BM Data'!$O:$O,0),1),""))</f>
        <v/>
      </c>
    </row>
    <row r="790">
      <c r="A790" s="10" t="str">
        <f>IFERROR(__xludf.DUMMYFUNCTION("""COMPUTED_VALUE"""),"")</f>
        <v/>
      </c>
      <c r="B790" s="3" t="str">
        <f>IFERROR(__xludf.DUMMYFUNCTION("""COMPUTED_VALUE"""),"")</f>
        <v/>
      </c>
      <c r="C790" s="11" t="str">
        <f>IFERROR(__xludf.DUMMYFUNCTION("""COMPUTED_VALUE"""),"")</f>
        <v/>
      </c>
      <c r="D790" s="11" t="str">
        <f>IFERROR(__xludf.DUMMYFUNCTION("""COMPUTED_VALUE"""),"")</f>
        <v/>
      </c>
      <c r="E790" s="11" t="str">
        <f>IFERROR(__xludf.DUMMYFUNCTION("""COMPUTED_VALUE"""),"")</f>
        <v/>
      </c>
      <c r="F790" s="11" t="str">
        <f>IFERROR(__xludf.DUMMYFUNCTION("""COMPUTED_VALUE"""),"")</f>
        <v/>
      </c>
      <c r="G790" s="11" t="str">
        <f>IFERROR(__xludf.DUMMYFUNCTION("""COMPUTED_VALUE"""),"")</f>
        <v/>
      </c>
      <c r="H790" s="12" t="str">
        <f>IFERROR(__xludf.DUMMYFUNCTION("""COMPUTED_VALUE"""),"")</f>
        <v/>
      </c>
      <c r="I790" s="12" t="str">
        <f>IFERROR(__xludf.DUMMYFUNCTION("""COMPUTED_VALUE"""),"")</f>
        <v/>
      </c>
      <c r="J790" s="13" t="str">
        <f t="shared" si="1"/>
        <v/>
      </c>
      <c r="K790" s="12" t="str">
        <f>IFERROR(IF(A790="","",if($G790="",Reference!$J$2, VLOOKUP($G790,Reference!$I$2:$J$1000,2,false))),"")</f>
        <v/>
      </c>
      <c r="L790" s="12" t="str">
        <f>IF(A790="","", IF(F790="",Reference!$M$2,F790))</f>
        <v/>
      </c>
      <c r="M790" s="14" t="str">
        <f t="shared" si="2"/>
        <v/>
      </c>
      <c r="N790" s="15" t="str">
        <f t="shared" si="3"/>
        <v/>
      </c>
      <c r="O790" s="14" t="str">
        <f t="shared" si="4"/>
        <v/>
      </c>
      <c r="P790" s="16" t="str">
        <f t="array" ref="P790">IF($A790="","", IFERROR(INDEX('BM Data'!$N:$N,MATCH($J790&amp; "-" &amp; $N790,'BM Data'!$O:$O,0),1),""))</f>
        <v/>
      </c>
      <c r="Q790" s="16" t="str">
        <f t="array" ref="Q790">IF($A790="","", IFERROR(INDEX('BM Data'!$J:$J,MATCH($J790&amp; "-" &amp; $N790,'BM Data'!$O:$O,0),1),""))</f>
        <v/>
      </c>
    </row>
    <row r="791">
      <c r="A791" s="10" t="str">
        <f>IFERROR(__xludf.DUMMYFUNCTION("""COMPUTED_VALUE"""),"")</f>
        <v/>
      </c>
      <c r="B791" s="3" t="str">
        <f>IFERROR(__xludf.DUMMYFUNCTION("""COMPUTED_VALUE"""),"")</f>
        <v/>
      </c>
      <c r="C791" s="11" t="str">
        <f>IFERROR(__xludf.DUMMYFUNCTION("""COMPUTED_VALUE"""),"")</f>
        <v/>
      </c>
      <c r="D791" s="11" t="str">
        <f>IFERROR(__xludf.DUMMYFUNCTION("""COMPUTED_VALUE"""),"")</f>
        <v/>
      </c>
      <c r="E791" s="11" t="str">
        <f>IFERROR(__xludf.DUMMYFUNCTION("""COMPUTED_VALUE"""),"")</f>
        <v/>
      </c>
      <c r="F791" s="11" t="str">
        <f>IFERROR(__xludf.DUMMYFUNCTION("""COMPUTED_VALUE"""),"")</f>
        <v/>
      </c>
      <c r="G791" s="11" t="str">
        <f>IFERROR(__xludf.DUMMYFUNCTION("""COMPUTED_VALUE"""),"")</f>
        <v/>
      </c>
      <c r="H791" s="12" t="str">
        <f>IFERROR(__xludf.DUMMYFUNCTION("""COMPUTED_VALUE"""),"")</f>
        <v/>
      </c>
      <c r="I791" s="12" t="str">
        <f>IFERROR(__xludf.DUMMYFUNCTION("""COMPUTED_VALUE"""),"")</f>
        <v/>
      </c>
      <c r="J791" s="13" t="str">
        <f t="shared" si="1"/>
        <v/>
      </c>
      <c r="K791" s="12" t="str">
        <f>IFERROR(IF(A791="","",if($G791="",Reference!$J$2, VLOOKUP($G791,Reference!$I$2:$J$1000,2,false))),"")</f>
        <v/>
      </c>
      <c r="L791" s="12" t="str">
        <f>IF(A791="","", IF(F791="",Reference!$M$2,F791))</f>
        <v/>
      </c>
      <c r="M791" s="14" t="str">
        <f t="shared" si="2"/>
        <v/>
      </c>
      <c r="N791" s="15" t="str">
        <f t="shared" si="3"/>
        <v/>
      </c>
      <c r="O791" s="14" t="str">
        <f t="shared" si="4"/>
        <v/>
      </c>
      <c r="P791" s="16" t="str">
        <f t="array" ref="P791">IF($A791="","", IFERROR(INDEX('BM Data'!$N:$N,MATCH($J791&amp; "-" &amp; $N791,'BM Data'!$O:$O,0),1),""))</f>
        <v/>
      </c>
      <c r="Q791" s="16" t="str">
        <f t="array" ref="Q791">IF($A791="","", IFERROR(INDEX('BM Data'!$J:$J,MATCH($J791&amp; "-" &amp; $N791,'BM Data'!$O:$O,0),1),""))</f>
        <v/>
      </c>
    </row>
    <row r="792">
      <c r="A792" s="10" t="str">
        <f>IFERROR(__xludf.DUMMYFUNCTION("""COMPUTED_VALUE"""),"")</f>
        <v/>
      </c>
      <c r="B792" s="3" t="str">
        <f>IFERROR(__xludf.DUMMYFUNCTION("""COMPUTED_VALUE"""),"")</f>
        <v/>
      </c>
      <c r="C792" s="11" t="str">
        <f>IFERROR(__xludf.DUMMYFUNCTION("""COMPUTED_VALUE"""),"")</f>
        <v/>
      </c>
      <c r="D792" s="11" t="str">
        <f>IFERROR(__xludf.DUMMYFUNCTION("""COMPUTED_VALUE"""),"")</f>
        <v/>
      </c>
      <c r="E792" s="11" t="str">
        <f>IFERROR(__xludf.DUMMYFUNCTION("""COMPUTED_VALUE"""),"")</f>
        <v/>
      </c>
      <c r="F792" s="11" t="str">
        <f>IFERROR(__xludf.DUMMYFUNCTION("""COMPUTED_VALUE"""),"")</f>
        <v/>
      </c>
      <c r="G792" s="11" t="str">
        <f>IFERROR(__xludf.DUMMYFUNCTION("""COMPUTED_VALUE"""),"")</f>
        <v/>
      </c>
      <c r="H792" s="12" t="str">
        <f>IFERROR(__xludf.DUMMYFUNCTION("""COMPUTED_VALUE"""),"")</f>
        <v/>
      </c>
      <c r="I792" s="12" t="str">
        <f>IFERROR(__xludf.DUMMYFUNCTION("""COMPUTED_VALUE"""),"")</f>
        <v/>
      </c>
      <c r="J792" s="13" t="str">
        <f t="shared" si="1"/>
        <v/>
      </c>
      <c r="K792" s="12" t="str">
        <f>IFERROR(IF(A792="","",if($G792="",Reference!$J$2, VLOOKUP($G792,Reference!$I$2:$J$1000,2,false))),"")</f>
        <v/>
      </c>
      <c r="L792" s="12" t="str">
        <f>IF(A792="","", IF(F792="",Reference!$M$2,F792))</f>
        <v/>
      </c>
      <c r="M792" s="14" t="str">
        <f t="shared" si="2"/>
        <v/>
      </c>
      <c r="N792" s="15" t="str">
        <f t="shared" si="3"/>
        <v/>
      </c>
      <c r="O792" s="14" t="str">
        <f t="shared" si="4"/>
        <v/>
      </c>
      <c r="P792" s="16" t="str">
        <f t="array" ref="P792">IF($A792="","", IFERROR(INDEX('BM Data'!$N:$N,MATCH($J792&amp; "-" &amp; $N792,'BM Data'!$O:$O,0),1),""))</f>
        <v/>
      </c>
      <c r="Q792" s="16" t="str">
        <f t="array" ref="Q792">IF($A792="","", IFERROR(INDEX('BM Data'!$J:$J,MATCH($J792&amp; "-" &amp; $N792,'BM Data'!$O:$O,0),1),""))</f>
        <v/>
      </c>
    </row>
    <row r="793">
      <c r="A793" s="10" t="str">
        <f>IFERROR(__xludf.DUMMYFUNCTION("""COMPUTED_VALUE"""),"")</f>
        <v/>
      </c>
      <c r="B793" s="3" t="str">
        <f>IFERROR(__xludf.DUMMYFUNCTION("""COMPUTED_VALUE"""),"")</f>
        <v/>
      </c>
      <c r="C793" s="11" t="str">
        <f>IFERROR(__xludf.DUMMYFUNCTION("""COMPUTED_VALUE"""),"")</f>
        <v/>
      </c>
      <c r="D793" s="11" t="str">
        <f>IFERROR(__xludf.DUMMYFUNCTION("""COMPUTED_VALUE"""),"")</f>
        <v/>
      </c>
      <c r="E793" s="11" t="str">
        <f>IFERROR(__xludf.DUMMYFUNCTION("""COMPUTED_VALUE"""),"")</f>
        <v/>
      </c>
      <c r="F793" s="11" t="str">
        <f>IFERROR(__xludf.DUMMYFUNCTION("""COMPUTED_VALUE"""),"")</f>
        <v/>
      </c>
      <c r="G793" s="11" t="str">
        <f>IFERROR(__xludf.DUMMYFUNCTION("""COMPUTED_VALUE"""),"")</f>
        <v/>
      </c>
      <c r="H793" s="12" t="str">
        <f>IFERROR(__xludf.DUMMYFUNCTION("""COMPUTED_VALUE"""),"")</f>
        <v/>
      </c>
      <c r="I793" s="12" t="str">
        <f>IFERROR(__xludf.DUMMYFUNCTION("""COMPUTED_VALUE"""),"")</f>
        <v/>
      </c>
      <c r="J793" s="13" t="str">
        <f t="shared" si="1"/>
        <v/>
      </c>
      <c r="K793" s="12" t="str">
        <f>IFERROR(IF(A793="","",if($G793="",Reference!$J$2, VLOOKUP($G793,Reference!$I$2:$J$1000,2,false))),"")</f>
        <v/>
      </c>
      <c r="L793" s="12" t="str">
        <f>IF(A793="","", IF(F793="",Reference!$M$2,F793))</f>
        <v/>
      </c>
      <c r="M793" s="14" t="str">
        <f t="shared" si="2"/>
        <v/>
      </c>
      <c r="N793" s="15" t="str">
        <f t="shared" si="3"/>
        <v/>
      </c>
      <c r="O793" s="14" t="str">
        <f t="shared" si="4"/>
        <v/>
      </c>
      <c r="P793" s="16" t="str">
        <f t="array" ref="P793">IF($A793="","", IFERROR(INDEX('BM Data'!$N:$N,MATCH($J793&amp; "-" &amp; $N793,'BM Data'!$O:$O,0),1),""))</f>
        <v/>
      </c>
      <c r="Q793" s="16" t="str">
        <f t="array" ref="Q793">IF($A793="","", IFERROR(INDEX('BM Data'!$J:$J,MATCH($J793&amp; "-" &amp; $N793,'BM Data'!$O:$O,0),1),""))</f>
        <v/>
      </c>
    </row>
    <row r="794">
      <c r="A794" s="10" t="str">
        <f>IFERROR(__xludf.DUMMYFUNCTION("""COMPUTED_VALUE"""),"")</f>
        <v/>
      </c>
      <c r="B794" s="3" t="str">
        <f>IFERROR(__xludf.DUMMYFUNCTION("""COMPUTED_VALUE"""),"")</f>
        <v/>
      </c>
      <c r="C794" s="11" t="str">
        <f>IFERROR(__xludf.DUMMYFUNCTION("""COMPUTED_VALUE"""),"")</f>
        <v/>
      </c>
      <c r="D794" s="11" t="str">
        <f>IFERROR(__xludf.DUMMYFUNCTION("""COMPUTED_VALUE"""),"")</f>
        <v/>
      </c>
      <c r="E794" s="11" t="str">
        <f>IFERROR(__xludf.DUMMYFUNCTION("""COMPUTED_VALUE"""),"")</f>
        <v/>
      </c>
      <c r="F794" s="11" t="str">
        <f>IFERROR(__xludf.DUMMYFUNCTION("""COMPUTED_VALUE"""),"")</f>
        <v/>
      </c>
      <c r="G794" s="11" t="str">
        <f>IFERROR(__xludf.DUMMYFUNCTION("""COMPUTED_VALUE"""),"")</f>
        <v/>
      </c>
      <c r="H794" s="12" t="str">
        <f>IFERROR(__xludf.DUMMYFUNCTION("""COMPUTED_VALUE"""),"")</f>
        <v/>
      </c>
      <c r="I794" s="12" t="str">
        <f>IFERROR(__xludf.DUMMYFUNCTION("""COMPUTED_VALUE"""),"")</f>
        <v/>
      </c>
      <c r="J794" s="13" t="str">
        <f t="shared" si="1"/>
        <v/>
      </c>
      <c r="K794" s="12" t="str">
        <f>IFERROR(IF(A794="","",if($G794="",Reference!$J$2, VLOOKUP($G794,Reference!$I$2:$J$1000,2,false))),"")</f>
        <v/>
      </c>
      <c r="L794" s="12" t="str">
        <f>IF(A794="","", IF(F794="",Reference!$M$2,F794))</f>
        <v/>
      </c>
      <c r="M794" s="14" t="str">
        <f t="shared" si="2"/>
        <v/>
      </c>
      <c r="N794" s="15" t="str">
        <f t="shared" si="3"/>
        <v/>
      </c>
      <c r="O794" s="14" t="str">
        <f t="shared" si="4"/>
        <v/>
      </c>
      <c r="P794" s="16" t="str">
        <f t="array" ref="P794">IF($A794="","", IFERROR(INDEX('BM Data'!$N:$N,MATCH($J794&amp; "-" &amp; $N794,'BM Data'!$O:$O,0),1),""))</f>
        <v/>
      </c>
      <c r="Q794" s="16" t="str">
        <f t="array" ref="Q794">IF($A794="","", IFERROR(INDEX('BM Data'!$J:$J,MATCH($J794&amp; "-" &amp; $N794,'BM Data'!$O:$O,0),1),""))</f>
        <v/>
      </c>
    </row>
    <row r="795">
      <c r="A795" s="10" t="str">
        <f>IFERROR(__xludf.DUMMYFUNCTION("""COMPUTED_VALUE"""),"")</f>
        <v/>
      </c>
      <c r="B795" s="3" t="str">
        <f>IFERROR(__xludf.DUMMYFUNCTION("""COMPUTED_VALUE"""),"")</f>
        <v/>
      </c>
      <c r="C795" s="11" t="str">
        <f>IFERROR(__xludf.DUMMYFUNCTION("""COMPUTED_VALUE"""),"")</f>
        <v/>
      </c>
      <c r="D795" s="11" t="str">
        <f>IFERROR(__xludf.DUMMYFUNCTION("""COMPUTED_VALUE"""),"")</f>
        <v/>
      </c>
      <c r="E795" s="11" t="str">
        <f>IFERROR(__xludf.DUMMYFUNCTION("""COMPUTED_VALUE"""),"")</f>
        <v/>
      </c>
      <c r="F795" s="11" t="str">
        <f>IFERROR(__xludf.DUMMYFUNCTION("""COMPUTED_VALUE"""),"")</f>
        <v/>
      </c>
      <c r="G795" s="11" t="str">
        <f>IFERROR(__xludf.DUMMYFUNCTION("""COMPUTED_VALUE"""),"")</f>
        <v/>
      </c>
      <c r="H795" s="12" t="str">
        <f>IFERROR(__xludf.DUMMYFUNCTION("""COMPUTED_VALUE"""),"")</f>
        <v/>
      </c>
      <c r="I795" s="12" t="str">
        <f>IFERROR(__xludf.DUMMYFUNCTION("""COMPUTED_VALUE"""),"")</f>
        <v/>
      </c>
      <c r="J795" s="13" t="str">
        <f t="shared" si="1"/>
        <v/>
      </c>
      <c r="K795" s="12" t="str">
        <f>IFERROR(IF(A795="","",if($G795="",Reference!$J$2, VLOOKUP($G795,Reference!$I$2:$J$1000,2,false))),"")</f>
        <v/>
      </c>
      <c r="L795" s="12" t="str">
        <f>IF(A795="","", IF(F795="",Reference!$M$2,F795))</f>
        <v/>
      </c>
      <c r="M795" s="14" t="str">
        <f t="shared" si="2"/>
        <v/>
      </c>
      <c r="N795" s="15" t="str">
        <f t="shared" si="3"/>
        <v/>
      </c>
      <c r="O795" s="14" t="str">
        <f t="shared" si="4"/>
        <v/>
      </c>
      <c r="P795" s="16" t="str">
        <f t="array" ref="P795">IF($A795="","", IFERROR(INDEX('BM Data'!$N:$N,MATCH($J795&amp; "-" &amp; $N795,'BM Data'!$O:$O,0),1),""))</f>
        <v/>
      </c>
      <c r="Q795" s="16" t="str">
        <f t="array" ref="Q795">IF($A795="","", IFERROR(INDEX('BM Data'!$J:$J,MATCH($J795&amp; "-" &amp; $N795,'BM Data'!$O:$O,0),1),""))</f>
        <v/>
      </c>
    </row>
    <row r="796">
      <c r="A796" s="10" t="str">
        <f>IFERROR(__xludf.DUMMYFUNCTION("""COMPUTED_VALUE"""),"")</f>
        <v/>
      </c>
      <c r="B796" s="3" t="str">
        <f>IFERROR(__xludf.DUMMYFUNCTION("""COMPUTED_VALUE"""),"")</f>
        <v/>
      </c>
      <c r="C796" s="11" t="str">
        <f>IFERROR(__xludf.DUMMYFUNCTION("""COMPUTED_VALUE"""),"")</f>
        <v/>
      </c>
      <c r="D796" s="11" t="str">
        <f>IFERROR(__xludf.DUMMYFUNCTION("""COMPUTED_VALUE"""),"")</f>
        <v/>
      </c>
      <c r="E796" s="11" t="str">
        <f>IFERROR(__xludf.DUMMYFUNCTION("""COMPUTED_VALUE"""),"")</f>
        <v/>
      </c>
      <c r="F796" s="11" t="str">
        <f>IFERROR(__xludf.DUMMYFUNCTION("""COMPUTED_VALUE"""),"")</f>
        <v/>
      </c>
      <c r="G796" s="11" t="str">
        <f>IFERROR(__xludf.DUMMYFUNCTION("""COMPUTED_VALUE"""),"")</f>
        <v/>
      </c>
      <c r="H796" s="12" t="str">
        <f>IFERROR(__xludf.DUMMYFUNCTION("""COMPUTED_VALUE"""),"")</f>
        <v/>
      </c>
      <c r="I796" s="12" t="str">
        <f>IFERROR(__xludf.DUMMYFUNCTION("""COMPUTED_VALUE"""),"")</f>
        <v/>
      </c>
      <c r="J796" s="13" t="str">
        <f t="shared" si="1"/>
        <v/>
      </c>
      <c r="K796" s="12" t="str">
        <f>IFERROR(IF(A796="","",if($G796="",Reference!$J$2, VLOOKUP($G796,Reference!$I$2:$J$1000,2,false))),"")</f>
        <v/>
      </c>
      <c r="L796" s="12" t="str">
        <f>IF(A796="","", IF(F796="",Reference!$M$2,F796))</f>
        <v/>
      </c>
      <c r="M796" s="14" t="str">
        <f t="shared" si="2"/>
        <v/>
      </c>
      <c r="N796" s="15" t="str">
        <f t="shared" si="3"/>
        <v/>
      </c>
      <c r="O796" s="14" t="str">
        <f t="shared" si="4"/>
        <v/>
      </c>
      <c r="P796" s="16" t="str">
        <f t="array" ref="P796">IF($A796="","", IFERROR(INDEX('BM Data'!$N:$N,MATCH($J796&amp; "-" &amp; $N796,'BM Data'!$O:$O,0),1),""))</f>
        <v/>
      </c>
      <c r="Q796" s="16" t="str">
        <f t="array" ref="Q796">IF($A796="","", IFERROR(INDEX('BM Data'!$J:$J,MATCH($J796&amp; "-" &amp; $N796,'BM Data'!$O:$O,0),1),""))</f>
        <v/>
      </c>
    </row>
    <row r="797">
      <c r="A797" s="10" t="str">
        <f>IFERROR(__xludf.DUMMYFUNCTION("""COMPUTED_VALUE"""),"")</f>
        <v/>
      </c>
      <c r="B797" s="3" t="str">
        <f>IFERROR(__xludf.DUMMYFUNCTION("""COMPUTED_VALUE"""),"")</f>
        <v/>
      </c>
      <c r="C797" s="11" t="str">
        <f>IFERROR(__xludf.DUMMYFUNCTION("""COMPUTED_VALUE"""),"")</f>
        <v/>
      </c>
      <c r="D797" s="11" t="str">
        <f>IFERROR(__xludf.DUMMYFUNCTION("""COMPUTED_VALUE"""),"")</f>
        <v/>
      </c>
      <c r="E797" s="11" t="str">
        <f>IFERROR(__xludf.DUMMYFUNCTION("""COMPUTED_VALUE"""),"")</f>
        <v/>
      </c>
      <c r="F797" s="11" t="str">
        <f>IFERROR(__xludf.DUMMYFUNCTION("""COMPUTED_VALUE"""),"")</f>
        <v/>
      </c>
      <c r="G797" s="11" t="str">
        <f>IFERROR(__xludf.DUMMYFUNCTION("""COMPUTED_VALUE"""),"")</f>
        <v/>
      </c>
      <c r="H797" s="12" t="str">
        <f>IFERROR(__xludf.DUMMYFUNCTION("""COMPUTED_VALUE"""),"")</f>
        <v/>
      </c>
      <c r="I797" s="12" t="str">
        <f>IFERROR(__xludf.DUMMYFUNCTION("""COMPUTED_VALUE"""),"")</f>
        <v/>
      </c>
      <c r="J797" s="13" t="str">
        <f t="shared" si="1"/>
        <v/>
      </c>
      <c r="K797" s="12" t="str">
        <f>IFERROR(IF(A797="","",if($G797="",Reference!$J$2, VLOOKUP($G797,Reference!$I$2:$J$1000,2,false))),"")</f>
        <v/>
      </c>
      <c r="L797" s="12" t="str">
        <f>IF(A797="","", IF(F797="",Reference!$M$2,F797))</f>
        <v/>
      </c>
      <c r="M797" s="14" t="str">
        <f t="shared" si="2"/>
        <v/>
      </c>
      <c r="N797" s="15" t="str">
        <f t="shared" si="3"/>
        <v/>
      </c>
      <c r="O797" s="14" t="str">
        <f t="shared" si="4"/>
        <v/>
      </c>
      <c r="P797" s="16" t="str">
        <f t="array" ref="P797">IF($A797="","", IFERROR(INDEX('BM Data'!$N:$N,MATCH($J797&amp; "-" &amp; $N797,'BM Data'!$O:$O,0),1),""))</f>
        <v/>
      </c>
      <c r="Q797" s="16" t="str">
        <f t="array" ref="Q797">IF($A797="","", IFERROR(INDEX('BM Data'!$J:$J,MATCH($J797&amp; "-" &amp; $N797,'BM Data'!$O:$O,0),1),""))</f>
        <v/>
      </c>
    </row>
    <row r="798">
      <c r="A798" s="10" t="str">
        <f>IFERROR(__xludf.DUMMYFUNCTION("""COMPUTED_VALUE"""),"")</f>
        <v/>
      </c>
      <c r="B798" s="3" t="str">
        <f>IFERROR(__xludf.DUMMYFUNCTION("""COMPUTED_VALUE"""),"")</f>
        <v/>
      </c>
      <c r="C798" s="11" t="str">
        <f>IFERROR(__xludf.DUMMYFUNCTION("""COMPUTED_VALUE"""),"")</f>
        <v/>
      </c>
      <c r="D798" s="11" t="str">
        <f>IFERROR(__xludf.DUMMYFUNCTION("""COMPUTED_VALUE"""),"")</f>
        <v/>
      </c>
      <c r="E798" s="11" t="str">
        <f>IFERROR(__xludf.DUMMYFUNCTION("""COMPUTED_VALUE"""),"")</f>
        <v/>
      </c>
      <c r="F798" s="11" t="str">
        <f>IFERROR(__xludf.DUMMYFUNCTION("""COMPUTED_VALUE"""),"")</f>
        <v/>
      </c>
      <c r="G798" s="11" t="str">
        <f>IFERROR(__xludf.DUMMYFUNCTION("""COMPUTED_VALUE"""),"")</f>
        <v/>
      </c>
      <c r="H798" s="12" t="str">
        <f>IFERROR(__xludf.DUMMYFUNCTION("""COMPUTED_VALUE"""),"")</f>
        <v/>
      </c>
      <c r="I798" s="12" t="str">
        <f>IFERROR(__xludf.DUMMYFUNCTION("""COMPUTED_VALUE"""),"")</f>
        <v/>
      </c>
      <c r="J798" s="13" t="str">
        <f t="shared" si="1"/>
        <v/>
      </c>
      <c r="K798" s="12" t="str">
        <f>IFERROR(IF(A798="","",if($G798="",Reference!$J$2, VLOOKUP($G798,Reference!$I$2:$J$1000,2,false))),"")</f>
        <v/>
      </c>
      <c r="L798" s="12" t="str">
        <f>IF(A798="","", IF(F798="",Reference!$M$2,F798))</f>
        <v/>
      </c>
      <c r="M798" s="14" t="str">
        <f t="shared" si="2"/>
        <v/>
      </c>
      <c r="N798" s="15" t="str">
        <f t="shared" si="3"/>
        <v/>
      </c>
      <c r="O798" s="14" t="str">
        <f t="shared" si="4"/>
        <v/>
      </c>
      <c r="P798" s="16" t="str">
        <f t="array" ref="P798">IF($A798="","", IFERROR(INDEX('BM Data'!$N:$N,MATCH($J798&amp; "-" &amp; $N798,'BM Data'!$O:$O,0),1),""))</f>
        <v/>
      </c>
      <c r="Q798" s="16" t="str">
        <f t="array" ref="Q798">IF($A798="","", IFERROR(INDEX('BM Data'!$J:$J,MATCH($J798&amp; "-" &amp; $N798,'BM Data'!$O:$O,0),1),""))</f>
        <v/>
      </c>
    </row>
    <row r="799">
      <c r="A799" s="10" t="str">
        <f>IFERROR(__xludf.DUMMYFUNCTION("""COMPUTED_VALUE"""),"")</f>
        <v/>
      </c>
      <c r="B799" s="3" t="str">
        <f>IFERROR(__xludf.DUMMYFUNCTION("""COMPUTED_VALUE"""),"")</f>
        <v/>
      </c>
      <c r="C799" s="11" t="str">
        <f>IFERROR(__xludf.DUMMYFUNCTION("""COMPUTED_VALUE"""),"")</f>
        <v/>
      </c>
      <c r="D799" s="11" t="str">
        <f>IFERROR(__xludf.DUMMYFUNCTION("""COMPUTED_VALUE"""),"")</f>
        <v/>
      </c>
      <c r="E799" s="11" t="str">
        <f>IFERROR(__xludf.DUMMYFUNCTION("""COMPUTED_VALUE"""),"")</f>
        <v/>
      </c>
      <c r="F799" s="11" t="str">
        <f>IFERROR(__xludf.DUMMYFUNCTION("""COMPUTED_VALUE"""),"")</f>
        <v/>
      </c>
      <c r="G799" s="11" t="str">
        <f>IFERROR(__xludf.DUMMYFUNCTION("""COMPUTED_VALUE"""),"")</f>
        <v/>
      </c>
      <c r="H799" s="12" t="str">
        <f>IFERROR(__xludf.DUMMYFUNCTION("""COMPUTED_VALUE"""),"")</f>
        <v/>
      </c>
      <c r="I799" s="12" t="str">
        <f>IFERROR(__xludf.DUMMYFUNCTION("""COMPUTED_VALUE"""),"")</f>
        <v/>
      </c>
      <c r="J799" s="13" t="str">
        <f t="shared" si="1"/>
        <v/>
      </c>
      <c r="K799" s="12" t="str">
        <f>IFERROR(IF(A799="","",if($G799="",Reference!$J$2, VLOOKUP($G799,Reference!$I$2:$J$1000,2,false))),"")</f>
        <v/>
      </c>
      <c r="L799" s="12" t="str">
        <f>IF(A799="","", IF(F799="",Reference!$M$2,F799))</f>
        <v/>
      </c>
      <c r="M799" s="14" t="str">
        <f t="shared" si="2"/>
        <v/>
      </c>
      <c r="N799" s="15" t="str">
        <f t="shared" si="3"/>
        <v/>
      </c>
      <c r="O799" s="14" t="str">
        <f t="shared" si="4"/>
        <v/>
      </c>
      <c r="P799" s="16" t="str">
        <f t="array" ref="P799">IF($A799="","", IFERROR(INDEX('BM Data'!$N:$N,MATCH($J799&amp; "-" &amp; $N799,'BM Data'!$O:$O,0),1),""))</f>
        <v/>
      </c>
      <c r="Q799" s="16" t="str">
        <f t="array" ref="Q799">IF($A799="","", IFERROR(INDEX('BM Data'!$J:$J,MATCH($J799&amp; "-" &amp; $N799,'BM Data'!$O:$O,0),1),""))</f>
        <v/>
      </c>
    </row>
    <row r="800">
      <c r="A800" s="10" t="str">
        <f>IFERROR(__xludf.DUMMYFUNCTION("""COMPUTED_VALUE"""),"")</f>
        <v/>
      </c>
      <c r="B800" s="3" t="str">
        <f>IFERROR(__xludf.DUMMYFUNCTION("""COMPUTED_VALUE"""),"")</f>
        <v/>
      </c>
      <c r="C800" s="11" t="str">
        <f>IFERROR(__xludf.DUMMYFUNCTION("""COMPUTED_VALUE"""),"")</f>
        <v/>
      </c>
      <c r="D800" s="11" t="str">
        <f>IFERROR(__xludf.DUMMYFUNCTION("""COMPUTED_VALUE"""),"")</f>
        <v/>
      </c>
      <c r="E800" s="11" t="str">
        <f>IFERROR(__xludf.DUMMYFUNCTION("""COMPUTED_VALUE"""),"")</f>
        <v/>
      </c>
      <c r="F800" s="11" t="str">
        <f>IFERROR(__xludf.DUMMYFUNCTION("""COMPUTED_VALUE"""),"")</f>
        <v/>
      </c>
      <c r="G800" s="11" t="str">
        <f>IFERROR(__xludf.DUMMYFUNCTION("""COMPUTED_VALUE"""),"")</f>
        <v/>
      </c>
      <c r="H800" s="12" t="str">
        <f>IFERROR(__xludf.DUMMYFUNCTION("""COMPUTED_VALUE"""),"")</f>
        <v/>
      </c>
      <c r="I800" s="12" t="str">
        <f>IFERROR(__xludf.DUMMYFUNCTION("""COMPUTED_VALUE"""),"")</f>
        <v/>
      </c>
      <c r="J800" s="13" t="str">
        <f t="shared" si="1"/>
        <v/>
      </c>
      <c r="K800" s="12" t="str">
        <f>IFERROR(IF(A800="","",if($G800="",Reference!$J$2, VLOOKUP($G800,Reference!$I$2:$J$1000,2,false))),"")</f>
        <v/>
      </c>
      <c r="L800" s="12" t="str">
        <f>IF(A800="","", IF(F800="",Reference!$M$2,F800))</f>
        <v/>
      </c>
      <c r="M800" s="14" t="str">
        <f t="shared" si="2"/>
        <v/>
      </c>
      <c r="N800" s="15" t="str">
        <f t="shared" si="3"/>
        <v/>
      </c>
      <c r="O800" s="14" t="str">
        <f t="shared" si="4"/>
        <v/>
      </c>
      <c r="P800" s="16" t="str">
        <f t="array" ref="P800">IF($A800="","", IFERROR(INDEX('BM Data'!$N:$N,MATCH($J800&amp; "-" &amp; $N800,'BM Data'!$O:$O,0),1),""))</f>
        <v/>
      </c>
      <c r="Q800" s="16" t="str">
        <f t="array" ref="Q800">IF($A800="","", IFERROR(INDEX('BM Data'!$J:$J,MATCH($J800&amp; "-" &amp; $N800,'BM Data'!$O:$O,0),1),""))</f>
        <v/>
      </c>
    </row>
    <row r="801">
      <c r="A801" s="10" t="str">
        <f>IFERROR(__xludf.DUMMYFUNCTION("""COMPUTED_VALUE"""),"")</f>
        <v/>
      </c>
      <c r="B801" s="3" t="str">
        <f>IFERROR(__xludf.DUMMYFUNCTION("""COMPUTED_VALUE"""),"")</f>
        <v/>
      </c>
      <c r="C801" s="11" t="str">
        <f>IFERROR(__xludf.DUMMYFUNCTION("""COMPUTED_VALUE"""),"")</f>
        <v/>
      </c>
      <c r="D801" s="11" t="str">
        <f>IFERROR(__xludf.DUMMYFUNCTION("""COMPUTED_VALUE"""),"")</f>
        <v/>
      </c>
      <c r="E801" s="11" t="str">
        <f>IFERROR(__xludf.DUMMYFUNCTION("""COMPUTED_VALUE"""),"")</f>
        <v/>
      </c>
      <c r="F801" s="11" t="str">
        <f>IFERROR(__xludf.DUMMYFUNCTION("""COMPUTED_VALUE"""),"")</f>
        <v/>
      </c>
      <c r="G801" s="11" t="str">
        <f>IFERROR(__xludf.DUMMYFUNCTION("""COMPUTED_VALUE"""),"")</f>
        <v/>
      </c>
      <c r="H801" s="12" t="str">
        <f>IFERROR(__xludf.DUMMYFUNCTION("""COMPUTED_VALUE"""),"")</f>
        <v/>
      </c>
      <c r="I801" s="12" t="str">
        <f>IFERROR(__xludf.DUMMYFUNCTION("""COMPUTED_VALUE"""),"")</f>
        <v/>
      </c>
      <c r="J801" s="13" t="str">
        <f t="shared" si="1"/>
        <v/>
      </c>
      <c r="K801" s="12" t="str">
        <f>IFERROR(IF(A801="","",if($G801="",Reference!$J$2, VLOOKUP($G801,Reference!$I$2:$J$1000,2,false))),"")</f>
        <v/>
      </c>
      <c r="L801" s="12" t="str">
        <f>IF(A801="","", IF(F801="",Reference!$M$2,F801))</f>
        <v/>
      </c>
      <c r="M801" s="14" t="str">
        <f t="shared" si="2"/>
        <v/>
      </c>
      <c r="N801" s="15" t="str">
        <f t="shared" si="3"/>
        <v/>
      </c>
      <c r="O801" s="14" t="str">
        <f t="shared" si="4"/>
        <v/>
      </c>
      <c r="P801" s="16" t="str">
        <f t="array" ref="P801">IF($A801="","", IFERROR(INDEX('BM Data'!$N:$N,MATCH($J801&amp; "-" &amp; $N801,'BM Data'!$O:$O,0),1),""))</f>
        <v/>
      </c>
      <c r="Q801" s="16" t="str">
        <f t="array" ref="Q801">IF($A801="","", IFERROR(INDEX('BM Data'!$J:$J,MATCH($J801&amp; "-" &amp; $N801,'BM Data'!$O:$O,0),1),""))</f>
        <v/>
      </c>
    </row>
    <row r="802">
      <c r="A802" s="10" t="str">
        <f>IFERROR(__xludf.DUMMYFUNCTION("""COMPUTED_VALUE"""),"")</f>
        <v/>
      </c>
      <c r="B802" s="3" t="str">
        <f>IFERROR(__xludf.DUMMYFUNCTION("""COMPUTED_VALUE"""),"")</f>
        <v/>
      </c>
      <c r="C802" s="11" t="str">
        <f>IFERROR(__xludf.DUMMYFUNCTION("""COMPUTED_VALUE"""),"")</f>
        <v/>
      </c>
      <c r="D802" s="11" t="str">
        <f>IFERROR(__xludf.DUMMYFUNCTION("""COMPUTED_VALUE"""),"")</f>
        <v/>
      </c>
      <c r="E802" s="11" t="str">
        <f>IFERROR(__xludf.DUMMYFUNCTION("""COMPUTED_VALUE"""),"")</f>
        <v/>
      </c>
      <c r="F802" s="11" t="str">
        <f>IFERROR(__xludf.DUMMYFUNCTION("""COMPUTED_VALUE"""),"")</f>
        <v/>
      </c>
      <c r="G802" s="11" t="str">
        <f>IFERROR(__xludf.DUMMYFUNCTION("""COMPUTED_VALUE"""),"")</f>
        <v/>
      </c>
      <c r="H802" s="12" t="str">
        <f>IFERROR(__xludf.DUMMYFUNCTION("""COMPUTED_VALUE"""),"")</f>
        <v/>
      </c>
      <c r="I802" s="12" t="str">
        <f>IFERROR(__xludf.DUMMYFUNCTION("""COMPUTED_VALUE"""),"")</f>
        <v/>
      </c>
      <c r="J802" s="13" t="str">
        <f t="shared" si="1"/>
        <v/>
      </c>
      <c r="K802" s="12" t="str">
        <f>IFERROR(IF(A802="","",if($G802="",Reference!$J$2, VLOOKUP($G802,Reference!$I$2:$J$1000,2,false))),"")</f>
        <v/>
      </c>
      <c r="L802" s="12" t="str">
        <f>IF(A802="","", IF(F802="",Reference!$M$2,F802))</f>
        <v/>
      </c>
      <c r="M802" s="14" t="str">
        <f t="shared" si="2"/>
        <v/>
      </c>
      <c r="N802" s="15" t="str">
        <f t="shared" si="3"/>
        <v/>
      </c>
      <c r="O802" s="14" t="str">
        <f t="shared" si="4"/>
        <v/>
      </c>
      <c r="P802" s="16" t="str">
        <f t="array" ref="P802">IF($A802="","", IFERROR(INDEX('BM Data'!$N:$N,MATCH($J802&amp; "-" &amp; $N802,'BM Data'!$O:$O,0),1),""))</f>
        <v/>
      </c>
      <c r="Q802" s="16" t="str">
        <f t="array" ref="Q802">IF($A802="","", IFERROR(INDEX('BM Data'!$J:$J,MATCH($J802&amp; "-" &amp; $N802,'BM Data'!$O:$O,0),1),""))</f>
        <v/>
      </c>
    </row>
    <row r="803">
      <c r="A803" s="10" t="str">
        <f>IFERROR(__xludf.DUMMYFUNCTION("""COMPUTED_VALUE"""),"")</f>
        <v/>
      </c>
      <c r="B803" s="3" t="str">
        <f>IFERROR(__xludf.DUMMYFUNCTION("""COMPUTED_VALUE"""),"")</f>
        <v/>
      </c>
      <c r="C803" s="11" t="str">
        <f>IFERROR(__xludf.DUMMYFUNCTION("""COMPUTED_VALUE"""),"")</f>
        <v/>
      </c>
      <c r="D803" s="11" t="str">
        <f>IFERROR(__xludf.DUMMYFUNCTION("""COMPUTED_VALUE"""),"")</f>
        <v/>
      </c>
      <c r="E803" s="11" t="str">
        <f>IFERROR(__xludf.DUMMYFUNCTION("""COMPUTED_VALUE"""),"")</f>
        <v/>
      </c>
      <c r="F803" s="11" t="str">
        <f>IFERROR(__xludf.DUMMYFUNCTION("""COMPUTED_VALUE"""),"")</f>
        <v/>
      </c>
      <c r="G803" s="11" t="str">
        <f>IFERROR(__xludf.DUMMYFUNCTION("""COMPUTED_VALUE"""),"")</f>
        <v/>
      </c>
      <c r="H803" s="12" t="str">
        <f>IFERROR(__xludf.DUMMYFUNCTION("""COMPUTED_VALUE"""),"")</f>
        <v/>
      </c>
      <c r="I803" s="12" t="str">
        <f>IFERROR(__xludf.DUMMYFUNCTION("""COMPUTED_VALUE"""),"")</f>
        <v/>
      </c>
      <c r="J803" s="13" t="str">
        <f t="shared" si="1"/>
        <v/>
      </c>
      <c r="K803" s="12" t="str">
        <f>IFERROR(IF(A803="","",if($G803="",Reference!$J$2, VLOOKUP($G803,Reference!$I$2:$J$1000,2,false))),"")</f>
        <v/>
      </c>
      <c r="L803" s="12" t="str">
        <f>IF(A803="","", IF(F803="",Reference!$M$2,F803))</f>
        <v/>
      </c>
      <c r="M803" s="14" t="str">
        <f t="shared" si="2"/>
        <v/>
      </c>
      <c r="N803" s="15" t="str">
        <f t="shared" si="3"/>
        <v/>
      </c>
      <c r="O803" s="14" t="str">
        <f t="shared" si="4"/>
        <v/>
      </c>
      <c r="P803" s="16" t="str">
        <f t="array" ref="P803">IF($A803="","", IFERROR(INDEX('BM Data'!$N:$N,MATCH($J803&amp; "-" &amp; $N803,'BM Data'!$O:$O,0),1),""))</f>
        <v/>
      </c>
      <c r="Q803" s="16" t="str">
        <f t="array" ref="Q803">IF($A803="","", IFERROR(INDEX('BM Data'!$J:$J,MATCH($J803&amp; "-" &amp; $N803,'BM Data'!$O:$O,0),1),""))</f>
        <v/>
      </c>
    </row>
    <row r="804">
      <c r="A804" s="10" t="str">
        <f>IFERROR(__xludf.DUMMYFUNCTION("""COMPUTED_VALUE"""),"")</f>
        <v/>
      </c>
      <c r="B804" s="3" t="str">
        <f>IFERROR(__xludf.DUMMYFUNCTION("""COMPUTED_VALUE"""),"")</f>
        <v/>
      </c>
      <c r="C804" s="11" t="str">
        <f>IFERROR(__xludf.DUMMYFUNCTION("""COMPUTED_VALUE"""),"")</f>
        <v/>
      </c>
      <c r="D804" s="11" t="str">
        <f>IFERROR(__xludf.DUMMYFUNCTION("""COMPUTED_VALUE"""),"")</f>
        <v/>
      </c>
      <c r="E804" s="11" t="str">
        <f>IFERROR(__xludf.DUMMYFUNCTION("""COMPUTED_VALUE"""),"")</f>
        <v/>
      </c>
      <c r="F804" s="11" t="str">
        <f>IFERROR(__xludf.DUMMYFUNCTION("""COMPUTED_VALUE"""),"")</f>
        <v/>
      </c>
      <c r="G804" s="11" t="str">
        <f>IFERROR(__xludf.DUMMYFUNCTION("""COMPUTED_VALUE"""),"")</f>
        <v/>
      </c>
      <c r="H804" s="12" t="str">
        <f>IFERROR(__xludf.DUMMYFUNCTION("""COMPUTED_VALUE"""),"")</f>
        <v/>
      </c>
      <c r="I804" s="12" t="str">
        <f>IFERROR(__xludf.DUMMYFUNCTION("""COMPUTED_VALUE"""),"")</f>
        <v/>
      </c>
      <c r="J804" s="13" t="str">
        <f t="shared" si="1"/>
        <v/>
      </c>
      <c r="K804" s="12" t="str">
        <f>IFERROR(IF(A804="","",if($G804="",Reference!$J$2, VLOOKUP($G804,Reference!$I$2:$J$1000,2,false))),"")</f>
        <v/>
      </c>
      <c r="L804" s="12" t="str">
        <f>IF(A804="","", IF(F804="",Reference!$M$2,F804))</f>
        <v/>
      </c>
      <c r="M804" s="14" t="str">
        <f t="shared" si="2"/>
        <v/>
      </c>
      <c r="N804" s="15" t="str">
        <f t="shared" si="3"/>
        <v/>
      </c>
      <c r="O804" s="14" t="str">
        <f t="shared" si="4"/>
        <v/>
      </c>
      <c r="P804" s="16" t="str">
        <f t="array" ref="P804">IF($A804="","", IFERROR(INDEX('BM Data'!$N:$N,MATCH($J804&amp; "-" &amp; $N804,'BM Data'!$O:$O,0),1),""))</f>
        <v/>
      </c>
      <c r="Q804" s="16" t="str">
        <f t="array" ref="Q804">IF($A804="","", IFERROR(INDEX('BM Data'!$J:$J,MATCH($J804&amp; "-" &amp; $N804,'BM Data'!$O:$O,0),1),""))</f>
        <v/>
      </c>
    </row>
    <row r="805">
      <c r="A805" s="10" t="str">
        <f>IFERROR(__xludf.DUMMYFUNCTION("""COMPUTED_VALUE"""),"")</f>
        <v/>
      </c>
      <c r="B805" s="3" t="str">
        <f>IFERROR(__xludf.DUMMYFUNCTION("""COMPUTED_VALUE"""),"")</f>
        <v/>
      </c>
      <c r="C805" s="11" t="str">
        <f>IFERROR(__xludf.DUMMYFUNCTION("""COMPUTED_VALUE"""),"")</f>
        <v/>
      </c>
      <c r="D805" s="11" t="str">
        <f>IFERROR(__xludf.DUMMYFUNCTION("""COMPUTED_VALUE"""),"")</f>
        <v/>
      </c>
      <c r="E805" s="11" t="str">
        <f>IFERROR(__xludf.DUMMYFUNCTION("""COMPUTED_VALUE"""),"")</f>
        <v/>
      </c>
      <c r="F805" s="11" t="str">
        <f>IFERROR(__xludf.DUMMYFUNCTION("""COMPUTED_VALUE"""),"")</f>
        <v/>
      </c>
      <c r="G805" s="11" t="str">
        <f>IFERROR(__xludf.DUMMYFUNCTION("""COMPUTED_VALUE"""),"")</f>
        <v/>
      </c>
      <c r="H805" s="12" t="str">
        <f>IFERROR(__xludf.DUMMYFUNCTION("""COMPUTED_VALUE"""),"")</f>
        <v/>
      </c>
      <c r="I805" s="12" t="str">
        <f>IFERROR(__xludf.DUMMYFUNCTION("""COMPUTED_VALUE"""),"")</f>
        <v/>
      </c>
      <c r="J805" s="13" t="str">
        <f t="shared" si="1"/>
        <v/>
      </c>
      <c r="K805" s="12" t="str">
        <f>IFERROR(IF(A805="","",if($G805="",Reference!$J$2, VLOOKUP($G805,Reference!$I$2:$J$1000,2,false))),"")</f>
        <v/>
      </c>
      <c r="L805" s="12" t="str">
        <f>IF(A805="","", IF(F805="",Reference!$M$2,F805))</f>
        <v/>
      </c>
      <c r="M805" s="14" t="str">
        <f t="shared" si="2"/>
        <v/>
      </c>
      <c r="N805" s="15" t="str">
        <f t="shared" si="3"/>
        <v/>
      </c>
      <c r="O805" s="14" t="str">
        <f t="shared" si="4"/>
        <v/>
      </c>
      <c r="P805" s="16" t="str">
        <f t="array" ref="P805">IF($A805="","", IFERROR(INDEX('BM Data'!$N:$N,MATCH($J805&amp; "-" &amp; $N805,'BM Data'!$O:$O,0),1),""))</f>
        <v/>
      </c>
      <c r="Q805" s="16" t="str">
        <f t="array" ref="Q805">IF($A805="","", IFERROR(INDEX('BM Data'!$J:$J,MATCH($J805&amp; "-" &amp; $N805,'BM Data'!$O:$O,0),1),""))</f>
        <v/>
      </c>
    </row>
    <row r="806">
      <c r="A806" s="10" t="str">
        <f>IFERROR(__xludf.DUMMYFUNCTION("""COMPUTED_VALUE"""),"")</f>
        <v/>
      </c>
      <c r="B806" s="3" t="str">
        <f>IFERROR(__xludf.DUMMYFUNCTION("""COMPUTED_VALUE"""),"")</f>
        <v/>
      </c>
      <c r="C806" s="11" t="str">
        <f>IFERROR(__xludf.DUMMYFUNCTION("""COMPUTED_VALUE"""),"")</f>
        <v/>
      </c>
      <c r="D806" s="11" t="str">
        <f>IFERROR(__xludf.DUMMYFUNCTION("""COMPUTED_VALUE"""),"")</f>
        <v/>
      </c>
      <c r="E806" s="11" t="str">
        <f>IFERROR(__xludf.DUMMYFUNCTION("""COMPUTED_VALUE"""),"")</f>
        <v/>
      </c>
      <c r="F806" s="11" t="str">
        <f>IFERROR(__xludf.DUMMYFUNCTION("""COMPUTED_VALUE"""),"")</f>
        <v/>
      </c>
      <c r="G806" s="11" t="str">
        <f>IFERROR(__xludf.DUMMYFUNCTION("""COMPUTED_VALUE"""),"")</f>
        <v/>
      </c>
      <c r="H806" s="12" t="str">
        <f>IFERROR(__xludf.DUMMYFUNCTION("""COMPUTED_VALUE"""),"")</f>
        <v/>
      </c>
      <c r="I806" s="12" t="str">
        <f>IFERROR(__xludf.DUMMYFUNCTION("""COMPUTED_VALUE"""),"")</f>
        <v/>
      </c>
      <c r="J806" s="13" t="str">
        <f t="shared" si="1"/>
        <v/>
      </c>
      <c r="K806" s="12" t="str">
        <f>IFERROR(IF(A806="","",if($G806="",Reference!$J$2, VLOOKUP($G806,Reference!$I$2:$J$1000,2,false))),"")</f>
        <v/>
      </c>
      <c r="L806" s="12" t="str">
        <f>IF(A806="","", IF(F806="",Reference!$M$2,F806))</f>
        <v/>
      </c>
      <c r="M806" s="14" t="str">
        <f t="shared" si="2"/>
        <v/>
      </c>
      <c r="N806" s="15" t="str">
        <f t="shared" si="3"/>
        <v/>
      </c>
      <c r="O806" s="14" t="str">
        <f t="shared" si="4"/>
        <v/>
      </c>
      <c r="P806" s="16" t="str">
        <f t="array" ref="P806">IF($A806="","", IFERROR(INDEX('BM Data'!$N:$N,MATCH($J806&amp; "-" &amp; $N806,'BM Data'!$O:$O,0),1),""))</f>
        <v/>
      </c>
      <c r="Q806" s="16" t="str">
        <f t="array" ref="Q806">IF($A806="","", IFERROR(INDEX('BM Data'!$J:$J,MATCH($J806&amp; "-" &amp; $N806,'BM Data'!$O:$O,0),1),""))</f>
        <v/>
      </c>
    </row>
    <row r="807">
      <c r="A807" s="10" t="str">
        <f>IFERROR(__xludf.DUMMYFUNCTION("""COMPUTED_VALUE"""),"")</f>
        <v/>
      </c>
      <c r="B807" s="3" t="str">
        <f>IFERROR(__xludf.DUMMYFUNCTION("""COMPUTED_VALUE"""),"")</f>
        <v/>
      </c>
      <c r="C807" s="11" t="str">
        <f>IFERROR(__xludf.DUMMYFUNCTION("""COMPUTED_VALUE"""),"")</f>
        <v/>
      </c>
      <c r="D807" s="11" t="str">
        <f>IFERROR(__xludf.DUMMYFUNCTION("""COMPUTED_VALUE"""),"")</f>
        <v/>
      </c>
      <c r="E807" s="11" t="str">
        <f>IFERROR(__xludf.DUMMYFUNCTION("""COMPUTED_VALUE"""),"")</f>
        <v/>
      </c>
      <c r="F807" s="11" t="str">
        <f>IFERROR(__xludf.DUMMYFUNCTION("""COMPUTED_VALUE"""),"")</f>
        <v/>
      </c>
      <c r="G807" s="11" t="str">
        <f>IFERROR(__xludf.DUMMYFUNCTION("""COMPUTED_VALUE"""),"")</f>
        <v/>
      </c>
      <c r="H807" s="12" t="str">
        <f>IFERROR(__xludf.DUMMYFUNCTION("""COMPUTED_VALUE"""),"")</f>
        <v/>
      </c>
      <c r="I807" s="12" t="str">
        <f>IFERROR(__xludf.DUMMYFUNCTION("""COMPUTED_VALUE"""),"")</f>
        <v/>
      </c>
      <c r="J807" s="13" t="str">
        <f t="shared" si="1"/>
        <v/>
      </c>
      <c r="K807" s="12" t="str">
        <f>IFERROR(IF(A807="","",if($G807="",Reference!$J$2, VLOOKUP($G807,Reference!$I$2:$J$1000,2,false))),"")</f>
        <v/>
      </c>
      <c r="L807" s="12" t="str">
        <f>IF(A807="","", IF(F807="",Reference!$M$2,F807))</f>
        <v/>
      </c>
      <c r="M807" s="14" t="str">
        <f t="shared" si="2"/>
        <v/>
      </c>
      <c r="N807" s="15" t="str">
        <f t="shared" si="3"/>
        <v/>
      </c>
      <c r="O807" s="14" t="str">
        <f t="shared" si="4"/>
        <v/>
      </c>
      <c r="P807" s="16" t="str">
        <f t="array" ref="P807">IF($A807="","", IFERROR(INDEX('BM Data'!$N:$N,MATCH($J807&amp; "-" &amp; $N807,'BM Data'!$O:$O,0),1),""))</f>
        <v/>
      </c>
      <c r="Q807" s="16" t="str">
        <f t="array" ref="Q807">IF($A807="","", IFERROR(INDEX('BM Data'!$J:$J,MATCH($J807&amp; "-" &amp; $N807,'BM Data'!$O:$O,0),1),""))</f>
        <v/>
      </c>
    </row>
    <row r="808">
      <c r="A808" s="10" t="str">
        <f>IFERROR(__xludf.DUMMYFUNCTION("""COMPUTED_VALUE"""),"")</f>
        <v/>
      </c>
      <c r="B808" s="3" t="str">
        <f>IFERROR(__xludf.DUMMYFUNCTION("""COMPUTED_VALUE"""),"")</f>
        <v/>
      </c>
      <c r="C808" s="11" t="str">
        <f>IFERROR(__xludf.DUMMYFUNCTION("""COMPUTED_VALUE"""),"")</f>
        <v/>
      </c>
      <c r="D808" s="11" t="str">
        <f>IFERROR(__xludf.DUMMYFUNCTION("""COMPUTED_VALUE"""),"")</f>
        <v/>
      </c>
      <c r="E808" s="11" t="str">
        <f>IFERROR(__xludf.DUMMYFUNCTION("""COMPUTED_VALUE"""),"")</f>
        <v/>
      </c>
      <c r="F808" s="11" t="str">
        <f>IFERROR(__xludf.DUMMYFUNCTION("""COMPUTED_VALUE"""),"")</f>
        <v/>
      </c>
      <c r="G808" s="11" t="str">
        <f>IFERROR(__xludf.DUMMYFUNCTION("""COMPUTED_VALUE"""),"")</f>
        <v/>
      </c>
      <c r="H808" s="12" t="str">
        <f>IFERROR(__xludf.DUMMYFUNCTION("""COMPUTED_VALUE"""),"")</f>
        <v/>
      </c>
      <c r="I808" s="12" t="str">
        <f>IFERROR(__xludf.DUMMYFUNCTION("""COMPUTED_VALUE"""),"")</f>
        <v/>
      </c>
      <c r="J808" s="13" t="str">
        <f t="shared" si="1"/>
        <v/>
      </c>
      <c r="K808" s="12" t="str">
        <f>IFERROR(IF(A808="","",if($G808="",Reference!$J$2, VLOOKUP($G808,Reference!$I$2:$J$1000,2,false))),"")</f>
        <v/>
      </c>
      <c r="L808" s="12" t="str">
        <f>IF(A808="","", IF(F808="",Reference!$M$2,F808))</f>
        <v/>
      </c>
      <c r="M808" s="14" t="str">
        <f t="shared" si="2"/>
        <v/>
      </c>
      <c r="N808" s="15" t="str">
        <f t="shared" si="3"/>
        <v/>
      </c>
      <c r="O808" s="14" t="str">
        <f t="shared" si="4"/>
        <v/>
      </c>
      <c r="P808" s="16" t="str">
        <f t="array" ref="P808">IF($A808="","", IFERROR(INDEX('BM Data'!$N:$N,MATCH($J808&amp; "-" &amp; $N808,'BM Data'!$O:$O,0),1),""))</f>
        <v/>
      </c>
      <c r="Q808" s="16" t="str">
        <f t="array" ref="Q808">IF($A808="","", IFERROR(INDEX('BM Data'!$J:$J,MATCH($J808&amp; "-" &amp; $N808,'BM Data'!$O:$O,0),1),""))</f>
        <v/>
      </c>
    </row>
    <row r="809">
      <c r="A809" s="10" t="str">
        <f>IFERROR(__xludf.DUMMYFUNCTION("""COMPUTED_VALUE"""),"")</f>
        <v/>
      </c>
      <c r="B809" s="3" t="str">
        <f>IFERROR(__xludf.DUMMYFUNCTION("""COMPUTED_VALUE"""),"")</f>
        <v/>
      </c>
      <c r="C809" s="11" t="str">
        <f>IFERROR(__xludf.DUMMYFUNCTION("""COMPUTED_VALUE"""),"")</f>
        <v/>
      </c>
      <c r="D809" s="11" t="str">
        <f>IFERROR(__xludf.DUMMYFUNCTION("""COMPUTED_VALUE"""),"")</f>
        <v/>
      </c>
      <c r="E809" s="11" t="str">
        <f>IFERROR(__xludf.DUMMYFUNCTION("""COMPUTED_VALUE"""),"")</f>
        <v/>
      </c>
      <c r="F809" s="11" t="str">
        <f>IFERROR(__xludf.DUMMYFUNCTION("""COMPUTED_VALUE"""),"")</f>
        <v/>
      </c>
      <c r="G809" s="11" t="str">
        <f>IFERROR(__xludf.DUMMYFUNCTION("""COMPUTED_VALUE"""),"")</f>
        <v/>
      </c>
      <c r="H809" s="12" t="str">
        <f>IFERROR(__xludf.DUMMYFUNCTION("""COMPUTED_VALUE"""),"")</f>
        <v/>
      </c>
      <c r="I809" s="12" t="str">
        <f>IFERROR(__xludf.DUMMYFUNCTION("""COMPUTED_VALUE"""),"")</f>
        <v/>
      </c>
      <c r="J809" s="13" t="str">
        <f t="shared" si="1"/>
        <v/>
      </c>
      <c r="K809" s="12" t="str">
        <f>IFERROR(IF(A809="","",if($G809="",Reference!$J$2, VLOOKUP($G809,Reference!$I$2:$J$1000,2,false))),"")</f>
        <v/>
      </c>
      <c r="L809" s="12" t="str">
        <f>IF(A809="","", IF(F809="",Reference!$M$2,F809))</f>
        <v/>
      </c>
      <c r="M809" s="14" t="str">
        <f t="shared" si="2"/>
        <v/>
      </c>
      <c r="N809" s="15" t="str">
        <f t="shared" si="3"/>
        <v/>
      </c>
      <c r="O809" s="14" t="str">
        <f t="shared" si="4"/>
        <v/>
      </c>
      <c r="P809" s="16" t="str">
        <f t="array" ref="P809">IF($A809="","", IFERROR(INDEX('BM Data'!$N:$N,MATCH($J809&amp; "-" &amp; $N809,'BM Data'!$O:$O,0),1),""))</f>
        <v/>
      </c>
      <c r="Q809" s="16" t="str">
        <f t="array" ref="Q809">IF($A809="","", IFERROR(INDEX('BM Data'!$J:$J,MATCH($J809&amp; "-" &amp; $N809,'BM Data'!$O:$O,0),1),""))</f>
        <v/>
      </c>
    </row>
    <row r="810">
      <c r="A810" s="10" t="str">
        <f>IFERROR(__xludf.DUMMYFUNCTION("""COMPUTED_VALUE"""),"")</f>
        <v/>
      </c>
      <c r="B810" s="3" t="str">
        <f>IFERROR(__xludf.DUMMYFUNCTION("""COMPUTED_VALUE"""),"")</f>
        <v/>
      </c>
      <c r="C810" s="11" t="str">
        <f>IFERROR(__xludf.DUMMYFUNCTION("""COMPUTED_VALUE"""),"")</f>
        <v/>
      </c>
      <c r="D810" s="11" t="str">
        <f>IFERROR(__xludf.DUMMYFUNCTION("""COMPUTED_VALUE"""),"")</f>
        <v/>
      </c>
      <c r="E810" s="11" t="str">
        <f>IFERROR(__xludf.DUMMYFUNCTION("""COMPUTED_VALUE"""),"")</f>
        <v/>
      </c>
      <c r="F810" s="11" t="str">
        <f>IFERROR(__xludf.DUMMYFUNCTION("""COMPUTED_VALUE"""),"")</f>
        <v/>
      </c>
      <c r="G810" s="11" t="str">
        <f>IFERROR(__xludf.DUMMYFUNCTION("""COMPUTED_VALUE"""),"")</f>
        <v/>
      </c>
      <c r="H810" s="12" t="str">
        <f>IFERROR(__xludf.DUMMYFUNCTION("""COMPUTED_VALUE"""),"")</f>
        <v/>
      </c>
      <c r="I810" s="12" t="str">
        <f>IFERROR(__xludf.DUMMYFUNCTION("""COMPUTED_VALUE"""),"")</f>
        <v/>
      </c>
      <c r="J810" s="13" t="str">
        <f t="shared" si="1"/>
        <v/>
      </c>
      <c r="K810" s="12" t="str">
        <f>IFERROR(IF(A810="","",if($G810="",Reference!$J$2, VLOOKUP($G810,Reference!$I$2:$J$1000,2,false))),"")</f>
        <v/>
      </c>
      <c r="L810" s="12" t="str">
        <f>IF(A810="","", IF(F810="",Reference!$M$2,F810))</f>
        <v/>
      </c>
      <c r="M810" s="14" t="str">
        <f t="shared" si="2"/>
        <v/>
      </c>
      <c r="N810" s="15" t="str">
        <f t="shared" si="3"/>
        <v/>
      </c>
      <c r="O810" s="14" t="str">
        <f t="shared" si="4"/>
        <v/>
      </c>
      <c r="P810" s="16" t="str">
        <f t="array" ref="P810">IF($A810="","", IFERROR(INDEX('BM Data'!$N:$N,MATCH($J810&amp; "-" &amp; $N810,'BM Data'!$O:$O,0),1),""))</f>
        <v/>
      </c>
      <c r="Q810" s="16" t="str">
        <f t="array" ref="Q810">IF($A810="","", IFERROR(INDEX('BM Data'!$J:$J,MATCH($J810&amp; "-" &amp; $N810,'BM Data'!$O:$O,0),1),""))</f>
        <v/>
      </c>
    </row>
    <row r="811">
      <c r="A811" s="10" t="str">
        <f>IFERROR(__xludf.DUMMYFUNCTION("""COMPUTED_VALUE"""),"")</f>
        <v/>
      </c>
      <c r="B811" s="3" t="str">
        <f>IFERROR(__xludf.DUMMYFUNCTION("""COMPUTED_VALUE"""),"")</f>
        <v/>
      </c>
      <c r="C811" s="11" t="str">
        <f>IFERROR(__xludf.DUMMYFUNCTION("""COMPUTED_VALUE"""),"")</f>
        <v/>
      </c>
      <c r="D811" s="11" t="str">
        <f>IFERROR(__xludf.DUMMYFUNCTION("""COMPUTED_VALUE"""),"")</f>
        <v/>
      </c>
      <c r="E811" s="11" t="str">
        <f>IFERROR(__xludf.DUMMYFUNCTION("""COMPUTED_VALUE"""),"")</f>
        <v/>
      </c>
      <c r="F811" s="11" t="str">
        <f>IFERROR(__xludf.DUMMYFUNCTION("""COMPUTED_VALUE"""),"")</f>
        <v/>
      </c>
      <c r="G811" s="11" t="str">
        <f>IFERROR(__xludf.DUMMYFUNCTION("""COMPUTED_VALUE"""),"")</f>
        <v/>
      </c>
      <c r="H811" s="12" t="str">
        <f>IFERROR(__xludf.DUMMYFUNCTION("""COMPUTED_VALUE"""),"")</f>
        <v/>
      </c>
      <c r="I811" s="12" t="str">
        <f>IFERROR(__xludf.DUMMYFUNCTION("""COMPUTED_VALUE"""),"")</f>
        <v/>
      </c>
      <c r="J811" s="13" t="str">
        <f t="shared" si="1"/>
        <v/>
      </c>
      <c r="K811" s="12" t="str">
        <f>IFERROR(IF(A811="","",if($G811="",Reference!$J$2, VLOOKUP($G811,Reference!$I$2:$J$1000,2,false))),"")</f>
        <v/>
      </c>
      <c r="L811" s="12" t="str">
        <f>IF(A811="","", IF(F811="",Reference!$M$2,F811))</f>
        <v/>
      </c>
      <c r="M811" s="14" t="str">
        <f t="shared" si="2"/>
        <v/>
      </c>
      <c r="N811" s="15" t="str">
        <f t="shared" si="3"/>
        <v/>
      </c>
      <c r="O811" s="14" t="str">
        <f t="shared" si="4"/>
        <v/>
      </c>
      <c r="P811" s="16" t="str">
        <f t="array" ref="P811">IF($A811="","", IFERROR(INDEX('BM Data'!$N:$N,MATCH($J811&amp; "-" &amp; $N811,'BM Data'!$O:$O,0),1),""))</f>
        <v/>
      </c>
      <c r="Q811" s="16" t="str">
        <f t="array" ref="Q811">IF($A811="","", IFERROR(INDEX('BM Data'!$J:$J,MATCH($J811&amp; "-" &amp; $N811,'BM Data'!$O:$O,0),1),""))</f>
        <v/>
      </c>
    </row>
    <row r="812">
      <c r="A812" s="10" t="str">
        <f>IFERROR(__xludf.DUMMYFUNCTION("""COMPUTED_VALUE"""),"")</f>
        <v/>
      </c>
      <c r="B812" s="3" t="str">
        <f>IFERROR(__xludf.DUMMYFUNCTION("""COMPUTED_VALUE"""),"")</f>
        <v/>
      </c>
      <c r="C812" s="11" t="str">
        <f>IFERROR(__xludf.DUMMYFUNCTION("""COMPUTED_VALUE"""),"")</f>
        <v/>
      </c>
      <c r="D812" s="11" t="str">
        <f>IFERROR(__xludf.DUMMYFUNCTION("""COMPUTED_VALUE"""),"")</f>
        <v/>
      </c>
      <c r="E812" s="11" t="str">
        <f>IFERROR(__xludf.DUMMYFUNCTION("""COMPUTED_VALUE"""),"")</f>
        <v/>
      </c>
      <c r="F812" s="11" t="str">
        <f>IFERROR(__xludf.DUMMYFUNCTION("""COMPUTED_VALUE"""),"")</f>
        <v/>
      </c>
      <c r="G812" s="11" t="str">
        <f>IFERROR(__xludf.DUMMYFUNCTION("""COMPUTED_VALUE"""),"")</f>
        <v/>
      </c>
      <c r="H812" s="12" t="str">
        <f>IFERROR(__xludf.DUMMYFUNCTION("""COMPUTED_VALUE"""),"")</f>
        <v/>
      </c>
      <c r="I812" s="12" t="str">
        <f>IFERROR(__xludf.DUMMYFUNCTION("""COMPUTED_VALUE"""),"")</f>
        <v/>
      </c>
      <c r="J812" s="13" t="str">
        <f t="shared" si="1"/>
        <v/>
      </c>
      <c r="K812" s="12" t="str">
        <f>IFERROR(IF(A812="","",if($G812="",Reference!$J$2, VLOOKUP($G812,Reference!$I$2:$J$1000,2,false))),"")</f>
        <v/>
      </c>
      <c r="L812" s="12" t="str">
        <f>IF(A812="","", IF(F812="",Reference!$M$2,F812))</f>
        <v/>
      </c>
      <c r="M812" s="14" t="str">
        <f t="shared" si="2"/>
        <v/>
      </c>
      <c r="N812" s="15" t="str">
        <f t="shared" si="3"/>
        <v/>
      </c>
      <c r="O812" s="14" t="str">
        <f t="shared" si="4"/>
        <v/>
      </c>
      <c r="P812" s="16" t="str">
        <f t="array" ref="P812">IF($A812="","", IFERROR(INDEX('BM Data'!$N:$N,MATCH($J812&amp; "-" &amp; $N812,'BM Data'!$O:$O,0),1),""))</f>
        <v/>
      </c>
      <c r="Q812" s="16" t="str">
        <f t="array" ref="Q812">IF($A812="","", IFERROR(INDEX('BM Data'!$J:$J,MATCH($J812&amp; "-" &amp; $N812,'BM Data'!$O:$O,0),1),""))</f>
        <v/>
      </c>
    </row>
    <row r="813">
      <c r="A813" s="10" t="str">
        <f>IFERROR(__xludf.DUMMYFUNCTION("""COMPUTED_VALUE"""),"")</f>
        <v/>
      </c>
      <c r="B813" s="3" t="str">
        <f>IFERROR(__xludf.DUMMYFUNCTION("""COMPUTED_VALUE"""),"")</f>
        <v/>
      </c>
      <c r="C813" s="11" t="str">
        <f>IFERROR(__xludf.DUMMYFUNCTION("""COMPUTED_VALUE"""),"")</f>
        <v/>
      </c>
      <c r="D813" s="11" t="str">
        <f>IFERROR(__xludf.DUMMYFUNCTION("""COMPUTED_VALUE"""),"")</f>
        <v/>
      </c>
      <c r="E813" s="11" t="str">
        <f>IFERROR(__xludf.DUMMYFUNCTION("""COMPUTED_VALUE"""),"")</f>
        <v/>
      </c>
      <c r="F813" s="11" t="str">
        <f>IFERROR(__xludf.DUMMYFUNCTION("""COMPUTED_VALUE"""),"")</f>
        <v/>
      </c>
      <c r="G813" s="11" t="str">
        <f>IFERROR(__xludf.DUMMYFUNCTION("""COMPUTED_VALUE"""),"")</f>
        <v/>
      </c>
      <c r="H813" s="12" t="str">
        <f>IFERROR(__xludf.DUMMYFUNCTION("""COMPUTED_VALUE"""),"")</f>
        <v/>
      </c>
      <c r="I813" s="12" t="str">
        <f>IFERROR(__xludf.DUMMYFUNCTION("""COMPUTED_VALUE"""),"")</f>
        <v/>
      </c>
      <c r="J813" s="13" t="str">
        <f t="shared" si="1"/>
        <v/>
      </c>
      <c r="K813" s="12" t="str">
        <f>IFERROR(IF(A813="","",if($G813="",Reference!$J$2, VLOOKUP($G813,Reference!$I$2:$J$1000,2,false))),"")</f>
        <v/>
      </c>
      <c r="L813" s="12" t="str">
        <f>IF(A813="","", IF(F813="",Reference!$M$2,F813))</f>
        <v/>
      </c>
      <c r="M813" s="14" t="str">
        <f t="shared" si="2"/>
        <v/>
      </c>
      <c r="N813" s="15" t="str">
        <f t="shared" si="3"/>
        <v/>
      </c>
      <c r="O813" s="14" t="str">
        <f t="shared" si="4"/>
        <v/>
      </c>
      <c r="P813" s="16" t="str">
        <f t="array" ref="P813">IF($A813="","", IFERROR(INDEX('BM Data'!$N:$N,MATCH($J813&amp; "-" &amp; $N813,'BM Data'!$O:$O,0),1),""))</f>
        <v/>
      </c>
      <c r="Q813" s="16" t="str">
        <f t="array" ref="Q813">IF($A813="","", IFERROR(INDEX('BM Data'!$J:$J,MATCH($J813&amp; "-" &amp; $N813,'BM Data'!$O:$O,0),1),""))</f>
        <v/>
      </c>
    </row>
    <row r="814">
      <c r="A814" s="10" t="str">
        <f>IFERROR(__xludf.DUMMYFUNCTION("""COMPUTED_VALUE"""),"")</f>
        <v/>
      </c>
      <c r="B814" s="3" t="str">
        <f>IFERROR(__xludf.DUMMYFUNCTION("""COMPUTED_VALUE"""),"")</f>
        <v/>
      </c>
      <c r="C814" s="11" t="str">
        <f>IFERROR(__xludf.DUMMYFUNCTION("""COMPUTED_VALUE"""),"")</f>
        <v/>
      </c>
      <c r="D814" s="11" t="str">
        <f>IFERROR(__xludf.DUMMYFUNCTION("""COMPUTED_VALUE"""),"")</f>
        <v/>
      </c>
      <c r="E814" s="11" t="str">
        <f>IFERROR(__xludf.DUMMYFUNCTION("""COMPUTED_VALUE"""),"")</f>
        <v/>
      </c>
      <c r="F814" s="11" t="str">
        <f>IFERROR(__xludf.DUMMYFUNCTION("""COMPUTED_VALUE"""),"")</f>
        <v/>
      </c>
      <c r="G814" s="11" t="str">
        <f>IFERROR(__xludf.DUMMYFUNCTION("""COMPUTED_VALUE"""),"")</f>
        <v/>
      </c>
      <c r="H814" s="12" t="str">
        <f>IFERROR(__xludf.DUMMYFUNCTION("""COMPUTED_VALUE"""),"")</f>
        <v/>
      </c>
      <c r="I814" s="12" t="str">
        <f>IFERROR(__xludf.DUMMYFUNCTION("""COMPUTED_VALUE"""),"")</f>
        <v/>
      </c>
      <c r="J814" s="13" t="str">
        <f t="shared" si="1"/>
        <v/>
      </c>
      <c r="K814" s="12" t="str">
        <f>IFERROR(IF(A814="","",if($G814="",Reference!$J$2, VLOOKUP($G814,Reference!$I$2:$J$1000,2,false))),"")</f>
        <v/>
      </c>
      <c r="L814" s="12" t="str">
        <f>IF(A814="","", IF(F814="",Reference!$M$2,F814))</f>
        <v/>
      </c>
      <c r="M814" s="14" t="str">
        <f t="shared" si="2"/>
        <v/>
      </c>
      <c r="N814" s="15" t="str">
        <f t="shared" si="3"/>
        <v/>
      </c>
      <c r="O814" s="14" t="str">
        <f t="shared" si="4"/>
        <v/>
      </c>
      <c r="P814" s="16" t="str">
        <f t="array" ref="P814">IF($A814="","", IFERROR(INDEX('BM Data'!$N:$N,MATCH($J814&amp; "-" &amp; $N814,'BM Data'!$O:$O,0),1),""))</f>
        <v/>
      </c>
      <c r="Q814" s="16" t="str">
        <f t="array" ref="Q814">IF($A814="","", IFERROR(INDEX('BM Data'!$J:$J,MATCH($J814&amp; "-" &amp; $N814,'BM Data'!$O:$O,0),1),""))</f>
        <v/>
      </c>
    </row>
    <row r="815">
      <c r="A815" s="10" t="str">
        <f>IFERROR(__xludf.DUMMYFUNCTION("""COMPUTED_VALUE"""),"")</f>
        <v/>
      </c>
      <c r="B815" s="3" t="str">
        <f>IFERROR(__xludf.DUMMYFUNCTION("""COMPUTED_VALUE"""),"")</f>
        <v/>
      </c>
      <c r="C815" s="11" t="str">
        <f>IFERROR(__xludf.DUMMYFUNCTION("""COMPUTED_VALUE"""),"")</f>
        <v/>
      </c>
      <c r="D815" s="11" t="str">
        <f>IFERROR(__xludf.DUMMYFUNCTION("""COMPUTED_VALUE"""),"")</f>
        <v/>
      </c>
      <c r="E815" s="11" t="str">
        <f>IFERROR(__xludf.DUMMYFUNCTION("""COMPUTED_VALUE"""),"")</f>
        <v/>
      </c>
      <c r="F815" s="11" t="str">
        <f>IFERROR(__xludf.DUMMYFUNCTION("""COMPUTED_VALUE"""),"")</f>
        <v/>
      </c>
      <c r="G815" s="11" t="str">
        <f>IFERROR(__xludf.DUMMYFUNCTION("""COMPUTED_VALUE"""),"")</f>
        <v/>
      </c>
      <c r="H815" s="12" t="str">
        <f>IFERROR(__xludf.DUMMYFUNCTION("""COMPUTED_VALUE"""),"")</f>
        <v/>
      </c>
      <c r="I815" s="12" t="str">
        <f>IFERROR(__xludf.DUMMYFUNCTION("""COMPUTED_VALUE"""),"")</f>
        <v/>
      </c>
      <c r="J815" s="13" t="str">
        <f t="shared" si="1"/>
        <v/>
      </c>
      <c r="K815" s="12" t="str">
        <f>IFERROR(IF(A815="","",if($G815="",Reference!$J$2, VLOOKUP($G815,Reference!$I$2:$J$1000,2,false))),"")</f>
        <v/>
      </c>
      <c r="L815" s="12" t="str">
        <f>IF(A815="","", IF(F815="",Reference!$M$2,F815))</f>
        <v/>
      </c>
      <c r="M815" s="14" t="str">
        <f t="shared" si="2"/>
        <v/>
      </c>
      <c r="N815" s="15" t="str">
        <f t="shared" si="3"/>
        <v/>
      </c>
      <c r="O815" s="14" t="str">
        <f t="shared" si="4"/>
        <v/>
      </c>
      <c r="P815" s="16" t="str">
        <f t="array" ref="P815">IF($A815="","", IFERROR(INDEX('BM Data'!$N:$N,MATCH($J815&amp; "-" &amp; $N815,'BM Data'!$O:$O,0),1),""))</f>
        <v/>
      </c>
      <c r="Q815" s="16" t="str">
        <f t="array" ref="Q815">IF($A815="","", IFERROR(INDEX('BM Data'!$J:$J,MATCH($J815&amp; "-" &amp; $N815,'BM Data'!$O:$O,0),1),""))</f>
        <v/>
      </c>
    </row>
    <row r="816">
      <c r="A816" s="10" t="str">
        <f>IFERROR(__xludf.DUMMYFUNCTION("""COMPUTED_VALUE"""),"")</f>
        <v/>
      </c>
      <c r="B816" s="3" t="str">
        <f>IFERROR(__xludf.DUMMYFUNCTION("""COMPUTED_VALUE"""),"")</f>
        <v/>
      </c>
      <c r="C816" s="11" t="str">
        <f>IFERROR(__xludf.DUMMYFUNCTION("""COMPUTED_VALUE"""),"")</f>
        <v/>
      </c>
      <c r="D816" s="11" t="str">
        <f>IFERROR(__xludf.DUMMYFUNCTION("""COMPUTED_VALUE"""),"")</f>
        <v/>
      </c>
      <c r="E816" s="11" t="str">
        <f>IFERROR(__xludf.DUMMYFUNCTION("""COMPUTED_VALUE"""),"")</f>
        <v/>
      </c>
      <c r="F816" s="11" t="str">
        <f>IFERROR(__xludf.DUMMYFUNCTION("""COMPUTED_VALUE"""),"")</f>
        <v/>
      </c>
      <c r="G816" s="11" t="str">
        <f>IFERROR(__xludf.DUMMYFUNCTION("""COMPUTED_VALUE"""),"")</f>
        <v/>
      </c>
      <c r="H816" s="12" t="str">
        <f>IFERROR(__xludf.DUMMYFUNCTION("""COMPUTED_VALUE"""),"")</f>
        <v/>
      </c>
      <c r="I816" s="12" t="str">
        <f>IFERROR(__xludf.DUMMYFUNCTION("""COMPUTED_VALUE"""),"")</f>
        <v/>
      </c>
      <c r="J816" s="13" t="str">
        <f t="shared" si="1"/>
        <v/>
      </c>
      <c r="K816" s="12" t="str">
        <f>IFERROR(IF(A816="","",if($G816="",Reference!$J$2, VLOOKUP($G816,Reference!$I$2:$J$1000,2,false))),"")</f>
        <v/>
      </c>
      <c r="L816" s="12" t="str">
        <f>IF(A816="","", IF(F816="",Reference!$M$2,F816))</f>
        <v/>
      </c>
      <c r="M816" s="14" t="str">
        <f t="shared" si="2"/>
        <v/>
      </c>
      <c r="N816" s="15" t="str">
        <f t="shared" si="3"/>
        <v/>
      </c>
      <c r="O816" s="14" t="str">
        <f t="shared" si="4"/>
        <v/>
      </c>
      <c r="P816" s="16" t="str">
        <f t="array" ref="P816">IF($A816="","", IFERROR(INDEX('BM Data'!$N:$N,MATCH($J816&amp; "-" &amp; $N816,'BM Data'!$O:$O,0),1),""))</f>
        <v/>
      </c>
      <c r="Q816" s="16" t="str">
        <f t="array" ref="Q816">IF($A816="","", IFERROR(INDEX('BM Data'!$J:$J,MATCH($J816&amp; "-" &amp; $N816,'BM Data'!$O:$O,0),1),""))</f>
        <v/>
      </c>
    </row>
    <row r="817">
      <c r="A817" s="10" t="str">
        <f>IFERROR(__xludf.DUMMYFUNCTION("""COMPUTED_VALUE"""),"")</f>
        <v/>
      </c>
      <c r="B817" s="3" t="str">
        <f>IFERROR(__xludf.DUMMYFUNCTION("""COMPUTED_VALUE"""),"")</f>
        <v/>
      </c>
      <c r="C817" s="11" t="str">
        <f>IFERROR(__xludf.DUMMYFUNCTION("""COMPUTED_VALUE"""),"")</f>
        <v/>
      </c>
      <c r="D817" s="11" t="str">
        <f>IFERROR(__xludf.DUMMYFUNCTION("""COMPUTED_VALUE"""),"")</f>
        <v/>
      </c>
      <c r="E817" s="11" t="str">
        <f>IFERROR(__xludf.DUMMYFUNCTION("""COMPUTED_VALUE"""),"")</f>
        <v/>
      </c>
      <c r="F817" s="11" t="str">
        <f>IFERROR(__xludf.DUMMYFUNCTION("""COMPUTED_VALUE"""),"")</f>
        <v/>
      </c>
      <c r="G817" s="11" t="str">
        <f>IFERROR(__xludf.DUMMYFUNCTION("""COMPUTED_VALUE"""),"")</f>
        <v/>
      </c>
      <c r="H817" s="12" t="str">
        <f>IFERROR(__xludf.DUMMYFUNCTION("""COMPUTED_VALUE"""),"")</f>
        <v/>
      </c>
      <c r="I817" s="12" t="str">
        <f>IFERROR(__xludf.DUMMYFUNCTION("""COMPUTED_VALUE"""),"")</f>
        <v/>
      </c>
      <c r="J817" s="13" t="str">
        <f t="shared" si="1"/>
        <v/>
      </c>
      <c r="K817" s="12" t="str">
        <f>IFERROR(IF(A817="","",if($G817="",Reference!$J$2, VLOOKUP($G817,Reference!$I$2:$J$1000,2,false))),"")</f>
        <v/>
      </c>
      <c r="L817" s="12" t="str">
        <f>IF(A817="","", IF(F817="",Reference!$M$2,F817))</f>
        <v/>
      </c>
      <c r="M817" s="14" t="str">
        <f t="shared" si="2"/>
        <v/>
      </c>
      <c r="N817" s="15" t="str">
        <f t="shared" si="3"/>
        <v/>
      </c>
      <c r="O817" s="14" t="str">
        <f t="shared" si="4"/>
        <v/>
      </c>
      <c r="P817" s="16" t="str">
        <f t="array" ref="P817">IF($A817="","", IFERROR(INDEX('BM Data'!$N:$N,MATCH($J817&amp; "-" &amp; $N817,'BM Data'!$O:$O,0),1),""))</f>
        <v/>
      </c>
      <c r="Q817" s="16" t="str">
        <f t="array" ref="Q817">IF($A817="","", IFERROR(INDEX('BM Data'!$J:$J,MATCH($J817&amp; "-" &amp; $N817,'BM Data'!$O:$O,0),1),""))</f>
        <v/>
      </c>
    </row>
    <row r="818">
      <c r="A818" s="10" t="str">
        <f>IFERROR(__xludf.DUMMYFUNCTION("""COMPUTED_VALUE"""),"")</f>
        <v/>
      </c>
      <c r="B818" s="3" t="str">
        <f>IFERROR(__xludf.DUMMYFUNCTION("""COMPUTED_VALUE"""),"")</f>
        <v/>
      </c>
      <c r="C818" s="11" t="str">
        <f>IFERROR(__xludf.DUMMYFUNCTION("""COMPUTED_VALUE"""),"")</f>
        <v/>
      </c>
      <c r="D818" s="11" t="str">
        <f>IFERROR(__xludf.DUMMYFUNCTION("""COMPUTED_VALUE"""),"")</f>
        <v/>
      </c>
      <c r="E818" s="11" t="str">
        <f>IFERROR(__xludf.DUMMYFUNCTION("""COMPUTED_VALUE"""),"")</f>
        <v/>
      </c>
      <c r="F818" s="11" t="str">
        <f>IFERROR(__xludf.DUMMYFUNCTION("""COMPUTED_VALUE"""),"")</f>
        <v/>
      </c>
      <c r="G818" s="11" t="str">
        <f>IFERROR(__xludf.DUMMYFUNCTION("""COMPUTED_VALUE"""),"")</f>
        <v/>
      </c>
      <c r="H818" s="12" t="str">
        <f>IFERROR(__xludf.DUMMYFUNCTION("""COMPUTED_VALUE"""),"")</f>
        <v/>
      </c>
      <c r="I818" s="12" t="str">
        <f>IFERROR(__xludf.DUMMYFUNCTION("""COMPUTED_VALUE"""),"")</f>
        <v/>
      </c>
      <c r="J818" s="13" t="str">
        <f t="shared" si="1"/>
        <v/>
      </c>
      <c r="K818" s="12" t="str">
        <f>IFERROR(IF(A818="","",if($G818="",Reference!$J$2, VLOOKUP($G818,Reference!$I$2:$J$1000,2,false))),"")</f>
        <v/>
      </c>
      <c r="L818" s="12" t="str">
        <f>IF(A818="","", IF(F818="",Reference!$M$2,F818))</f>
        <v/>
      </c>
      <c r="M818" s="14" t="str">
        <f t="shared" si="2"/>
        <v/>
      </c>
      <c r="N818" s="15" t="str">
        <f t="shared" si="3"/>
        <v/>
      </c>
      <c r="O818" s="14" t="str">
        <f t="shared" si="4"/>
        <v/>
      </c>
      <c r="P818" s="16" t="str">
        <f t="array" ref="P818">IF($A818="","", IFERROR(INDEX('BM Data'!$N:$N,MATCH($J818&amp; "-" &amp; $N818,'BM Data'!$O:$O,0),1),""))</f>
        <v/>
      </c>
      <c r="Q818" s="16" t="str">
        <f t="array" ref="Q818">IF($A818="","", IFERROR(INDEX('BM Data'!$J:$J,MATCH($J818&amp; "-" &amp; $N818,'BM Data'!$O:$O,0),1),""))</f>
        <v/>
      </c>
    </row>
    <row r="819">
      <c r="A819" s="10" t="str">
        <f>IFERROR(__xludf.DUMMYFUNCTION("""COMPUTED_VALUE"""),"")</f>
        <v/>
      </c>
      <c r="B819" s="3" t="str">
        <f>IFERROR(__xludf.DUMMYFUNCTION("""COMPUTED_VALUE"""),"")</f>
        <v/>
      </c>
      <c r="C819" s="11" t="str">
        <f>IFERROR(__xludf.DUMMYFUNCTION("""COMPUTED_VALUE"""),"")</f>
        <v/>
      </c>
      <c r="D819" s="11" t="str">
        <f>IFERROR(__xludf.DUMMYFUNCTION("""COMPUTED_VALUE"""),"")</f>
        <v/>
      </c>
      <c r="E819" s="11" t="str">
        <f>IFERROR(__xludf.DUMMYFUNCTION("""COMPUTED_VALUE"""),"")</f>
        <v/>
      </c>
      <c r="F819" s="11" t="str">
        <f>IFERROR(__xludf.DUMMYFUNCTION("""COMPUTED_VALUE"""),"")</f>
        <v/>
      </c>
      <c r="G819" s="11" t="str">
        <f>IFERROR(__xludf.DUMMYFUNCTION("""COMPUTED_VALUE"""),"")</f>
        <v/>
      </c>
      <c r="H819" s="12" t="str">
        <f>IFERROR(__xludf.DUMMYFUNCTION("""COMPUTED_VALUE"""),"")</f>
        <v/>
      </c>
      <c r="I819" s="12" t="str">
        <f>IFERROR(__xludf.DUMMYFUNCTION("""COMPUTED_VALUE"""),"")</f>
        <v/>
      </c>
      <c r="J819" s="13" t="str">
        <f t="shared" si="1"/>
        <v/>
      </c>
      <c r="K819" s="12" t="str">
        <f>IFERROR(IF(A819="","",if($G819="",Reference!$J$2, VLOOKUP($G819,Reference!$I$2:$J$1000,2,false))),"")</f>
        <v/>
      </c>
      <c r="L819" s="12" t="str">
        <f>IF(A819="","", IF(F819="",Reference!$M$2,F819))</f>
        <v/>
      </c>
      <c r="M819" s="14" t="str">
        <f t="shared" si="2"/>
        <v/>
      </c>
      <c r="N819" s="15" t="str">
        <f t="shared" si="3"/>
        <v/>
      </c>
      <c r="O819" s="14" t="str">
        <f t="shared" si="4"/>
        <v/>
      </c>
      <c r="P819" s="16" t="str">
        <f t="array" ref="P819">IF($A819="","", IFERROR(INDEX('BM Data'!$N:$N,MATCH($J819&amp; "-" &amp; $N819,'BM Data'!$O:$O,0),1),""))</f>
        <v/>
      </c>
      <c r="Q819" s="16" t="str">
        <f t="array" ref="Q819">IF($A819="","", IFERROR(INDEX('BM Data'!$J:$J,MATCH($J819&amp; "-" &amp; $N819,'BM Data'!$O:$O,0),1),""))</f>
        <v/>
      </c>
    </row>
    <row r="820">
      <c r="A820" s="10" t="str">
        <f>IFERROR(__xludf.DUMMYFUNCTION("""COMPUTED_VALUE"""),"")</f>
        <v/>
      </c>
      <c r="B820" s="3" t="str">
        <f>IFERROR(__xludf.DUMMYFUNCTION("""COMPUTED_VALUE"""),"")</f>
        <v/>
      </c>
      <c r="C820" s="11" t="str">
        <f>IFERROR(__xludf.DUMMYFUNCTION("""COMPUTED_VALUE"""),"")</f>
        <v/>
      </c>
      <c r="D820" s="11" t="str">
        <f>IFERROR(__xludf.DUMMYFUNCTION("""COMPUTED_VALUE"""),"")</f>
        <v/>
      </c>
      <c r="E820" s="11" t="str">
        <f>IFERROR(__xludf.DUMMYFUNCTION("""COMPUTED_VALUE"""),"")</f>
        <v/>
      </c>
      <c r="F820" s="11" t="str">
        <f>IFERROR(__xludf.DUMMYFUNCTION("""COMPUTED_VALUE"""),"")</f>
        <v/>
      </c>
      <c r="G820" s="11" t="str">
        <f>IFERROR(__xludf.DUMMYFUNCTION("""COMPUTED_VALUE"""),"")</f>
        <v/>
      </c>
      <c r="H820" s="12" t="str">
        <f>IFERROR(__xludf.DUMMYFUNCTION("""COMPUTED_VALUE"""),"")</f>
        <v/>
      </c>
      <c r="I820" s="12" t="str">
        <f>IFERROR(__xludf.DUMMYFUNCTION("""COMPUTED_VALUE"""),"")</f>
        <v/>
      </c>
      <c r="J820" s="13" t="str">
        <f t="shared" si="1"/>
        <v/>
      </c>
      <c r="K820" s="12" t="str">
        <f>IFERROR(IF(A820="","",if($G820="",Reference!$J$2, VLOOKUP($G820,Reference!$I$2:$J$1000,2,false))),"")</f>
        <v/>
      </c>
      <c r="L820" s="12" t="str">
        <f>IF(A820="","", IF(F820="",Reference!$M$2,F820))</f>
        <v/>
      </c>
      <c r="M820" s="14" t="str">
        <f t="shared" si="2"/>
        <v/>
      </c>
      <c r="N820" s="15" t="str">
        <f t="shared" si="3"/>
        <v/>
      </c>
      <c r="O820" s="14" t="str">
        <f t="shared" si="4"/>
        <v/>
      </c>
      <c r="P820" s="16" t="str">
        <f t="array" ref="P820">IF($A820="","", IFERROR(INDEX('BM Data'!$N:$N,MATCH($J820&amp; "-" &amp; $N820,'BM Data'!$O:$O,0),1),""))</f>
        <v/>
      </c>
      <c r="Q820" s="16" t="str">
        <f t="array" ref="Q820">IF($A820="","", IFERROR(INDEX('BM Data'!$J:$J,MATCH($J820&amp; "-" &amp; $N820,'BM Data'!$O:$O,0),1),""))</f>
        <v/>
      </c>
    </row>
    <row r="821">
      <c r="A821" s="10" t="str">
        <f>IFERROR(__xludf.DUMMYFUNCTION("""COMPUTED_VALUE"""),"")</f>
        <v/>
      </c>
      <c r="B821" s="3" t="str">
        <f>IFERROR(__xludf.DUMMYFUNCTION("""COMPUTED_VALUE"""),"")</f>
        <v/>
      </c>
      <c r="C821" s="11" t="str">
        <f>IFERROR(__xludf.DUMMYFUNCTION("""COMPUTED_VALUE"""),"")</f>
        <v/>
      </c>
      <c r="D821" s="11" t="str">
        <f>IFERROR(__xludf.DUMMYFUNCTION("""COMPUTED_VALUE"""),"")</f>
        <v/>
      </c>
      <c r="E821" s="11" t="str">
        <f>IFERROR(__xludf.DUMMYFUNCTION("""COMPUTED_VALUE"""),"")</f>
        <v/>
      </c>
      <c r="F821" s="11" t="str">
        <f>IFERROR(__xludf.DUMMYFUNCTION("""COMPUTED_VALUE"""),"")</f>
        <v/>
      </c>
      <c r="G821" s="11" t="str">
        <f>IFERROR(__xludf.DUMMYFUNCTION("""COMPUTED_VALUE"""),"")</f>
        <v/>
      </c>
      <c r="H821" s="12" t="str">
        <f>IFERROR(__xludf.DUMMYFUNCTION("""COMPUTED_VALUE"""),"")</f>
        <v/>
      </c>
      <c r="I821" s="12" t="str">
        <f>IFERROR(__xludf.DUMMYFUNCTION("""COMPUTED_VALUE"""),"")</f>
        <v/>
      </c>
      <c r="J821" s="13" t="str">
        <f t="shared" si="1"/>
        <v/>
      </c>
      <c r="K821" s="12" t="str">
        <f>IFERROR(IF(A821="","",if($G821="",Reference!$J$2, VLOOKUP($G821,Reference!$I$2:$J$1000,2,false))),"")</f>
        <v/>
      </c>
      <c r="L821" s="12" t="str">
        <f>IF(A821="","", IF(F821="",Reference!$M$2,F821))</f>
        <v/>
      </c>
      <c r="M821" s="14" t="str">
        <f t="shared" si="2"/>
        <v/>
      </c>
      <c r="N821" s="15" t="str">
        <f t="shared" si="3"/>
        <v/>
      </c>
      <c r="O821" s="14" t="str">
        <f t="shared" si="4"/>
        <v/>
      </c>
      <c r="P821" s="16" t="str">
        <f t="array" ref="P821">IF($A821="","", IFERROR(INDEX('BM Data'!$N:$N,MATCH($J821&amp; "-" &amp; $N821,'BM Data'!$O:$O,0),1),""))</f>
        <v/>
      </c>
      <c r="Q821" s="16" t="str">
        <f t="array" ref="Q821">IF($A821="","", IFERROR(INDEX('BM Data'!$J:$J,MATCH($J821&amp; "-" &amp; $N821,'BM Data'!$O:$O,0),1),""))</f>
        <v/>
      </c>
    </row>
    <row r="822">
      <c r="A822" s="10" t="str">
        <f>IFERROR(__xludf.DUMMYFUNCTION("""COMPUTED_VALUE"""),"")</f>
        <v/>
      </c>
      <c r="B822" s="3" t="str">
        <f>IFERROR(__xludf.DUMMYFUNCTION("""COMPUTED_VALUE"""),"")</f>
        <v/>
      </c>
      <c r="C822" s="11" t="str">
        <f>IFERROR(__xludf.DUMMYFUNCTION("""COMPUTED_VALUE"""),"")</f>
        <v/>
      </c>
      <c r="D822" s="11" t="str">
        <f>IFERROR(__xludf.DUMMYFUNCTION("""COMPUTED_VALUE"""),"")</f>
        <v/>
      </c>
      <c r="E822" s="11" t="str">
        <f>IFERROR(__xludf.DUMMYFUNCTION("""COMPUTED_VALUE"""),"")</f>
        <v/>
      </c>
      <c r="F822" s="11" t="str">
        <f>IFERROR(__xludf.DUMMYFUNCTION("""COMPUTED_VALUE"""),"")</f>
        <v/>
      </c>
      <c r="G822" s="11" t="str">
        <f>IFERROR(__xludf.DUMMYFUNCTION("""COMPUTED_VALUE"""),"")</f>
        <v/>
      </c>
      <c r="H822" s="12" t="str">
        <f>IFERROR(__xludf.DUMMYFUNCTION("""COMPUTED_VALUE"""),"")</f>
        <v/>
      </c>
      <c r="I822" s="12" t="str">
        <f>IFERROR(__xludf.DUMMYFUNCTION("""COMPUTED_VALUE"""),"")</f>
        <v/>
      </c>
      <c r="J822" s="13" t="str">
        <f t="shared" si="1"/>
        <v/>
      </c>
      <c r="K822" s="12" t="str">
        <f>IFERROR(IF(A822="","",if($G822="",Reference!$J$2, VLOOKUP($G822,Reference!$I$2:$J$1000,2,false))),"")</f>
        <v/>
      </c>
      <c r="L822" s="12" t="str">
        <f>IF(A822="","", IF(F822="",Reference!$M$2,F822))</f>
        <v/>
      </c>
      <c r="M822" s="14" t="str">
        <f t="shared" si="2"/>
        <v/>
      </c>
      <c r="N822" s="15" t="str">
        <f t="shared" si="3"/>
        <v/>
      </c>
      <c r="O822" s="14" t="str">
        <f t="shared" si="4"/>
        <v/>
      </c>
      <c r="P822" s="16" t="str">
        <f t="array" ref="P822">IF($A822="","", IFERROR(INDEX('BM Data'!$N:$N,MATCH($J822&amp; "-" &amp; $N822,'BM Data'!$O:$O,0),1),""))</f>
        <v/>
      </c>
      <c r="Q822" s="16" t="str">
        <f t="array" ref="Q822">IF($A822="","", IFERROR(INDEX('BM Data'!$J:$J,MATCH($J822&amp; "-" &amp; $N822,'BM Data'!$O:$O,0),1),""))</f>
        <v/>
      </c>
    </row>
    <row r="823">
      <c r="A823" s="10" t="str">
        <f>IFERROR(__xludf.DUMMYFUNCTION("""COMPUTED_VALUE"""),"")</f>
        <v/>
      </c>
      <c r="B823" s="3" t="str">
        <f>IFERROR(__xludf.DUMMYFUNCTION("""COMPUTED_VALUE"""),"")</f>
        <v/>
      </c>
      <c r="C823" s="11" t="str">
        <f>IFERROR(__xludf.DUMMYFUNCTION("""COMPUTED_VALUE"""),"")</f>
        <v/>
      </c>
      <c r="D823" s="11" t="str">
        <f>IFERROR(__xludf.DUMMYFUNCTION("""COMPUTED_VALUE"""),"")</f>
        <v/>
      </c>
      <c r="E823" s="11" t="str">
        <f>IFERROR(__xludf.DUMMYFUNCTION("""COMPUTED_VALUE"""),"")</f>
        <v/>
      </c>
      <c r="F823" s="11" t="str">
        <f>IFERROR(__xludf.DUMMYFUNCTION("""COMPUTED_VALUE"""),"")</f>
        <v/>
      </c>
      <c r="G823" s="11" t="str">
        <f>IFERROR(__xludf.DUMMYFUNCTION("""COMPUTED_VALUE"""),"")</f>
        <v/>
      </c>
      <c r="H823" s="12" t="str">
        <f>IFERROR(__xludf.DUMMYFUNCTION("""COMPUTED_VALUE"""),"")</f>
        <v/>
      </c>
      <c r="I823" s="12" t="str">
        <f>IFERROR(__xludf.DUMMYFUNCTION("""COMPUTED_VALUE"""),"")</f>
        <v/>
      </c>
      <c r="J823" s="13" t="str">
        <f t="shared" si="1"/>
        <v/>
      </c>
      <c r="K823" s="12" t="str">
        <f>IFERROR(IF(A823="","",if($G823="",Reference!$J$2, VLOOKUP($G823,Reference!$I$2:$J$1000,2,false))),"")</f>
        <v/>
      </c>
      <c r="L823" s="12" t="str">
        <f>IF(A823="","", IF(F823="",Reference!$M$2,F823))</f>
        <v/>
      </c>
      <c r="M823" s="14" t="str">
        <f t="shared" si="2"/>
        <v/>
      </c>
      <c r="N823" s="15" t="str">
        <f t="shared" si="3"/>
        <v/>
      </c>
      <c r="O823" s="14" t="str">
        <f t="shared" si="4"/>
        <v/>
      </c>
      <c r="P823" s="16" t="str">
        <f t="array" ref="P823">IF($A823="","", IFERROR(INDEX('BM Data'!$N:$N,MATCH($J823&amp; "-" &amp; $N823,'BM Data'!$O:$O,0),1),""))</f>
        <v/>
      </c>
      <c r="Q823" s="16" t="str">
        <f t="array" ref="Q823">IF($A823="","", IFERROR(INDEX('BM Data'!$J:$J,MATCH($J823&amp; "-" &amp; $N823,'BM Data'!$O:$O,0),1),""))</f>
        <v/>
      </c>
    </row>
    <row r="824">
      <c r="A824" s="10" t="str">
        <f>IFERROR(__xludf.DUMMYFUNCTION("""COMPUTED_VALUE"""),"")</f>
        <v/>
      </c>
      <c r="B824" s="3" t="str">
        <f>IFERROR(__xludf.DUMMYFUNCTION("""COMPUTED_VALUE"""),"")</f>
        <v/>
      </c>
      <c r="C824" s="11" t="str">
        <f>IFERROR(__xludf.DUMMYFUNCTION("""COMPUTED_VALUE"""),"")</f>
        <v/>
      </c>
      <c r="D824" s="11" t="str">
        <f>IFERROR(__xludf.DUMMYFUNCTION("""COMPUTED_VALUE"""),"")</f>
        <v/>
      </c>
      <c r="E824" s="11" t="str">
        <f>IFERROR(__xludf.DUMMYFUNCTION("""COMPUTED_VALUE"""),"")</f>
        <v/>
      </c>
      <c r="F824" s="11" t="str">
        <f>IFERROR(__xludf.DUMMYFUNCTION("""COMPUTED_VALUE"""),"")</f>
        <v/>
      </c>
      <c r="G824" s="11" t="str">
        <f>IFERROR(__xludf.DUMMYFUNCTION("""COMPUTED_VALUE"""),"")</f>
        <v/>
      </c>
      <c r="H824" s="12" t="str">
        <f>IFERROR(__xludf.DUMMYFUNCTION("""COMPUTED_VALUE"""),"")</f>
        <v/>
      </c>
      <c r="I824" s="12" t="str">
        <f>IFERROR(__xludf.DUMMYFUNCTION("""COMPUTED_VALUE"""),"")</f>
        <v/>
      </c>
      <c r="J824" s="13" t="str">
        <f t="shared" si="1"/>
        <v/>
      </c>
      <c r="K824" s="12" t="str">
        <f>IFERROR(IF(A824="","",if($G824="",Reference!$J$2, VLOOKUP($G824,Reference!$I$2:$J$1000,2,false))),"")</f>
        <v/>
      </c>
      <c r="L824" s="12" t="str">
        <f>IF(A824="","", IF(F824="",Reference!$M$2,F824))</f>
        <v/>
      </c>
      <c r="M824" s="14" t="str">
        <f t="shared" si="2"/>
        <v/>
      </c>
      <c r="N824" s="15" t="str">
        <f t="shared" si="3"/>
        <v/>
      </c>
      <c r="O824" s="14" t="str">
        <f t="shared" si="4"/>
        <v/>
      </c>
      <c r="P824" s="16" t="str">
        <f t="array" ref="P824">IF($A824="","", IFERROR(INDEX('BM Data'!$N:$N,MATCH($J824&amp; "-" &amp; $N824,'BM Data'!$O:$O,0),1),""))</f>
        <v/>
      </c>
      <c r="Q824" s="16" t="str">
        <f t="array" ref="Q824">IF($A824="","", IFERROR(INDEX('BM Data'!$J:$J,MATCH($J824&amp; "-" &amp; $N824,'BM Data'!$O:$O,0),1),""))</f>
        <v/>
      </c>
    </row>
    <row r="825">
      <c r="A825" s="10" t="str">
        <f>IFERROR(__xludf.DUMMYFUNCTION("""COMPUTED_VALUE"""),"")</f>
        <v/>
      </c>
      <c r="B825" s="3" t="str">
        <f>IFERROR(__xludf.DUMMYFUNCTION("""COMPUTED_VALUE"""),"")</f>
        <v/>
      </c>
      <c r="C825" s="11" t="str">
        <f>IFERROR(__xludf.DUMMYFUNCTION("""COMPUTED_VALUE"""),"")</f>
        <v/>
      </c>
      <c r="D825" s="11" t="str">
        <f>IFERROR(__xludf.DUMMYFUNCTION("""COMPUTED_VALUE"""),"")</f>
        <v/>
      </c>
      <c r="E825" s="11" t="str">
        <f>IFERROR(__xludf.DUMMYFUNCTION("""COMPUTED_VALUE"""),"")</f>
        <v/>
      </c>
      <c r="F825" s="11" t="str">
        <f>IFERROR(__xludf.DUMMYFUNCTION("""COMPUTED_VALUE"""),"")</f>
        <v/>
      </c>
      <c r="G825" s="11" t="str">
        <f>IFERROR(__xludf.DUMMYFUNCTION("""COMPUTED_VALUE"""),"")</f>
        <v/>
      </c>
      <c r="H825" s="12" t="str">
        <f>IFERROR(__xludf.DUMMYFUNCTION("""COMPUTED_VALUE"""),"")</f>
        <v/>
      </c>
      <c r="I825" s="12" t="str">
        <f>IFERROR(__xludf.DUMMYFUNCTION("""COMPUTED_VALUE"""),"")</f>
        <v/>
      </c>
      <c r="J825" s="13" t="str">
        <f t="shared" si="1"/>
        <v/>
      </c>
      <c r="K825" s="12" t="str">
        <f>IFERROR(IF(A825="","",if($G825="",Reference!$J$2, VLOOKUP($G825,Reference!$I$2:$J$1000,2,false))),"")</f>
        <v/>
      </c>
      <c r="L825" s="12" t="str">
        <f>IF(A825="","", IF(F825="",Reference!$M$2,F825))</f>
        <v/>
      </c>
      <c r="M825" s="14" t="str">
        <f t="shared" si="2"/>
        <v/>
      </c>
      <c r="N825" s="15" t="str">
        <f t="shared" si="3"/>
        <v/>
      </c>
      <c r="O825" s="14" t="str">
        <f t="shared" si="4"/>
        <v/>
      </c>
      <c r="P825" s="16" t="str">
        <f t="array" ref="P825">IF($A825="","", IFERROR(INDEX('BM Data'!$N:$N,MATCH($J825&amp; "-" &amp; $N825,'BM Data'!$O:$O,0),1),""))</f>
        <v/>
      </c>
      <c r="Q825" s="16" t="str">
        <f t="array" ref="Q825">IF($A825="","", IFERROR(INDEX('BM Data'!$J:$J,MATCH($J825&amp; "-" &amp; $N825,'BM Data'!$O:$O,0),1),""))</f>
        <v/>
      </c>
    </row>
    <row r="826">
      <c r="A826" s="10" t="str">
        <f>IFERROR(__xludf.DUMMYFUNCTION("""COMPUTED_VALUE"""),"")</f>
        <v/>
      </c>
      <c r="B826" s="3" t="str">
        <f>IFERROR(__xludf.DUMMYFUNCTION("""COMPUTED_VALUE"""),"")</f>
        <v/>
      </c>
      <c r="C826" s="11" t="str">
        <f>IFERROR(__xludf.DUMMYFUNCTION("""COMPUTED_VALUE"""),"")</f>
        <v/>
      </c>
      <c r="D826" s="11" t="str">
        <f>IFERROR(__xludf.DUMMYFUNCTION("""COMPUTED_VALUE"""),"")</f>
        <v/>
      </c>
      <c r="E826" s="11" t="str">
        <f>IFERROR(__xludf.DUMMYFUNCTION("""COMPUTED_VALUE"""),"")</f>
        <v/>
      </c>
      <c r="F826" s="11" t="str">
        <f>IFERROR(__xludf.DUMMYFUNCTION("""COMPUTED_VALUE"""),"")</f>
        <v/>
      </c>
      <c r="G826" s="11" t="str">
        <f>IFERROR(__xludf.DUMMYFUNCTION("""COMPUTED_VALUE"""),"")</f>
        <v/>
      </c>
      <c r="H826" s="12" t="str">
        <f>IFERROR(__xludf.DUMMYFUNCTION("""COMPUTED_VALUE"""),"")</f>
        <v/>
      </c>
      <c r="I826" s="12" t="str">
        <f>IFERROR(__xludf.DUMMYFUNCTION("""COMPUTED_VALUE"""),"")</f>
        <v/>
      </c>
      <c r="J826" s="13" t="str">
        <f t="shared" si="1"/>
        <v/>
      </c>
      <c r="K826" s="12" t="str">
        <f>IFERROR(IF(A826="","",if($G826="",Reference!$J$2, VLOOKUP($G826,Reference!$I$2:$J$1000,2,false))),"")</f>
        <v/>
      </c>
      <c r="L826" s="12" t="str">
        <f>IF(A826="","", IF(F826="",Reference!$M$2,F826))</f>
        <v/>
      </c>
      <c r="M826" s="14" t="str">
        <f t="shared" si="2"/>
        <v/>
      </c>
      <c r="N826" s="15" t="str">
        <f t="shared" si="3"/>
        <v/>
      </c>
      <c r="O826" s="14" t="str">
        <f t="shared" si="4"/>
        <v/>
      </c>
      <c r="P826" s="16" t="str">
        <f t="array" ref="P826">IF($A826="","", IFERROR(INDEX('BM Data'!$N:$N,MATCH($J826&amp; "-" &amp; $N826,'BM Data'!$O:$O,0),1),""))</f>
        <v/>
      </c>
      <c r="Q826" s="16" t="str">
        <f t="array" ref="Q826">IF($A826="","", IFERROR(INDEX('BM Data'!$J:$J,MATCH($J826&amp; "-" &amp; $N826,'BM Data'!$O:$O,0),1),""))</f>
        <v/>
      </c>
    </row>
    <row r="827">
      <c r="A827" s="10" t="str">
        <f>IFERROR(__xludf.DUMMYFUNCTION("""COMPUTED_VALUE"""),"")</f>
        <v/>
      </c>
      <c r="B827" s="3" t="str">
        <f>IFERROR(__xludf.DUMMYFUNCTION("""COMPUTED_VALUE"""),"")</f>
        <v/>
      </c>
      <c r="C827" s="11" t="str">
        <f>IFERROR(__xludf.DUMMYFUNCTION("""COMPUTED_VALUE"""),"")</f>
        <v/>
      </c>
      <c r="D827" s="11" t="str">
        <f>IFERROR(__xludf.DUMMYFUNCTION("""COMPUTED_VALUE"""),"")</f>
        <v/>
      </c>
      <c r="E827" s="11" t="str">
        <f>IFERROR(__xludf.DUMMYFUNCTION("""COMPUTED_VALUE"""),"")</f>
        <v/>
      </c>
      <c r="F827" s="11" t="str">
        <f>IFERROR(__xludf.DUMMYFUNCTION("""COMPUTED_VALUE"""),"")</f>
        <v/>
      </c>
      <c r="G827" s="11" t="str">
        <f>IFERROR(__xludf.DUMMYFUNCTION("""COMPUTED_VALUE"""),"")</f>
        <v/>
      </c>
      <c r="H827" s="12" t="str">
        <f>IFERROR(__xludf.DUMMYFUNCTION("""COMPUTED_VALUE"""),"")</f>
        <v/>
      </c>
      <c r="I827" s="12" t="str">
        <f>IFERROR(__xludf.DUMMYFUNCTION("""COMPUTED_VALUE"""),"")</f>
        <v/>
      </c>
      <c r="J827" s="13" t="str">
        <f t="shared" si="1"/>
        <v/>
      </c>
      <c r="K827" s="12" t="str">
        <f>IFERROR(IF(A827="","",if($G827="",Reference!$J$2, VLOOKUP($G827,Reference!$I$2:$J$1000,2,false))),"")</f>
        <v/>
      </c>
      <c r="L827" s="12" t="str">
        <f>IF(A827="","", IF(F827="",Reference!$M$2,F827))</f>
        <v/>
      </c>
      <c r="M827" s="14" t="str">
        <f t="shared" si="2"/>
        <v/>
      </c>
      <c r="N827" s="15" t="str">
        <f t="shared" si="3"/>
        <v/>
      </c>
      <c r="O827" s="14" t="str">
        <f t="shared" si="4"/>
        <v/>
      </c>
      <c r="P827" s="16" t="str">
        <f t="array" ref="P827">IF($A827="","", IFERROR(INDEX('BM Data'!$N:$N,MATCH($J827&amp; "-" &amp; $N827,'BM Data'!$O:$O,0),1),""))</f>
        <v/>
      </c>
      <c r="Q827" s="16" t="str">
        <f t="array" ref="Q827">IF($A827="","", IFERROR(INDEX('BM Data'!$J:$J,MATCH($J827&amp; "-" &amp; $N827,'BM Data'!$O:$O,0),1),""))</f>
        <v/>
      </c>
    </row>
    <row r="828">
      <c r="A828" s="10" t="str">
        <f>IFERROR(__xludf.DUMMYFUNCTION("""COMPUTED_VALUE"""),"")</f>
        <v/>
      </c>
      <c r="B828" s="3" t="str">
        <f>IFERROR(__xludf.DUMMYFUNCTION("""COMPUTED_VALUE"""),"")</f>
        <v/>
      </c>
      <c r="C828" s="11" t="str">
        <f>IFERROR(__xludf.DUMMYFUNCTION("""COMPUTED_VALUE"""),"")</f>
        <v/>
      </c>
      <c r="D828" s="11" t="str">
        <f>IFERROR(__xludf.DUMMYFUNCTION("""COMPUTED_VALUE"""),"")</f>
        <v/>
      </c>
      <c r="E828" s="11" t="str">
        <f>IFERROR(__xludf.DUMMYFUNCTION("""COMPUTED_VALUE"""),"")</f>
        <v/>
      </c>
      <c r="F828" s="11" t="str">
        <f>IFERROR(__xludf.DUMMYFUNCTION("""COMPUTED_VALUE"""),"")</f>
        <v/>
      </c>
      <c r="G828" s="11" t="str">
        <f>IFERROR(__xludf.DUMMYFUNCTION("""COMPUTED_VALUE"""),"")</f>
        <v/>
      </c>
      <c r="H828" s="12" t="str">
        <f>IFERROR(__xludf.DUMMYFUNCTION("""COMPUTED_VALUE"""),"")</f>
        <v/>
      </c>
      <c r="I828" s="12" t="str">
        <f>IFERROR(__xludf.DUMMYFUNCTION("""COMPUTED_VALUE"""),"")</f>
        <v/>
      </c>
      <c r="J828" s="13" t="str">
        <f t="shared" si="1"/>
        <v/>
      </c>
      <c r="K828" s="12" t="str">
        <f>IFERROR(IF(A828="","",if($G828="",Reference!$J$2, VLOOKUP($G828,Reference!$I$2:$J$1000,2,false))),"")</f>
        <v/>
      </c>
      <c r="L828" s="12" t="str">
        <f>IF(A828="","", IF(F828="",Reference!$M$2,F828))</f>
        <v/>
      </c>
      <c r="M828" s="14" t="str">
        <f t="shared" si="2"/>
        <v/>
      </c>
      <c r="N828" s="15" t="str">
        <f t="shared" si="3"/>
        <v/>
      </c>
      <c r="O828" s="14" t="str">
        <f t="shared" si="4"/>
        <v/>
      </c>
      <c r="P828" s="16" t="str">
        <f t="array" ref="P828">IF($A828="","", IFERROR(INDEX('BM Data'!$N:$N,MATCH($J828&amp; "-" &amp; $N828,'BM Data'!$O:$O,0),1),""))</f>
        <v/>
      </c>
      <c r="Q828" s="16" t="str">
        <f t="array" ref="Q828">IF($A828="","", IFERROR(INDEX('BM Data'!$J:$J,MATCH($J828&amp; "-" &amp; $N828,'BM Data'!$O:$O,0),1),""))</f>
        <v/>
      </c>
    </row>
    <row r="829">
      <c r="A829" s="10" t="str">
        <f>IFERROR(__xludf.DUMMYFUNCTION("""COMPUTED_VALUE"""),"")</f>
        <v/>
      </c>
      <c r="B829" s="3" t="str">
        <f>IFERROR(__xludf.DUMMYFUNCTION("""COMPUTED_VALUE"""),"")</f>
        <v/>
      </c>
      <c r="C829" s="11" t="str">
        <f>IFERROR(__xludf.DUMMYFUNCTION("""COMPUTED_VALUE"""),"")</f>
        <v/>
      </c>
      <c r="D829" s="11" t="str">
        <f>IFERROR(__xludf.DUMMYFUNCTION("""COMPUTED_VALUE"""),"")</f>
        <v/>
      </c>
      <c r="E829" s="11" t="str">
        <f>IFERROR(__xludf.DUMMYFUNCTION("""COMPUTED_VALUE"""),"")</f>
        <v/>
      </c>
      <c r="F829" s="11" t="str">
        <f>IFERROR(__xludf.DUMMYFUNCTION("""COMPUTED_VALUE"""),"")</f>
        <v/>
      </c>
      <c r="G829" s="11" t="str">
        <f>IFERROR(__xludf.DUMMYFUNCTION("""COMPUTED_VALUE"""),"")</f>
        <v/>
      </c>
      <c r="H829" s="12" t="str">
        <f>IFERROR(__xludf.DUMMYFUNCTION("""COMPUTED_VALUE"""),"")</f>
        <v/>
      </c>
      <c r="I829" s="12" t="str">
        <f>IFERROR(__xludf.DUMMYFUNCTION("""COMPUTED_VALUE"""),"")</f>
        <v/>
      </c>
      <c r="J829" s="13" t="str">
        <f t="shared" si="1"/>
        <v/>
      </c>
      <c r="K829" s="12" t="str">
        <f>IFERROR(IF(A829="","",if($G829="",Reference!$J$2, VLOOKUP($G829,Reference!$I$2:$J$1000,2,false))),"")</f>
        <v/>
      </c>
      <c r="L829" s="12" t="str">
        <f>IF(A829="","", IF(F829="",Reference!$M$2,F829))</f>
        <v/>
      </c>
      <c r="M829" s="14" t="str">
        <f t="shared" si="2"/>
        <v/>
      </c>
      <c r="N829" s="15" t="str">
        <f t="shared" si="3"/>
        <v/>
      </c>
      <c r="O829" s="14" t="str">
        <f t="shared" si="4"/>
        <v/>
      </c>
      <c r="P829" s="16" t="str">
        <f t="array" ref="P829">IF($A829="","", IFERROR(INDEX('BM Data'!$N:$N,MATCH($J829&amp; "-" &amp; $N829,'BM Data'!$O:$O,0),1),""))</f>
        <v/>
      </c>
      <c r="Q829" s="16" t="str">
        <f t="array" ref="Q829">IF($A829="","", IFERROR(INDEX('BM Data'!$J:$J,MATCH($J829&amp; "-" &amp; $N829,'BM Data'!$O:$O,0),1),""))</f>
        <v/>
      </c>
    </row>
    <row r="830">
      <c r="A830" s="10" t="str">
        <f>IFERROR(__xludf.DUMMYFUNCTION("""COMPUTED_VALUE"""),"")</f>
        <v/>
      </c>
      <c r="B830" s="3" t="str">
        <f>IFERROR(__xludf.DUMMYFUNCTION("""COMPUTED_VALUE"""),"")</f>
        <v/>
      </c>
      <c r="C830" s="11" t="str">
        <f>IFERROR(__xludf.DUMMYFUNCTION("""COMPUTED_VALUE"""),"")</f>
        <v/>
      </c>
      <c r="D830" s="11" t="str">
        <f>IFERROR(__xludf.DUMMYFUNCTION("""COMPUTED_VALUE"""),"")</f>
        <v/>
      </c>
      <c r="E830" s="11" t="str">
        <f>IFERROR(__xludf.DUMMYFUNCTION("""COMPUTED_VALUE"""),"")</f>
        <v/>
      </c>
      <c r="F830" s="11" t="str">
        <f>IFERROR(__xludf.DUMMYFUNCTION("""COMPUTED_VALUE"""),"")</f>
        <v/>
      </c>
      <c r="G830" s="11" t="str">
        <f>IFERROR(__xludf.DUMMYFUNCTION("""COMPUTED_VALUE"""),"")</f>
        <v/>
      </c>
      <c r="H830" s="12" t="str">
        <f>IFERROR(__xludf.DUMMYFUNCTION("""COMPUTED_VALUE"""),"")</f>
        <v/>
      </c>
      <c r="I830" s="12" t="str">
        <f>IFERROR(__xludf.DUMMYFUNCTION("""COMPUTED_VALUE"""),"")</f>
        <v/>
      </c>
      <c r="J830" s="13" t="str">
        <f t="shared" si="1"/>
        <v/>
      </c>
      <c r="K830" s="12" t="str">
        <f>IFERROR(IF(A830="","",if($G830="",Reference!$J$2, VLOOKUP($G830,Reference!$I$2:$J$1000,2,false))),"")</f>
        <v/>
      </c>
      <c r="L830" s="12" t="str">
        <f>IF(A830="","", IF(F830="",Reference!$M$2,F830))</f>
        <v/>
      </c>
      <c r="M830" s="14" t="str">
        <f t="shared" si="2"/>
        <v/>
      </c>
      <c r="N830" s="15" t="str">
        <f t="shared" si="3"/>
        <v/>
      </c>
      <c r="O830" s="14" t="str">
        <f t="shared" si="4"/>
        <v/>
      </c>
      <c r="P830" s="16" t="str">
        <f t="array" ref="P830">IF($A830="","", IFERROR(INDEX('BM Data'!$N:$N,MATCH($J830&amp; "-" &amp; $N830,'BM Data'!$O:$O,0),1),""))</f>
        <v/>
      </c>
      <c r="Q830" s="16" t="str">
        <f t="array" ref="Q830">IF($A830="","", IFERROR(INDEX('BM Data'!$J:$J,MATCH($J830&amp; "-" &amp; $N830,'BM Data'!$O:$O,0),1),""))</f>
        <v/>
      </c>
    </row>
    <row r="831">
      <c r="A831" s="10" t="str">
        <f>IFERROR(__xludf.DUMMYFUNCTION("""COMPUTED_VALUE"""),"")</f>
        <v/>
      </c>
      <c r="B831" s="3" t="str">
        <f>IFERROR(__xludf.DUMMYFUNCTION("""COMPUTED_VALUE"""),"")</f>
        <v/>
      </c>
      <c r="C831" s="11" t="str">
        <f>IFERROR(__xludf.DUMMYFUNCTION("""COMPUTED_VALUE"""),"")</f>
        <v/>
      </c>
      <c r="D831" s="11" t="str">
        <f>IFERROR(__xludf.DUMMYFUNCTION("""COMPUTED_VALUE"""),"")</f>
        <v/>
      </c>
      <c r="E831" s="11" t="str">
        <f>IFERROR(__xludf.DUMMYFUNCTION("""COMPUTED_VALUE"""),"")</f>
        <v/>
      </c>
      <c r="F831" s="11" t="str">
        <f>IFERROR(__xludf.DUMMYFUNCTION("""COMPUTED_VALUE"""),"")</f>
        <v/>
      </c>
      <c r="G831" s="11" t="str">
        <f>IFERROR(__xludf.DUMMYFUNCTION("""COMPUTED_VALUE"""),"")</f>
        <v/>
      </c>
      <c r="H831" s="12" t="str">
        <f>IFERROR(__xludf.DUMMYFUNCTION("""COMPUTED_VALUE"""),"")</f>
        <v/>
      </c>
      <c r="I831" s="12" t="str">
        <f>IFERROR(__xludf.DUMMYFUNCTION("""COMPUTED_VALUE"""),"")</f>
        <v/>
      </c>
      <c r="J831" s="13" t="str">
        <f t="shared" si="1"/>
        <v/>
      </c>
      <c r="K831" s="12" t="str">
        <f>IFERROR(IF(A831="","",if($G831="",Reference!$J$2, VLOOKUP($G831,Reference!$I$2:$J$1000,2,false))),"")</f>
        <v/>
      </c>
      <c r="L831" s="12" t="str">
        <f>IF(A831="","", IF(F831="",Reference!$M$2,F831))</f>
        <v/>
      </c>
      <c r="M831" s="14" t="str">
        <f t="shared" si="2"/>
        <v/>
      </c>
      <c r="N831" s="15" t="str">
        <f t="shared" si="3"/>
        <v/>
      </c>
      <c r="O831" s="14" t="str">
        <f t="shared" si="4"/>
        <v/>
      </c>
      <c r="P831" s="16" t="str">
        <f t="array" ref="P831">IF($A831="","", IFERROR(INDEX('BM Data'!$N:$N,MATCH($J831&amp; "-" &amp; $N831,'BM Data'!$O:$O,0),1),""))</f>
        <v/>
      </c>
      <c r="Q831" s="16" t="str">
        <f t="array" ref="Q831">IF($A831="","", IFERROR(INDEX('BM Data'!$J:$J,MATCH($J831&amp; "-" &amp; $N831,'BM Data'!$O:$O,0),1),""))</f>
        <v/>
      </c>
    </row>
    <row r="832">
      <c r="A832" s="10" t="str">
        <f>IFERROR(__xludf.DUMMYFUNCTION("""COMPUTED_VALUE"""),"")</f>
        <v/>
      </c>
      <c r="B832" s="3" t="str">
        <f>IFERROR(__xludf.DUMMYFUNCTION("""COMPUTED_VALUE"""),"")</f>
        <v/>
      </c>
      <c r="C832" s="11" t="str">
        <f>IFERROR(__xludf.DUMMYFUNCTION("""COMPUTED_VALUE"""),"")</f>
        <v/>
      </c>
      <c r="D832" s="11" t="str">
        <f>IFERROR(__xludf.DUMMYFUNCTION("""COMPUTED_VALUE"""),"")</f>
        <v/>
      </c>
      <c r="E832" s="11" t="str">
        <f>IFERROR(__xludf.DUMMYFUNCTION("""COMPUTED_VALUE"""),"")</f>
        <v/>
      </c>
      <c r="F832" s="11" t="str">
        <f>IFERROR(__xludf.DUMMYFUNCTION("""COMPUTED_VALUE"""),"")</f>
        <v/>
      </c>
      <c r="G832" s="11" t="str">
        <f>IFERROR(__xludf.DUMMYFUNCTION("""COMPUTED_VALUE"""),"")</f>
        <v/>
      </c>
      <c r="H832" s="12" t="str">
        <f>IFERROR(__xludf.DUMMYFUNCTION("""COMPUTED_VALUE"""),"")</f>
        <v/>
      </c>
      <c r="I832" s="12" t="str">
        <f>IFERROR(__xludf.DUMMYFUNCTION("""COMPUTED_VALUE"""),"")</f>
        <v/>
      </c>
      <c r="J832" s="13" t="str">
        <f t="shared" si="1"/>
        <v/>
      </c>
      <c r="K832" s="12" t="str">
        <f>IFERROR(IF(A832="","",if($G832="",Reference!$J$2, VLOOKUP($G832,Reference!$I$2:$J$1000,2,false))),"")</f>
        <v/>
      </c>
      <c r="L832" s="12" t="str">
        <f>IF(A832="","", IF(F832="",Reference!$M$2,F832))</f>
        <v/>
      </c>
      <c r="M832" s="14" t="str">
        <f t="shared" si="2"/>
        <v/>
      </c>
      <c r="N832" s="15" t="str">
        <f t="shared" si="3"/>
        <v/>
      </c>
      <c r="O832" s="14" t="str">
        <f t="shared" si="4"/>
        <v/>
      </c>
      <c r="P832" s="16" t="str">
        <f t="array" ref="P832">IF($A832="","", IFERROR(INDEX('BM Data'!$N:$N,MATCH($J832&amp; "-" &amp; $N832,'BM Data'!$O:$O,0),1),""))</f>
        <v/>
      </c>
      <c r="Q832" s="16" t="str">
        <f t="array" ref="Q832">IF($A832="","", IFERROR(INDEX('BM Data'!$J:$J,MATCH($J832&amp; "-" &amp; $N832,'BM Data'!$O:$O,0),1),""))</f>
        <v/>
      </c>
    </row>
    <row r="833">
      <c r="A833" s="10" t="str">
        <f>IFERROR(__xludf.DUMMYFUNCTION("""COMPUTED_VALUE"""),"")</f>
        <v/>
      </c>
      <c r="B833" s="3" t="str">
        <f>IFERROR(__xludf.DUMMYFUNCTION("""COMPUTED_VALUE"""),"")</f>
        <v/>
      </c>
      <c r="C833" s="11" t="str">
        <f>IFERROR(__xludf.DUMMYFUNCTION("""COMPUTED_VALUE"""),"")</f>
        <v/>
      </c>
      <c r="D833" s="11" t="str">
        <f>IFERROR(__xludf.DUMMYFUNCTION("""COMPUTED_VALUE"""),"")</f>
        <v/>
      </c>
      <c r="E833" s="11" t="str">
        <f>IFERROR(__xludf.DUMMYFUNCTION("""COMPUTED_VALUE"""),"")</f>
        <v/>
      </c>
      <c r="F833" s="11" t="str">
        <f>IFERROR(__xludf.DUMMYFUNCTION("""COMPUTED_VALUE"""),"")</f>
        <v/>
      </c>
      <c r="G833" s="11" t="str">
        <f>IFERROR(__xludf.DUMMYFUNCTION("""COMPUTED_VALUE"""),"")</f>
        <v/>
      </c>
      <c r="H833" s="12" t="str">
        <f>IFERROR(__xludf.DUMMYFUNCTION("""COMPUTED_VALUE"""),"")</f>
        <v/>
      </c>
      <c r="I833" s="12" t="str">
        <f>IFERROR(__xludf.DUMMYFUNCTION("""COMPUTED_VALUE"""),"")</f>
        <v/>
      </c>
      <c r="J833" s="13" t="str">
        <f t="shared" si="1"/>
        <v/>
      </c>
      <c r="K833" s="12" t="str">
        <f>IFERROR(IF(A833="","",if($G833="",Reference!$J$2, VLOOKUP($G833,Reference!$I$2:$J$1000,2,false))),"")</f>
        <v/>
      </c>
      <c r="L833" s="12" t="str">
        <f>IF(A833="","", IF(F833="",Reference!$M$2,F833))</f>
        <v/>
      </c>
      <c r="M833" s="14" t="str">
        <f t="shared" si="2"/>
        <v/>
      </c>
      <c r="N833" s="15" t="str">
        <f t="shared" si="3"/>
        <v/>
      </c>
      <c r="O833" s="14" t="str">
        <f t="shared" si="4"/>
        <v/>
      </c>
      <c r="P833" s="16" t="str">
        <f t="array" ref="P833">IF($A833="","", IFERROR(INDEX('BM Data'!$N:$N,MATCH($J833&amp; "-" &amp; $N833,'BM Data'!$O:$O,0),1),""))</f>
        <v/>
      </c>
      <c r="Q833" s="16" t="str">
        <f t="array" ref="Q833">IF($A833="","", IFERROR(INDEX('BM Data'!$J:$J,MATCH($J833&amp; "-" &amp; $N833,'BM Data'!$O:$O,0),1),""))</f>
        <v/>
      </c>
    </row>
    <row r="834">
      <c r="A834" s="10" t="str">
        <f>IFERROR(__xludf.DUMMYFUNCTION("""COMPUTED_VALUE"""),"")</f>
        <v/>
      </c>
      <c r="B834" s="3" t="str">
        <f>IFERROR(__xludf.DUMMYFUNCTION("""COMPUTED_VALUE"""),"")</f>
        <v/>
      </c>
      <c r="C834" s="11" t="str">
        <f>IFERROR(__xludf.DUMMYFUNCTION("""COMPUTED_VALUE"""),"")</f>
        <v/>
      </c>
      <c r="D834" s="11" t="str">
        <f>IFERROR(__xludf.DUMMYFUNCTION("""COMPUTED_VALUE"""),"")</f>
        <v/>
      </c>
      <c r="E834" s="11" t="str">
        <f>IFERROR(__xludf.DUMMYFUNCTION("""COMPUTED_VALUE"""),"")</f>
        <v/>
      </c>
      <c r="F834" s="11" t="str">
        <f>IFERROR(__xludf.DUMMYFUNCTION("""COMPUTED_VALUE"""),"")</f>
        <v/>
      </c>
      <c r="G834" s="11" t="str">
        <f>IFERROR(__xludf.DUMMYFUNCTION("""COMPUTED_VALUE"""),"")</f>
        <v/>
      </c>
      <c r="H834" s="12" t="str">
        <f>IFERROR(__xludf.DUMMYFUNCTION("""COMPUTED_VALUE"""),"")</f>
        <v/>
      </c>
      <c r="I834" s="12" t="str">
        <f>IFERROR(__xludf.DUMMYFUNCTION("""COMPUTED_VALUE"""),"")</f>
        <v/>
      </c>
      <c r="J834" s="13" t="str">
        <f t="shared" si="1"/>
        <v/>
      </c>
      <c r="K834" s="12" t="str">
        <f>IFERROR(IF(A834="","",if($G834="",Reference!$J$2, VLOOKUP($G834,Reference!$I$2:$J$1000,2,false))),"")</f>
        <v/>
      </c>
      <c r="L834" s="12" t="str">
        <f>IF(A834="","", IF(F834="",Reference!$M$2,F834))</f>
        <v/>
      </c>
      <c r="M834" s="14" t="str">
        <f t="shared" si="2"/>
        <v/>
      </c>
      <c r="N834" s="15" t="str">
        <f t="shared" si="3"/>
        <v/>
      </c>
      <c r="O834" s="14" t="str">
        <f t="shared" si="4"/>
        <v/>
      </c>
      <c r="P834" s="16" t="str">
        <f t="array" ref="P834">IF($A834="","", IFERROR(INDEX('BM Data'!$N:$N,MATCH($J834&amp; "-" &amp; $N834,'BM Data'!$O:$O,0),1),""))</f>
        <v/>
      </c>
      <c r="Q834" s="16" t="str">
        <f t="array" ref="Q834">IF($A834="","", IFERROR(INDEX('BM Data'!$J:$J,MATCH($J834&amp; "-" &amp; $N834,'BM Data'!$O:$O,0),1),""))</f>
        <v/>
      </c>
    </row>
    <row r="835">
      <c r="A835" s="10" t="str">
        <f>IFERROR(__xludf.DUMMYFUNCTION("""COMPUTED_VALUE"""),"")</f>
        <v/>
      </c>
      <c r="B835" s="3" t="str">
        <f>IFERROR(__xludf.DUMMYFUNCTION("""COMPUTED_VALUE"""),"")</f>
        <v/>
      </c>
      <c r="C835" s="11" t="str">
        <f>IFERROR(__xludf.DUMMYFUNCTION("""COMPUTED_VALUE"""),"")</f>
        <v/>
      </c>
      <c r="D835" s="11" t="str">
        <f>IFERROR(__xludf.DUMMYFUNCTION("""COMPUTED_VALUE"""),"")</f>
        <v/>
      </c>
      <c r="E835" s="11" t="str">
        <f>IFERROR(__xludf.DUMMYFUNCTION("""COMPUTED_VALUE"""),"")</f>
        <v/>
      </c>
      <c r="F835" s="11" t="str">
        <f>IFERROR(__xludf.DUMMYFUNCTION("""COMPUTED_VALUE"""),"")</f>
        <v/>
      </c>
      <c r="G835" s="11" t="str">
        <f>IFERROR(__xludf.DUMMYFUNCTION("""COMPUTED_VALUE"""),"")</f>
        <v/>
      </c>
      <c r="H835" s="12" t="str">
        <f>IFERROR(__xludf.DUMMYFUNCTION("""COMPUTED_VALUE"""),"")</f>
        <v/>
      </c>
      <c r="I835" s="12" t="str">
        <f>IFERROR(__xludf.DUMMYFUNCTION("""COMPUTED_VALUE"""),"")</f>
        <v/>
      </c>
      <c r="J835" s="13" t="str">
        <f t="shared" si="1"/>
        <v/>
      </c>
      <c r="K835" s="12" t="str">
        <f>IFERROR(IF(A835="","",if($G835="",Reference!$J$2, VLOOKUP($G835,Reference!$I$2:$J$1000,2,false))),"")</f>
        <v/>
      </c>
      <c r="L835" s="12" t="str">
        <f>IF(A835="","", IF(F835="",Reference!$M$2,F835))</f>
        <v/>
      </c>
      <c r="M835" s="14" t="str">
        <f t="shared" si="2"/>
        <v/>
      </c>
      <c r="N835" s="15" t="str">
        <f t="shared" si="3"/>
        <v/>
      </c>
      <c r="O835" s="14" t="str">
        <f t="shared" si="4"/>
        <v/>
      </c>
      <c r="P835" s="16" t="str">
        <f t="array" ref="P835">IF($A835="","", IFERROR(INDEX('BM Data'!$N:$N,MATCH($J835&amp; "-" &amp; $N835,'BM Data'!$O:$O,0),1),""))</f>
        <v/>
      </c>
      <c r="Q835" s="16" t="str">
        <f t="array" ref="Q835">IF($A835="","", IFERROR(INDEX('BM Data'!$J:$J,MATCH($J835&amp; "-" &amp; $N835,'BM Data'!$O:$O,0),1),""))</f>
        <v/>
      </c>
    </row>
    <row r="836">
      <c r="A836" s="10" t="str">
        <f>IFERROR(__xludf.DUMMYFUNCTION("""COMPUTED_VALUE"""),"")</f>
        <v/>
      </c>
      <c r="B836" s="3" t="str">
        <f>IFERROR(__xludf.DUMMYFUNCTION("""COMPUTED_VALUE"""),"")</f>
        <v/>
      </c>
      <c r="C836" s="11" t="str">
        <f>IFERROR(__xludf.DUMMYFUNCTION("""COMPUTED_VALUE"""),"")</f>
        <v/>
      </c>
      <c r="D836" s="11" t="str">
        <f>IFERROR(__xludf.DUMMYFUNCTION("""COMPUTED_VALUE"""),"")</f>
        <v/>
      </c>
      <c r="E836" s="11" t="str">
        <f>IFERROR(__xludf.DUMMYFUNCTION("""COMPUTED_VALUE"""),"")</f>
        <v/>
      </c>
      <c r="F836" s="11" t="str">
        <f>IFERROR(__xludf.DUMMYFUNCTION("""COMPUTED_VALUE"""),"")</f>
        <v/>
      </c>
      <c r="G836" s="11" t="str">
        <f>IFERROR(__xludf.DUMMYFUNCTION("""COMPUTED_VALUE"""),"")</f>
        <v/>
      </c>
      <c r="H836" s="12" t="str">
        <f>IFERROR(__xludf.DUMMYFUNCTION("""COMPUTED_VALUE"""),"")</f>
        <v/>
      </c>
      <c r="I836" s="12" t="str">
        <f>IFERROR(__xludf.DUMMYFUNCTION("""COMPUTED_VALUE"""),"")</f>
        <v/>
      </c>
      <c r="J836" s="13" t="str">
        <f t="shared" si="1"/>
        <v/>
      </c>
      <c r="K836" s="12" t="str">
        <f>IFERROR(IF(A836="","",if($G836="",Reference!$J$2, VLOOKUP($G836,Reference!$I$2:$J$1000,2,false))),"")</f>
        <v/>
      </c>
      <c r="L836" s="12" t="str">
        <f>IF(A836="","", IF(F836="",Reference!$M$2,F836))</f>
        <v/>
      </c>
      <c r="M836" s="14" t="str">
        <f t="shared" si="2"/>
        <v/>
      </c>
      <c r="N836" s="15" t="str">
        <f t="shared" si="3"/>
        <v/>
      </c>
      <c r="O836" s="14" t="str">
        <f t="shared" si="4"/>
        <v/>
      </c>
      <c r="P836" s="16" t="str">
        <f t="array" ref="P836">IF($A836="","", IFERROR(INDEX('BM Data'!$N:$N,MATCH($J836&amp; "-" &amp; $N836,'BM Data'!$O:$O,0),1),""))</f>
        <v/>
      </c>
      <c r="Q836" s="16" t="str">
        <f t="array" ref="Q836">IF($A836="","", IFERROR(INDEX('BM Data'!$J:$J,MATCH($J836&amp; "-" &amp; $N836,'BM Data'!$O:$O,0),1),""))</f>
        <v/>
      </c>
    </row>
    <row r="837">
      <c r="A837" s="10" t="str">
        <f>IFERROR(__xludf.DUMMYFUNCTION("""COMPUTED_VALUE"""),"")</f>
        <v/>
      </c>
      <c r="B837" s="3" t="str">
        <f>IFERROR(__xludf.DUMMYFUNCTION("""COMPUTED_VALUE"""),"")</f>
        <v/>
      </c>
      <c r="C837" s="11" t="str">
        <f>IFERROR(__xludf.DUMMYFUNCTION("""COMPUTED_VALUE"""),"")</f>
        <v/>
      </c>
      <c r="D837" s="11" t="str">
        <f>IFERROR(__xludf.DUMMYFUNCTION("""COMPUTED_VALUE"""),"")</f>
        <v/>
      </c>
      <c r="E837" s="11" t="str">
        <f>IFERROR(__xludf.DUMMYFUNCTION("""COMPUTED_VALUE"""),"")</f>
        <v/>
      </c>
      <c r="F837" s="11" t="str">
        <f>IFERROR(__xludf.DUMMYFUNCTION("""COMPUTED_VALUE"""),"")</f>
        <v/>
      </c>
      <c r="G837" s="11" t="str">
        <f>IFERROR(__xludf.DUMMYFUNCTION("""COMPUTED_VALUE"""),"")</f>
        <v/>
      </c>
      <c r="H837" s="12" t="str">
        <f>IFERROR(__xludf.DUMMYFUNCTION("""COMPUTED_VALUE"""),"")</f>
        <v/>
      </c>
      <c r="I837" s="12" t="str">
        <f>IFERROR(__xludf.DUMMYFUNCTION("""COMPUTED_VALUE"""),"")</f>
        <v/>
      </c>
      <c r="J837" s="13" t="str">
        <f t="shared" si="1"/>
        <v/>
      </c>
      <c r="K837" s="12" t="str">
        <f>IFERROR(IF(A837="","",if($G837="",Reference!$J$2, VLOOKUP($G837,Reference!$I$2:$J$1000,2,false))),"")</f>
        <v/>
      </c>
      <c r="L837" s="12" t="str">
        <f>IF(A837="","", IF(F837="",Reference!$M$2,F837))</f>
        <v/>
      </c>
      <c r="M837" s="14" t="str">
        <f t="shared" si="2"/>
        <v/>
      </c>
      <c r="N837" s="15" t="str">
        <f t="shared" si="3"/>
        <v/>
      </c>
      <c r="O837" s="14" t="str">
        <f t="shared" si="4"/>
        <v/>
      </c>
      <c r="P837" s="16" t="str">
        <f t="array" ref="P837">IF($A837="","", IFERROR(INDEX('BM Data'!$N:$N,MATCH($J837&amp; "-" &amp; $N837,'BM Data'!$O:$O,0),1),""))</f>
        <v/>
      </c>
      <c r="Q837" s="16" t="str">
        <f t="array" ref="Q837">IF($A837="","", IFERROR(INDEX('BM Data'!$J:$J,MATCH($J837&amp; "-" &amp; $N837,'BM Data'!$O:$O,0),1),""))</f>
        <v/>
      </c>
    </row>
    <row r="838">
      <c r="A838" s="10" t="str">
        <f>IFERROR(__xludf.DUMMYFUNCTION("""COMPUTED_VALUE"""),"")</f>
        <v/>
      </c>
      <c r="B838" s="3" t="str">
        <f>IFERROR(__xludf.DUMMYFUNCTION("""COMPUTED_VALUE"""),"")</f>
        <v/>
      </c>
      <c r="C838" s="11" t="str">
        <f>IFERROR(__xludf.DUMMYFUNCTION("""COMPUTED_VALUE"""),"")</f>
        <v/>
      </c>
      <c r="D838" s="11" t="str">
        <f>IFERROR(__xludf.DUMMYFUNCTION("""COMPUTED_VALUE"""),"")</f>
        <v/>
      </c>
      <c r="E838" s="11" t="str">
        <f>IFERROR(__xludf.DUMMYFUNCTION("""COMPUTED_VALUE"""),"")</f>
        <v/>
      </c>
      <c r="F838" s="11" t="str">
        <f>IFERROR(__xludf.DUMMYFUNCTION("""COMPUTED_VALUE"""),"")</f>
        <v/>
      </c>
      <c r="G838" s="11" t="str">
        <f>IFERROR(__xludf.DUMMYFUNCTION("""COMPUTED_VALUE"""),"")</f>
        <v/>
      </c>
      <c r="H838" s="12" t="str">
        <f>IFERROR(__xludf.DUMMYFUNCTION("""COMPUTED_VALUE"""),"")</f>
        <v/>
      </c>
      <c r="I838" s="12" t="str">
        <f>IFERROR(__xludf.DUMMYFUNCTION("""COMPUTED_VALUE"""),"")</f>
        <v/>
      </c>
      <c r="J838" s="13" t="str">
        <f t="shared" si="1"/>
        <v/>
      </c>
      <c r="K838" s="12" t="str">
        <f>IFERROR(IF(A838="","",if($G838="",Reference!$J$2, VLOOKUP($G838,Reference!$I$2:$J$1000,2,false))),"")</f>
        <v/>
      </c>
      <c r="L838" s="12" t="str">
        <f>IF(A838="","", IF(F838="",Reference!$M$2,F838))</f>
        <v/>
      </c>
      <c r="M838" s="14" t="str">
        <f t="shared" si="2"/>
        <v/>
      </c>
      <c r="N838" s="15" t="str">
        <f t="shared" si="3"/>
        <v/>
      </c>
      <c r="O838" s="14" t="str">
        <f t="shared" si="4"/>
        <v/>
      </c>
      <c r="P838" s="16" t="str">
        <f t="array" ref="P838">IF($A838="","", IFERROR(INDEX('BM Data'!$N:$N,MATCH($J838&amp; "-" &amp; $N838,'BM Data'!$O:$O,0),1),""))</f>
        <v/>
      </c>
      <c r="Q838" s="16" t="str">
        <f t="array" ref="Q838">IF($A838="","", IFERROR(INDEX('BM Data'!$J:$J,MATCH($J838&amp; "-" &amp; $N838,'BM Data'!$O:$O,0),1),""))</f>
        <v/>
      </c>
    </row>
    <row r="839">
      <c r="A839" s="10" t="str">
        <f>IFERROR(__xludf.DUMMYFUNCTION("""COMPUTED_VALUE"""),"")</f>
        <v/>
      </c>
      <c r="B839" s="3" t="str">
        <f>IFERROR(__xludf.DUMMYFUNCTION("""COMPUTED_VALUE"""),"")</f>
        <v/>
      </c>
      <c r="C839" s="11" t="str">
        <f>IFERROR(__xludf.DUMMYFUNCTION("""COMPUTED_VALUE"""),"")</f>
        <v/>
      </c>
      <c r="D839" s="11" t="str">
        <f>IFERROR(__xludf.DUMMYFUNCTION("""COMPUTED_VALUE"""),"")</f>
        <v/>
      </c>
      <c r="E839" s="11" t="str">
        <f>IFERROR(__xludf.DUMMYFUNCTION("""COMPUTED_VALUE"""),"")</f>
        <v/>
      </c>
      <c r="F839" s="11" t="str">
        <f>IFERROR(__xludf.DUMMYFUNCTION("""COMPUTED_VALUE"""),"")</f>
        <v/>
      </c>
      <c r="G839" s="11" t="str">
        <f>IFERROR(__xludf.DUMMYFUNCTION("""COMPUTED_VALUE"""),"")</f>
        <v/>
      </c>
      <c r="H839" s="12" t="str">
        <f>IFERROR(__xludf.DUMMYFUNCTION("""COMPUTED_VALUE"""),"")</f>
        <v/>
      </c>
      <c r="I839" s="12" t="str">
        <f>IFERROR(__xludf.DUMMYFUNCTION("""COMPUTED_VALUE"""),"")</f>
        <v/>
      </c>
      <c r="J839" s="13" t="str">
        <f t="shared" si="1"/>
        <v/>
      </c>
      <c r="K839" s="12" t="str">
        <f>IFERROR(IF(A839="","",if($G839="",Reference!$J$2, VLOOKUP($G839,Reference!$I$2:$J$1000,2,false))),"")</f>
        <v/>
      </c>
      <c r="L839" s="12" t="str">
        <f>IF(A839="","", IF(F839="",Reference!$M$2,F839))</f>
        <v/>
      </c>
      <c r="M839" s="14" t="str">
        <f t="shared" si="2"/>
        <v/>
      </c>
      <c r="N839" s="15" t="str">
        <f t="shared" si="3"/>
        <v/>
      </c>
      <c r="O839" s="14" t="str">
        <f t="shared" si="4"/>
        <v/>
      </c>
      <c r="P839" s="16" t="str">
        <f t="array" ref="P839">IF($A839="","", IFERROR(INDEX('BM Data'!$N:$N,MATCH($J839&amp; "-" &amp; $N839,'BM Data'!$O:$O,0),1),""))</f>
        <v/>
      </c>
      <c r="Q839" s="16" t="str">
        <f t="array" ref="Q839">IF($A839="","", IFERROR(INDEX('BM Data'!$J:$J,MATCH($J839&amp; "-" &amp; $N839,'BM Data'!$O:$O,0),1),""))</f>
        <v/>
      </c>
    </row>
    <row r="840">
      <c r="A840" s="10" t="str">
        <f>IFERROR(__xludf.DUMMYFUNCTION("""COMPUTED_VALUE"""),"")</f>
        <v/>
      </c>
      <c r="B840" s="3" t="str">
        <f>IFERROR(__xludf.DUMMYFUNCTION("""COMPUTED_VALUE"""),"")</f>
        <v/>
      </c>
      <c r="C840" s="11" t="str">
        <f>IFERROR(__xludf.DUMMYFUNCTION("""COMPUTED_VALUE"""),"")</f>
        <v/>
      </c>
      <c r="D840" s="11" t="str">
        <f>IFERROR(__xludf.DUMMYFUNCTION("""COMPUTED_VALUE"""),"")</f>
        <v/>
      </c>
      <c r="E840" s="11" t="str">
        <f>IFERROR(__xludf.DUMMYFUNCTION("""COMPUTED_VALUE"""),"")</f>
        <v/>
      </c>
      <c r="F840" s="11" t="str">
        <f>IFERROR(__xludf.DUMMYFUNCTION("""COMPUTED_VALUE"""),"")</f>
        <v/>
      </c>
      <c r="G840" s="11" t="str">
        <f>IFERROR(__xludf.DUMMYFUNCTION("""COMPUTED_VALUE"""),"")</f>
        <v/>
      </c>
      <c r="H840" s="12" t="str">
        <f>IFERROR(__xludf.DUMMYFUNCTION("""COMPUTED_VALUE"""),"")</f>
        <v/>
      </c>
      <c r="I840" s="12" t="str">
        <f>IFERROR(__xludf.DUMMYFUNCTION("""COMPUTED_VALUE"""),"")</f>
        <v/>
      </c>
      <c r="J840" s="13" t="str">
        <f t="shared" si="1"/>
        <v/>
      </c>
      <c r="K840" s="12" t="str">
        <f>IFERROR(IF(A840="","",if($G840="",Reference!$J$2, VLOOKUP($G840,Reference!$I$2:$J$1000,2,false))),"")</f>
        <v/>
      </c>
      <c r="L840" s="12" t="str">
        <f>IF(A840="","", IF(F840="",Reference!$M$2,F840))</f>
        <v/>
      </c>
      <c r="M840" s="14" t="str">
        <f t="shared" si="2"/>
        <v/>
      </c>
      <c r="N840" s="15" t="str">
        <f t="shared" si="3"/>
        <v/>
      </c>
      <c r="O840" s="14" t="str">
        <f t="shared" si="4"/>
        <v/>
      </c>
      <c r="P840" s="16" t="str">
        <f t="array" ref="P840">IF($A840="","", IFERROR(INDEX('BM Data'!$N:$N,MATCH($J840&amp; "-" &amp; $N840,'BM Data'!$O:$O,0),1),""))</f>
        <v/>
      </c>
      <c r="Q840" s="16" t="str">
        <f t="array" ref="Q840">IF($A840="","", IFERROR(INDEX('BM Data'!$J:$J,MATCH($J840&amp; "-" &amp; $N840,'BM Data'!$O:$O,0),1),""))</f>
        <v/>
      </c>
    </row>
    <row r="841">
      <c r="A841" s="10" t="str">
        <f>IFERROR(__xludf.DUMMYFUNCTION("""COMPUTED_VALUE"""),"")</f>
        <v/>
      </c>
      <c r="B841" s="3" t="str">
        <f>IFERROR(__xludf.DUMMYFUNCTION("""COMPUTED_VALUE"""),"")</f>
        <v/>
      </c>
      <c r="C841" s="11" t="str">
        <f>IFERROR(__xludf.DUMMYFUNCTION("""COMPUTED_VALUE"""),"")</f>
        <v/>
      </c>
      <c r="D841" s="11" t="str">
        <f>IFERROR(__xludf.DUMMYFUNCTION("""COMPUTED_VALUE"""),"")</f>
        <v/>
      </c>
      <c r="E841" s="11" t="str">
        <f>IFERROR(__xludf.DUMMYFUNCTION("""COMPUTED_VALUE"""),"")</f>
        <v/>
      </c>
      <c r="F841" s="11" t="str">
        <f>IFERROR(__xludf.DUMMYFUNCTION("""COMPUTED_VALUE"""),"")</f>
        <v/>
      </c>
      <c r="G841" s="11" t="str">
        <f>IFERROR(__xludf.DUMMYFUNCTION("""COMPUTED_VALUE"""),"")</f>
        <v/>
      </c>
      <c r="H841" s="12" t="str">
        <f>IFERROR(__xludf.DUMMYFUNCTION("""COMPUTED_VALUE"""),"")</f>
        <v/>
      </c>
      <c r="I841" s="12" t="str">
        <f>IFERROR(__xludf.DUMMYFUNCTION("""COMPUTED_VALUE"""),"")</f>
        <v/>
      </c>
      <c r="J841" s="13" t="str">
        <f t="shared" si="1"/>
        <v/>
      </c>
      <c r="K841" s="12" t="str">
        <f>IFERROR(IF(A841="","",if($G841="",Reference!$J$2, VLOOKUP($G841,Reference!$I$2:$J$1000,2,false))),"")</f>
        <v/>
      </c>
      <c r="L841" s="12" t="str">
        <f>IF(A841="","", IF(F841="",Reference!$M$2,F841))</f>
        <v/>
      </c>
      <c r="M841" s="14" t="str">
        <f t="shared" si="2"/>
        <v/>
      </c>
      <c r="N841" s="15" t="str">
        <f t="shared" si="3"/>
        <v/>
      </c>
      <c r="O841" s="14" t="str">
        <f t="shared" si="4"/>
        <v/>
      </c>
      <c r="P841" s="16" t="str">
        <f t="array" ref="P841">IF($A841="","", IFERROR(INDEX('BM Data'!$N:$N,MATCH($J841&amp; "-" &amp; $N841,'BM Data'!$O:$O,0),1),""))</f>
        <v/>
      </c>
      <c r="Q841" s="16" t="str">
        <f t="array" ref="Q841">IF($A841="","", IFERROR(INDEX('BM Data'!$J:$J,MATCH($J841&amp; "-" &amp; $N841,'BM Data'!$O:$O,0),1),""))</f>
        <v/>
      </c>
    </row>
    <row r="842">
      <c r="A842" s="10" t="str">
        <f>IFERROR(__xludf.DUMMYFUNCTION("""COMPUTED_VALUE"""),"")</f>
        <v/>
      </c>
      <c r="B842" s="3" t="str">
        <f>IFERROR(__xludf.DUMMYFUNCTION("""COMPUTED_VALUE"""),"")</f>
        <v/>
      </c>
      <c r="C842" s="11" t="str">
        <f>IFERROR(__xludf.DUMMYFUNCTION("""COMPUTED_VALUE"""),"")</f>
        <v/>
      </c>
      <c r="D842" s="11" t="str">
        <f>IFERROR(__xludf.DUMMYFUNCTION("""COMPUTED_VALUE"""),"")</f>
        <v/>
      </c>
      <c r="E842" s="11" t="str">
        <f>IFERROR(__xludf.DUMMYFUNCTION("""COMPUTED_VALUE"""),"")</f>
        <v/>
      </c>
      <c r="F842" s="11" t="str">
        <f>IFERROR(__xludf.DUMMYFUNCTION("""COMPUTED_VALUE"""),"")</f>
        <v/>
      </c>
      <c r="G842" s="11" t="str">
        <f>IFERROR(__xludf.DUMMYFUNCTION("""COMPUTED_VALUE"""),"")</f>
        <v/>
      </c>
      <c r="H842" s="12" t="str">
        <f>IFERROR(__xludf.DUMMYFUNCTION("""COMPUTED_VALUE"""),"")</f>
        <v/>
      </c>
      <c r="I842" s="12" t="str">
        <f>IFERROR(__xludf.DUMMYFUNCTION("""COMPUTED_VALUE"""),"")</f>
        <v/>
      </c>
      <c r="J842" s="13" t="str">
        <f t="shared" si="1"/>
        <v/>
      </c>
      <c r="K842" s="12" t="str">
        <f>IFERROR(IF(A842="","",if($G842="",Reference!$J$2, VLOOKUP($G842,Reference!$I$2:$J$1000,2,false))),"")</f>
        <v/>
      </c>
      <c r="L842" s="12" t="str">
        <f>IF(A842="","", IF(F842="",Reference!$M$2,F842))</f>
        <v/>
      </c>
      <c r="M842" s="14" t="str">
        <f t="shared" si="2"/>
        <v/>
      </c>
      <c r="N842" s="15" t="str">
        <f t="shared" si="3"/>
        <v/>
      </c>
      <c r="O842" s="14" t="str">
        <f t="shared" si="4"/>
        <v/>
      </c>
      <c r="P842" s="16" t="str">
        <f t="array" ref="P842">IF($A842="","", IFERROR(INDEX('BM Data'!$N:$N,MATCH($J842&amp; "-" &amp; $N842,'BM Data'!$O:$O,0),1),""))</f>
        <v/>
      </c>
      <c r="Q842" s="16" t="str">
        <f t="array" ref="Q842">IF($A842="","", IFERROR(INDEX('BM Data'!$J:$J,MATCH($J842&amp; "-" &amp; $N842,'BM Data'!$O:$O,0),1),""))</f>
        <v/>
      </c>
    </row>
    <row r="843">
      <c r="A843" s="10" t="str">
        <f>IFERROR(__xludf.DUMMYFUNCTION("""COMPUTED_VALUE"""),"")</f>
        <v/>
      </c>
      <c r="B843" s="3" t="str">
        <f>IFERROR(__xludf.DUMMYFUNCTION("""COMPUTED_VALUE"""),"")</f>
        <v/>
      </c>
      <c r="C843" s="11" t="str">
        <f>IFERROR(__xludf.DUMMYFUNCTION("""COMPUTED_VALUE"""),"")</f>
        <v/>
      </c>
      <c r="D843" s="11" t="str">
        <f>IFERROR(__xludf.DUMMYFUNCTION("""COMPUTED_VALUE"""),"")</f>
        <v/>
      </c>
      <c r="E843" s="11" t="str">
        <f>IFERROR(__xludf.DUMMYFUNCTION("""COMPUTED_VALUE"""),"")</f>
        <v/>
      </c>
      <c r="F843" s="11" t="str">
        <f>IFERROR(__xludf.DUMMYFUNCTION("""COMPUTED_VALUE"""),"")</f>
        <v/>
      </c>
      <c r="G843" s="11" t="str">
        <f>IFERROR(__xludf.DUMMYFUNCTION("""COMPUTED_VALUE"""),"")</f>
        <v/>
      </c>
      <c r="H843" s="12" t="str">
        <f>IFERROR(__xludf.DUMMYFUNCTION("""COMPUTED_VALUE"""),"")</f>
        <v/>
      </c>
      <c r="I843" s="12" t="str">
        <f>IFERROR(__xludf.DUMMYFUNCTION("""COMPUTED_VALUE"""),"")</f>
        <v/>
      </c>
      <c r="J843" s="13" t="str">
        <f t="shared" si="1"/>
        <v/>
      </c>
      <c r="K843" s="12" t="str">
        <f>IFERROR(IF(A843="","",if($G843="",Reference!$J$2, VLOOKUP($G843,Reference!$I$2:$J$1000,2,false))),"")</f>
        <v/>
      </c>
      <c r="L843" s="12" t="str">
        <f>IF(A843="","", IF(F843="",Reference!$M$2,F843))</f>
        <v/>
      </c>
      <c r="M843" s="14" t="str">
        <f t="shared" si="2"/>
        <v/>
      </c>
      <c r="N843" s="15" t="str">
        <f t="shared" si="3"/>
        <v/>
      </c>
      <c r="O843" s="14" t="str">
        <f t="shared" si="4"/>
        <v/>
      </c>
      <c r="P843" s="16" t="str">
        <f t="array" ref="P843">IF($A843="","", IFERROR(INDEX('BM Data'!$N:$N,MATCH($J843&amp; "-" &amp; $N843,'BM Data'!$O:$O,0),1),""))</f>
        <v/>
      </c>
      <c r="Q843" s="16" t="str">
        <f t="array" ref="Q843">IF($A843="","", IFERROR(INDEX('BM Data'!$J:$J,MATCH($J843&amp; "-" &amp; $N843,'BM Data'!$O:$O,0),1),""))</f>
        <v/>
      </c>
    </row>
    <row r="844">
      <c r="A844" s="10" t="str">
        <f>IFERROR(__xludf.DUMMYFUNCTION("""COMPUTED_VALUE"""),"")</f>
        <v/>
      </c>
      <c r="B844" s="3" t="str">
        <f>IFERROR(__xludf.DUMMYFUNCTION("""COMPUTED_VALUE"""),"")</f>
        <v/>
      </c>
      <c r="C844" s="11" t="str">
        <f>IFERROR(__xludf.DUMMYFUNCTION("""COMPUTED_VALUE"""),"")</f>
        <v/>
      </c>
      <c r="D844" s="11" t="str">
        <f>IFERROR(__xludf.DUMMYFUNCTION("""COMPUTED_VALUE"""),"")</f>
        <v/>
      </c>
      <c r="E844" s="11" t="str">
        <f>IFERROR(__xludf.DUMMYFUNCTION("""COMPUTED_VALUE"""),"")</f>
        <v/>
      </c>
      <c r="F844" s="11" t="str">
        <f>IFERROR(__xludf.DUMMYFUNCTION("""COMPUTED_VALUE"""),"")</f>
        <v/>
      </c>
      <c r="G844" s="11" t="str">
        <f>IFERROR(__xludf.DUMMYFUNCTION("""COMPUTED_VALUE"""),"")</f>
        <v/>
      </c>
      <c r="H844" s="12" t="str">
        <f>IFERROR(__xludf.DUMMYFUNCTION("""COMPUTED_VALUE"""),"")</f>
        <v/>
      </c>
      <c r="I844" s="12" t="str">
        <f>IFERROR(__xludf.DUMMYFUNCTION("""COMPUTED_VALUE"""),"")</f>
        <v/>
      </c>
      <c r="J844" s="13" t="str">
        <f t="shared" si="1"/>
        <v/>
      </c>
      <c r="K844" s="12" t="str">
        <f>IFERROR(IF(A844="","",if($G844="",Reference!$J$2, VLOOKUP($G844,Reference!$I$2:$J$1000,2,false))),"")</f>
        <v/>
      </c>
      <c r="L844" s="12" t="str">
        <f>IF(A844="","", IF(F844="",Reference!$M$2,F844))</f>
        <v/>
      </c>
      <c r="M844" s="14" t="str">
        <f t="shared" si="2"/>
        <v/>
      </c>
      <c r="N844" s="15" t="str">
        <f t="shared" si="3"/>
        <v/>
      </c>
      <c r="O844" s="14" t="str">
        <f t="shared" si="4"/>
        <v/>
      </c>
      <c r="P844" s="16" t="str">
        <f t="array" ref="P844">IF($A844="","", IFERROR(INDEX('BM Data'!$N:$N,MATCH($J844&amp; "-" &amp; $N844,'BM Data'!$O:$O,0),1),""))</f>
        <v/>
      </c>
      <c r="Q844" s="16" t="str">
        <f t="array" ref="Q844">IF($A844="","", IFERROR(INDEX('BM Data'!$J:$J,MATCH($J844&amp; "-" &amp; $N844,'BM Data'!$O:$O,0),1),""))</f>
        <v/>
      </c>
    </row>
    <row r="845">
      <c r="A845" s="10" t="str">
        <f>IFERROR(__xludf.DUMMYFUNCTION("""COMPUTED_VALUE"""),"")</f>
        <v/>
      </c>
      <c r="B845" s="3" t="str">
        <f>IFERROR(__xludf.DUMMYFUNCTION("""COMPUTED_VALUE"""),"")</f>
        <v/>
      </c>
      <c r="C845" s="11" t="str">
        <f>IFERROR(__xludf.DUMMYFUNCTION("""COMPUTED_VALUE"""),"")</f>
        <v/>
      </c>
      <c r="D845" s="11" t="str">
        <f>IFERROR(__xludf.DUMMYFUNCTION("""COMPUTED_VALUE"""),"")</f>
        <v/>
      </c>
      <c r="E845" s="11" t="str">
        <f>IFERROR(__xludf.DUMMYFUNCTION("""COMPUTED_VALUE"""),"")</f>
        <v/>
      </c>
      <c r="F845" s="11" t="str">
        <f>IFERROR(__xludf.DUMMYFUNCTION("""COMPUTED_VALUE"""),"")</f>
        <v/>
      </c>
      <c r="G845" s="11" t="str">
        <f>IFERROR(__xludf.DUMMYFUNCTION("""COMPUTED_VALUE"""),"")</f>
        <v/>
      </c>
      <c r="H845" s="12" t="str">
        <f>IFERROR(__xludf.DUMMYFUNCTION("""COMPUTED_VALUE"""),"")</f>
        <v/>
      </c>
      <c r="I845" s="12" t="str">
        <f>IFERROR(__xludf.DUMMYFUNCTION("""COMPUTED_VALUE"""),"")</f>
        <v/>
      </c>
      <c r="J845" s="13" t="str">
        <f t="shared" si="1"/>
        <v/>
      </c>
      <c r="K845" s="12" t="str">
        <f>IFERROR(IF(A845="","",if($G845="",Reference!$J$2, VLOOKUP($G845,Reference!$I$2:$J$1000,2,false))),"")</f>
        <v/>
      </c>
      <c r="L845" s="12" t="str">
        <f>IF(A845="","", IF(F845="",Reference!$M$2,F845))</f>
        <v/>
      </c>
      <c r="M845" s="14" t="str">
        <f t="shared" si="2"/>
        <v/>
      </c>
      <c r="N845" s="15" t="str">
        <f t="shared" si="3"/>
        <v/>
      </c>
      <c r="O845" s="14" t="str">
        <f t="shared" si="4"/>
        <v/>
      </c>
      <c r="P845" s="16" t="str">
        <f t="array" ref="P845">IF($A845="","", IFERROR(INDEX('BM Data'!$N:$N,MATCH($J845&amp; "-" &amp; $N845,'BM Data'!$O:$O,0),1),""))</f>
        <v/>
      </c>
      <c r="Q845" s="16" t="str">
        <f t="array" ref="Q845">IF($A845="","", IFERROR(INDEX('BM Data'!$J:$J,MATCH($J845&amp; "-" &amp; $N845,'BM Data'!$O:$O,0),1),""))</f>
        <v/>
      </c>
    </row>
    <row r="846">
      <c r="A846" s="10" t="str">
        <f>IFERROR(__xludf.DUMMYFUNCTION("""COMPUTED_VALUE"""),"")</f>
        <v/>
      </c>
      <c r="B846" s="3" t="str">
        <f>IFERROR(__xludf.DUMMYFUNCTION("""COMPUTED_VALUE"""),"")</f>
        <v/>
      </c>
      <c r="C846" s="11" t="str">
        <f>IFERROR(__xludf.DUMMYFUNCTION("""COMPUTED_VALUE"""),"")</f>
        <v/>
      </c>
      <c r="D846" s="11" t="str">
        <f>IFERROR(__xludf.DUMMYFUNCTION("""COMPUTED_VALUE"""),"")</f>
        <v/>
      </c>
      <c r="E846" s="11" t="str">
        <f>IFERROR(__xludf.DUMMYFUNCTION("""COMPUTED_VALUE"""),"")</f>
        <v/>
      </c>
      <c r="F846" s="11" t="str">
        <f>IFERROR(__xludf.DUMMYFUNCTION("""COMPUTED_VALUE"""),"")</f>
        <v/>
      </c>
      <c r="G846" s="11" t="str">
        <f>IFERROR(__xludf.DUMMYFUNCTION("""COMPUTED_VALUE"""),"")</f>
        <v/>
      </c>
      <c r="H846" s="12" t="str">
        <f>IFERROR(__xludf.DUMMYFUNCTION("""COMPUTED_VALUE"""),"")</f>
        <v/>
      </c>
      <c r="I846" s="12" t="str">
        <f>IFERROR(__xludf.DUMMYFUNCTION("""COMPUTED_VALUE"""),"")</f>
        <v/>
      </c>
      <c r="J846" s="13" t="str">
        <f t="shared" si="1"/>
        <v/>
      </c>
      <c r="K846" s="12" t="str">
        <f>IFERROR(IF(A846="","",if($G846="",Reference!$J$2, VLOOKUP($G846,Reference!$I$2:$J$1000,2,false))),"")</f>
        <v/>
      </c>
      <c r="L846" s="12" t="str">
        <f>IF(A846="","", IF(F846="",Reference!$M$2,F846))</f>
        <v/>
      </c>
      <c r="M846" s="14" t="str">
        <f t="shared" si="2"/>
        <v/>
      </c>
      <c r="N846" s="15" t="str">
        <f t="shared" si="3"/>
        <v/>
      </c>
      <c r="O846" s="14" t="str">
        <f t="shared" si="4"/>
        <v/>
      </c>
      <c r="P846" s="16" t="str">
        <f t="array" ref="P846">IF($A846="","", IFERROR(INDEX('BM Data'!$N:$N,MATCH($J846&amp; "-" &amp; $N846,'BM Data'!$O:$O,0),1),""))</f>
        <v/>
      </c>
      <c r="Q846" s="16" t="str">
        <f t="array" ref="Q846">IF($A846="","", IFERROR(INDEX('BM Data'!$J:$J,MATCH($J846&amp; "-" &amp; $N846,'BM Data'!$O:$O,0),1),""))</f>
        <v/>
      </c>
    </row>
    <row r="847">
      <c r="A847" s="10" t="str">
        <f>IFERROR(__xludf.DUMMYFUNCTION("""COMPUTED_VALUE"""),"")</f>
        <v/>
      </c>
      <c r="B847" s="3" t="str">
        <f>IFERROR(__xludf.DUMMYFUNCTION("""COMPUTED_VALUE"""),"")</f>
        <v/>
      </c>
      <c r="C847" s="11" t="str">
        <f>IFERROR(__xludf.DUMMYFUNCTION("""COMPUTED_VALUE"""),"")</f>
        <v/>
      </c>
      <c r="D847" s="11" t="str">
        <f>IFERROR(__xludf.DUMMYFUNCTION("""COMPUTED_VALUE"""),"")</f>
        <v/>
      </c>
      <c r="E847" s="11" t="str">
        <f>IFERROR(__xludf.DUMMYFUNCTION("""COMPUTED_VALUE"""),"")</f>
        <v/>
      </c>
      <c r="F847" s="11" t="str">
        <f>IFERROR(__xludf.DUMMYFUNCTION("""COMPUTED_VALUE"""),"")</f>
        <v/>
      </c>
      <c r="G847" s="11" t="str">
        <f>IFERROR(__xludf.DUMMYFUNCTION("""COMPUTED_VALUE"""),"")</f>
        <v/>
      </c>
      <c r="H847" s="12" t="str">
        <f>IFERROR(__xludf.DUMMYFUNCTION("""COMPUTED_VALUE"""),"")</f>
        <v/>
      </c>
      <c r="I847" s="12" t="str">
        <f>IFERROR(__xludf.DUMMYFUNCTION("""COMPUTED_VALUE"""),"")</f>
        <v/>
      </c>
      <c r="J847" s="13" t="str">
        <f t="shared" si="1"/>
        <v/>
      </c>
      <c r="K847" s="12" t="str">
        <f>IFERROR(IF(A847="","",if($G847="",Reference!$J$2, VLOOKUP($G847,Reference!$I$2:$J$1000,2,false))),"")</f>
        <v/>
      </c>
      <c r="L847" s="12" t="str">
        <f>IF(A847="","", IF(F847="",Reference!$M$2,F847))</f>
        <v/>
      </c>
      <c r="M847" s="14" t="str">
        <f t="shared" si="2"/>
        <v/>
      </c>
      <c r="N847" s="15" t="str">
        <f t="shared" si="3"/>
        <v/>
      </c>
      <c r="O847" s="14" t="str">
        <f t="shared" si="4"/>
        <v/>
      </c>
      <c r="P847" s="16" t="str">
        <f t="array" ref="P847">IF($A847="","", IFERROR(INDEX('BM Data'!$N:$N,MATCH($J847&amp; "-" &amp; $N847,'BM Data'!$O:$O,0),1),""))</f>
        <v/>
      </c>
      <c r="Q847" s="16" t="str">
        <f t="array" ref="Q847">IF($A847="","", IFERROR(INDEX('BM Data'!$J:$J,MATCH($J847&amp; "-" &amp; $N847,'BM Data'!$O:$O,0),1),""))</f>
        <v/>
      </c>
    </row>
    <row r="848">
      <c r="A848" s="10" t="str">
        <f>IFERROR(__xludf.DUMMYFUNCTION("""COMPUTED_VALUE"""),"")</f>
        <v/>
      </c>
      <c r="B848" s="3" t="str">
        <f>IFERROR(__xludf.DUMMYFUNCTION("""COMPUTED_VALUE"""),"")</f>
        <v/>
      </c>
      <c r="C848" s="11" t="str">
        <f>IFERROR(__xludf.DUMMYFUNCTION("""COMPUTED_VALUE"""),"")</f>
        <v/>
      </c>
      <c r="D848" s="11" t="str">
        <f>IFERROR(__xludf.DUMMYFUNCTION("""COMPUTED_VALUE"""),"")</f>
        <v/>
      </c>
      <c r="E848" s="11" t="str">
        <f>IFERROR(__xludf.DUMMYFUNCTION("""COMPUTED_VALUE"""),"")</f>
        <v/>
      </c>
      <c r="F848" s="11" t="str">
        <f>IFERROR(__xludf.DUMMYFUNCTION("""COMPUTED_VALUE"""),"")</f>
        <v/>
      </c>
      <c r="G848" s="11" t="str">
        <f>IFERROR(__xludf.DUMMYFUNCTION("""COMPUTED_VALUE"""),"")</f>
        <v/>
      </c>
      <c r="H848" s="12" t="str">
        <f>IFERROR(__xludf.DUMMYFUNCTION("""COMPUTED_VALUE"""),"")</f>
        <v/>
      </c>
      <c r="I848" s="12" t="str">
        <f>IFERROR(__xludf.DUMMYFUNCTION("""COMPUTED_VALUE"""),"")</f>
        <v/>
      </c>
      <c r="J848" s="13" t="str">
        <f t="shared" si="1"/>
        <v/>
      </c>
      <c r="K848" s="12" t="str">
        <f>IFERROR(IF(A848="","",if($G848="",Reference!$J$2, VLOOKUP($G848,Reference!$I$2:$J$1000,2,false))),"")</f>
        <v/>
      </c>
      <c r="L848" s="12" t="str">
        <f>IF(A848="","", IF(F848="",Reference!$M$2,F848))</f>
        <v/>
      </c>
      <c r="M848" s="14" t="str">
        <f t="shared" si="2"/>
        <v/>
      </c>
      <c r="N848" s="15" t="str">
        <f t="shared" si="3"/>
        <v/>
      </c>
      <c r="O848" s="14" t="str">
        <f t="shared" si="4"/>
        <v/>
      </c>
      <c r="P848" s="16" t="str">
        <f t="array" ref="P848">IF($A848="","", IFERROR(INDEX('BM Data'!$N:$N,MATCH($J848&amp; "-" &amp; $N848,'BM Data'!$O:$O,0),1),""))</f>
        <v/>
      </c>
      <c r="Q848" s="16" t="str">
        <f t="array" ref="Q848">IF($A848="","", IFERROR(INDEX('BM Data'!$J:$J,MATCH($J848&amp; "-" &amp; $N848,'BM Data'!$O:$O,0),1),""))</f>
        <v/>
      </c>
    </row>
    <row r="849">
      <c r="A849" s="10" t="str">
        <f>IFERROR(__xludf.DUMMYFUNCTION("""COMPUTED_VALUE"""),"")</f>
        <v/>
      </c>
      <c r="B849" s="3" t="str">
        <f>IFERROR(__xludf.DUMMYFUNCTION("""COMPUTED_VALUE"""),"")</f>
        <v/>
      </c>
      <c r="C849" s="11" t="str">
        <f>IFERROR(__xludf.DUMMYFUNCTION("""COMPUTED_VALUE"""),"")</f>
        <v/>
      </c>
      <c r="D849" s="11" t="str">
        <f>IFERROR(__xludf.DUMMYFUNCTION("""COMPUTED_VALUE"""),"")</f>
        <v/>
      </c>
      <c r="E849" s="11" t="str">
        <f>IFERROR(__xludf.DUMMYFUNCTION("""COMPUTED_VALUE"""),"")</f>
        <v/>
      </c>
      <c r="F849" s="11" t="str">
        <f>IFERROR(__xludf.DUMMYFUNCTION("""COMPUTED_VALUE"""),"")</f>
        <v/>
      </c>
      <c r="G849" s="11" t="str">
        <f>IFERROR(__xludf.DUMMYFUNCTION("""COMPUTED_VALUE"""),"")</f>
        <v/>
      </c>
      <c r="H849" s="12" t="str">
        <f>IFERROR(__xludf.DUMMYFUNCTION("""COMPUTED_VALUE"""),"")</f>
        <v/>
      </c>
      <c r="I849" s="12" t="str">
        <f>IFERROR(__xludf.DUMMYFUNCTION("""COMPUTED_VALUE"""),"")</f>
        <v/>
      </c>
      <c r="J849" s="13" t="str">
        <f t="shared" si="1"/>
        <v/>
      </c>
      <c r="K849" s="12" t="str">
        <f>IFERROR(IF(A849="","",if($G849="",Reference!$J$2, VLOOKUP($G849,Reference!$I$2:$J$1000,2,false))),"")</f>
        <v/>
      </c>
      <c r="L849" s="12" t="str">
        <f>IF(A849="","", IF(F849="",Reference!$M$2,F849))</f>
        <v/>
      </c>
      <c r="M849" s="14" t="str">
        <f t="shared" si="2"/>
        <v/>
      </c>
      <c r="N849" s="15" t="str">
        <f t="shared" si="3"/>
        <v/>
      </c>
      <c r="O849" s="14" t="str">
        <f t="shared" si="4"/>
        <v/>
      </c>
      <c r="P849" s="16" t="str">
        <f t="array" ref="P849">IF($A849="","", IFERROR(INDEX('BM Data'!$N:$N,MATCH($J849&amp; "-" &amp; $N849,'BM Data'!$O:$O,0),1),""))</f>
        <v/>
      </c>
      <c r="Q849" s="16" t="str">
        <f t="array" ref="Q849">IF($A849="","", IFERROR(INDEX('BM Data'!$J:$J,MATCH($J849&amp; "-" &amp; $N849,'BM Data'!$O:$O,0),1),""))</f>
        <v/>
      </c>
    </row>
    <row r="850">
      <c r="A850" s="10" t="str">
        <f>IFERROR(__xludf.DUMMYFUNCTION("""COMPUTED_VALUE"""),"")</f>
        <v/>
      </c>
      <c r="B850" s="3" t="str">
        <f>IFERROR(__xludf.DUMMYFUNCTION("""COMPUTED_VALUE"""),"")</f>
        <v/>
      </c>
      <c r="C850" s="11" t="str">
        <f>IFERROR(__xludf.DUMMYFUNCTION("""COMPUTED_VALUE"""),"")</f>
        <v/>
      </c>
      <c r="D850" s="11" t="str">
        <f>IFERROR(__xludf.DUMMYFUNCTION("""COMPUTED_VALUE"""),"")</f>
        <v/>
      </c>
      <c r="E850" s="11" t="str">
        <f>IFERROR(__xludf.DUMMYFUNCTION("""COMPUTED_VALUE"""),"")</f>
        <v/>
      </c>
      <c r="F850" s="11" t="str">
        <f>IFERROR(__xludf.DUMMYFUNCTION("""COMPUTED_VALUE"""),"")</f>
        <v/>
      </c>
      <c r="G850" s="11" t="str">
        <f>IFERROR(__xludf.DUMMYFUNCTION("""COMPUTED_VALUE"""),"")</f>
        <v/>
      </c>
      <c r="H850" s="12" t="str">
        <f>IFERROR(__xludf.DUMMYFUNCTION("""COMPUTED_VALUE"""),"")</f>
        <v/>
      </c>
      <c r="I850" s="12" t="str">
        <f>IFERROR(__xludf.DUMMYFUNCTION("""COMPUTED_VALUE"""),"")</f>
        <v/>
      </c>
      <c r="J850" s="13" t="str">
        <f t="shared" si="1"/>
        <v/>
      </c>
      <c r="K850" s="12" t="str">
        <f>IFERROR(IF(A850="","",if($G850="",Reference!$J$2, VLOOKUP($G850,Reference!$I$2:$J$1000,2,false))),"")</f>
        <v/>
      </c>
      <c r="L850" s="12" t="str">
        <f>IF(A850="","", IF(F850="",Reference!$M$2,F850))</f>
        <v/>
      </c>
      <c r="M850" s="14" t="str">
        <f t="shared" si="2"/>
        <v/>
      </c>
      <c r="N850" s="15" t="str">
        <f t="shared" si="3"/>
        <v/>
      </c>
      <c r="O850" s="14" t="str">
        <f t="shared" si="4"/>
        <v/>
      </c>
      <c r="P850" s="16" t="str">
        <f t="array" ref="P850">IF($A850="","", IFERROR(INDEX('BM Data'!$N:$N,MATCH($J850&amp; "-" &amp; $N850,'BM Data'!$O:$O,0),1),""))</f>
        <v/>
      </c>
      <c r="Q850" s="16" t="str">
        <f t="array" ref="Q850">IF($A850="","", IFERROR(INDEX('BM Data'!$J:$J,MATCH($J850&amp; "-" &amp; $N850,'BM Data'!$O:$O,0),1),""))</f>
        <v/>
      </c>
    </row>
    <row r="851">
      <c r="A851" s="10" t="str">
        <f>IFERROR(__xludf.DUMMYFUNCTION("""COMPUTED_VALUE"""),"")</f>
        <v/>
      </c>
      <c r="B851" s="3" t="str">
        <f>IFERROR(__xludf.DUMMYFUNCTION("""COMPUTED_VALUE"""),"")</f>
        <v/>
      </c>
      <c r="C851" s="11" t="str">
        <f>IFERROR(__xludf.DUMMYFUNCTION("""COMPUTED_VALUE"""),"")</f>
        <v/>
      </c>
      <c r="D851" s="11" t="str">
        <f>IFERROR(__xludf.DUMMYFUNCTION("""COMPUTED_VALUE"""),"")</f>
        <v/>
      </c>
      <c r="E851" s="11" t="str">
        <f>IFERROR(__xludf.DUMMYFUNCTION("""COMPUTED_VALUE"""),"")</f>
        <v/>
      </c>
      <c r="F851" s="11" t="str">
        <f>IFERROR(__xludf.DUMMYFUNCTION("""COMPUTED_VALUE"""),"")</f>
        <v/>
      </c>
      <c r="G851" s="11" t="str">
        <f>IFERROR(__xludf.DUMMYFUNCTION("""COMPUTED_VALUE"""),"")</f>
        <v/>
      </c>
      <c r="H851" s="12" t="str">
        <f>IFERROR(__xludf.DUMMYFUNCTION("""COMPUTED_VALUE"""),"")</f>
        <v/>
      </c>
      <c r="I851" s="12" t="str">
        <f>IFERROR(__xludf.DUMMYFUNCTION("""COMPUTED_VALUE"""),"")</f>
        <v/>
      </c>
      <c r="J851" s="13" t="str">
        <f t="shared" si="1"/>
        <v/>
      </c>
      <c r="K851" s="12" t="str">
        <f>IFERROR(IF(A851="","",if($G851="",Reference!$J$2, VLOOKUP($G851,Reference!$I$2:$J$1000,2,false))),"")</f>
        <v/>
      </c>
      <c r="L851" s="12" t="str">
        <f>IF(A851="","", IF(F851="",Reference!$M$2,F851))</f>
        <v/>
      </c>
      <c r="M851" s="14" t="str">
        <f t="shared" si="2"/>
        <v/>
      </c>
      <c r="N851" s="15" t="str">
        <f t="shared" si="3"/>
        <v/>
      </c>
      <c r="O851" s="14" t="str">
        <f t="shared" si="4"/>
        <v/>
      </c>
      <c r="P851" s="16" t="str">
        <f t="array" ref="P851">IF($A851="","", IFERROR(INDEX('BM Data'!$N:$N,MATCH($J851&amp; "-" &amp; $N851,'BM Data'!$O:$O,0),1),""))</f>
        <v/>
      </c>
      <c r="Q851" s="16" t="str">
        <f t="array" ref="Q851">IF($A851="","", IFERROR(INDEX('BM Data'!$J:$J,MATCH($J851&amp; "-" &amp; $N851,'BM Data'!$O:$O,0),1),""))</f>
        <v/>
      </c>
    </row>
    <row r="852">
      <c r="A852" s="10" t="str">
        <f>IFERROR(__xludf.DUMMYFUNCTION("""COMPUTED_VALUE"""),"")</f>
        <v/>
      </c>
      <c r="B852" s="3" t="str">
        <f>IFERROR(__xludf.DUMMYFUNCTION("""COMPUTED_VALUE"""),"")</f>
        <v/>
      </c>
      <c r="C852" s="11" t="str">
        <f>IFERROR(__xludf.DUMMYFUNCTION("""COMPUTED_VALUE"""),"")</f>
        <v/>
      </c>
      <c r="D852" s="11" t="str">
        <f>IFERROR(__xludf.DUMMYFUNCTION("""COMPUTED_VALUE"""),"")</f>
        <v/>
      </c>
      <c r="E852" s="11" t="str">
        <f>IFERROR(__xludf.DUMMYFUNCTION("""COMPUTED_VALUE"""),"")</f>
        <v/>
      </c>
      <c r="F852" s="11" t="str">
        <f>IFERROR(__xludf.DUMMYFUNCTION("""COMPUTED_VALUE"""),"")</f>
        <v/>
      </c>
      <c r="G852" s="11" t="str">
        <f>IFERROR(__xludf.DUMMYFUNCTION("""COMPUTED_VALUE"""),"")</f>
        <v/>
      </c>
      <c r="H852" s="12" t="str">
        <f>IFERROR(__xludf.DUMMYFUNCTION("""COMPUTED_VALUE"""),"")</f>
        <v/>
      </c>
      <c r="I852" s="12" t="str">
        <f>IFERROR(__xludf.DUMMYFUNCTION("""COMPUTED_VALUE"""),"")</f>
        <v/>
      </c>
      <c r="J852" s="13" t="str">
        <f t="shared" si="1"/>
        <v/>
      </c>
      <c r="K852" s="12" t="str">
        <f>IFERROR(IF(A852="","",if($G852="",Reference!$J$2, VLOOKUP($G852,Reference!$I$2:$J$1000,2,false))),"")</f>
        <v/>
      </c>
      <c r="L852" s="12" t="str">
        <f>IF(A852="","", IF(F852="",Reference!$M$2,F852))</f>
        <v/>
      </c>
      <c r="M852" s="14" t="str">
        <f t="shared" si="2"/>
        <v/>
      </c>
      <c r="N852" s="15" t="str">
        <f t="shared" si="3"/>
        <v/>
      </c>
      <c r="O852" s="14" t="str">
        <f t="shared" si="4"/>
        <v/>
      </c>
      <c r="P852" s="16" t="str">
        <f t="array" ref="P852">IF($A852="","", IFERROR(INDEX('BM Data'!$N:$N,MATCH($J852&amp; "-" &amp; $N852,'BM Data'!$O:$O,0),1),""))</f>
        <v/>
      </c>
      <c r="Q852" s="16" t="str">
        <f t="array" ref="Q852">IF($A852="","", IFERROR(INDEX('BM Data'!$J:$J,MATCH($J852&amp; "-" &amp; $N852,'BM Data'!$O:$O,0),1),""))</f>
        <v/>
      </c>
    </row>
    <row r="853">
      <c r="A853" s="10" t="str">
        <f>IFERROR(__xludf.DUMMYFUNCTION("""COMPUTED_VALUE"""),"")</f>
        <v/>
      </c>
      <c r="B853" s="3" t="str">
        <f>IFERROR(__xludf.DUMMYFUNCTION("""COMPUTED_VALUE"""),"")</f>
        <v/>
      </c>
      <c r="C853" s="11" t="str">
        <f>IFERROR(__xludf.DUMMYFUNCTION("""COMPUTED_VALUE"""),"")</f>
        <v/>
      </c>
      <c r="D853" s="11" t="str">
        <f>IFERROR(__xludf.DUMMYFUNCTION("""COMPUTED_VALUE"""),"")</f>
        <v/>
      </c>
      <c r="E853" s="11" t="str">
        <f>IFERROR(__xludf.DUMMYFUNCTION("""COMPUTED_VALUE"""),"")</f>
        <v/>
      </c>
      <c r="F853" s="11" t="str">
        <f>IFERROR(__xludf.DUMMYFUNCTION("""COMPUTED_VALUE"""),"")</f>
        <v/>
      </c>
      <c r="G853" s="11" t="str">
        <f>IFERROR(__xludf.DUMMYFUNCTION("""COMPUTED_VALUE"""),"")</f>
        <v/>
      </c>
      <c r="H853" s="12" t="str">
        <f>IFERROR(__xludf.DUMMYFUNCTION("""COMPUTED_VALUE"""),"")</f>
        <v/>
      </c>
      <c r="I853" s="12" t="str">
        <f>IFERROR(__xludf.DUMMYFUNCTION("""COMPUTED_VALUE"""),"")</f>
        <v/>
      </c>
      <c r="J853" s="13" t="str">
        <f t="shared" si="1"/>
        <v/>
      </c>
      <c r="K853" s="12" t="str">
        <f>IFERROR(IF(A853="","",if($G853="",Reference!$J$2, VLOOKUP($G853,Reference!$I$2:$J$1000,2,false))),"")</f>
        <v/>
      </c>
      <c r="L853" s="12" t="str">
        <f>IF(A853="","", IF(F853="",Reference!$M$2,F853))</f>
        <v/>
      </c>
      <c r="M853" s="14" t="str">
        <f t="shared" si="2"/>
        <v/>
      </c>
      <c r="N853" s="15" t="str">
        <f t="shared" si="3"/>
        <v/>
      </c>
      <c r="O853" s="14" t="str">
        <f t="shared" si="4"/>
        <v/>
      </c>
      <c r="P853" s="16" t="str">
        <f t="array" ref="P853">IF($A853="","", IFERROR(INDEX('BM Data'!$N:$N,MATCH($J853&amp; "-" &amp; $N853,'BM Data'!$O:$O,0),1),""))</f>
        <v/>
      </c>
      <c r="Q853" s="16" t="str">
        <f t="array" ref="Q853">IF($A853="","", IFERROR(INDEX('BM Data'!$J:$J,MATCH($J853&amp; "-" &amp; $N853,'BM Data'!$O:$O,0),1),""))</f>
        <v/>
      </c>
    </row>
    <row r="854">
      <c r="A854" s="10" t="str">
        <f>IFERROR(__xludf.DUMMYFUNCTION("""COMPUTED_VALUE"""),"")</f>
        <v/>
      </c>
      <c r="B854" s="3" t="str">
        <f>IFERROR(__xludf.DUMMYFUNCTION("""COMPUTED_VALUE"""),"")</f>
        <v/>
      </c>
      <c r="C854" s="11" t="str">
        <f>IFERROR(__xludf.DUMMYFUNCTION("""COMPUTED_VALUE"""),"")</f>
        <v/>
      </c>
      <c r="D854" s="11" t="str">
        <f>IFERROR(__xludf.DUMMYFUNCTION("""COMPUTED_VALUE"""),"")</f>
        <v/>
      </c>
      <c r="E854" s="11" t="str">
        <f>IFERROR(__xludf.DUMMYFUNCTION("""COMPUTED_VALUE"""),"")</f>
        <v/>
      </c>
      <c r="F854" s="11" t="str">
        <f>IFERROR(__xludf.DUMMYFUNCTION("""COMPUTED_VALUE"""),"")</f>
        <v/>
      </c>
      <c r="G854" s="11" t="str">
        <f>IFERROR(__xludf.DUMMYFUNCTION("""COMPUTED_VALUE"""),"")</f>
        <v/>
      </c>
      <c r="H854" s="12" t="str">
        <f>IFERROR(__xludf.DUMMYFUNCTION("""COMPUTED_VALUE"""),"")</f>
        <v/>
      </c>
      <c r="I854" s="12" t="str">
        <f>IFERROR(__xludf.DUMMYFUNCTION("""COMPUTED_VALUE"""),"")</f>
        <v/>
      </c>
      <c r="J854" s="13" t="str">
        <f t="shared" si="1"/>
        <v/>
      </c>
      <c r="K854" s="12" t="str">
        <f>IFERROR(IF(A854="","",if($G854="",Reference!$J$2, VLOOKUP($G854,Reference!$I$2:$J$1000,2,false))),"")</f>
        <v/>
      </c>
      <c r="L854" s="12" t="str">
        <f>IF(A854="","", IF(F854="",Reference!$M$2,F854))</f>
        <v/>
      </c>
      <c r="M854" s="14" t="str">
        <f t="shared" si="2"/>
        <v/>
      </c>
      <c r="N854" s="15" t="str">
        <f t="shared" si="3"/>
        <v/>
      </c>
      <c r="O854" s="14" t="str">
        <f t="shared" si="4"/>
        <v/>
      </c>
      <c r="P854" s="16" t="str">
        <f t="array" ref="P854">IF($A854="","", IFERROR(INDEX('BM Data'!$N:$N,MATCH($J854&amp; "-" &amp; $N854,'BM Data'!$O:$O,0),1),""))</f>
        <v/>
      </c>
      <c r="Q854" s="16" t="str">
        <f t="array" ref="Q854">IF($A854="","", IFERROR(INDEX('BM Data'!$J:$J,MATCH($J854&amp; "-" &amp; $N854,'BM Data'!$O:$O,0),1),""))</f>
        <v/>
      </c>
    </row>
    <row r="855">
      <c r="A855" s="10" t="str">
        <f>IFERROR(__xludf.DUMMYFUNCTION("""COMPUTED_VALUE"""),"")</f>
        <v/>
      </c>
      <c r="B855" s="3" t="str">
        <f>IFERROR(__xludf.DUMMYFUNCTION("""COMPUTED_VALUE"""),"")</f>
        <v/>
      </c>
      <c r="C855" s="11" t="str">
        <f>IFERROR(__xludf.DUMMYFUNCTION("""COMPUTED_VALUE"""),"")</f>
        <v/>
      </c>
      <c r="D855" s="11" t="str">
        <f>IFERROR(__xludf.DUMMYFUNCTION("""COMPUTED_VALUE"""),"")</f>
        <v/>
      </c>
      <c r="E855" s="11" t="str">
        <f>IFERROR(__xludf.DUMMYFUNCTION("""COMPUTED_VALUE"""),"")</f>
        <v/>
      </c>
      <c r="F855" s="11" t="str">
        <f>IFERROR(__xludf.DUMMYFUNCTION("""COMPUTED_VALUE"""),"")</f>
        <v/>
      </c>
      <c r="G855" s="11" t="str">
        <f>IFERROR(__xludf.DUMMYFUNCTION("""COMPUTED_VALUE"""),"")</f>
        <v/>
      </c>
      <c r="H855" s="12" t="str">
        <f>IFERROR(__xludf.DUMMYFUNCTION("""COMPUTED_VALUE"""),"")</f>
        <v/>
      </c>
      <c r="I855" s="12" t="str">
        <f>IFERROR(__xludf.DUMMYFUNCTION("""COMPUTED_VALUE"""),"")</f>
        <v/>
      </c>
      <c r="J855" s="13" t="str">
        <f t="shared" si="1"/>
        <v/>
      </c>
      <c r="K855" s="12" t="str">
        <f>IFERROR(IF(A855="","",if($G855="",Reference!$J$2, VLOOKUP($G855,Reference!$I$2:$J$1000,2,false))),"")</f>
        <v/>
      </c>
      <c r="L855" s="12" t="str">
        <f>IF(A855="","", IF(F855="",Reference!$M$2,F855))</f>
        <v/>
      </c>
      <c r="M855" s="14" t="str">
        <f t="shared" si="2"/>
        <v/>
      </c>
      <c r="N855" s="15" t="str">
        <f t="shared" si="3"/>
        <v/>
      </c>
      <c r="O855" s="14" t="str">
        <f t="shared" si="4"/>
        <v/>
      </c>
      <c r="P855" s="16" t="str">
        <f t="array" ref="P855">IF($A855="","", IFERROR(INDEX('BM Data'!$N:$N,MATCH($J855&amp; "-" &amp; $N855,'BM Data'!$O:$O,0),1),""))</f>
        <v/>
      </c>
      <c r="Q855" s="16" t="str">
        <f t="array" ref="Q855">IF($A855="","", IFERROR(INDEX('BM Data'!$J:$J,MATCH($J855&amp; "-" &amp; $N855,'BM Data'!$O:$O,0),1),""))</f>
        <v/>
      </c>
    </row>
    <row r="856">
      <c r="A856" s="10" t="str">
        <f>IFERROR(__xludf.DUMMYFUNCTION("""COMPUTED_VALUE"""),"")</f>
        <v/>
      </c>
      <c r="B856" s="3" t="str">
        <f>IFERROR(__xludf.DUMMYFUNCTION("""COMPUTED_VALUE"""),"")</f>
        <v/>
      </c>
      <c r="C856" s="11" t="str">
        <f>IFERROR(__xludf.DUMMYFUNCTION("""COMPUTED_VALUE"""),"")</f>
        <v/>
      </c>
      <c r="D856" s="11" t="str">
        <f>IFERROR(__xludf.DUMMYFUNCTION("""COMPUTED_VALUE"""),"")</f>
        <v/>
      </c>
      <c r="E856" s="11" t="str">
        <f>IFERROR(__xludf.DUMMYFUNCTION("""COMPUTED_VALUE"""),"")</f>
        <v/>
      </c>
      <c r="F856" s="11" t="str">
        <f>IFERROR(__xludf.DUMMYFUNCTION("""COMPUTED_VALUE"""),"")</f>
        <v/>
      </c>
      <c r="G856" s="11" t="str">
        <f>IFERROR(__xludf.DUMMYFUNCTION("""COMPUTED_VALUE"""),"")</f>
        <v/>
      </c>
      <c r="H856" s="12" t="str">
        <f>IFERROR(__xludf.DUMMYFUNCTION("""COMPUTED_VALUE"""),"")</f>
        <v/>
      </c>
      <c r="I856" s="12" t="str">
        <f>IFERROR(__xludf.DUMMYFUNCTION("""COMPUTED_VALUE"""),"")</f>
        <v/>
      </c>
      <c r="J856" s="13" t="str">
        <f t="shared" si="1"/>
        <v/>
      </c>
      <c r="K856" s="12" t="str">
        <f>IFERROR(IF(A856="","",if($G856="",Reference!$J$2, VLOOKUP($G856,Reference!$I$2:$J$1000,2,false))),"")</f>
        <v/>
      </c>
      <c r="L856" s="12" t="str">
        <f>IF(A856="","", IF(F856="",Reference!$M$2,F856))</f>
        <v/>
      </c>
      <c r="M856" s="14" t="str">
        <f t="shared" si="2"/>
        <v/>
      </c>
      <c r="N856" s="15" t="str">
        <f t="shared" si="3"/>
        <v/>
      </c>
      <c r="O856" s="14" t="str">
        <f t="shared" si="4"/>
        <v/>
      </c>
      <c r="P856" s="16" t="str">
        <f t="array" ref="P856">IF($A856="","", IFERROR(INDEX('BM Data'!$N:$N,MATCH($J856&amp; "-" &amp; $N856,'BM Data'!$O:$O,0),1),""))</f>
        <v/>
      </c>
      <c r="Q856" s="16" t="str">
        <f t="array" ref="Q856">IF($A856="","", IFERROR(INDEX('BM Data'!$J:$J,MATCH($J856&amp; "-" &amp; $N856,'BM Data'!$O:$O,0),1),""))</f>
        <v/>
      </c>
    </row>
    <row r="857">
      <c r="A857" s="10" t="str">
        <f>IFERROR(__xludf.DUMMYFUNCTION("""COMPUTED_VALUE"""),"")</f>
        <v/>
      </c>
      <c r="B857" s="3" t="str">
        <f>IFERROR(__xludf.DUMMYFUNCTION("""COMPUTED_VALUE"""),"")</f>
        <v/>
      </c>
      <c r="C857" s="11" t="str">
        <f>IFERROR(__xludf.DUMMYFUNCTION("""COMPUTED_VALUE"""),"")</f>
        <v/>
      </c>
      <c r="D857" s="11" t="str">
        <f>IFERROR(__xludf.DUMMYFUNCTION("""COMPUTED_VALUE"""),"")</f>
        <v/>
      </c>
      <c r="E857" s="11" t="str">
        <f>IFERROR(__xludf.DUMMYFUNCTION("""COMPUTED_VALUE"""),"")</f>
        <v/>
      </c>
      <c r="F857" s="11" t="str">
        <f>IFERROR(__xludf.DUMMYFUNCTION("""COMPUTED_VALUE"""),"")</f>
        <v/>
      </c>
      <c r="G857" s="11" t="str">
        <f>IFERROR(__xludf.DUMMYFUNCTION("""COMPUTED_VALUE"""),"")</f>
        <v/>
      </c>
      <c r="H857" s="12" t="str">
        <f>IFERROR(__xludf.DUMMYFUNCTION("""COMPUTED_VALUE"""),"")</f>
        <v/>
      </c>
      <c r="I857" s="12" t="str">
        <f>IFERROR(__xludf.DUMMYFUNCTION("""COMPUTED_VALUE"""),"")</f>
        <v/>
      </c>
      <c r="J857" s="13" t="str">
        <f t="shared" si="1"/>
        <v/>
      </c>
      <c r="K857" s="12" t="str">
        <f>IFERROR(IF(A857="","",if($G857="",Reference!$J$2, VLOOKUP($G857,Reference!$I$2:$J$1000,2,false))),"")</f>
        <v/>
      </c>
      <c r="L857" s="12" t="str">
        <f>IF(A857="","", IF(F857="",Reference!$M$2,F857))</f>
        <v/>
      </c>
      <c r="M857" s="14" t="str">
        <f t="shared" si="2"/>
        <v/>
      </c>
      <c r="N857" s="15" t="str">
        <f t="shared" si="3"/>
        <v/>
      </c>
      <c r="O857" s="14" t="str">
        <f t="shared" si="4"/>
        <v/>
      </c>
      <c r="P857" s="16" t="str">
        <f t="array" ref="P857">IF($A857="","", IFERROR(INDEX('BM Data'!$N:$N,MATCH($J857&amp; "-" &amp; $N857,'BM Data'!$O:$O,0),1),""))</f>
        <v/>
      </c>
      <c r="Q857" s="16" t="str">
        <f t="array" ref="Q857">IF($A857="","", IFERROR(INDEX('BM Data'!$J:$J,MATCH($J857&amp; "-" &amp; $N857,'BM Data'!$O:$O,0),1),""))</f>
        <v/>
      </c>
    </row>
    <row r="858">
      <c r="A858" s="10" t="str">
        <f>IFERROR(__xludf.DUMMYFUNCTION("""COMPUTED_VALUE"""),"")</f>
        <v/>
      </c>
      <c r="B858" s="3" t="str">
        <f>IFERROR(__xludf.DUMMYFUNCTION("""COMPUTED_VALUE"""),"")</f>
        <v/>
      </c>
      <c r="C858" s="11" t="str">
        <f>IFERROR(__xludf.DUMMYFUNCTION("""COMPUTED_VALUE"""),"")</f>
        <v/>
      </c>
      <c r="D858" s="11" t="str">
        <f>IFERROR(__xludf.DUMMYFUNCTION("""COMPUTED_VALUE"""),"")</f>
        <v/>
      </c>
      <c r="E858" s="11" t="str">
        <f>IFERROR(__xludf.DUMMYFUNCTION("""COMPUTED_VALUE"""),"")</f>
        <v/>
      </c>
      <c r="F858" s="11" t="str">
        <f>IFERROR(__xludf.DUMMYFUNCTION("""COMPUTED_VALUE"""),"")</f>
        <v/>
      </c>
      <c r="G858" s="11" t="str">
        <f>IFERROR(__xludf.DUMMYFUNCTION("""COMPUTED_VALUE"""),"")</f>
        <v/>
      </c>
      <c r="H858" s="12" t="str">
        <f>IFERROR(__xludf.DUMMYFUNCTION("""COMPUTED_VALUE"""),"")</f>
        <v/>
      </c>
      <c r="I858" s="12" t="str">
        <f>IFERROR(__xludf.DUMMYFUNCTION("""COMPUTED_VALUE"""),"")</f>
        <v/>
      </c>
      <c r="J858" s="13" t="str">
        <f t="shared" si="1"/>
        <v/>
      </c>
      <c r="K858" s="12" t="str">
        <f>IFERROR(IF(A858="","",if($G858="",Reference!$J$2, VLOOKUP($G858,Reference!$I$2:$J$1000,2,false))),"")</f>
        <v/>
      </c>
      <c r="L858" s="12" t="str">
        <f>IF(A858="","", IF(F858="",Reference!$M$2,F858))</f>
        <v/>
      </c>
      <c r="M858" s="14" t="str">
        <f t="shared" si="2"/>
        <v/>
      </c>
      <c r="N858" s="15" t="str">
        <f t="shared" si="3"/>
        <v/>
      </c>
      <c r="O858" s="14" t="str">
        <f t="shared" si="4"/>
        <v/>
      </c>
      <c r="P858" s="16" t="str">
        <f t="array" ref="P858">IF($A858="","", IFERROR(INDEX('BM Data'!$N:$N,MATCH($J858&amp; "-" &amp; $N858,'BM Data'!$O:$O,0),1),""))</f>
        <v/>
      </c>
      <c r="Q858" s="16" t="str">
        <f t="array" ref="Q858">IF($A858="","", IFERROR(INDEX('BM Data'!$J:$J,MATCH($J858&amp; "-" &amp; $N858,'BM Data'!$O:$O,0),1),""))</f>
        <v/>
      </c>
    </row>
    <row r="859">
      <c r="A859" s="10" t="str">
        <f>IFERROR(__xludf.DUMMYFUNCTION("""COMPUTED_VALUE"""),"")</f>
        <v/>
      </c>
      <c r="B859" s="3" t="str">
        <f>IFERROR(__xludf.DUMMYFUNCTION("""COMPUTED_VALUE"""),"")</f>
        <v/>
      </c>
      <c r="C859" s="11" t="str">
        <f>IFERROR(__xludf.DUMMYFUNCTION("""COMPUTED_VALUE"""),"")</f>
        <v/>
      </c>
      <c r="D859" s="11" t="str">
        <f>IFERROR(__xludf.DUMMYFUNCTION("""COMPUTED_VALUE"""),"")</f>
        <v/>
      </c>
      <c r="E859" s="11" t="str">
        <f>IFERROR(__xludf.DUMMYFUNCTION("""COMPUTED_VALUE"""),"")</f>
        <v/>
      </c>
      <c r="F859" s="11" t="str">
        <f>IFERROR(__xludf.DUMMYFUNCTION("""COMPUTED_VALUE"""),"")</f>
        <v/>
      </c>
      <c r="G859" s="11" t="str">
        <f>IFERROR(__xludf.DUMMYFUNCTION("""COMPUTED_VALUE"""),"")</f>
        <v/>
      </c>
      <c r="H859" s="12" t="str">
        <f>IFERROR(__xludf.DUMMYFUNCTION("""COMPUTED_VALUE"""),"")</f>
        <v/>
      </c>
      <c r="I859" s="12" t="str">
        <f>IFERROR(__xludf.DUMMYFUNCTION("""COMPUTED_VALUE"""),"")</f>
        <v/>
      </c>
      <c r="J859" s="13" t="str">
        <f t="shared" si="1"/>
        <v/>
      </c>
      <c r="K859" s="12" t="str">
        <f>IFERROR(IF(A859="","",if($G859="",Reference!$J$2, VLOOKUP($G859,Reference!$I$2:$J$1000,2,false))),"")</f>
        <v/>
      </c>
      <c r="L859" s="12" t="str">
        <f>IF(A859="","", IF(F859="",Reference!$M$2,F859))</f>
        <v/>
      </c>
      <c r="M859" s="14" t="str">
        <f t="shared" si="2"/>
        <v/>
      </c>
      <c r="N859" s="15" t="str">
        <f t="shared" si="3"/>
        <v/>
      </c>
      <c r="O859" s="14" t="str">
        <f t="shared" si="4"/>
        <v/>
      </c>
      <c r="P859" s="16" t="str">
        <f t="array" ref="P859">IF($A859="","", IFERROR(INDEX('BM Data'!$N:$N,MATCH($J859&amp; "-" &amp; $N859,'BM Data'!$O:$O,0),1),""))</f>
        <v/>
      </c>
      <c r="Q859" s="16" t="str">
        <f t="array" ref="Q859">IF($A859="","", IFERROR(INDEX('BM Data'!$J:$J,MATCH($J859&amp; "-" &amp; $N859,'BM Data'!$O:$O,0),1),""))</f>
        <v/>
      </c>
    </row>
    <row r="860">
      <c r="A860" s="10" t="str">
        <f>IFERROR(__xludf.DUMMYFUNCTION("""COMPUTED_VALUE"""),"")</f>
        <v/>
      </c>
      <c r="B860" s="3" t="str">
        <f>IFERROR(__xludf.DUMMYFUNCTION("""COMPUTED_VALUE"""),"")</f>
        <v/>
      </c>
      <c r="C860" s="11" t="str">
        <f>IFERROR(__xludf.DUMMYFUNCTION("""COMPUTED_VALUE"""),"")</f>
        <v/>
      </c>
      <c r="D860" s="11" t="str">
        <f>IFERROR(__xludf.DUMMYFUNCTION("""COMPUTED_VALUE"""),"")</f>
        <v/>
      </c>
      <c r="E860" s="11" t="str">
        <f>IFERROR(__xludf.DUMMYFUNCTION("""COMPUTED_VALUE"""),"")</f>
        <v/>
      </c>
      <c r="F860" s="11" t="str">
        <f>IFERROR(__xludf.DUMMYFUNCTION("""COMPUTED_VALUE"""),"")</f>
        <v/>
      </c>
      <c r="G860" s="11" t="str">
        <f>IFERROR(__xludf.DUMMYFUNCTION("""COMPUTED_VALUE"""),"")</f>
        <v/>
      </c>
      <c r="H860" s="12" t="str">
        <f>IFERROR(__xludf.DUMMYFUNCTION("""COMPUTED_VALUE"""),"")</f>
        <v/>
      </c>
      <c r="I860" s="12" t="str">
        <f>IFERROR(__xludf.DUMMYFUNCTION("""COMPUTED_VALUE"""),"")</f>
        <v/>
      </c>
      <c r="J860" s="13" t="str">
        <f t="shared" si="1"/>
        <v/>
      </c>
      <c r="K860" s="12" t="str">
        <f>IFERROR(IF(A860="","",if($G860="",Reference!$J$2, VLOOKUP($G860,Reference!$I$2:$J$1000,2,false))),"")</f>
        <v/>
      </c>
      <c r="L860" s="12" t="str">
        <f>IF(A860="","", IF(F860="",Reference!$M$2,F860))</f>
        <v/>
      </c>
      <c r="M860" s="14" t="str">
        <f t="shared" si="2"/>
        <v/>
      </c>
      <c r="N860" s="15" t="str">
        <f t="shared" si="3"/>
        <v/>
      </c>
      <c r="O860" s="14" t="str">
        <f t="shared" si="4"/>
        <v/>
      </c>
      <c r="P860" s="16" t="str">
        <f t="array" ref="P860">IF($A860="","", IFERROR(INDEX('BM Data'!$N:$N,MATCH($J860&amp; "-" &amp; $N860,'BM Data'!$O:$O,0),1),""))</f>
        <v/>
      </c>
      <c r="Q860" s="16" t="str">
        <f t="array" ref="Q860">IF($A860="","", IFERROR(INDEX('BM Data'!$J:$J,MATCH($J860&amp; "-" &amp; $N860,'BM Data'!$O:$O,0),1),""))</f>
        <v/>
      </c>
    </row>
    <row r="861">
      <c r="A861" s="10" t="str">
        <f>IFERROR(__xludf.DUMMYFUNCTION("""COMPUTED_VALUE"""),"")</f>
        <v/>
      </c>
      <c r="B861" s="3" t="str">
        <f>IFERROR(__xludf.DUMMYFUNCTION("""COMPUTED_VALUE"""),"")</f>
        <v/>
      </c>
      <c r="C861" s="11" t="str">
        <f>IFERROR(__xludf.DUMMYFUNCTION("""COMPUTED_VALUE"""),"")</f>
        <v/>
      </c>
      <c r="D861" s="11" t="str">
        <f>IFERROR(__xludf.DUMMYFUNCTION("""COMPUTED_VALUE"""),"")</f>
        <v/>
      </c>
      <c r="E861" s="11" t="str">
        <f>IFERROR(__xludf.DUMMYFUNCTION("""COMPUTED_VALUE"""),"")</f>
        <v/>
      </c>
      <c r="F861" s="11" t="str">
        <f>IFERROR(__xludf.DUMMYFUNCTION("""COMPUTED_VALUE"""),"")</f>
        <v/>
      </c>
      <c r="G861" s="11" t="str">
        <f>IFERROR(__xludf.DUMMYFUNCTION("""COMPUTED_VALUE"""),"")</f>
        <v/>
      </c>
      <c r="H861" s="12" t="str">
        <f>IFERROR(__xludf.DUMMYFUNCTION("""COMPUTED_VALUE"""),"")</f>
        <v/>
      </c>
      <c r="I861" s="12" t="str">
        <f>IFERROR(__xludf.DUMMYFUNCTION("""COMPUTED_VALUE"""),"")</f>
        <v/>
      </c>
      <c r="J861" s="13" t="str">
        <f t="shared" si="1"/>
        <v/>
      </c>
      <c r="K861" s="12" t="str">
        <f>IFERROR(IF(A861="","",if($G861="",Reference!$J$2, VLOOKUP($G861,Reference!$I$2:$J$1000,2,false))),"")</f>
        <v/>
      </c>
      <c r="L861" s="12" t="str">
        <f>IF(A861="","", IF(F861="",Reference!$M$2,F861))</f>
        <v/>
      </c>
      <c r="M861" s="14" t="str">
        <f t="shared" si="2"/>
        <v/>
      </c>
      <c r="N861" s="15" t="str">
        <f t="shared" si="3"/>
        <v/>
      </c>
      <c r="O861" s="14" t="str">
        <f t="shared" si="4"/>
        <v/>
      </c>
      <c r="P861" s="16" t="str">
        <f t="array" ref="P861">IF($A861="","", IFERROR(INDEX('BM Data'!$N:$N,MATCH($J861&amp; "-" &amp; $N861,'BM Data'!$O:$O,0),1),""))</f>
        <v/>
      </c>
      <c r="Q861" s="16" t="str">
        <f t="array" ref="Q861">IF($A861="","", IFERROR(INDEX('BM Data'!$J:$J,MATCH($J861&amp; "-" &amp; $N861,'BM Data'!$O:$O,0),1),""))</f>
        <v/>
      </c>
    </row>
    <row r="862">
      <c r="A862" s="10" t="str">
        <f>IFERROR(__xludf.DUMMYFUNCTION("""COMPUTED_VALUE"""),"")</f>
        <v/>
      </c>
      <c r="B862" s="3" t="str">
        <f>IFERROR(__xludf.DUMMYFUNCTION("""COMPUTED_VALUE"""),"")</f>
        <v/>
      </c>
      <c r="C862" s="11" t="str">
        <f>IFERROR(__xludf.DUMMYFUNCTION("""COMPUTED_VALUE"""),"")</f>
        <v/>
      </c>
      <c r="D862" s="11" t="str">
        <f>IFERROR(__xludf.DUMMYFUNCTION("""COMPUTED_VALUE"""),"")</f>
        <v/>
      </c>
      <c r="E862" s="11" t="str">
        <f>IFERROR(__xludf.DUMMYFUNCTION("""COMPUTED_VALUE"""),"")</f>
        <v/>
      </c>
      <c r="F862" s="11" t="str">
        <f>IFERROR(__xludf.DUMMYFUNCTION("""COMPUTED_VALUE"""),"")</f>
        <v/>
      </c>
      <c r="G862" s="11" t="str">
        <f>IFERROR(__xludf.DUMMYFUNCTION("""COMPUTED_VALUE"""),"")</f>
        <v/>
      </c>
      <c r="H862" s="12" t="str">
        <f>IFERROR(__xludf.DUMMYFUNCTION("""COMPUTED_VALUE"""),"")</f>
        <v/>
      </c>
      <c r="I862" s="12" t="str">
        <f>IFERROR(__xludf.DUMMYFUNCTION("""COMPUTED_VALUE"""),"")</f>
        <v/>
      </c>
      <c r="J862" s="13" t="str">
        <f t="shared" si="1"/>
        <v/>
      </c>
      <c r="K862" s="12" t="str">
        <f>IFERROR(IF(A862="","",if($G862="",Reference!$J$2, VLOOKUP($G862,Reference!$I$2:$J$1000,2,false))),"")</f>
        <v/>
      </c>
      <c r="L862" s="12" t="str">
        <f>IF(A862="","", IF(F862="",Reference!$M$2,F862))</f>
        <v/>
      </c>
      <c r="M862" s="14" t="str">
        <f t="shared" si="2"/>
        <v/>
      </c>
      <c r="N862" s="15" t="str">
        <f t="shared" si="3"/>
        <v/>
      </c>
      <c r="O862" s="14" t="str">
        <f t="shared" si="4"/>
        <v/>
      </c>
      <c r="P862" s="16" t="str">
        <f t="array" ref="P862">IF($A862="","", IFERROR(INDEX('BM Data'!$N:$N,MATCH($J862&amp; "-" &amp; $N862,'BM Data'!$O:$O,0),1),""))</f>
        <v/>
      </c>
      <c r="Q862" s="16" t="str">
        <f t="array" ref="Q862">IF($A862="","", IFERROR(INDEX('BM Data'!$J:$J,MATCH($J862&amp; "-" &amp; $N862,'BM Data'!$O:$O,0),1),""))</f>
        <v/>
      </c>
    </row>
    <row r="863">
      <c r="A863" s="10" t="str">
        <f>IFERROR(__xludf.DUMMYFUNCTION("""COMPUTED_VALUE"""),"")</f>
        <v/>
      </c>
      <c r="B863" s="3" t="str">
        <f>IFERROR(__xludf.DUMMYFUNCTION("""COMPUTED_VALUE"""),"")</f>
        <v/>
      </c>
      <c r="C863" s="11" t="str">
        <f>IFERROR(__xludf.DUMMYFUNCTION("""COMPUTED_VALUE"""),"")</f>
        <v/>
      </c>
      <c r="D863" s="11" t="str">
        <f>IFERROR(__xludf.DUMMYFUNCTION("""COMPUTED_VALUE"""),"")</f>
        <v/>
      </c>
      <c r="E863" s="11" t="str">
        <f>IFERROR(__xludf.DUMMYFUNCTION("""COMPUTED_VALUE"""),"")</f>
        <v/>
      </c>
      <c r="F863" s="11" t="str">
        <f>IFERROR(__xludf.DUMMYFUNCTION("""COMPUTED_VALUE"""),"")</f>
        <v/>
      </c>
      <c r="G863" s="11" t="str">
        <f>IFERROR(__xludf.DUMMYFUNCTION("""COMPUTED_VALUE"""),"")</f>
        <v/>
      </c>
      <c r="H863" s="12" t="str">
        <f>IFERROR(__xludf.DUMMYFUNCTION("""COMPUTED_VALUE"""),"")</f>
        <v/>
      </c>
      <c r="I863" s="12" t="str">
        <f>IFERROR(__xludf.DUMMYFUNCTION("""COMPUTED_VALUE"""),"")</f>
        <v/>
      </c>
      <c r="J863" s="13" t="str">
        <f t="shared" si="1"/>
        <v/>
      </c>
      <c r="K863" s="12" t="str">
        <f>IFERROR(IF(A863="","",if($G863="",Reference!$J$2, VLOOKUP($G863,Reference!$I$2:$J$1000,2,false))),"")</f>
        <v/>
      </c>
      <c r="L863" s="12" t="str">
        <f>IF(A863="","", IF(F863="",Reference!$M$2,F863))</f>
        <v/>
      </c>
      <c r="M863" s="14" t="str">
        <f t="shared" si="2"/>
        <v/>
      </c>
      <c r="N863" s="15" t="str">
        <f t="shared" si="3"/>
        <v/>
      </c>
      <c r="O863" s="14" t="str">
        <f t="shared" si="4"/>
        <v/>
      </c>
      <c r="P863" s="16" t="str">
        <f t="array" ref="P863">IF($A863="","", IFERROR(INDEX('BM Data'!$N:$N,MATCH($J863&amp; "-" &amp; $N863,'BM Data'!$O:$O,0),1),""))</f>
        <v/>
      </c>
      <c r="Q863" s="16" t="str">
        <f t="array" ref="Q863">IF($A863="","", IFERROR(INDEX('BM Data'!$J:$J,MATCH($J863&amp; "-" &amp; $N863,'BM Data'!$O:$O,0),1),""))</f>
        <v/>
      </c>
    </row>
    <row r="864">
      <c r="A864" s="10" t="str">
        <f>IFERROR(__xludf.DUMMYFUNCTION("""COMPUTED_VALUE"""),"")</f>
        <v/>
      </c>
      <c r="B864" s="3" t="str">
        <f>IFERROR(__xludf.DUMMYFUNCTION("""COMPUTED_VALUE"""),"")</f>
        <v/>
      </c>
      <c r="C864" s="11" t="str">
        <f>IFERROR(__xludf.DUMMYFUNCTION("""COMPUTED_VALUE"""),"")</f>
        <v/>
      </c>
      <c r="D864" s="11" t="str">
        <f>IFERROR(__xludf.DUMMYFUNCTION("""COMPUTED_VALUE"""),"")</f>
        <v/>
      </c>
      <c r="E864" s="11" t="str">
        <f>IFERROR(__xludf.DUMMYFUNCTION("""COMPUTED_VALUE"""),"")</f>
        <v/>
      </c>
      <c r="F864" s="11" t="str">
        <f>IFERROR(__xludf.DUMMYFUNCTION("""COMPUTED_VALUE"""),"")</f>
        <v/>
      </c>
      <c r="G864" s="11" t="str">
        <f>IFERROR(__xludf.DUMMYFUNCTION("""COMPUTED_VALUE"""),"")</f>
        <v/>
      </c>
      <c r="H864" s="12" t="str">
        <f>IFERROR(__xludf.DUMMYFUNCTION("""COMPUTED_VALUE"""),"")</f>
        <v/>
      </c>
      <c r="I864" s="12" t="str">
        <f>IFERROR(__xludf.DUMMYFUNCTION("""COMPUTED_VALUE"""),"")</f>
        <v/>
      </c>
      <c r="J864" s="13" t="str">
        <f t="shared" si="1"/>
        <v/>
      </c>
      <c r="K864" s="12" t="str">
        <f>IFERROR(IF(A864="","",if($G864="",Reference!$J$2, VLOOKUP($G864,Reference!$I$2:$J$1000,2,false))),"")</f>
        <v/>
      </c>
      <c r="L864" s="12" t="str">
        <f>IF(A864="","", IF(F864="",Reference!$M$2,F864))</f>
        <v/>
      </c>
      <c r="M864" s="14" t="str">
        <f t="shared" si="2"/>
        <v/>
      </c>
      <c r="N864" s="15" t="str">
        <f t="shared" si="3"/>
        <v/>
      </c>
      <c r="O864" s="14" t="str">
        <f t="shared" si="4"/>
        <v/>
      </c>
      <c r="P864" s="16" t="str">
        <f t="array" ref="P864">IF($A864="","", IFERROR(INDEX('BM Data'!$N:$N,MATCH($J864&amp; "-" &amp; $N864,'BM Data'!$O:$O,0),1),""))</f>
        <v/>
      </c>
      <c r="Q864" s="16" t="str">
        <f t="array" ref="Q864">IF($A864="","", IFERROR(INDEX('BM Data'!$J:$J,MATCH($J864&amp; "-" &amp; $N864,'BM Data'!$O:$O,0),1),""))</f>
        <v/>
      </c>
    </row>
    <row r="865">
      <c r="A865" s="10" t="str">
        <f>IFERROR(__xludf.DUMMYFUNCTION("""COMPUTED_VALUE"""),"")</f>
        <v/>
      </c>
      <c r="B865" s="3" t="str">
        <f>IFERROR(__xludf.DUMMYFUNCTION("""COMPUTED_VALUE"""),"")</f>
        <v/>
      </c>
      <c r="C865" s="11" t="str">
        <f>IFERROR(__xludf.DUMMYFUNCTION("""COMPUTED_VALUE"""),"")</f>
        <v/>
      </c>
      <c r="D865" s="11" t="str">
        <f>IFERROR(__xludf.DUMMYFUNCTION("""COMPUTED_VALUE"""),"")</f>
        <v/>
      </c>
      <c r="E865" s="11" t="str">
        <f>IFERROR(__xludf.DUMMYFUNCTION("""COMPUTED_VALUE"""),"")</f>
        <v/>
      </c>
      <c r="F865" s="11" t="str">
        <f>IFERROR(__xludf.DUMMYFUNCTION("""COMPUTED_VALUE"""),"")</f>
        <v/>
      </c>
      <c r="G865" s="11" t="str">
        <f>IFERROR(__xludf.DUMMYFUNCTION("""COMPUTED_VALUE"""),"")</f>
        <v/>
      </c>
      <c r="H865" s="12" t="str">
        <f>IFERROR(__xludf.DUMMYFUNCTION("""COMPUTED_VALUE"""),"")</f>
        <v/>
      </c>
      <c r="I865" s="12" t="str">
        <f>IFERROR(__xludf.DUMMYFUNCTION("""COMPUTED_VALUE"""),"")</f>
        <v/>
      </c>
      <c r="J865" s="13" t="str">
        <f t="shared" si="1"/>
        <v/>
      </c>
      <c r="K865" s="12" t="str">
        <f>IFERROR(IF(A865="","",if($G865="",Reference!$J$2, VLOOKUP($G865,Reference!$I$2:$J$1000,2,false))),"")</f>
        <v/>
      </c>
      <c r="L865" s="12" t="str">
        <f>IF(A865="","", IF(F865="",Reference!$M$2,F865))</f>
        <v/>
      </c>
      <c r="M865" s="14" t="str">
        <f t="shared" si="2"/>
        <v/>
      </c>
      <c r="N865" s="15" t="str">
        <f t="shared" si="3"/>
        <v/>
      </c>
      <c r="O865" s="14" t="str">
        <f t="shared" si="4"/>
        <v/>
      </c>
      <c r="P865" s="16" t="str">
        <f t="array" ref="P865">IF($A865="","", IFERROR(INDEX('BM Data'!$N:$N,MATCH($J865&amp; "-" &amp; $N865,'BM Data'!$O:$O,0),1),""))</f>
        <v/>
      </c>
      <c r="Q865" s="16" t="str">
        <f t="array" ref="Q865">IF($A865="","", IFERROR(INDEX('BM Data'!$J:$J,MATCH($J865&amp; "-" &amp; $N865,'BM Data'!$O:$O,0),1),""))</f>
        <v/>
      </c>
    </row>
    <row r="866">
      <c r="A866" s="10" t="str">
        <f>IFERROR(__xludf.DUMMYFUNCTION("""COMPUTED_VALUE"""),"")</f>
        <v/>
      </c>
      <c r="B866" s="3" t="str">
        <f>IFERROR(__xludf.DUMMYFUNCTION("""COMPUTED_VALUE"""),"")</f>
        <v/>
      </c>
      <c r="C866" s="11" t="str">
        <f>IFERROR(__xludf.DUMMYFUNCTION("""COMPUTED_VALUE"""),"")</f>
        <v/>
      </c>
      <c r="D866" s="11" t="str">
        <f>IFERROR(__xludf.DUMMYFUNCTION("""COMPUTED_VALUE"""),"")</f>
        <v/>
      </c>
      <c r="E866" s="11" t="str">
        <f>IFERROR(__xludf.DUMMYFUNCTION("""COMPUTED_VALUE"""),"")</f>
        <v/>
      </c>
      <c r="F866" s="11" t="str">
        <f>IFERROR(__xludf.DUMMYFUNCTION("""COMPUTED_VALUE"""),"")</f>
        <v/>
      </c>
      <c r="G866" s="11" t="str">
        <f>IFERROR(__xludf.DUMMYFUNCTION("""COMPUTED_VALUE"""),"")</f>
        <v/>
      </c>
      <c r="H866" s="12" t="str">
        <f>IFERROR(__xludf.DUMMYFUNCTION("""COMPUTED_VALUE"""),"")</f>
        <v/>
      </c>
      <c r="I866" s="12" t="str">
        <f>IFERROR(__xludf.DUMMYFUNCTION("""COMPUTED_VALUE"""),"")</f>
        <v/>
      </c>
      <c r="J866" s="13" t="str">
        <f t="shared" si="1"/>
        <v/>
      </c>
      <c r="K866" s="12" t="str">
        <f>IFERROR(IF(A866="","",if($G866="",Reference!$J$2, VLOOKUP($G866,Reference!$I$2:$J$1000,2,false))),"")</f>
        <v/>
      </c>
      <c r="L866" s="12" t="str">
        <f>IF(A866="","", IF(F866="",Reference!$M$2,F866))</f>
        <v/>
      </c>
      <c r="M866" s="14" t="str">
        <f t="shared" si="2"/>
        <v/>
      </c>
      <c r="N866" s="15" t="str">
        <f t="shared" si="3"/>
        <v/>
      </c>
      <c r="O866" s="14" t="str">
        <f t="shared" si="4"/>
        <v/>
      </c>
      <c r="P866" s="16" t="str">
        <f t="array" ref="P866">IF($A866="","", IFERROR(INDEX('BM Data'!$N:$N,MATCH($J866&amp; "-" &amp; $N866,'BM Data'!$O:$O,0),1),""))</f>
        <v/>
      </c>
      <c r="Q866" s="16" t="str">
        <f t="array" ref="Q866">IF($A866="","", IFERROR(INDEX('BM Data'!$J:$J,MATCH($J866&amp; "-" &amp; $N866,'BM Data'!$O:$O,0),1),""))</f>
        <v/>
      </c>
    </row>
    <row r="867">
      <c r="A867" s="10" t="str">
        <f>IFERROR(__xludf.DUMMYFUNCTION("""COMPUTED_VALUE"""),"")</f>
        <v/>
      </c>
      <c r="B867" s="3" t="str">
        <f>IFERROR(__xludf.DUMMYFUNCTION("""COMPUTED_VALUE"""),"")</f>
        <v/>
      </c>
      <c r="C867" s="11" t="str">
        <f>IFERROR(__xludf.DUMMYFUNCTION("""COMPUTED_VALUE"""),"")</f>
        <v/>
      </c>
      <c r="D867" s="11" t="str">
        <f>IFERROR(__xludf.DUMMYFUNCTION("""COMPUTED_VALUE"""),"")</f>
        <v/>
      </c>
      <c r="E867" s="11" t="str">
        <f>IFERROR(__xludf.DUMMYFUNCTION("""COMPUTED_VALUE"""),"")</f>
        <v/>
      </c>
      <c r="F867" s="11" t="str">
        <f>IFERROR(__xludf.DUMMYFUNCTION("""COMPUTED_VALUE"""),"")</f>
        <v/>
      </c>
      <c r="G867" s="11" t="str">
        <f>IFERROR(__xludf.DUMMYFUNCTION("""COMPUTED_VALUE"""),"")</f>
        <v/>
      </c>
      <c r="H867" s="12" t="str">
        <f>IFERROR(__xludf.DUMMYFUNCTION("""COMPUTED_VALUE"""),"")</f>
        <v/>
      </c>
      <c r="I867" s="12" t="str">
        <f>IFERROR(__xludf.DUMMYFUNCTION("""COMPUTED_VALUE"""),"")</f>
        <v/>
      </c>
      <c r="J867" s="13" t="str">
        <f t="shared" si="1"/>
        <v/>
      </c>
      <c r="K867" s="12" t="str">
        <f>IFERROR(IF(A867="","",if($G867="",Reference!$J$2, VLOOKUP($G867,Reference!$I$2:$J$1000,2,false))),"")</f>
        <v/>
      </c>
      <c r="L867" s="12" t="str">
        <f>IF(A867="","", IF(F867="",Reference!$M$2,F867))</f>
        <v/>
      </c>
      <c r="M867" s="14" t="str">
        <f t="shared" si="2"/>
        <v/>
      </c>
      <c r="N867" s="15" t="str">
        <f t="shared" si="3"/>
        <v/>
      </c>
      <c r="O867" s="14" t="str">
        <f t="shared" si="4"/>
        <v/>
      </c>
      <c r="P867" s="16" t="str">
        <f t="array" ref="P867">IF($A867="","", IFERROR(INDEX('BM Data'!$N:$N,MATCH($J867&amp; "-" &amp; $N867,'BM Data'!$O:$O,0),1),""))</f>
        <v/>
      </c>
      <c r="Q867" s="16" t="str">
        <f t="array" ref="Q867">IF($A867="","", IFERROR(INDEX('BM Data'!$J:$J,MATCH($J867&amp; "-" &amp; $N867,'BM Data'!$O:$O,0),1),""))</f>
        <v/>
      </c>
    </row>
    <row r="868">
      <c r="A868" s="10" t="str">
        <f>IFERROR(__xludf.DUMMYFUNCTION("""COMPUTED_VALUE"""),"")</f>
        <v/>
      </c>
      <c r="B868" s="3" t="str">
        <f>IFERROR(__xludf.DUMMYFUNCTION("""COMPUTED_VALUE"""),"")</f>
        <v/>
      </c>
      <c r="C868" s="11" t="str">
        <f>IFERROR(__xludf.DUMMYFUNCTION("""COMPUTED_VALUE"""),"")</f>
        <v/>
      </c>
      <c r="D868" s="11" t="str">
        <f>IFERROR(__xludf.DUMMYFUNCTION("""COMPUTED_VALUE"""),"")</f>
        <v/>
      </c>
      <c r="E868" s="11" t="str">
        <f>IFERROR(__xludf.DUMMYFUNCTION("""COMPUTED_VALUE"""),"")</f>
        <v/>
      </c>
      <c r="F868" s="11" t="str">
        <f>IFERROR(__xludf.DUMMYFUNCTION("""COMPUTED_VALUE"""),"")</f>
        <v/>
      </c>
      <c r="G868" s="11" t="str">
        <f>IFERROR(__xludf.DUMMYFUNCTION("""COMPUTED_VALUE"""),"")</f>
        <v/>
      </c>
      <c r="H868" s="12" t="str">
        <f>IFERROR(__xludf.DUMMYFUNCTION("""COMPUTED_VALUE"""),"")</f>
        <v/>
      </c>
      <c r="I868" s="12" t="str">
        <f>IFERROR(__xludf.DUMMYFUNCTION("""COMPUTED_VALUE"""),"")</f>
        <v/>
      </c>
      <c r="J868" s="13" t="str">
        <f t="shared" si="1"/>
        <v/>
      </c>
      <c r="K868" s="12" t="str">
        <f>IFERROR(IF(A868="","",if($G868="",Reference!$J$2, VLOOKUP($G868,Reference!$I$2:$J$1000,2,false))),"")</f>
        <v/>
      </c>
      <c r="L868" s="12" t="str">
        <f>IF(A868="","", IF(F868="",Reference!$M$2,F868))</f>
        <v/>
      </c>
      <c r="M868" s="14" t="str">
        <f t="shared" si="2"/>
        <v/>
      </c>
      <c r="N868" s="15" t="str">
        <f t="shared" si="3"/>
        <v/>
      </c>
      <c r="O868" s="14" t="str">
        <f t="shared" si="4"/>
        <v/>
      </c>
      <c r="P868" s="16" t="str">
        <f t="array" ref="P868">IF($A868="","", IFERROR(INDEX('BM Data'!$N:$N,MATCH($J868&amp; "-" &amp; $N868,'BM Data'!$O:$O,0),1),""))</f>
        <v/>
      </c>
      <c r="Q868" s="16" t="str">
        <f t="array" ref="Q868">IF($A868="","", IFERROR(INDEX('BM Data'!$J:$J,MATCH($J868&amp; "-" &amp; $N868,'BM Data'!$O:$O,0),1),""))</f>
        <v/>
      </c>
    </row>
    <row r="869">
      <c r="A869" s="10" t="str">
        <f>IFERROR(__xludf.DUMMYFUNCTION("""COMPUTED_VALUE"""),"")</f>
        <v/>
      </c>
      <c r="B869" s="3" t="str">
        <f>IFERROR(__xludf.DUMMYFUNCTION("""COMPUTED_VALUE"""),"")</f>
        <v/>
      </c>
      <c r="C869" s="11" t="str">
        <f>IFERROR(__xludf.DUMMYFUNCTION("""COMPUTED_VALUE"""),"")</f>
        <v/>
      </c>
      <c r="D869" s="11" t="str">
        <f>IFERROR(__xludf.DUMMYFUNCTION("""COMPUTED_VALUE"""),"")</f>
        <v/>
      </c>
      <c r="E869" s="11" t="str">
        <f>IFERROR(__xludf.DUMMYFUNCTION("""COMPUTED_VALUE"""),"")</f>
        <v/>
      </c>
      <c r="F869" s="11" t="str">
        <f>IFERROR(__xludf.DUMMYFUNCTION("""COMPUTED_VALUE"""),"")</f>
        <v/>
      </c>
      <c r="G869" s="11" t="str">
        <f>IFERROR(__xludf.DUMMYFUNCTION("""COMPUTED_VALUE"""),"")</f>
        <v/>
      </c>
      <c r="H869" s="12" t="str">
        <f>IFERROR(__xludf.DUMMYFUNCTION("""COMPUTED_VALUE"""),"")</f>
        <v/>
      </c>
      <c r="I869" s="12" t="str">
        <f>IFERROR(__xludf.DUMMYFUNCTION("""COMPUTED_VALUE"""),"")</f>
        <v/>
      </c>
      <c r="J869" s="13" t="str">
        <f t="shared" si="1"/>
        <v/>
      </c>
      <c r="K869" s="12" t="str">
        <f>IFERROR(IF(A869="","",if($G869="",Reference!$J$2, VLOOKUP($G869,Reference!$I$2:$J$1000,2,false))),"")</f>
        <v/>
      </c>
      <c r="L869" s="12" t="str">
        <f>IF(A869="","", IF(F869="",Reference!$M$2,F869))</f>
        <v/>
      </c>
      <c r="M869" s="14" t="str">
        <f t="shared" si="2"/>
        <v/>
      </c>
      <c r="N869" s="15" t="str">
        <f t="shared" si="3"/>
        <v/>
      </c>
      <c r="O869" s="14" t="str">
        <f t="shared" si="4"/>
        <v/>
      </c>
      <c r="P869" s="16" t="str">
        <f t="array" ref="P869">IF($A869="","", IFERROR(INDEX('BM Data'!$N:$N,MATCH($J869&amp; "-" &amp; $N869,'BM Data'!$O:$O,0),1),""))</f>
        <v/>
      </c>
      <c r="Q869" s="16" t="str">
        <f t="array" ref="Q869">IF($A869="","", IFERROR(INDEX('BM Data'!$J:$J,MATCH($J869&amp; "-" &amp; $N869,'BM Data'!$O:$O,0),1),""))</f>
        <v/>
      </c>
    </row>
    <row r="870">
      <c r="A870" s="10" t="str">
        <f>IFERROR(__xludf.DUMMYFUNCTION("""COMPUTED_VALUE"""),"")</f>
        <v/>
      </c>
      <c r="B870" s="3" t="str">
        <f>IFERROR(__xludf.DUMMYFUNCTION("""COMPUTED_VALUE"""),"")</f>
        <v/>
      </c>
      <c r="C870" s="11" t="str">
        <f>IFERROR(__xludf.DUMMYFUNCTION("""COMPUTED_VALUE"""),"")</f>
        <v/>
      </c>
      <c r="D870" s="11" t="str">
        <f>IFERROR(__xludf.DUMMYFUNCTION("""COMPUTED_VALUE"""),"")</f>
        <v/>
      </c>
      <c r="E870" s="11" t="str">
        <f>IFERROR(__xludf.DUMMYFUNCTION("""COMPUTED_VALUE"""),"")</f>
        <v/>
      </c>
      <c r="F870" s="11" t="str">
        <f>IFERROR(__xludf.DUMMYFUNCTION("""COMPUTED_VALUE"""),"")</f>
        <v/>
      </c>
      <c r="G870" s="11" t="str">
        <f>IFERROR(__xludf.DUMMYFUNCTION("""COMPUTED_VALUE"""),"")</f>
        <v/>
      </c>
      <c r="H870" s="12" t="str">
        <f>IFERROR(__xludf.DUMMYFUNCTION("""COMPUTED_VALUE"""),"")</f>
        <v/>
      </c>
      <c r="I870" s="12" t="str">
        <f>IFERROR(__xludf.DUMMYFUNCTION("""COMPUTED_VALUE"""),"")</f>
        <v/>
      </c>
      <c r="J870" s="13" t="str">
        <f t="shared" si="1"/>
        <v/>
      </c>
      <c r="K870" s="12" t="str">
        <f>IFERROR(IF(A870="","",if($G870="",Reference!$J$2, VLOOKUP($G870,Reference!$I$2:$J$1000,2,false))),"")</f>
        <v/>
      </c>
      <c r="L870" s="12" t="str">
        <f>IF(A870="","", IF(F870="",Reference!$M$2,F870))</f>
        <v/>
      </c>
      <c r="M870" s="14" t="str">
        <f t="shared" si="2"/>
        <v/>
      </c>
      <c r="N870" s="15" t="str">
        <f t="shared" si="3"/>
        <v/>
      </c>
      <c r="O870" s="14" t="str">
        <f t="shared" si="4"/>
        <v/>
      </c>
      <c r="P870" s="16" t="str">
        <f t="array" ref="P870">IF($A870="","", IFERROR(INDEX('BM Data'!$N:$N,MATCH($J870&amp; "-" &amp; $N870,'BM Data'!$O:$O,0),1),""))</f>
        <v/>
      </c>
      <c r="Q870" s="16" t="str">
        <f t="array" ref="Q870">IF($A870="","", IFERROR(INDEX('BM Data'!$J:$J,MATCH($J870&amp; "-" &amp; $N870,'BM Data'!$O:$O,0),1),""))</f>
        <v/>
      </c>
    </row>
    <row r="871">
      <c r="A871" s="10" t="str">
        <f>IFERROR(__xludf.DUMMYFUNCTION("""COMPUTED_VALUE"""),"")</f>
        <v/>
      </c>
      <c r="B871" s="3" t="str">
        <f>IFERROR(__xludf.DUMMYFUNCTION("""COMPUTED_VALUE"""),"")</f>
        <v/>
      </c>
      <c r="C871" s="11" t="str">
        <f>IFERROR(__xludf.DUMMYFUNCTION("""COMPUTED_VALUE"""),"")</f>
        <v/>
      </c>
      <c r="D871" s="11" t="str">
        <f>IFERROR(__xludf.DUMMYFUNCTION("""COMPUTED_VALUE"""),"")</f>
        <v/>
      </c>
      <c r="E871" s="11" t="str">
        <f>IFERROR(__xludf.DUMMYFUNCTION("""COMPUTED_VALUE"""),"")</f>
        <v/>
      </c>
      <c r="F871" s="11" t="str">
        <f>IFERROR(__xludf.DUMMYFUNCTION("""COMPUTED_VALUE"""),"")</f>
        <v/>
      </c>
      <c r="G871" s="11" t="str">
        <f>IFERROR(__xludf.DUMMYFUNCTION("""COMPUTED_VALUE"""),"")</f>
        <v/>
      </c>
      <c r="H871" s="12" t="str">
        <f>IFERROR(__xludf.DUMMYFUNCTION("""COMPUTED_VALUE"""),"")</f>
        <v/>
      </c>
      <c r="I871" s="12" t="str">
        <f>IFERROR(__xludf.DUMMYFUNCTION("""COMPUTED_VALUE"""),"")</f>
        <v/>
      </c>
      <c r="J871" s="13" t="str">
        <f t="shared" si="1"/>
        <v/>
      </c>
      <c r="K871" s="12" t="str">
        <f>IFERROR(IF(A871="","",if($G871="",Reference!$J$2, VLOOKUP($G871,Reference!$I$2:$J$1000,2,false))),"")</f>
        <v/>
      </c>
      <c r="L871" s="12" t="str">
        <f>IF(A871="","", IF(F871="",Reference!$M$2,F871))</f>
        <v/>
      </c>
      <c r="M871" s="14" t="str">
        <f t="shared" si="2"/>
        <v/>
      </c>
      <c r="N871" s="15" t="str">
        <f t="shared" si="3"/>
        <v/>
      </c>
      <c r="O871" s="14" t="str">
        <f t="shared" si="4"/>
        <v/>
      </c>
      <c r="P871" s="16" t="str">
        <f t="array" ref="P871">IF($A871="","", IFERROR(INDEX('BM Data'!$N:$N,MATCH($J871&amp; "-" &amp; $N871,'BM Data'!$O:$O,0),1),""))</f>
        <v/>
      </c>
      <c r="Q871" s="16" t="str">
        <f t="array" ref="Q871">IF($A871="","", IFERROR(INDEX('BM Data'!$J:$J,MATCH($J871&amp; "-" &amp; $N871,'BM Data'!$O:$O,0),1),""))</f>
        <v/>
      </c>
    </row>
    <row r="872">
      <c r="A872" s="10" t="str">
        <f>IFERROR(__xludf.DUMMYFUNCTION("""COMPUTED_VALUE"""),"")</f>
        <v/>
      </c>
      <c r="B872" s="3" t="str">
        <f>IFERROR(__xludf.DUMMYFUNCTION("""COMPUTED_VALUE"""),"")</f>
        <v/>
      </c>
      <c r="C872" s="11" t="str">
        <f>IFERROR(__xludf.DUMMYFUNCTION("""COMPUTED_VALUE"""),"")</f>
        <v/>
      </c>
      <c r="D872" s="11" t="str">
        <f>IFERROR(__xludf.DUMMYFUNCTION("""COMPUTED_VALUE"""),"")</f>
        <v/>
      </c>
      <c r="E872" s="11" t="str">
        <f>IFERROR(__xludf.DUMMYFUNCTION("""COMPUTED_VALUE"""),"")</f>
        <v/>
      </c>
      <c r="F872" s="11" t="str">
        <f>IFERROR(__xludf.DUMMYFUNCTION("""COMPUTED_VALUE"""),"")</f>
        <v/>
      </c>
      <c r="G872" s="11" t="str">
        <f>IFERROR(__xludf.DUMMYFUNCTION("""COMPUTED_VALUE"""),"")</f>
        <v/>
      </c>
      <c r="H872" s="12" t="str">
        <f>IFERROR(__xludf.DUMMYFUNCTION("""COMPUTED_VALUE"""),"")</f>
        <v/>
      </c>
      <c r="I872" s="12" t="str">
        <f>IFERROR(__xludf.DUMMYFUNCTION("""COMPUTED_VALUE"""),"")</f>
        <v/>
      </c>
      <c r="J872" s="13" t="str">
        <f t="shared" si="1"/>
        <v/>
      </c>
      <c r="K872" s="12" t="str">
        <f>IFERROR(IF(A872="","",if($G872="",Reference!$J$2, VLOOKUP($G872,Reference!$I$2:$J$1000,2,false))),"")</f>
        <v/>
      </c>
      <c r="L872" s="12" t="str">
        <f>IF(A872="","", IF(F872="",Reference!$M$2,F872))</f>
        <v/>
      </c>
      <c r="M872" s="14" t="str">
        <f t="shared" si="2"/>
        <v/>
      </c>
      <c r="N872" s="15" t="str">
        <f t="shared" si="3"/>
        <v/>
      </c>
      <c r="O872" s="14" t="str">
        <f t="shared" si="4"/>
        <v/>
      </c>
      <c r="P872" s="16" t="str">
        <f t="array" ref="P872">IF($A872="","", IFERROR(INDEX('BM Data'!$N:$N,MATCH($J872&amp; "-" &amp; $N872,'BM Data'!$O:$O,0),1),""))</f>
        <v/>
      </c>
      <c r="Q872" s="16" t="str">
        <f t="array" ref="Q872">IF($A872="","", IFERROR(INDEX('BM Data'!$J:$J,MATCH($J872&amp; "-" &amp; $N872,'BM Data'!$O:$O,0),1),""))</f>
        <v/>
      </c>
    </row>
    <row r="873">
      <c r="A873" s="10" t="str">
        <f>IFERROR(__xludf.DUMMYFUNCTION("""COMPUTED_VALUE"""),"")</f>
        <v/>
      </c>
      <c r="B873" s="3" t="str">
        <f>IFERROR(__xludf.DUMMYFUNCTION("""COMPUTED_VALUE"""),"")</f>
        <v/>
      </c>
      <c r="C873" s="11" t="str">
        <f>IFERROR(__xludf.DUMMYFUNCTION("""COMPUTED_VALUE"""),"")</f>
        <v/>
      </c>
      <c r="D873" s="11" t="str">
        <f>IFERROR(__xludf.DUMMYFUNCTION("""COMPUTED_VALUE"""),"")</f>
        <v/>
      </c>
      <c r="E873" s="11" t="str">
        <f>IFERROR(__xludf.DUMMYFUNCTION("""COMPUTED_VALUE"""),"")</f>
        <v/>
      </c>
      <c r="F873" s="11" t="str">
        <f>IFERROR(__xludf.DUMMYFUNCTION("""COMPUTED_VALUE"""),"")</f>
        <v/>
      </c>
      <c r="G873" s="11" t="str">
        <f>IFERROR(__xludf.DUMMYFUNCTION("""COMPUTED_VALUE"""),"")</f>
        <v/>
      </c>
      <c r="H873" s="12" t="str">
        <f>IFERROR(__xludf.DUMMYFUNCTION("""COMPUTED_VALUE"""),"")</f>
        <v/>
      </c>
      <c r="I873" s="12" t="str">
        <f>IFERROR(__xludf.DUMMYFUNCTION("""COMPUTED_VALUE"""),"")</f>
        <v/>
      </c>
      <c r="J873" s="13" t="str">
        <f t="shared" si="1"/>
        <v/>
      </c>
      <c r="K873" s="12" t="str">
        <f>IFERROR(IF(A873="","",if($G873="",Reference!$J$2, VLOOKUP($G873,Reference!$I$2:$J$1000,2,false))),"")</f>
        <v/>
      </c>
      <c r="L873" s="12" t="str">
        <f>IF(A873="","", IF(F873="",Reference!$M$2,F873))</f>
        <v/>
      </c>
      <c r="M873" s="14" t="str">
        <f t="shared" si="2"/>
        <v/>
      </c>
      <c r="N873" s="15" t="str">
        <f t="shared" si="3"/>
        <v/>
      </c>
      <c r="O873" s="14" t="str">
        <f t="shared" si="4"/>
        <v/>
      </c>
      <c r="P873" s="16" t="str">
        <f t="array" ref="P873">IF($A873="","", IFERROR(INDEX('BM Data'!$N:$N,MATCH($J873&amp; "-" &amp; $N873,'BM Data'!$O:$O,0),1),""))</f>
        <v/>
      </c>
      <c r="Q873" s="16" t="str">
        <f t="array" ref="Q873">IF($A873="","", IFERROR(INDEX('BM Data'!$J:$J,MATCH($J873&amp; "-" &amp; $N873,'BM Data'!$O:$O,0),1),""))</f>
        <v/>
      </c>
    </row>
    <row r="874">
      <c r="A874" s="10" t="str">
        <f>IFERROR(__xludf.DUMMYFUNCTION("""COMPUTED_VALUE"""),"")</f>
        <v/>
      </c>
      <c r="B874" s="3" t="str">
        <f>IFERROR(__xludf.DUMMYFUNCTION("""COMPUTED_VALUE"""),"")</f>
        <v/>
      </c>
      <c r="C874" s="11" t="str">
        <f>IFERROR(__xludf.DUMMYFUNCTION("""COMPUTED_VALUE"""),"")</f>
        <v/>
      </c>
      <c r="D874" s="11" t="str">
        <f>IFERROR(__xludf.DUMMYFUNCTION("""COMPUTED_VALUE"""),"")</f>
        <v/>
      </c>
      <c r="E874" s="11" t="str">
        <f>IFERROR(__xludf.DUMMYFUNCTION("""COMPUTED_VALUE"""),"")</f>
        <v/>
      </c>
      <c r="F874" s="11" t="str">
        <f>IFERROR(__xludf.DUMMYFUNCTION("""COMPUTED_VALUE"""),"")</f>
        <v/>
      </c>
      <c r="G874" s="11" t="str">
        <f>IFERROR(__xludf.DUMMYFUNCTION("""COMPUTED_VALUE"""),"")</f>
        <v/>
      </c>
      <c r="H874" s="12" t="str">
        <f>IFERROR(__xludf.DUMMYFUNCTION("""COMPUTED_VALUE"""),"")</f>
        <v/>
      </c>
      <c r="I874" s="12" t="str">
        <f>IFERROR(__xludf.DUMMYFUNCTION("""COMPUTED_VALUE"""),"")</f>
        <v/>
      </c>
      <c r="J874" s="13" t="str">
        <f t="shared" si="1"/>
        <v/>
      </c>
      <c r="K874" s="12" t="str">
        <f>IFERROR(IF(A874="","",if($G874="",Reference!$J$2, VLOOKUP($G874,Reference!$I$2:$J$1000,2,false))),"")</f>
        <v/>
      </c>
      <c r="L874" s="12" t="str">
        <f>IF(A874="","", IF(F874="",Reference!$M$2,F874))</f>
        <v/>
      </c>
      <c r="M874" s="14" t="str">
        <f t="shared" si="2"/>
        <v/>
      </c>
      <c r="N874" s="15" t="str">
        <f t="shared" si="3"/>
        <v/>
      </c>
      <c r="O874" s="14" t="str">
        <f t="shared" si="4"/>
        <v/>
      </c>
      <c r="P874" s="16" t="str">
        <f t="array" ref="P874">IF($A874="","", IFERROR(INDEX('BM Data'!$N:$N,MATCH($J874&amp; "-" &amp; $N874,'BM Data'!$O:$O,0),1),""))</f>
        <v/>
      </c>
      <c r="Q874" s="16" t="str">
        <f t="array" ref="Q874">IF($A874="","", IFERROR(INDEX('BM Data'!$J:$J,MATCH($J874&amp; "-" &amp; $N874,'BM Data'!$O:$O,0),1),""))</f>
        <v/>
      </c>
    </row>
    <row r="875">
      <c r="A875" s="10" t="str">
        <f>IFERROR(__xludf.DUMMYFUNCTION("""COMPUTED_VALUE"""),"")</f>
        <v/>
      </c>
      <c r="B875" s="3" t="str">
        <f>IFERROR(__xludf.DUMMYFUNCTION("""COMPUTED_VALUE"""),"")</f>
        <v/>
      </c>
      <c r="C875" s="11" t="str">
        <f>IFERROR(__xludf.DUMMYFUNCTION("""COMPUTED_VALUE"""),"")</f>
        <v/>
      </c>
      <c r="D875" s="11" t="str">
        <f>IFERROR(__xludf.DUMMYFUNCTION("""COMPUTED_VALUE"""),"")</f>
        <v/>
      </c>
      <c r="E875" s="11" t="str">
        <f>IFERROR(__xludf.DUMMYFUNCTION("""COMPUTED_VALUE"""),"")</f>
        <v/>
      </c>
      <c r="F875" s="11" t="str">
        <f>IFERROR(__xludf.DUMMYFUNCTION("""COMPUTED_VALUE"""),"")</f>
        <v/>
      </c>
      <c r="G875" s="11" t="str">
        <f>IFERROR(__xludf.DUMMYFUNCTION("""COMPUTED_VALUE"""),"")</f>
        <v/>
      </c>
      <c r="H875" s="12" t="str">
        <f>IFERROR(__xludf.DUMMYFUNCTION("""COMPUTED_VALUE"""),"")</f>
        <v/>
      </c>
      <c r="I875" s="12" t="str">
        <f>IFERROR(__xludf.DUMMYFUNCTION("""COMPUTED_VALUE"""),"")</f>
        <v/>
      </c>
      <c r="J875" s="13" t="str">
        <f t="shared" si="1"/>
        <v/>
      </c>
      <c r="K875" s="12" t="str">
        <f>IFERROR(IF(A875="","",if($G875="",Reference!$J$2, VLOOKUP($G875,Reference!$I$2:$J$1000,2,false))),"")</f>
        <v/>
      </c>
      <c r="L875" s="12" t="str">
        <f>IF(A875="","", IF(F875="",Reference!$M$2,F875))</f>
        <v/>
      </c>
      <c r="M875" s="14" t="str">
        <f t="shared" si="2"/>
        <v/>
      </c>
      <c r="N875" s="15" t="str">
        <f t="shared" si="3"/>
        <v/>
      </c>
      <c r="O875" s="14" t="str">
        <f t="shared" si="4"/>
        <v/>
      </c>
      <c r="P875" s="16" t="str">
        <f t="array" ref="P875">IF($A875="","", IFERROR(INDEX('BM Data'!$N:$N,MATCH($J875&amp; "-" &amp; $N875,'BM Data'!$O:$O,0),1),""))</f>
        <v/>
      </c>
      <c r="Q875" s="16" t="str">
        <f t="array" ref="Q875">IF($A875="","", IFERROR(INDEX('BM Data'!$J:$J,MATCH($J875&amp; "-" &amp; $N875,'BM Data'!$O:$O,0),1),""))</f>
        <v/>
      </c>
    </row>
    <row r="876">
      <c r="A876" s="10" t="str">
        <f>IFERROR(__xludf.DUMMYFUNCTION("""COMPUTED_VALUE"""),"")</f>
        <v/>
      </c>
      <c r="B876" s="3" t="str">
        <f>IFERROR(__xludf.DUMMYFUNCTION("""COMPUTED_VALUE"""),"")</f>
        <v/>
      </c>
      <c r="C876" s="11" t="str">
        <f>IFERROR(__xludf.DUMMYFUNCTION("""COMPUTED_VALUE"""),"")</f>
        <v/>
      </c>
      <c r="D876" s="11" t="str">
        <f>IFERROR(__xludf.DUMMYFUNCTION("""COMPUTED_VALUE"""),"")</f>
        <v/>
      </c>
      <c r="E876" s="11" t="str">
        <f>IFERROR(__xludf.DUMMYFUNCTION("""COMPUTED_VALUE"""),"")</f>
        <v/>
      </c>
      <c r="F876" s="11" t="str">
        <f>IFERROR(__xludf.DUMMYFUNCTION("""COMPUTED_VALUE"""),"")</f>
        <v/>
      </c>
      <c r="G876" s="11" t="str">
        <f>IFERROR(__xludf.DUMMYFUNCTION("""COMPUTED_VALUE"""),"")</f>
        <v/>
      </c>
      <c r="H876" s="12" t="str">
        <f>IFERROR(__xludf.DUMMYFUNCTION("""COMPUTED_VALUE"""),"")</f>
        <v/>
      </c>
      <c r="I876" s="12" t="str">
        <f>IFERROR(__xludf.DUMMYFUNCTION("""COMPUTED_VALUE"""),"")</f>
        <v/>
      </c>
      <c r="J876" s="13" t="str">
        <f t="shared" si="1"/>
        <v/>
      </c>
      <c r="K876" s="12" t="str">
        <f>IFERROR(IF(A876="","",if($G876="",Reference!$J$2, VLOOKUP($G876,Reference!$I$2:$J$1000,2,false))),"")</f>
        <v/>
      </c>
      <c r="L876" s="12" t="str">
        <f>IF(A876="","", IF(F876="",Reference!$M$2,F876))</f>
        <v/>
      </c>
      <c r="M876" s="14" t="str">
        <f t="shared" si="2"/>
        <v/>
      </c>
      <c r="N876" s="15" t="str">
        <f t="shared" si="3"/>
        <v/>
      </c>
      <c r="O876" s="14" t="str">
        <f t="shared" si="4"/>
        <v/>
      </c>
      <c r="P876" s="16" t="str">
        <f t="array" ref="P876">IF($A876="","", IFERROR(INDEX('BM Data'!$N:$N,MATCH($J876&amp; "-" &amp; $N876,'BM Data'!$O:$O,0),1),""))</f>
        <v/>
      </c>
      <c r="Q876" s="16" t="str">
        <f t="array" ref="Q876">IF($A876="","", IFERROR(INDEX('BM Data'!$J:$J,MATCH($J876&amp; "-" &amp; $N876,'BM Data'!$O:$O,0),1),""))</f>
        <v/>
      </c>
    </row>
    <row r="877">
      <c r="A877" s="10" t="str">
        <f>IFERROR(__xludf.DUMMYFUNCTION("""COMPUTED_VALUE"""),"")</f>
        <v/>
      </c>
      <c r="B877" s="3" t="str">
        <f>IFERROR(__xludf.DUMMYFUNCTION("""COMPUTED_VALUE"""),"")</f>
        <v/>
      </c>
      <c r="C877" s="11" t="str">
        <f>IFERROR(__xludf.DUMMYFUNCTION("""COMPUTED_VALUE"""),"")</f>
        <v/>
      </c>
      <c r="D877" s="11" t="str">
        <f>IFERROR(__xludf.DUMMYFUNCTION("""COMPUTED_VALUE"""),"")</f>
        <v/>
      </c>
      <c r="E877" s="11" t="str">
        <f>IFERROR(__xludf.DUMMYFUNCTION("""COMPUTED_VALUE"""),"")</f>
        <v/>
      </c>
      <c r="F877" s="11" t="str">
        <f>IFERROR(__xludf.DUMMYFUNCTION("""COMPUTED_VALUE"""),"")</f>
        <v/>
      </c>
      <c r="G877" s="11" t="str">
        <f>IFERROR(__xludf.DUMMYFUNCTION("""COMPUTED_VALUE"""),"")</f>
        <v/>
      </c>
      <c r="H877" s="12" t="str">
        <f>IFERROR(__xludf.DUMMYFUNCTION("""COMPUTED_VALUE"""),"")</f>
        <v/>
      </c>
      <c r="I877" s="12" t="str">
        <f>IFERROR(__xludf.DUMMYFUNCTION("""COMPUTED_VALUE"""),"")</f>
        <v/>
      </c>
      <c r="J877" s="13" t="str">
        <f t="shared" si="1"/>
        <v/>
      </c>
      <c r="K877" s="12" t="str">
        <f>IFERROR(IF(A877="","",if($G877="",Reference!$J$2, VLOOKUP($G877,Reference!$I$2:$J$1000,2,false))),"")</f>
        <v/>
      </c>
      <c r="L877" s="12" t="str">
        <f>IF(A877="","", IF(F877="",Reference!$M$2,F877))</f>
        <v/>
      </c>
      <c r="M877" s="14" t="str">
        <f t="shared" si="2"/>
        <v/>
      </c>
      <c r="N877" s="15" t="str">
        <f t="shared" si="3"/>
        <v/>
      </c>
      <c r="O877" s="14" t="str">
        <f t="shared" si="4"/>
        <v/>
      </c>
      <c r="P877" s="16" t="str">
        <f t="array" ref="P877">IF($A877="","", IFERROR(INDEX('BM Data'!$N:$N,MATCH($J877&amp; "-" &amp; $N877,'BM Data'!$O:$O,0),1),""))</f>
        <v/>
      </c>
      <c r="Q877" s="16" t="str">
        <f t="array" ref="Q877">IF($A877="","", IFERROR(INDEX('BM Data'!$J:$J,MATCH($J877&amp; "-" &amp; $N877,'BM Data'!$O:$O,0),1),""))</f>
        <v/>
      </c>
    </row>
    <row r="878">
      <c r="A878" s="10" t="str">
        <f>IFERROR(__xludf.DUMMYFUNCTION("""COMPUTED_VALUE"""),"")</f>
        <v/>
      </c>
      <c r="B878" s="3" t="str">
        <f>IFERROR(__xludf.DUMMYFUNCTION("""COMPUTED_VALUE"""),"")</f>
        <v/>
      </c>
      <c r="C878" s="11" t="str">
        <f>IFERROR(__xludf.DUMMYFUNCTION("""COMPUTED_VALUE"""),"")</f>
        <v/>
      </c>
      <c r="D878" s="11" t="str">
        <f>IFERROR(__xludf.DUMMYFUNCTION("""COMPUTED_VALUE"""),"")</f>
        <v/>
      </c>
      <c r="E878" s="11" t="str">
        <f>IFERROR(__xludf.DUMMYFUNCTION("""COMPUTED_VALUE"""),"")</f>
        <v/>
      </c>
      <c r="F878" s="11" t="str">
        <f>IFERROR(__xludf.DUMMYFUNCTION("""COMPUTED_VALUE"""),"")</f>
        <v/>
      </c>
      <c r="G878" s="11" t="str">
        <f>IFERROR(__xludf.DUMMYFUNCTION("""COMPUTED_VALUE"""),"")</f>
        <v/>
      </c>
      <c r="H878" s="12" t="str">
        <f>IFERROR(__xludf.DUMMYFUNCTION("""COMPUTED_VALUE"""),"")</f>
        <v/>
      </c>
      <c r="I878" s="12" t="str">
        <f>IFERROR(__xludf.DUMMYFUNCTION("""COMPUTED_VALUE"""),"")</f>
        <v/>
      </c>
      <c r="J878" s="13" t="str">
        <f t="shared" si="1"/>
        <v/>
      </c>
      <c r="K878" s="12" t="str">
        <f>IFERROR(IF(A878="","",if($G878="",Reference!$J$2, VLOOKUP($G878,Reference!$I$2:$J$1000,2,false))),"")</f>
        <v/>
      </c>
      <c r="L878" s="12" t="str">
        <f>IF(A878="","", IF(F878="",Reference!$M$2,F878))</f>
        <v/>
      </c>
      <c r="M878" s="14" t="str">
        <f t="shared" si="2"/>
        <v/>
      </c>
      <c r="N878" s="15" t="str">
        <f t="shared" si="3"/>
        <v/>
      </c>
      <c r="O878" s="14" t="str">
        <f t="shared" si="4"/>
        <v/>
      </c>
      <c r="P878" s="16" t="str">
        <f t="array" ref="P878">IF($A878="","", IFERROR(INDEX('BM Data'!$N:$N,MATCH($J878&amp; "-" &amp; $N878,'BM Data'!$O:$O,0),1),""))</f>
        <v/>
      </c>
      <c r="Q878" s="16" t="str">
        <f t="array" ref="Q878">IF($A878="","", IFERROR(INDEX('BM Data'!$J:$J,MATCH($J878&amp; "-" &amp; $N878,'BM Data'!$O:$O,0),1),""))</f>
        <v/>
      </c>
    </row>
    <row r="879">
      <c r="A879" s="10" t="str">
        <f>IFERROR(__xludf.DUMMYFUNCTION("""COMPUTED_VALUE"""),"")</f>
        <v/>
      </c>
      <c r="B879" s="3" t="str">
        <f>IFERROR(__xludf.DUMMYFUNCTION("""COMPUTED_VALUE"""),"")</f>
        <v/>
      </c>
      <c r="C879" s="11" t="str">
        <f>IFERROR(__xludf.DUMMYFUNCTION("""COMPUTED_VALUE"""),"")</f>
        <v/>
      </c>
      <c r="D879" s="11" t="str">
        <f>IFERROR(__xludf.DUMMYFUNCTION("""COMPUTED_VALUE"""),"")</f>
        <v/>
      </c>
      <c r="E879" s="11" t="str">
        <f>IFERROR(__xludf.DUMMYFUNCTION("""COMPUTED_VALUE"""),"")</f>
        <v/>
      </c>
      <c r="F879" s="11" t="str">
        <f>IFERROR(__xludf.DUMMYFUNCTION("""COMPUTED_VALUE"""),"")</f>
        <v/>
      </c>
      <c r="G879" s="11" t="str">
        <f>IFERROR(__xludf.DUMMYFUNCTION("""COMPUTED_VALUE"""),"")</f>
        <v/>
      </c>
      <c r="H879" s="12" t="str">
        <f>IFERROR(__xludf.DUMMYFUNCTION("""COMPUTED_VALUE"""),"")</f>
        <v/>
      </c>
      <c r="I879" s="12" t="str">
        <f>IFERROR(__xludf.DUMMYFUNCTION("""COMPUTED_VALUE"""),"")</f>
        <v/>
      </c>
      <c r="J879" s="13" t="str">
        <f t="shared" si="1"/>
        <v/>
      </c>
      <c r="K879" s="12" t="str">
        <f>IFERROR(IF(A879="","",if($G879="",Reference!$J$2, VLOOKUP($G879,Reference!$I$2:$J$1000,2,false))),"")</f>
        <v/>
      </c>
      <c r="L879" s="12" t="str">
        <f>IF(A879="","", IF(F879="",Reference!$M$2,F879))</f>
        <v/>
      </c>
      <c r="M879" s="14" t="str">
        <f t="shared" si="2"/>
        <v/>
      </c>
      <c r="N879" s="15" t="str">
        <f t="shared" si="3"/>
        <v/>
      </c>
      <c r="O879" s="14" t="str">
        <f t="shared" si="4"/>
        <v/>
      </c>
      <c r="P879" s="16" t="str">
        <f t="array" ref="P879">IF($A879="","", IFERROR(INDEX('BM Data'!$N:$N,MATCH($J879&amp; "-" &amp; $N879,'BM Data'!$O:$O,0),1),""))</f>
        <v/>
      </c>
      <c r="Q879" s="16" t="str">
        <f t="array" ref="Q879">IF($A879="","", IFERROR(INDEX('BM Data'!$J:$J,MATCH($J879&amp; "-" &amp; $N879,'BM Data'!$O:$O,0),1),""))</f>
        <v/>
      </c>
    </row>
    <row r="880">
      <c r="A880" s="10" t="str">
        <f>IFERROR(__xludf.DUMMYFUNCTION("""COMPUTED_VALUE"""),"")</f>
        <v/>
      </c>
      <c r="B880" s="3" t="str">
        <f>IFERROR(__xludf.DUMMYFUNCTION("""COMPUTED_VALUE"""),"")</f>
        <v/>
      </c>
      <c r="C880" s="11" t="str">
        <f>IFERROR(__xludf.DUMMYFUNCTION("""COMPUTED_VALUE"""),"")</f>
        <v/>
      </c>
      <c r="D880" s="11" t="str">
        <f>IFERROR(__xludf.DUMMYFUNCTION("""COMPUTED_VALUE"""),"")</f>
        <v/>
      </c>
      <c r="E880" s="11" t="str">
        <f>IFERROR(__xludf.DUMMYFUNCTION("""COMPUTED_VALUE"""),"")</f>
        <v/>
      </c>
      <c r="F880" s="11" t="str">
        <f>IFERROR(__xludf.DUMMYFUNCTION("""COMPUTED_VALUE"""),"")</f>
        <v/>
      </c>
      <c r="G880" s="11" t="str">
        <f>IFERROR(__xludf.DUMMYFUNCTION("""COMPUTED_VALUE"""),"")</f>
        <v/>
      </c>
      <c r="H880" s="12" t="str">
        <f>IFERROR(__xludf.DUMMYFUNCTION("""COMPUTED_VALUE"""),"")</f>
        <v/>
      </c>
      <c r="I880" s="12" t="str">
        <f>IFERROR(__xludf.DUMMYFUNCTION("""COMPUTED_VALUE"""),"")</f>
        <v/>
      </c>
      <c r="J880" s="13" t="str">
        <f t="shared" si="1"/>
        <v/>
      </c>
      <c r="K880" s="12" t="str">
        <f>IFERROR(IF(A880="","",if($G880="",Reference!$J$2, VLOOKUP($G880,Reference!$I$2:$J$1000,2,false))),"")</f>
        <v/>
      </c>
      <c r="L880" s="12" t="str">
        <f>IF(A880="","", IF(F880="",Reference!$M$2,F880))</f>
        <v/>
      </c>
      <c r="M880" s="14" t="str">
        <f t="shared" si="2"/>
        <v/>
      </c>
      <c r="N880" s="15" t="str">
        <f t="shared" si="3"/>
        <v/>
      </c>
      <c r="O880" s="14" t="str">
        <f t="shared" si="4"/>
        <v/>
      </c>
      <c r="P880" s="16" t="str">
        <f t="array" ref="P880">IF($A880="","", IFERROR(INDEX('BM Data'!$N:$N,MATCH($J880&amp; "-" &amp; $N880,'BM Data'!$O:$O,0),1),""))</f>
        <v/>
      </c>
      <c r="Q880" s="16" t="str">
        <f t="array" ref="Q880">IF($A880="","", IFERROR(INDEX('BM Data'!$J:$J,MATCH($J880&amp; "-" &amp; $N880,'BM Data'!$O:$O,0),1),""))</f>
        <v/>
      </c>
    </row>
    <row r="881">
      <c r="A881" s="10" t="str">
        <f>IFERROR(__xludf.DUMMYFUNCTION("""COMPUTED_VALUE"""),"")</f>
        <v/>
      </c>
      <c r="B881" s="3" t="str">
        <f>IFERROR(__xludf.DUMMYFUNCTION("""COMPUTED_VALUE"""),"")</f>
        <v/>
      </c>
      <c r="C881" s="11" t="str">
        <f>IFERROR(__xludf.DUMMYFUNCTION("""COMPUTED_VALUE"""),"")</f>
        <v/>
      </c>
      <c r="D881" s="11" t="str">
        <f>IFERROR(__xludf.DUMMYFUNCTION("""COMPUTED_VALUE"""),"")</f>
        <v/>
      </c>
      <c r="E881" s="11" t="str">
        <f>IFERROR(__xludf.DUMMYFUNCTION("""COMPUTED_VALUE"""),"")</f>
        <v/>
      </c>
      <c r="F881" s="11" t="str">
        <f>IFERROR(__xludf.DUMMYFUNCTION("""COMPUTED_VALUE"""),"")</f>
        <v/>
      </c>
      <c r="G881" s="11" t="str">
        <f>IFERROR(__xludf.DUMMYFUNCTION("""COMPUTED_VALUE"""),"")</f>
        <v/>
      </c>
      <c r="H881" s="12" t="str">
        <f>IFERROR(__xludf.DUMMYFUNCTION("""COMPUTED_VALUE"""),"")</f>
        <v/>
      </c>
      <c r="I881" s="12" t="str">
        <f>IFERROR(__xludf.DUMMYFUNCTION("""COMPUTED_VALUE"""),"")</f>
        <v/>
      </c>
      <c r="J881" s="13" t="str">
        <f t="shared" si="1"/>
        <v/>
      </c>
      <c r="K881" s="12" t="str">
        <f>IFERROR(IF(A881="","",if($G881="",Reference!$J$2, VLOOKUP($G881,Reference!$I$2:$J$1000,2,false))),"")</f>
        <v/>
      </c>
      <c r="L881" s="12" t="str">
        <f>IF(A881="","", IF(F881="",Reference!$M$2,F881))</f>
        <v/>
      </c>
      <c r="M881" s="14" t="str">
        <f t="shared" si="2"/>
        <v/>
      </c>
      <c r="N881" s="15" t="str">
        <f t="shared" si="3"/>
        <v/>
      </c>
      <c r="O881" s="14" t="str">
        <f t="shared" si="4"/>
        <v/>
      </c>
      <c r="P881" s="16" t="str">
        <f t="array" ref="P881">IF($A881="","", IFERROR(INDEX('BM Data'!$N:$N,MATCH($J881&amp; "-" &amp; $N881,'BM Data'!$O:$O,0),1),""))</f>
        <v/>
      </c>
      <c r="Q881" s="16" t="str">
        <f t="array" ref="Q881">IF($A881="","", IFERROR(INDEX('BM Data'!$J:$J,MATCH($J881&amp; "-" &amp; $N881,'BM Data'!$O:$O,0),1),""))</f>
        <v/>
      </c>
    </row>
    <row r="882">
      <c r="A882" s="10" t="str">
        <f>IFERROR(__xludf.DUMMYFUNCTION("""COMPUTED_VALUE"""),"")</f>
        <v/>
      </c>
      <c r="B882" s="3" t="str">
        <f>IFERROR(__xludf.DUMMYFUNCTION("""COMPUTED_VALUE"""),"")</f>
        <v/>
      </c>
      <c r="C882" s="11" t="str">
        <f>IFERROR(__xludf.DUMMYFUNCTION("""COMPUTED_VALUE"""),"")</f>
        <v/>
      </c>
      <c r="D882" s="11" t="str">
        <f>IFERROR(__xludf.DUMMYFUNCTION("""COMPUTED_VALUE"""),"")</f>
        <v/>
      </c>
      <c r="E882" s="11" t="str">
        <f>IFERROR(__xludf.DUMMYFUNCTION("""COMPUTED_VALUE"""),"")</f>
        <v/>
      </c>
      <c r="F882" s="11" t="str">
        <f>IFERROR(__xludf.DUMMYFUNCTION("""COMPUTED_VALUE"""),"")</f>
        <v/>
      </c>
      <c r="G882" s="11" t="str">
        <f>IFERROR(__xludf.DUMMYFUNCTION("""COMPUTED_VALUE"""),"")</f>
        <v/>
      </c>
      <c r="H882" s="12" t="str">
        <f>IFERROR(__xludf.DUMMYFUNCTION("""COMPUTED_VALUE"""),"")</f>
        <v/>
      </c>
      <c r="I882" s="12" t="str">
        <f>IFERROR(__xludf.DUMMYFUNCTION("""COMPUTED_VALUE"""),"")</f>
        <v/>
      </c>
      <c r="J882" s="13" t="str">
        <f t="shared" si="1"/>
        <v/>
      </c>
      <c r="K882" s="12" t="str">
        <f>IFERROR(IF(A882="","",if($G882="",Reference!$J$2, VLOOKUP($G882,Reference!$I$2:$J$1000,2,false))),"")</f>
        <v/>
      </c>
      <c r="L882" s="12" t="str">
        <f>IF(A882="","", IF(F882="",Reference!$M$2,F882))</f>
        <v/>
      </c>
      <c r="M882" s="14" t="str">
        <f t="shared" si="2"/>
        <v/>
      </c>
      <c r="N882" s="15" t="str">
        <f t="shared" si="3"/>
        <v/>
      </c>
      <c r="O882" s="14" t="str">
        <f t="shared" si="4"/>
        <v/>
      </c>
      <c r="P882" s="16" t="str">
        <f t="array" ref="P882">IF($A882="","", IFERROR(INDEX('BM Data'!$N:$N,MATCH($J882&amp; "-" &amp; $N882,'BM Data'!$O:$O,0),1),""))</f>
        <v/>
      </c>
      <c r="Q882" s="16" t="str">
        <f t="array" ref="Q882">IF($A882="","", IFERROR(INDEX('BM Data'!$J:$J,MATCH($J882&amp; "-" &amp; $N882,'BM Data'!$O:$O,0),1),""))</f>
        <v/>
      </c>
    </row>
    <row r="883">
      <c r="A883" s="10" t="str">
        <f>IFERROR(__xludf.DUMMYFUNCTION("""COMPUTED_VALUE"""),"")</f>
        <v/>
      </c>
      <c r="B883" s="3" t="str">
        <f>IFERROR(__xludf.DUMMYFUNCTION("""COMPUTED_VALUE"""),"")</f>
        <v/>
      </c>
      <c r="C883" s="11" t="str">
        <f>IFERROR(__xludf.DUMMYFUNCTION("""COMPUTED_VALUE"""),"")</f>
        <v/>
      </c>
      <c r="D883" s="11" t="str">
        <f>IFERROR(__xludf.DUMMYFUNCTION("""COMPUTED_VALUE"""),"")</f>
        <v/>
      </c>
      <c r="E883" s="11" t="str">
        <f>IFERROR(__xludf.DUMMYFUNCTION("""COMPUTED_VALUE"""),"")</f>
        <v/>
      </c>
      <c r="F883" s="11" t="str">
        <f>IFERROR(__xludf.DUMMYFUNCTION("""COMPUTED_VALUE"""),"")</f>
        <v/>
      </c>
      <c r="G883" s="11" t="str">
        <f>IFERROR(__xludf.DUMMYFUNCTION("""COMPUTED_VALUE"""),"")</f>
        <v/>
      </c>
      <c r="H883" s="12" t="str">
        <f>IFERROR(__xludf.DUMMYFUNCTION("""COMPUTED_VALUE"""),"")</f>
        <v/>
      </c>
      <c r="I883" s="12" t="str">
        <f>IFERROR(__xludf.DUMMYFUNCTION("""COMPUTED_VALUE"""),"")</f>
        <v/>
      </c>
      <c r="J883" s="13" t="str">
        <f t="shared" si="1"/>
        <v/>
      </c>
      <c r="K883" s="12" t="str">
        <f>IFERROR(IF(A883="","",if($G883="",Reference!$J$2, VLOOKUP($G883,Reference!$I$2:$J$1000,2,false))),"")</f>
        <v/>
      </c>
      <c r="L883" s="12" t="str">
        <f>IF(A883="","", IF(F883="",Reference!$M$2,F883))</f>
        <v/>
      </c>
      <c r="M883" s="14" t="str">
        <f t="shared" si="2"/>
        <v/>
      </c>
      <c r="N883" s="15" t="str">
        <f t="shared" si="3"/>
        <v/>
      </c>
      <c r="O883" s="14" t="str">
        <f t="shared" si="4"/>
        <v/>
      </c>
      <c r="P883" s="16" t="str">
        <f t="array" ref="P883">IF($A883="","", IFERROR(INDEX('BM Data'!$N:$N,MATCH($J883&amp; "-" &amp; $N883,'BM Data'!$O:$O,0),1),""))</f>
        <v/>
      </c>
      <c r="Q883" s="16" t="str">
        <f t="array" ref="Q883">IF($A883="","", IFERROR(INDEX('BM Data'!$J:$J,MATCH($J883&amp; "-" &amp; $N883,'BM Data'!$O:$O,0),1),""))</f>
        <v/>
      </c>
    </row>
    <row r="884">
      <c r="A884" s="10" t="str">
        <f>IFERROR(__xludf.DUMMYFUNCTION("""COMPUTED_VALUE"""),"")</f>
        <v/>
      </c>
      <c r="B884" s="3" t="str">
        <f>IFERROR(__xludf.DUMMYFUNCTION("""COMPUTED_VALUE"""),"")</f>
        <v/>
      </c>
      <c r="C884" s="11" t="str">
        <f>IFERROR(__xludf.DUMMYFUNCTION("""COMPUTED_VALUE"""),"")</f>
        <v/>
      </c>
      <c r="D884" s="11" t="str">
        <f>IFERROR(__xludf.DUMMYFUNCTION("""COMPUTED_VALUE"""),"")</f>
        <v/>
      </c>
      <c r="E884" s="11" t="str">
        <f>IFERROR(__xludf.DUMMYFUNCTION("""COMPUTED_VALUE"""),"")</f>
        <v/>
      </c>
      <c r="F884" s="11" t="str">
        <f>IFERROR(__xludf.DUMMYFUNCTION("""COMPUTED_VALUE"""),"")</f>
        <v/>
      </c>
      <c r="G884" s="11" t="str">
        <f>IFERROR(__xludf.DUMMYFUNCTION("""COMPUTED_VALUE"""),"")</f>
        <v/>
      </c>
      <c r="H884" s="12" t="str">
        <f>IFERROR(__xludf.DUMMYFUNCTION("""COMPUTED_VALUE"""),"")</f>
        <v/>
      </c>
      <c r="I884" s="12" t="str">
        <f>IFERROR(__xludf.DUMMYFUNCTION("""COMPUTED_VALUE"""),"")</f>
        <v/>
      </c>
      <c r="J884" s="13" t="str">
        <f t="shared" si="1"/>
        <v/>
      </c>
      <c r="K884" s="12" t="str">
        <f>IFERROR(IF(A884="","",if($G884="",Reference!$J$2, VLOOKUP($G884,Reference!$I$2:$J$1000,2,false))),"")</f>
        <v/>
      </c>
      <c r="L884" s="12" t="str">
        <f>IF(A884="","", IF(F884="",Reference!$M$2,F884))</f>
        <v/>
      </c>
      <c r="M884" s="14" t="str">
        <f t="shared" si="2"/>
        <v/>
      </c>
      <c r="N884" s="15" t="str">
        <f t="shared" si="3"/>
        <v/>
      </c>
      <c r="O884" s="14" t="str">
        <f t="shared" si="4"/>
        <v/>
      </c>
      <c r="P884" s="16" t="str">
        <f t="array" ref="P884">IF($A884="","", IFERROR(INDEX('BM Data'!$N:$N,MATCH($J884&amp; "-" &amp; $N884,'BM Data'!$O:$O,0),1),""))</f>
        <v/>
      </c>
      <c r="Q884" s="16" t="str">
        <f t="array" ref="Q884">IF($A884="","", IFERROR(INDEX('BM Data'!$J:$J,MATCH($J884&amp; "-" &amp; $N884,'BM Data'!$O:$O,0),1),""))</f>
        <v/>
      </c>
    </row>
    <row r="885">
      <c r="A885" s="10" t="str">
        <f>IFERROR(__xludf.DUMMYFUNCTION("""COMPUTED_VALUE"""),"")</f>
        <v/>
      </c>
      <c r="B885" s="3" t="str">
        <f>IFERROR(__xludf.DUMMYFUNCTION("""COMPUTED_VALUE"""),"")</f>
        <v/>
      </c>
      <c r="C885" s="11" t="str">
        <f>IFERROR(__xludf.DUMMYFUNCTION("""COMPUTED_VALUE"""),"")</f>
        <v/>
      </c>
      <c r="D885" s="11" t="str">
        <f>IFERROR(__xludf.DUMMYFUNCTION("""COMPUTED_VALUE"""),"")</f>
        <v/>
      </c>
      <c r="E885" s="11" t="str">
        <f>IFERROR(__xludf.DUMMYFUNCTION("""COMPUTED_VALUE"""),"")</f>
        <v/>
      </c>
      <c r="F885" s="11" t="str">
        <f>IFERROR(__xludf.DUMMYFUNCTION("""COMPUTED_VALUE"""),"")</f>
        <v/>
      </c>
      <c r="G885" s="11" t="str">
        <f>IFERROR(__xludf.DUMMYFUNCTION("""COMPUTED_VALUE"""),"")</f>
        <v/>
      </c>
      <c r="H885" s="12" t="str">
        <f>IFERROR(__xludf.DUMMYFUNCTION("""COMPUTED_VALUE"""),"")</f>
        <v/>
      </c>
      <c r="I885" s="12" t="str">
        <f>IFERROR(__xludf.DUMMYFUNCTION("""COMPUTED_VALUE"""),"")</f>
        <v/>
      </c>
      <c r="J885" s="13" t="str">
        <f t="shared" si="1"/>
        <v/>
      </c>
      <c r="K885" s="12" t="str">
        <f>IFERROR(IF(A885="","",if($G885="",Reference!$J$2, VLOOKUP($G885,Reference!$I$2:$J$1000,2,false))),"")</f>
        <v/>
      </c>
      <c r="L885" s="12" t="str">
        <f>IF(A885="","", IF(F885="",Reference!$M$2,F885))</f>
        <v/>
      </c>
      <c r="M885" s="14" t="str">
        <f t="shared" si="2"/>
        <v/>
      </c>
      <c r="N885" s="15" t="str">
        <f t="shared" si="3"/>
        <v/>
      </c>
      <c r="O885" s="14" t="str">
        <f t="shared" si="4"/>
        <v/>
      </c>
      <c r="P885" s="16" t="str">
        <f t="array" ref="P885">IF($A885="","", IFERROR(INDEX('BM Data'!$N:$N,MATCH($J885&amp; "-" &amp; $N885,'BM Data'!$O:$O,0),1),""))</f>
        <v/>
      </c>
      <c r="Q885" s="16" t="str">
        <f t="array" ref="Q885">IF($A885="","", IFERROR(INDEX('BM Data'!$J:$J,MATCH($J885&amp; "-" &amp; $N885,'BM Data'!$O:$O,0),1),""))</f>
        <v/>
      </c>
    </row>
    <row r="886">
      <c r="A886" s="10" t="str">
        <f>IFERROR(__xludf.DUMMYFUNCTION("""COMPUTED_VALUE"""),"")</f>
        <v/>
      </c>
      <c r="B886" s="3" t="str">
        <f>IFERROR(__xludf.DUMMYFUNCTION("""COMPUTED_VALUE"""),"")</f>
        <v/>
      </c>
      <c r="C886" s="11" t="str">
        <f>IFERROR(__xludf.DUMMYFUNCTION("""COMPUTED_VALUE"""),"")</f>
        <v/>
      </c>
      <c r="D886" s="11" t="str">
        <f>IFERROR(__xludf.DUMMYFUNCTION("""COMPUTED_VALUE"""),"")</f>
        <v/>
      </c>
      <c r="E886" s="11" t="str">
        <f>IFERROR(__xludf.DUMMYFUNCTION("""COMPUTED_VALUE"""),"")</f>
        <v/>
      </c>
      <c r="F886" s="11" t="str">
        <f>IFERROR(__xludf.DUMMYFUNCTION("""COMPUTED_VALUE"""),"")</f>
        <v/>
      </c>
      <c r="G886" s="11" t="str">
        <f>IFERROR(__xludf.DUMMYFUNCTION("""COMPUTED_VALUE"""),"")</f>
        <v/>
      </c>
      <c r="H886" s="12" t="str">
        <f>IFERROR(__xludf.DUMMYFUNCTION("""COMPUTED_VALUE"""),"")</f>
        <v/>
      </c>
      <c r="I886" s="12" t="str">
        <f>IFERROR(__xludf.DUMMYFUNCTION("""COMPUTED_VALUE"""),"")</f>
        <v/>
      </c>
      <c r="J886" s="13" t="str">
        <f t="shared" si="1"/>
        <v/>
      </c>
      <c r="K886" s="12" t="str">
        <f>IFERROR(IF(A886="","",if($G886="",Reference!$J$2, VLOOKUP($G886,Reference!$I$2:$J$1000,2,false))),"")</f>
        <v/>
      </c>
      <c r="L886" s="12" t="str">
        <f>IF(A886="","", IF(F886="",Reference!$M$2,F886))</f>
        <v/>
      </c>
      <c r="M886" s="14" t="str">
        <f t="shared" si="2"/>
        <v/>
      </c>
      <c r="N886" s="15" t="str">
        <f t="shared" si="3"/>
        <v/>
      </c>
      <c r="O886" s="14" t="str">
        <f t="shared" si="4"/>
        <v/>
      </c>
      <c r="P886" s="16" t="str">
        <f t="array" ref="P886">IF($A886="","", IFERROR(INDEX('BM Data'!$N:$N,MATCH($J886&amp; "-" &amp; $N886,'BM Data'!$O:$O,0),1),""))</f>
        <v/>
      </c>
      <c r="Q886" s="16" t="str">
        <f t="array" ref="Q886">IF($A886="","", IFERROR(INDEX('BM Data'!$J:$J,MATCH($J886&amp; "-" &amp; $N886,'BM Data'!$O:$O,0),1),""))</f>
        <v/>
      </c>
    </row>
    <row r="887">
      <c r="A887" s="10" t="str">
        <f>IFERROR(__xludf.DUMMYFUNCTION("""COMPUTED_VALUE"""),"")</f>
        <v/>
      </c>
      <c r="B887" s="3" t="str">
        <f>IFERROR(__xludf.DUMMYFUNCTION("""COMPUTED_VALUE"""),"")</f>
        <v/>
      </c>
      <c r="C887" s="11" t="str">
        <f>IFERROR(__xludf.DUMMYFUNCTION("""COMPUTED_VALUE"""),"")</f>
        <v/>
      </c>
      <c r="D887" s="11" t="str">
        <f>IFERROR(__xludf.DUMMYFUNCTION("""COMPUTED_VALUE"""),"")</f>
        <v/>
      </c>
      <c r="E887" s="11" t="str">
        <f>IFERROR(__xludf.DUMMYFUNCTION("""COMPUTED_VALUE"""),"")</f>
        <v/>
      </c>
      <c r="F887" s="11" t="str">
        <f>IFERROR(__xludf.DUMMYFUNCTION("""COMPUTED_VALUE"""),"")</f>
        <v/>
      </c>
      <c r="G887" s="11" t="str">
        <f>IFERROR(__xludf.DUMMYFUNCTION("""COMPUTED_VALUE"""),"")</f>
        <v/>
      </c>
      <c r="H887" s="12" t="str">
        <f>IFERROR(__xludf.DUMMYFUNCTION("""COMPUTED_VALUE"""),"")</f>
        <v/>
      </c>
      <c r="I887" s="12" t="str">
        <f>IFERROR(__xludf.DUMMYFUNCTION("""COMPUTED_VALUE"""),"")</f>
        <v/>
      </c>
      <c r="J887" s="13" t="str">
        <f t="shared" si="1"/>
        <v/>
      </c>
      <c r="K887" s="12" t="str">
        <f>IFERROR(IF(A887="","",if($G887="",Reference!$J$2, VLOOKUP($G887,Reference!$I$2:$J$1000,2,false))),"")</f>
        <v/>
      </c>
      <c r="L887" s="12" t="str">
        <f>IF(A887="","", IF(F887="",Reference!$M$2,F887))</f>
        <v/>
      </c>
      <c r="M887" s="14" t="str">
        <f t="shared" si="2"/>
        <v/>
      </c>
      <c r="N887" s="15" t="str">
        <f t="shared" si="3"/>
        <v/>
      </c>
      <c r="O887" s="14" t="str">
        <f t="shared" si="4"/>
        <v/>
      </c>
      <c r="P887" s="16" t="str">
        <f t="array" ref="P887">IF($A887="","", IFERROR(INDEX('BM Data'!$N:$N,MATCH($J887&amp; "-" &amp; $N887,'BM Data'!$O:$O,0),1),""))</f>
        <v/>
      </c>
      <c r="Q887" s="16" t="str">
        <f t="array" ref="Q887">IF($A887="","", IFERROR(INDEX('BM Data'!$J:$J,MATCH($J887&amp; "-" &amp; $N887,'BM Data'!$O:$O,0),1),""))</f>
        <v/>
      </c>
    </row>
    <row r="888">
      <c r="A888" s="10" t="str">
        <f>IFERROR(__xludf.DUMMYFUNCTION("""COMPUTED_VALUE"""),"")</f>
        <v/>
      </c>
      <c r="B888" s="3" t="str">
        <f>IFERROR(__xludf.DUMMYFUNCTION("""COMPUTED_VALUE"""),"")</f>
        <v/>
      </c>
      <c r="C888" s="11" t="str">
        <f>IFERROR(__xludf.DUMMYFUNCTION("""COMPUTED_VALUE"""),"")</f>
        <v/>
      </c>
      <c r="D888" s="11" t="str">
        <f>IFERROR(__xludf.DUMMYFUNCTION("""COMPUTED_VALUE"""),"")</f>
        <v/>
      </c>
      <c r="E888" s="11" t="str">
        <f>IFERROR(__xludf.DUMMYFUNCTION("""COMPUTED_VALUE"""),"")</f>
        <v/>
      </c>
      <c r="F888" s="11" t="str">
        <f>IFERROR(__xludf.DUMMYFUNCTION("""COMPUTED_VALUE"""),"")</f>
        <v/>
      </c>
      <c r="G888" s="11" t="str">
        <f>IFERROR(__xludf.DUMMYFUNCTION("""COMPUTED_VALUE"""),"")</f>
        <v/>
      </c>
      <c r="H888" s="12" t="str">
        <f>IFERROR(__xludf.DUMMYFUNCTION("""COMPUTED_VALUE"""),"")</f>
        <v/>
      </c>
      <c r="I888" s="12" t="str">
        <f>IFERROR(__xludf.DUMMYFUNCTION("""COMPUTED_VALUE"""),"")</f>
        <v/>
      </c>
      <c r="J888" s="13" t="str">
        <f t="shared" si="1"/>
        <v/>
      </c>
      <c r="K888" s="12" t="str">
        <f>IFERROR(IF(A888="","",if($G888="",Reference!$J$2, VLOOKUP($G888,Reference!$I$2:$J$1000,2,false))),"")</f>
        <v/>
      </c>
      <c r="L888" s="12" t="str">
        <f>IF(A888="","", IF(F888="",Reference!$M$2,F888))</f>
        <v/>
      </c>
      <c r="M888" s="14" t="str">
        <f t="shared" si="2"/>
        <v/>
      </c>
      <c r="N888" s="15" t="str">
        <f t="shared" si="3"/>
        <v/>
      </c>
      <c r="O888" s="14" t="str">
        <f t="shared" si="4"/>
        <v/>
      </c>
      <c r="P888" s="16" t="str">
        <f t="array" ref="P888">IF($A888="","", IFERROR(INDEX('BM Data'!$N:$N,MATCH($J888&amp; "-" &amp; $N888,'BM Data'!$O:$O,0),1),""))</f>
        <v/>
      </c>
      <c r="Q888" s="16" t="str">
        <f t="array" ref="Q888">IF($A888="","", IFERROR(INDEX('BM Data'!$J:$J,MATCH($J888&amp; "-" &amp; $N888,'BM Data'!$O:$O,0),1),""))</f>
        <v/>
      </c>
    </row>
    <row r="889">
      <c r="A889" s="10" t="str">
        <f>IFERROR(__xludf.DUMMYFUNCTION("""COMPUTED_VALUE"""),"")</f>
        <v/>
      </c>
      <c r="B889" s="3" t="str">
        <f>IFERROR(__xludf.DUMMYFUNCTION("""COMPUTED_VALUE"""),"")</f>
        <v/>
      </c>
      <c r="C889" s="11" t="str">
        <f>IFERROR(__xludf.DUMMYFUNCTION("""COMPUTED_VALUE"""),"")</f>
        <v/>
      </c>
      <c r="D889" s="11" t="str">
        <f>IFERROR(__xludf.DUMMYFUNCTION("""COMPUTED_VALUE"""),"")</f>
        <v/>
      </c>
      <c r="E889" s="11" t="str">
        <f>IFERROR(__xludf.DUMMYFUNCTION("""COMPUTED_VALUE"""),"")</f>
        <v/>
      </c>
      <c r="F889" s="11" t="str">
        <f>IFERROR(__xludf.DUMMYFUNCTION("""COMPUTED_VALUE"""),"")</f>
        <v/>
      </c>
      <c r="G889" s="11" t="str">
        <f>IFERROR(__xludf.DUMMYFUNCTION("""COMPUTED_VALUE"""),"")</f>
        <v/>
      </c>
      <c r="H889" s="12" t="str">
        <f>IFERROR(__xludf.DUMMYFUNCTION("""COMPUTED_VALUE"""),"")</f>
        <v/>
      </c>
      <c r="I889" s="12" t="str">
        <f>IFERROR(__xludf.DUMMYFUNCTION("""COMPUTED_VALUE"""),"")</f>
        <v/>
      </c>
      <c r="J889" s="13" t="str">
        <f t="shared" si="1"/>
        <v/>
      </c>
      <c r="K889" s="12" t="str">
        <f>IFERROR(IF(A889="","",if($G889="",Reference!$J$2, VLOOKUP($G889,Reference!$I$2:$J$1000,2,false))),"")</f>
        <v/>
      </c>
      <c r="L889" s="12" t="str">
        <f>IF(A889="","", IF(F889="",Reference!$M$2,F889))</f>
        <v/>
      </c>
      <c r="M889" s="14" t="str">
        <f t="shared" si="2"/>
        <v/>
      </c>
      <c r="N889" s="15" t="str">
        <f t="shared" si="3"/>
        <v/>
      </c>
      <c r="O889" s="14" t="str">
        <f t="shared" si="4"/>
        <v/>
      </c>
      <c r="P889" s="16" t="str">
        <f t="array" ref="P889">IF($A889="","", IFERROR(INDEX('BM Data'!$N:$N,MATCH($J889&amp; "-" &amp; $N889,'BM Data'!$O:$O,0),1),""))</f>
        <v/>
      </c>
      <c r="Q889" s="16" t="str">
        <f t="array" ref="Q889">IF($A889="","", IFERROR(INDEX('BM Data'!$J:$J,MATCH($J889&amp; "-" &amp; $N889,'BM Data'!$O:$O,0),1),""))</f>
        <v/>
      </c>
    </row>
    <row r="890">
      <c r="A890" s="10" t="str">
        <f>IFERROR(__xludf.DUMMYFUNCTION("""COMPUTED_VALUE"""),"")</f>
        <v/>
      </c>
      <c r="B890" s="3" t="str">
        <f>IFERROR(__xludf.DUMMYFUNCTION("""COMPUTED_VALUE"""),"")</f>
        <v/>
      </c>
      <c r="C890" s="11" t="str">
        <f>IFERROR(__xludf.DUMMYFUNCTION("""COMPUTED_VALUE"""),"")</f>
        <v/>
      </c>
      <c r="D890" s="11" t="str">
        <f>IFERROR(__xludf.DUMMYFUNCTION("""COMPUTED_VALUE"""),"")</f>
        <v/>
      </c>
      <c r="E890" s="11" t="str">
        <f>IFERROR(__xludf.DUMMYFUNCTION("""COMPUTED_VALUE"""),"")</f>
        <v/>
      </c>
      <c r="F890" s="11" t="str">
        <f>IFERROR(__xludf.DUMMYFUNCTION("""COMPUTED_VALUE"""),"")</f>
        <v/>
      </c>
      <c r="G890" s="11" t="str">
        <f>IFERROR(__xludf.DUMMYFUNCTION("""COMPUTED_VALUE"""),"")</f>
        <v/>
      </c>
      <c r="H890" s="12" t="str">
        <f>IFERROR(__xludf.DUMMYFUNCTION("""COMPUTED_VALUE"""),"")</f>
        <v/>
      </c>
      <c r="I890" s="12" t="str">
        <f>IFERROR(__xludf.DUMMYFUNCTION("""COMPUTED_VALUE"""),"")</f>
        <v/>
      </c>
      <c r="J890" s="13" t="str">
        <f t="shared" si="1"/>
        <v/>
      </c>
      <c r="K890" s="12" t="str">
        <f>IFERROR(IF(A890="","",if($G890="",Reference!$J$2, VLOOKUP($G890,Reference!$I$2:$J$1000,2,false))),"")</f>
        <v/>
      </c>
      <c r="L890" s="12" t="str">
        <f>IF(A890="","", IF(F890="",Reference!$M$2,F890))</f>
        <v/>
      </c>
      <c r="M890" s="14" t="str">
        <f t="shared" si="2"/>
        <v/>
      </c>
      <c r="N890" s="15" t="str">
        <f t="shared" si="3"/>
        <v/>
      </c>
      <c r="O890" s="14" t="str">
        <f t="shared" si="4"/>
        <v/>
      </c>
      <c r="P890" s="16" t="str">
        <f t="array" ref="P890">IF($A890="","", IFERROR(INDEX('BM Data'!$N:$N,MATCH($J890&amp; "-" &amp; $N890,'BM Data'!$O:$O,0),1),""))</f>
        <v/>
      </c>
      <c r="Q890" s="16" t="str">
        <f t="array" ref="Q890">IF($A890="","", IFERROR(INDEX('BM Data'!$J:$J,MATCH($J890&amp; "-" &amp; $N890,'BM Data'!$O:$O,0),1),""))</f>
        <v/>
      </c>
    </row>
    <row r="891">
      <c r="A891" s="10" t="str">
        <f>IFERROR(__xludf.DUMMYFUNCTION("""COMPUTED_VALUE"""),"")</f>
        <v/>
      </c>
      <c r="B891" s="3" t="str">
        <f>IFERROR(__xludf.DUMMYFUNCTION("""COMPUTED_VALUE"""),"")</f>
        <v/>
      </c>
      <c r="C891" s="11" t="str">
        <f>IFERROR(__xludf.DUMMYFUNCTION("""COMPUTED_VALUE"""),"")</f>
        <v/>
      </c>
      <c r="D891" s="11" t="str">
        <f>IFERROR(__xludf.DUMMYFUNCTION("""COMPUTED_VALUE"""),"")</f>
        <v/>
      </c>
      <c r="E891" s="11" t="str">
        <f>IFERROR(__xludf.DUMMYFUNCTION("""COMPUTED_VALUE"""),"")</f>
        <v/>
      </c>
      <c r="F891" s="11" t="str">
        <f>IFERROR(__xludf.DUMMYFUNCTION("""COMPUTED_VALUE"""),"")</f>
        <v/>
      </c>
      <c r="G891" s="11" t="str">
        <f>IFERROR(__xludf.DUMMYFUNCTION("""COMPUTED_VALUE"""),"")</f>
        <v/>
      </c>
      <c r="H891" s="12" t="str">
        <f>IFERROR(__xludf.DUMMYFUNCTION("""COMPUTED_VALUE"""),"")</f>
        <v/>
      </c>
      <c r="I891" s="12" t="str">
        <f>IFERROR(__xludf.DUMMYFUNCTION("""COMPUTED_VALUE"""),"")</f>
        <v/>
      </c>
      <c r="J891" s="13" t="str">
        <f t="shared" si="1"/>
        <v/>
      </c>
      <c r="K891" s="12" t="str">
        <f>IFERROR(IF(A891="","",if($G891="",Reference!$J$2, VLOOKUP($G891,Reference!$I$2:$J$1000,2,false))),"")</f>
        <v/>
      </c>
      <c r="L891" s="12" t="str">
        <f>IF(A891="","", IF(F891="",Reference!$M$2,F891))</f>
        <v/>
      </c>
      <c r="M891" s="14" t="str">
        <f t="shared" si="2"/>
        <v/>
      </c>
      <c r="N891" s="15" t="str">
        <f t="shared" si="3"/>
        <v/>
      </c>
      <c r="O891" s="14" t="str">
        <f t="shared" si="4"/>
        <v/>
      </c>
      <c r="P891" s="16" t="str">
        <f t="array" ref="P891">IF($A891="","", IFERROR(INDEX('BM Data'!$N:$N,MATCH($J891&amp; "-" &amp; $N891,'BM Data'!$O:$O,0),1),""))</f>
        <v/>
      </c>
      <c r="Q891" s="16" t="str">
        <f t="array" ref="Q891">IF($A891="","", IFERROR(INDEX('BM Data'!$J:$J,MATCH($J891&amp; "-" &amp; $N891,'BM Data'!$O:$O,0),1),""))</f>
        <v/>
      </c>
    </row>
    <row r="892">
      <c r="A892" s="10" t="str">
        <f>IFERROR(__xludf.DUMMYFUNCTION("""COMPUTED_VALUE"""),"")</f>
        <v/>
      </c>
      <c r="B892" s="3" t="str">
        <f>IFERROR(__xludf.DUMMYFUNCTION("""COMPUTED_VALUE"""),"")</f>
        <v/>
      </c>
      <c r="C892" s="11" t="str">
        <f>IFERROR(__xludf.DUMMYFUNCTION("""COMPUTED_VALUE"""),"")</f>
        <v/>
      </c>
      <c r="D892" s="11" t="str">
        <f>IFERROR(__xludf.DUMMYFUNCTION("""COMPUTED_VALUE"""),"")</f>
        <v/>
      </c>
      <c r="E892" s="11" t="str">
        <f>IFERROR(__xludf.DUMMYFUNCTION("""COMPUTED_VALUE"""),"")</f>
        <v/>
      </c>
      <c r="F892" s="11" t="str">
        <f>IFERROR(__xludf.DUMMYFUNCTION("""COMPUTED_VALUE"""),"")</f>
        <v/>
      </c>
      <c r="G892" s="11" t="str">
        <f>IFERROR(__xludf.DUMMYFUNCTION("""COMPUTED_VALUE"""),"")</f>
        <v/>
      </c>
      <c r="H892" s="12" t="str">
        <f>IFERROR(__xludf.DUMMYFUNCTION("""COMPUTED_VALUE"""),"")</f>
        <v/>
      </c>
      <c r="I892" s="12" t="str">
        <f>IFERROR(__xludf.DUMMYFUNCTION("""COMPUTED_VALUE"""),"")</f>
        <v/>
      </c>
      <c r="J892" s="13" t="str">
        <f t="shared" si="1"/>
        <v/>
      </c>
      <c r="K892" s="12" t="str">
        <f>IFERROR(IF(A892="","",if($G892="",Reference!$J$2, VLOOKUP($G892,Reference!$I$2:$J$1000,2,false))),"")</f>
        <v/>
      </c>
      <c r="L892" s="12" t="str">
        <f>IF(A892="","", IF(F892="",Reference!$M$2,F892))</f>
        <v/>
      </c>
      <c r="M892" s="14" t="str">
        <f t="shared" si="2"/>
        <v/>
      </c>
      <c r="N892" s="15" t="str">
        <f t="shared" si="3"/>
        <v/>
      </c>
      <c r="O892" s="14" t="str">
        <f t="shared" si="4"/>
        <v/>
      </c>
      <c r="P892" s="16" t="str">
        <f t="array" ref="P892">IF($A892="","", IFERROR(INDEX('BM Data'!$N:$N,MATCH($J892&amp; "-" &amp; $N892,'BM Data'!$O:$O,0),1),""))</f>
        <v/>
      </c>
      <c r="Q892" s="16" t="str">
        <f t="array" ref="Q892">IF($A892="","", IFERROR(INDEX('BM Data'!$J:$J,MATCH($J892&amp; "-" &amp; $N892,'BM Data'!$O:$O,0),1),""))</f>
        <v/>
      </c>
    </row>
    <row r="893">
      <c r="A893" s="10" t="str">
        <f>IFERROR(__xludf.DUMMYFUNCTION("""COMPUTED_VALUE"""),"")</f>
        <v/>
      </c>
      <c r="B893" s="3" t="str">
        <f>IFERROR(__xludf.DUMMYFUNCTION("""COMPUTED_VALUE"""),"")</f>
        <v/>
      </c>
      <c r="C893" s="11" t="str">
        <f>IFERROR(__xludf.DUMMYFUNCTION("""COMPUTED_VALUE"""),"")</f>
        <v/>
      </c>
      <c r="D893" s="11" t="str">
        <f>IFERROR(__xludf.DUMMYFUNCTION("""COMPUTED_VALUE"""),"")</f>
        <v/>
      </c>
      <c r="E893" s="11" t="str">
        <f>IFERROR(__xludf.DUMMYFUNCTION("""COMPUTED_VALUE"""),"")</f>
        <v/>
      </c>
      <c r="F893" s="11" t="str">
        <f>IFERROR(__xludf.DUMMYFUNCTION("""COMPUTED_VALUE"""),"")</f>
        <v/>
      </c>
      <c r="G893" s="11" t="str">
        <f>IFERROR(__xludf.DUMMYFUNCTION("""COMPUTED_VALUE"""),"")</f>
        <v/>
      </c>
      <c r="H893" s="12" t="str">
        <f>IFERROR(__xludf.DUMMYFUNCTION("""COMPUTED_VALUE"""),"")</f>
        <v/>
      </c>
      <c r="I893" s="12" t="str">
        <f>IFERROR(__xludf.DUMMYFUNCTION("""COMPUTED_VALUE"""),"")</f>
        <v/>
      </c>
      <c r="J893" s="13" t="str">
        <f t="shared" si="1"/>
        <v/>
      </c>
      <c r="K893" s="12" t="str">
        <f>IFERROR(IF(A893="","",if($G893="",Reference!$J$2, VLOOKUP($G893,Reference!$I$2:$J$1000,2,false))),"")</f>
        <v/>
      </c>
      <c r="L893" s="12" t="str">
        <f>IF(A893="","", IF(F893="",Reference!$M$2,F893))</f>
        <v/>
      </c>
      <c r="M893" s="14" t="str">
        <f t="shared" si="2"/>
        <v/>
      </c>
      <c r="N893" s="15" t="str">
        <f t="shared" si="3"/>
        <v/>
      </c>
      <c r="O893" s="14" t="str">
        <f t="shared" si="4"/>
        <v/>
      </c>
      <c r="P893" s="16" t="str">
        <f t="array" ref="P893">IF($A893="","", IFERROR(INDEX('BM Data'!$N:$N,MATCH($J893&amp; "-" &amp; $N893,'BM Data'!$O:$O,0),1),""))</f>
        <v/>
      </c>
      <c r="Q893" s="16" t="str">
        <f t="array" ref="Q893">IF($A893="","", IFERROR(INDEX('BM Data'!$J:$J,MATCH($J893&amp; "-" &amp; $N893,'BM Data'!$O:$O,0),1),""))</f>
        <v/>
      </c>
    </row>
    <row r="894">
      <c r="A894" s="10" t="str">
        <f>IFERROR(__xludf.DUMMYFUNCTION("""COMPUTED_VALUE"""),"")</f>
        <v/>
      </c>
      <c r="B894" s="3" t="str">
        <f>IFERROR(__xludf.DUMMYFUNCTION("""COMPUTED_VALUE"""),"")</f>
        <v/>
      </c>
      <c r="C894" s="11" t="str">
        <f>IFERROR(__xludf.DUMMYFUNCTION("""COMPUTED_VALUE"""),"")</f>
        <v/>
      </c>
      <c r="D894" s="11" t="str">
        <f>IFERROR(__xludf.DUMMYFUNCTION("""COMPUTED_VALUE"""),"")</f>
        <v/>
      </c>
      <c r="E894" s="11" t="str">
        <f>IFERROR(__xludf.DUMMYFUNCTION("""COMPUTED_VALUE"""),"")</f>
        <v/>
      </c>
      <c r="F894" s="11" t="str">
        <f>IFERROR(__xludf.DUMMYFUNCTION("""COMPUTED_VALUE"""),"")</f>
        <v/>
      </c>
      <c r="G894" s="11" t="str">
        <f>IFERROR(__xludf.DUMMYFUNCTION("""COMPUTED_VALUE"""),"")</f>
        <v/>
      </c>
      <c r="H894" s="12" t="str">
        <f>IFERROR(__xludf.DUMMYFUNCTION("""COMPUTED_VALUE"""),"")</f>
        <v/>
      </c>
      <c r="I894" s="12" t="str">
        <f>IFERROR(__xludf.DUMMYFUNCTION("""COMPUTED_VALUE"""),"")</f>
        <v/>
      </c>
      <c r="J894" s="13" t="str">
        <f t="shared" si="1"/>
        <v/>
      </c>
      <c r="K894" s="12" t="str">
        <f>IFERROR(IF(A894="","",if($G894="",Reference!$J$2, VLOOKUP($G894,Reference!$I$2:$J$1000,2,false))),"")</f>
        <v/>
      </c>
      <c r="L894" s="12" t="str">
        <f>IF(A894="","", IF(F894="",Reference!$M$2,F894))</f>
        <v/>
      </c>
      <c r="M894" s="14" t="str">
        <f t="shared" si="2"/>
        <v/>
      </c>
      <c r="N894" s="15" t="str">
        <f t="shared" si="3"/>
        <v/>
      </c>
      <c r="O894" s="14" t="str">
        <f t="shared" si="4"/>
        <v/>
      </c>
      <c r="P894" s="16" t="str">
        <f t="array" ref="P894">IF($A894="","", IFERROR(INDEX('BM Data'!$N:$N,MATCH($J894&amp; "-" &amp; $N894,'BM Data'!$O:$O,0),1),""))</f>
        <v/>
      </c>
      <c r="Q894" s="16" t="str">
        <f t="array" ref="Q894">IF($A894="","", IFERROR(INDEX('BM Data'!$J:$J,MATCH($J894&amp; "-" &amp; $N894,'BM Data'!$O:$O,0),1),""))</f>
        <v/>
      </c>
    </row>
    <row r="895">
      <c r="A895" s="10" t="str">
        <f>IFERROR(__xludf.DUMMYFUNCTION("""COMPUTED_VALUE"""),"")</f>
        <v/>
      </c>
      <c r="B895" s="3" t="str">
        <f>IFERROR(__xludf.DUMMYFUNCTION("""COMPUTED_VALUE"""),"")</f>
        <v/>
      </c>
      <c r="C895" s="11" t="str">
        <f>IFERROR(__xludf.DUMMYFUNCTION("""COMPUTED_VALUE"""),"")</f>
        <v/>
      </c>
      <c r="D895" s="11" t="str">
        <f>IFERROR(__xludf.DUMMYFUNCTION("""COMPUTED_VALUE"""),"")</f>
        <v/>
      </c>
      <c r="E895" s="11" t="str">
        <f>IFERROR(__xludf.DUMMYFUNCTION("""COMPUTED_VALUE"""),"")</f>
        <v/>
      </c>
      <c r="F895" s="11" t="str">
        <f>IFERROR(__xludf.DUMMYFUNCTION("""COMPUTED_VALUE"""),"")</f>
        <v/>
      </c>
      <c r="G895" s="11" t="str">
        <f>IFERROR(__xludf.DUMMYFUNCTION("""COMPUTED_VALUE"""),"")</f>
        <v/>
      </c>
      <c r="H895" s="12" t="str">
        <f>IFERROR(__xludf.DUMMYFUNCTION("""COMPUTED_VALUE"""),"")</f>
        <v/>
      </c>
      <c r="I895" s="12" t="str">
        <f>IFERROR(__xludf.DUMMYFUNCTION("""COMPUTED_VALUE"""),"")</f>
        <v/>
      </c>
      <c r="J895" s="13" t="str">
        <f t="shared" si="1"/>
        <v/>
      </c>
      <c r="K895" s="12" t="str">
        <f>IFERROR(IF(A895="","",if($G895="",Reference!$J$2, VLOOKUP($G895,Reference!$I$2:$J$1000,2,false))),"")</f>
        <v/>
      </c>
      <c r="L895" s="12" t="str">
        <f>IF(A895="","", IF(F895="",Reference!$M$2,F895))</f>
        <v/>
      </c>
      <c r="M895" s="14" t="str">
        <f t="shared" si="2"/>
        <v/>
      </c>
      <c r="N895" s="15" t="str">
        <f t="shared" si="3"/>
        <v/>
      </c>
      <c r="O895" s="14" t="str">
        <f t="shared" si="4"/>
        <v/>
      </c>
      <c r="P895" s="16" t="str">
        <f t="array" ref="P895">IF($A895="","", IFERROR(INDEX('BM Data'!$N:$N,MATCH($J895&amp; "-" &amp; $N895,'BM Data'!$O:$O,0),1),""))</f>
        <v/>
      </c>
      <c r="Q895" s="16" t="str">
        <f t="array" ref="Q895">IF($A895="","", IFERROR(INDEX('BM Data'!$J:$J,MATCH($J895&amp; "-" &amp; $N895,'BM Data'!$O:$O,0),1),""))</f>
        <v/>
      </c>
    </row>
    <row r="896">
      <c r="A896" s="10" t="str">
        <f>IFERROR(__xludf.DUMMYFUNCTION("""COMPUTED_VALUE"""),"")</f>
        <v/>
      </c>
      <c r="B896" s="3" t="str">
        <f>IFERROR(__xludf.DUMMYFUNCTION("""COMPUTED_VALUE"""),"")</f>
        <v/>
      </c>
      <c r="C896" s="11" t="str">
        <f>IFERROR(__xludf.DUMMYFUNCTION("""COMPUTED_VALUE"""),"")</f>
        <v/>
      </c>
      <c r="D896" s="11" t="str">
        <f>IFERROR(__xludf.DUMMYFUNCTION("""COMPUTED_VALUE"""),"")</f>
        <v/>
      </c>
      <c r="E896" s="11" t="str">
        <f>IFERROR(__xludf.DUMMYFUNCTION("""COMPUTED_VALUE"""),"")</f>
        <v/>
      </c>
      <c r="F896" s="11" t="str">
        <f>IFERROR(__xludf.DUMMYFUNCTION("""COMPUTED_VALUE"""),"")</f>
        <v/>
      </c>
      <c r="G896" s="11" t="str">
        <f>IFERROR(__xludf.DUMMYFUNCTION("""COMPUTED_VALUE"""),"")</f>
        <v/>
      </c>
      <c r="H896" s="12" t="str">
        <f>IFERROR(__xludf.DUMMYFUNCTION("""COMPUTED_VALUE"""),"")</f>
        <v/>
      </c>
      <c r="I896" s="12" t="str">
        <f>IFERROR(__xludf.DUMMYFUNCTION("""COMPUTED_VALUE"""),"")</f>
        <v/>
      </c>
      <c r="J896" s="13" t="str">
        <f t="shared" si="1"/>
        <v/>
      </c>
      <c r="K896" s="12" t="str">
        <f>IFERROR(IF(A896="","",if($G896="",Reference!$J$2, VLOOKUP($G896,Reference!$I$2:$J$1000,2,false))),"")</f>
        <v/>
      </c>
      <c r="L896" s="12" t="str">
        <f>IF(A896="","", IF(F896="",Reference!$M$2,F896))</f>
        <v/>
      </c>
      <c r="M896" s="14" t="str">
        <f t="shared" si="2"/>
        <v/>
      </c>
      <c r="N896" s="15" t="str">
        <f t="shared" si="3"/>
        <v/>
      </c>
      <c r="O896" s="14" t="str">
        <f t="shared" si="4"/>
        <v/>
      </c>
      <c r="P896" s="16" t="str">
        <f t="array" ref="P896">IF($A896="","", IFERROR(INDEX('BM Data'!$N:$N,MATCH($J896&amp; "-" &amp; $N896,'BM Data'!$O:$O,0),1),""))</f>
        <v/>
      </c>
      <c r="Q896" s="16" t="str">
        <f t="array" ref="Q896">IF($A896="","", IFERROR(INDEX('BM Data'!$J:$J,MATCH($J896&amp; "-" &amp; $N896,'BM Data'!$O:$O,0),1),""))</f>
        <v/>
      </c>
    </row>
    <row r="897">
      <c r="A897" s="10" t="str">
        <f>IFERROR(__xludf.DUMMYFUNCTION("""COMPUTED_VALUE"""),"")</f>
        <v/>
      </c>
      <c r="B897" s="3" t="str">
        <f>IFERROR(__xludf.DUMMYFUNCTION("""COMPUTED_VALUE"""),"")</f>
        <v/>
      </c>
      <c r="C897" s="11" t="str">
        <f>IFERROR(__xludf.DUMMYFUNCTION("""COMPUTED_VALUE"""),"")</f>
        <v/>
      </c>
      <c r="D897" s="11" t="str">
        <f>IFERROR(__xludf.DUMMYFUNCTION("""COMPUTED_VALUE"""),"")</f>
        <v/>
      </c>
      <c r="E897" s="11" t="str">
        <f>IFERROR(__xludf.DUMMYFUNCTION("""COMPUTED_VALUE"""),"")</f>
        <v/>
      </c>
      <c r="F897" s="11" t="str">
        <f>IFERROR(__xludf.DUMMYFUNCTION("""COMPUTED_VALUE"""),"")</f>
        <v/>
      </c>
      <c r="G897" s="11" t="str">
        <f>IFERROR(__xludf.DUMMYFUNCTION("""COMPUTED_VALUE"""),"")</f>
        <v/>
      </c>
      <c r="H897" s="12" t="str">
        <f>IFERROR(__xludf.DUMMYFUNCTION("""COMPUTED_VALUE"""),"")</f>
        <v/>
      </c>
      <c r="I897" s="12" t="str">
        <f>IFERROR(__xludf.DUMMYFUNCTION("""COMPUTED_VALUE"""),"")</f>
        <v/>
      </c>
      <c r="J897" s="13" t="str">
        <f t="shared" si="1"/>
        <v/>
      </c>
      <c r="K897" s="12" t="str">
        <f>IFERROR(IF(A897="","",if($G897="",Reference!$J$2, VLOOKUP($G897,Reference!$I$2:$J$1000,2,false))),"")</f>
        <v/>
      </c>
      <c r="L897" s="12" t="str">
        <f>IF(A897="","", IF(F897="",Reference!$M$2,F897))</f>
        <v/>
      </c>
      <c r="M897" s="14" t="str">
        <f t="shared" si="2"/>
        <v/>
      </c>
      <c r="N897" s="15" t="str">
        <f t="shared" si="3"/>
        <v/>
      </c>
      <c r="O897" s="14" t="str">
        <f t="shared" si="4"/>
        <v/>
      </c>
      <c r="P897" s="16" t="str">
        <f t="array" ref="P897">IF($A897="","", IFERROR(INDEX('BM Data'!$N:$N,MATCH($J897&amp; "-" &amp; $N897,'BM Data'!$O:$O,0),1),""))</f>
        <v/>
      </c>
      <c r="Q897" s="16" t="str">
        <f t="array" ref="Q897">IF($A897="","", IFERROR(INDEX('BM Data'!$J:$J,MATCH($J897&amp; "-" &amp; $N897,'BM Data'!$O:$O,0),1),""))</f>
        <v/>
      </c>
    </row>
    <row r="898">
      <c r="A898" s="10" t="str">
        <f>IFERROR(__xludf.DUMMYFUNCTION("""COMPUTED_VALUE"""),"")</f>
        <v/>
      </c>
      <c r="B898" s="3" t="str">
        <f>IFERROR(__xludf.DUMMYFUNCTION("""COMPUTED_VALUE"""),"")</f>
        <v/>
      </c>
      <c r="C898" s="11" t="str">
        <f>IFERROR(__xludf.DUMMYFUNCTION("""COMPUTED_VALUE"""),"")</f>
        <v/>
      </c>
      <c r="D898" s="11" t="str">
        <f>IFERROR(__xludf.DUMMYFUNCTION("""COMPUTED_VALUE"""),"")</f>
        <v/>
      </c>
      <c r="E898" s="11" t="str">
        <f>IFERROR(__xludf.DUMMYFUNCTION("""COMPUTED_VALUE"""),"")</f>
        <v/>
      </c>
      <c r="F898" s="11" t="str">
        <f>IFERROR(__xludf.DUMMYFUNCTION("""COMPUTED_VALUE"""),"")</f>
        <v/>
      </c>
      <c r="G898" s="11" t="str">
        <f>IFERROR(__xludf.DUMMYFUNCTION("""COMPUTED_VALUE"""),"")</f>
        <v/>
      </c>
      <c r="H898" s="12" t="str">
        <f>IFERROR(__xludf.DUMMYFUNCTION("""COMPUTED_VALUE"""),"")</f>
        <v/>
      </c>
      <c r="I898" s="12" t="str">
        <f>IFERROR(__xludf.DUMMYFUNCTION("""COMPUTED_VALUE"""),"")</f>
        <v/>
      </c>
      <c r="J898" s="13" t="str">
        <f t="shared" si="1"/>
        <v/>
      </c>
      <c r="K898" s="12" t="str">
        <f>IFERROR(IF(A898="","",if($G898="",Reference!$J$2, VLOOKUP($G898,Reference!$I$2:$J$1000,2,false))),"")</f>
        <v/>
      </c>
      <c r="L898" s="12" t="str">
        <f>IF(A898="","", IF(F898="",Reference!$M$2,F898))</f>
        <v/>
      </c>
      <c r="M898" s="14" t="str">
        <f t="shared" si="2"/>
        <v/>
      </c>
      <c r="N898" s="15" t="str">
        <f t="shared" si="3"/>
        <v/>
      </c>
      <c r="O898" s="14" t="str">
        <f t="shared" si="4"/>
        <v/>
      </c>
      <c r="P898" s="16" t="str">
        <f t="array" ref="P898">IF($A898="","", IFERROR(INDEX('BM Data'!$N:$N,MATCH($J898&amp; "-" &amp; $N898,'BM Data'!$O:$O,0),1),""))</f>
        <v/>
      </c>
      <c r="Q898" s="16" t="str">
        <f t="array" ref="Q898">IF($A898="","", IFERROR(INDEX('BM Data'!$J:$J,MATCH($J898&amp; "-" &amp; $N898,'BM Data'!$O:$O,0),1),""))</f>
        <v/>
      </c>
    </row>
    <row r="899">
      <c r="A899" s="10" t="str">
        <f>IFERROR(__xludf.DUMMYFUNCTION("""COMPUTED_VALUE"""),"")</f>
        <v/>
      </c>
      <c r="B899" s="3" t="str">
        <f>IFERROR(__xludf.DUMMYFUNCTION("""COMPUTED_VALUE"""),"")</f>
        <v/>
      </c>
      <c r="C899" s="11" t="str">
        <f>IFERROR(__xludf.DUMMYFUNCTION("""COMPUTED_VALUE"""),"")</f>
        <v/>
      </c>
      <c r="D899" s="11" t="str">
        <f>IFERROR(__xludf.DUMMYFUNCTION("""COMPUTED_VALUE"""),"")</f>
        <v/>
      </c>
      <c r="E899" s="11" t="str">
        <f>IFERROR(__xludf.DUMMYFUNCTION("""COMPUTED_VALUE"""),"")</f>
        <v/>
      </c>
      <c r="F899" s="11" t="str">
        <f>IFERROR(__xludf.DUMMYFUNCTION("""COMPUTED_VALUE"""),"")</f>
        <v/>
      </c>
      <c r="G899" s="11" t="str">
        <f>IFERROR(__xludf.DUMMYFUNCTION("""COMPUTED_VALUE"""),"")</f>
        <v/>
      </c>
      <c r="H899" s="12" t="str">
        <f>IFERROR(__xludf.DUMMYFUNCTION("""COMPUTED_VALUE"""),"")</f>
        <v/>
      </c>
      <c r="I899" s="12" t="str">
        <f>IFERROR(__xludf.DUMMYFUNCTION("""COMPUTED_VALUE"""),"")</f>
        <v/>
      </c>
      <c r="J899" s="13" t="str">
        <f t="shared" si="1"/>
        <v/>
      </c>
      <c r="K899" s="12" t="str">
        <f>IFERROR(IF(A899="","",if($G899="",Reference!$J$2, VLOOKUP($G899,Reference!$I$2:$J$1000,2,false))),"")</f>
        <v/>
      </c>
      <c r="L899" s="12" t="str">
        <f>IF(A899="","", IF(F899="",Reference!$M$2,F899))</f>
        <v/>
      </c>
      <c r="M899" s="14" t="str">
        <f t="shared" si="2"/>
        <v/>
      </c>
      <c r="N899" s="15" t="str">
        <f t="shared" si="3"/>
        <v/>
      </c>
      <c r="O899" s="14" t="str">
        <f t="shared" si="4"/>
        <v/>
      </c>
      <c r="P899" s="16" t="str">
        <f t="array" ref="P899">IF($A899="","", IFERROR(INDEX('BM Data'!$N:$N,MATCH($J899&amp; "-" &amp; $N899,'BM Data'!$O:$O,0),1),""))</f>
        <v/>
      </c>
      <c r="Q899" s="16" t="str">
        <f t="array" ref="Q899">IF($A899="","", IFERROR(INDEX('BM Data'!$J:$J,MATCH($J899&amp; "-" &amp; $N899,'BM Data'!$O:$O,0),1),""))</f>
        <v/>
      </c>
    </row>
    <row r="900">
      <c r="A900" s="10" t="str">
        <f>IFERROR(__xludf.DUMMYFUNCTION("""COMPUTED_VALUE"""),"")</f>
        <v/>
      </c>
      <c r="B900" s="3" t="str">
        <f>IFERROR(__xludf.DUMMYFUNCTION("""COMPUTED_VALUE"""),"")</f>
        <v/>
      </c>
      <c r="C900" s="11" t="str">
        <f>IFERROR(__xludf.DUMMYFUNCTION("""COMPUTED_VALUE"""),"")</f>
        <v/>
      </c>
      <c r="D900" s="11" t="str">
        <f>IFERROR(__xludf.DUMMYFUNCTION("""COMPUTED_VALUE"""),"")</f>
        <v/>
      </c>
      <c r="E900" s="11" t="str">
        <f>IFERROR(__xludf.DUMMYFUNCTION("""COMPUTED_VALUE"""),"")</f>
        <v/>
      </c>
      <c r="F900" s="11" t="str">
        <f>IFERROR(__xludf.DUMMYFUNCTION("""COMPUTED_VALUE"""),"")</f>
        <v/>
      </c>
      <c r="G900" s="11" t="str">
        <f>IFERROR(__xludf.DUMMYFUNCTION("""COMPUTED_VALUE"""),"")</f>
        <v/>
      </c>
      <c r="H900" s="12" t="str">
        <f>IFERROR(__xludf.DUMMYFUNCTION("""COMPUTED_VALUE"""),"")</f>
        <v/>
      </c>
      <c r="I900" s="12" t="str">
        <f>IFERROR(__xludf.DUMMYFUNCTION("""COMPUTED_VALUE"""),"")</f>
        <v/>
      </c>
      <c r="J900" s="13" t="str">
        <f t="shared" si="1"/>
        <v/>
      </c>
      <c r="K900" s="12" t="str">
        <f>IFERROR(IF(A900="","",if($G900="",Reference!$J$2, VLOOKUP($G900,Reference!$I$2:$J$1000,2,false))),"")</f>
        <v/>
      </c>
      <c r="L900" s="12" t="str">
        <f>IF(A900="","", IF(F900="",Reference!$M$2,F900))</f>
        <v/>
      </c>
      <c r="M900" s="14" t="str">
        <f t="shared" si="2"/>
        <v/>
      </c>
      <c r="N900" s="15" t="str">
        <f t="shared" si="3"/>
        <v/>
      </c>
      <c r="O900" s="14" t="str">
        <f t="shared" si="4"/>
        <v/>
      </c>
      <c r="P900" s="16" t="str">
        <f t="array" ref="P900">IF($A900="","", IFERROR(INDEX('BM Data'!$N:$N,MATCH($J900&amp; "-" &amp; $N900,'BM Data'!$O:$O,0),1),""))</f>
        <v/>
      </c>
      <c r="Q900" s="16" t="str">
        <f t="array" ref="Q900">IF($A900="","", IFERROR(INDEX('BM Data'!$J:$J,MATCH($J900&amp; "-" &amp; $N900,'BM Data'!$O:$O,0),1),""))</f>
        <v/>
      </c>
    </row>
    <row r="901">
      <c r="A901" s="10" t="str">
        <f>IFERROR(__xludf.DUMMYFUNCTION("""COMPUTED_VALUE"""),"")</f>
        <v/>
      </c>
      <c r="B901" s="3" t="str">
        <f>IFERROR(__xludf.DUMMYFUNCTION("""COMPUTED_VALUE"""),"")</f>
        <v/>
      </c>
      <c r="C901" s="11" t="str">
        <f>IFERROR(__xludf.DUMMYFUNCTION("""COMPUTED_VALUE"""),"")</f>
        <v/>
      </c>
      <c r="D901" s="11" t="str">
        <f>IFERROR(__xludf.DUMMYFUNCTION("""COMPUTED_VALUE"""),"")</f>
        <v/>
      </c>
      <c r="E901" s="11" t="str">
        <f>IFERROR(__xludf.DUMMYFUNCTION("""COMPUTED_VALUE"""),"")</f>
        <v/>
      </c>
      <c r="F901" s="11" t="str">
        <f>IFERROR(__xludf.DUMMYFUNCTION("""COMPUTED_VALUE"""),"")</f>
        <v/>
      </c>
      <c r="G901" s="11" t="str">
        <f>IFERROR(__xludf.DUMMYFUNCTION("""COMPUTED_VALUE"""),"")</f>
        <v/>
      </c>
      <c r="H901" s="12" t="str">
        <f>IFERROR(__xludf.DUMMYFUNCTION("""COMPUTED_VALUE"""),"")</f>
        <v/>
      </c>
      <c r="I901" s="12" t="str">
        <f>IFERROR(__xludf.DUMMYFUNCTION("""COMPUTED_VALUE"""),"")</f>
        <v/>
      </c>
      <c r="J901" s="13" t="str">
        <f t="shared" si="1"/>
        <v/>
      </c>
      <c r="K901" s="12" t="str">
        <f>IFERROR(IF(A901="","",if($G901="",Reference!$J$2, VLOOKUP($G901,Reference!$I$2:$J$1000,2,false))),"")</f>
        <v/>
      </c>
      <c r="L901" s="12" t="str">
        <f>IF(A901="","", IF(F901="",Reference!$M$2,F901))</f>
        <v/>
      </c>
      <c r="M901" s="14" t="str">
        <f t="shared" si="2"/>
        <v/>
      </c>
      <c r="N901" s="15" t="str">
        <f t="shared" si="3"/>
        <v/>
      </c>
      <c r="O901" s="14" t="str">
        <f t="shared" si="4"/>
        <v/>
      </c>
      <c r="P901" s="16" t="str">
        <f t="array" ref="P901">IF($A901="","", IFERROR(INDEX('BM Data'!$N:$N,MATCH($J901&amp; "-" &amp; $N901,'BM Data'!$O:$O,0),1),""))</f>
        <v/>
      </c>
      <c r="Q901" s="16" t="str">
        <f t="array" ref="Q901">IF($A901="","", IFERROR(INDEX('BM Data'!$J:$J,MATCH($J901&amp; "-" &amp; $N901,'BM Data'!$O:$O,0),1),""))</f>
        <v/>
      </c>
    </row>
    <row r="902">
      <c r="A902" s="10" t="str">
        <f>IFERROR(__xludf.DUMMYFUNCTION("""COMPUTED_VALUE"""),"")</f>
        <v/>
      </c>
      <c r="B902" s="3" t="str">
        <f>IFERROR(__xludf.DUMMYFUNCTION("""COMPUTED_VALUE"""),"")</f>
        <v/>
      </c>
      <c r="C902" s="11" t="str">
        <f>IFERROR(__xludf.DUMMYFUNCTION("""COMPUTED_VALUE"""),"")</f>
        <v/>
      </c>
      <c r="D902" s="11" t="str">
        <f>IFERROR(__xludf.DUMMYFUNCTION("""COMPUTED_VALUE"""),"")</f>
        <v/>
      </c>
      <c r="E902" s="11" t="str">
        <f>IFERROR(__xludf.DUMMYFUNCTION("""COMPUTED_VALUE"""),"")</f>
        <v/>
      </c>
      <c r="F902" s="11" t="str">
        <f>IFERROR(__xludf.DUMMYFUNCTION("""COMPUTED_VALUE"""),"")</f>
        <v/>
      </c>
      <c r="G902" s="11" t="str">
        <f>IFERROR(__xludf.DUMMYFUNCTION("""COMPUTED_VALUE"""),"")</f>
        <v/>
      </c>
      <c r="H902" s="12" t="str">
        <f>IFERROR(__xludf.DUMMYFUNCTION("""COMPUTED_VALUE"""),"")</f>
        <v/>
      </c>
      <c r="I902" s="12" t="str">
        <f>IFERROR(__xludf.DUMMYFUNCTION("""COMPUTED_VALUE"""),"")</f>
        <v/>
      </c>
      <c r="J902" s="13" t="str">
        <f t="shared" si="1"/>
        <v/>
      </c>
      <c r="K902" s="12" t="str">
        <f>IFERROR(IF(A902="","",if($G902="",Reference!$J$2, VLOOKUP($G902,Reference!$I$2:$J$1000,2,false))),"")</f>
        <v/>
      </c>
      <c r="L902" s="12" t="str">
        <f>IF(A902="","", IF(F902="",Reference!$M$2,F902))</f>
        <v/>
      </c>
      <c r="M902" s="14" t="str">
        <f t="shared" si="2"/>
        <v/>
      </c>
      <c r="N902" s="15" t="str">
        <f t="shared" si="3"/>
        <v/>
      </c>
      <c r="O902" s="14" t="str">
        <f t="shared" si="4"/>
        <v/>
      </c>
      <c r="P902" s="16" t="str">
        <f t="array" ref="P902">IF($A902="","", IFERROR(INDEX('BM Data'!$N:$N,MATCH($J902&amp; "-" &amp; $N902,'BM Data'!$O:$O,0),1),""))</f>
        <v/>
      </c>
      <c r="Q902" s="16" t="str">
        <f t="array" ref="Q902">IF($A902="","", IFERROR(INDEX('BM Data'!$J:$J,MATCH($J902&amp; "-" &amp; $N902,'BM Data'!$O:$O,0),1),""))</f>
        <v/>
      </c>
    </row>
    <row r="903">
      <c r="A903" s="10" t="str">
        <f>IFERROR(__xludf.DUMMYFUNCTION("""COMPUTED_VALUE"""),"")</f>
        <v/>
      </c>
      <c r="B903" s="3" t="str">
        <f>IFERROR(__xludf.DUMMYFUNCTION("""COMPUTED_VALUE"""),"")</f>
        <v/>
      </c>
      <c r="C903" s="11" t="str">
        <f>IFERROR(__xludf.DUMMYFUNCTION("""COMPUTED_VALUE"""),"")</f>
        <v/>
      </c>
      <c r="D903" s="11" t="str">
        <f>IFERROR(__xludf.DUMMYFUNCTION("""COMPUTED_VALUE"""),"")</f>
        <v/>
      </c>
      <c r="E903" s="11" t="str">
        <f>IFERROR(__xludf.DUMMYFUNCTION("""COMPUTED_VALUE"""),"")</f>
        <v/>
      </c>
      <c r="F903" s="11" t="str">
        <f>IFERROR(__xludf.DUMMYFUNCTION("""COMPUTED_VALUE"""),"")</f>
        <v/>
      </c>
      <c r="G903" s="11" t="str">
        <f>IFERROR(__xludf.DUMMYFUNCTION("""COMPUTED_VALUE"""),"")</f>
        <v/>
      </c>
      <c r="H903" s="12" t="str">
        <f>IFERROR(__xludf.DUMMYFUNCTION("""COMPUTED_VALUE"""),"")</f>
        <v/>
      </c>
      <c r="I903" s="12" t="str">
        <f>IFERROR(__xludf.DUMMYFUNCTION("""COMPUTED_VALUE"""),"")</f>
        <v/>
      </c>
      <c r="J903" s="13" t="str">
        <f t="shared" si="1"/>
        <v/>
      </c>
      <c r="K903" s="12" t="str">
        <f>IFERROR(IF(A903="","",if($G903="",Reference!$J$2, VLOOKUP($G903,Reference!$I$2:$J$1000,2,false))),"")</f>
        <v/>
      </c>
      <c r="L903" s="12" t="str">
        <f>IF(A903="","", IF(F903="",Reference!$M$2,F903))</f>
        <v/>
      </c>
      <c r="M903" s="14" t="str">
        <f t="shared" si="2"/>
        <v/>
      </c>
      <c r="N903" s="15" t="str">
        <f t="shared" si="3"/>
        <v/>
      </c>
      <c r="O903" s="14" t="str">
        <f t="shared" si="4"/>
        <v/>
      </c>
      <c r="P903" s="16" t="str">
        <f t="array" ref="P903">IF($A903="","", IFERROR(INDEX('BM Data'!$N:$N,MATCH($J903&amp; "-" &amp; $N903,'BM Data'!$O:$O,0),1),""))</f>
        <v/>
      </c>
      <c r="Q903" s="16" t="str">
        <f t="array" ref="Q903">IF($A903="","", IFERROR(INDEX('BM Data'!$J:$J,MATCH($J903&amp; "-" &amp; $N903,'BM Data'!$O:$O,0),1),""))</f>
        <v/>
      </c>
    </row>
    <row r="904">
      <c r="A904" s="10" t="str">
        <f>IFERROR(__xludf.DUMMYFUNCTION("""COMPUTED_VALUE"""),"")</f>
        <v/>
      </c>
      <c r="B904" s="3" t="str">
        <f>IFERROR(__xludf.DUMMYFUNCTION("""COMPUTED_VALUE"""),"")</f>
        <v/>
      </c>
      <c r="C904" s="11" t="str">
        <f>IFERROR(__xludf.DUMMYFUNCTION("""COMPUTED_VALUE"""),"")</f>
        <v/>
      </c>
      <c r="D904" s="11" t="str">
        <f>IFERROR(__xludf.DUMMYFUNCTION("""COMPUTED_VALUE"""),"")</f>
        <v/>
      </c>
      <c r="E904" s="11" t="str">
        <f>IFERROR(__xludf.DUMMYFUNCTION("""COMPUTED_VALUE"""),"")</f>
        <v/>
      </c>
      <c r="F904" s="11" t="str">
        <f>IFERROR(__xludf.DUMMYFUNCTION("""COMPUTED_VALUE"""),"")</f>
        <v/>
      </c>
      <c r="G904" s="11" t="str">
        <f>IFERROR(__xludf.DUMMYFUNCTION("""COMPUTED_VALUE"""),"")</f>
        <v/>
      </c>
      <c r="H904" s="12" t="str">
        <f>IFERROR(__xludf.DUMMYFUNCTION("""COMPUTED_VALUE"""),"")</f>
        <v/>
      </c>
      <c r="I904" s="12" t="str">
        <f>IFERROR(__xludf.DUMMYFUNCTION("""COMPUTED_VALUE"""),"")</f>
        <v/>
      </c>
      <c r="J904" s="13" t="str">
        <f t="shared" si="1"/>
        <v/>
      </c>
      <c r="K904" s="12" t="str">
        <f>IFERROR(IF(A904="","",if($G904="",Reference!$J$2, VLOOKUP($G904,Reference!$I$2:$J$1000,2,false))),"")</f>
        <v/>
      </c>
      <c r="L904" s="12" t="str">
        <f>IF(A904="","", IF(F904="",Reference!$M$2,F904))</f>
        <v/>
      </c>
      <c r="M904" s="14" t="str">
        <f t="shared" si="2"/>
        <v/>
      </c>
      <c r="N904" s="15" t="str">
        <f t="shared" si="3"/>
        <v/>
      </c>
      <c r="O904" s="14" t="str">
        <f t="shared" si="4"/>
        <v/>
      </c>
      <c r="P904" s="16" t="str">
        <f t="array" ref="P904">IF($A904="","", IFERROR(INDEX('BM Data'!$N:$N,MATCH($J904&amp; "-" &amp; $N904,'BM Data'!$O:$O,0),1),""))</f>
        <v/>
      </c>
      <c r="Q904" s="16" t="str">
        <f t="array" ref="Q904">IF($A904="","", IFERROR(INDEX('BM Data'!$J:$J,MATCH($J904&amp; "-" &amp; $N904,'BM Data'!$O:$O,0),1),""))</f>
        <v/>
      </c>
    </row>
    <row r="905">
      <c r="A905" s="10" t="str">
        <f>IFERROR(__xludf.DUMMYFUNCTION("""COMPUTED_VALUE"""),"")</f>
        <v/>
      </c>
      <c r="B905" s="3" t="str">
        <f>IFERROR(__xludf.DUMMYFUNCTION("""COMPUTED_VALUE"""),"")</f>
        <v/>
      </c>
      <c r="C905" s="11" t="str">
        <f>IFERROR(__xludf.DUMMYFUNCTION("""COMPUTED_VALUE"""),"")</f>
        <v/>
      </c>
      <c r="D905" s="11" t="str">
        <f>IFERROR(__xludf.DUMMYFUNCTION("""COMPUTED_VALUE"""),"")</f>
        <v/>
      </c>
      <c r="E905" s="11" t="str">
        <f>IFERROR(__xludf.DUMMYFUNCTION("""COMPUTED_VALUE"""),"")</f>
        <v/>
      </c>
      <c r="F905" s="11" t="str">
        <f>IFERROR(__xludf.DUMMYFUNCTION("""COMPUTED_VALUE"""),"")</f>
        <v/>
      </c>
      <c r="G905" s="11" t="str">
        <f>IFERROR(__xludf.DUMMYFUNCTION("""COMPUTED_VALUE"""),"")</f>
        <v/>
      </c>
      <c r="H905" s="12" t="str">
        <f>IFERROR(__xludf.DUMMYFUNCTION("""COMPUTED_VALUE"""),"")</f>
        <v/>
      </c>
      <c r="I905" s="12" t="str">
        <f>IFERROR(__xludf.DUMMYFUNCTION("""COMPUTED_VALUE"""),"")</f>
        <v/>
      </c>
      <c r="J905" s="13" t="str">
        <f t="shared" si="1"/>
        <v/>
      </c>
      <c r="K905" s="12" t="str">
        <f>IFERROR(IF(A905="","",if($G905="",Reference!$J$2, VLOOKUP($G905,Reference!$I$2:$J$1000,2,false))),"")</f>
        <v/>
      </c>
      <c r="L905" s="12" t="str">
        <f>IF(A905="","", IF(F905="",Reference!$M$2,F905))</f>
        <v/>
      </c>
      <c r="M905" s="14" t="str">
        <f t="shared" si="2"/>
        <v/>
      </c>
      <c r="N905" s="15" t="str">
        <f t="shared" si="3"/>
        <v/>
      </c>
      <c r="O905" s="14" t="str">
        <f t="shared" si="4"/>
        <v/>
      </c>
      <c r="P905" s="16" t="str">
        <f t="array" ref="P905">IF($A905="","", IFERROR(INDEX('BM Data'!$N:$N,MATCH($J905&amp; "-" &amp; $N905,'BM Data'!$O:$O,0),1),""))</f>
        <v/>
      </c>
      <c r="Q905" s="16" t="str">
        <f t="array" ref="Q905">IF($A905="","", IFERROR(INDEX('BM Data'!$J:$J,MATCH($J905&amp; "-" &amp; $N905,'BM Data'!$O:$O,0),1),""))</f>
        <v/>
      </c>
    </row>
    <row r="906">
      <c r="A906" s="10" t="str">
        <f>IFERROR(__xludf.DUMMYFUNCTION("""COMPUTED_VALUE"""),"")</f>
        <v/>
      </c>
      <c r="B906" s="3" t="str">
        <f>IFERROR(__xludf.DUMMYFUNCTION("""COMPUTED_VALUE"""),"")</f>
        <v/>
      </c>
      <c r="C906" s="11" t="str">
        <f>IFERROR(__xludf.DUMMYFUNCTION("""COMPUTED_VALUE"""),"")</f>
        <v/>
      </c>
      <c r="D906" s="11" t="str">
        <f>IFERROR(__xludf.DUMMYFUNCTION("""COMPUTED_VALUE"""),"")</f>
        <v/>
      </c>
      <c r="E906" s="11" t="str">
        <f>IFERROR(__xludf.DUMMYFUNCTION("""COMPUTED_VALUE"""),"")</f>
        <v/>
      </c>
      <c r="F906" s="11" t="str">
        <f>IFERROR(__xludf.DUMMYFUNCTION("""COMPUTED_VALUE"""),"")</f>
        <v/>
      </c>
      <c r="G906" s="11" t="str">
        <f>IFERROR(__xludf.DUMMYFUNCTION("""COMPUTED_VALUE"""),"")</f>
        <v/>
      </c>
      <c r="H906" s="12" t="str">
        <f>IFERROR(__xludf.DUMMYFUNCTION("""COMPUTED_VALUE"""),"")</f>
        <v/>
      </c>
      <c r="I906" s="12" t="str">
        <f>IFERROR(__xludf.DUMMYFUNCTION("""COMPUTED_VALUE"""),"")</f>
        <v/>
      </c>
      <c r="J906" s="13" t="str">
        <f t="shared" si="1"/>
        <v/>
      </c>
      <c r="K906" s="12" t="str">
        <f>IFERROR(IF(A906="","",if($G906="",Reference!$J$2, VLOOKUP($G906,Reference!$I$2:$J$1000,2,false))),"")</f>
        <v/>
      </c>
      <c r="L906" s="12" t="str">
        <f>IF(A906="","", IF(F906="",Reference!$M$2,F906))</f>
        <v/>
      </c>
      <c r="M906" s="14" t="str">
        <f t="shared" si="2"/>
        <v/>
      </c>
      <c r="N906" s="15" t="str">
        <f t="shared" si="3"/>
        <v/>
      </c>
      <c r="O906" s="14" t="str">
        <f t="shared" si="4"/>
        <v/>
      </c>
      <c r="P906" s="16" t="str">
        <f t="array" ref="P906">IF($A906="","", IFERROR(INDEX('BM Data'!$N:$N,MATCH($J906&amp; "-" &amp; $N906,'BM Data'!$O:$O,0),1),""))</f>
        <v/>
      </c>
      <c r="Q906" s="16" t="str">
        <f t="array" ref="Q906">IF($A906="","", IFERROR(INDEX('BM Data'!$J:$J,MATCH($J906&amp; "-" &amp; $N906,'BM Data'!$O:$O,0),1),""))</f>
        <v/>
      </c>
    </row>
    <row r="907">
      <c r="A907" s="10" t="str">
        <f>IFERROR(__xludf.DUMMYFUNCTION("""COMPUTED_VALUE"""),"")</f>
        <v/>
      </c>
      <c r="B907" s="3" t="str">
        <f>IFERROR(__xludf.DUMMYFUNCTION("""COMPUTED_VALUE"""),"")</f>
        <v/>
      </c>
      <c r="C907" s="11" t="str">
        <f>IFERROR(__xludf.DUMMYFUNCTION("""COMPUTED_VALUE"""),"")</f>
        <v/>
      </c>
      <c r="D907" s="11" t="str">
        <f>IFERROR(__xludf.DUMMYFUNCTION("""COMPUTED_VALUE"""),"")</f>
        <v/>
      </c>
      <c r="E907" s="11" t="str">
        <f>IFERROR(__xludf.DUMMYFUNCTION("""COMPUTED_VALUE"""),"")</f>
        <v/>
      </c>
      <c r="F907" s="11" t="str">
        <f>IFERROR(__xludf.DUMMYFUNCTION("""COMPUTED_VALUE"""),"")</f>
        <v/>
      </c>
      <c r="G907" s="11" t="str">
        <f>IFERROR(__xludf.DUMMYFUNCTION("""COMPUTED_VALUE"""),"")</f>
        <v/>
      </c>
      <c r="H907" s="12" t="str">
        <f>IFERROR(__xludf.DUMMYFUNCTION("""COMPUTED_VALUE"""),"")</f>
        <v/>
      </c>
      <c r="I907" s="12" t="str">
        <f>IFERROR(__xludf.DUMMYFUNCTION("""COMPUTED_VALUE"""),"")</f>
        <v/>
      </c>
      <c r="J907" s="13" t="str">
        <f t="shared" si="1"/>
        <v/>
      </c>
      <c r="K907" s="12" t="str">
        <f>IFERROR(IF(A907="","",if($G907="",Reference!$J$2, VLOOKUP($G907,Reference!$I$2:$J$1000,2,false))),"")</f>
        <v/>
      </c>
      <c r="L907" s="12" t="str">
        <f>IF(A907="","", IF(F907="",Reference!$M$2,F907))</f>
        <v/>
      </c>
      <c r="M907" s="14" t="str">
        <f t="shared" si="2"/>
        <v/>
      </c>
      <c r="N907" s="15" t="str">
        <f t="shared" si="3"/>
        <v/>
      </c>
      <c r="O907" s="14" t="str">
        <f t="shared" si="4"/>
        <v/>
      </c>
      <c r="P907" s="16" t="str">
        <f t="array" ref="P907">IF($A907="","", IFERROR(INDEX('BM Data'!$N:$N,MATCH($J907&amp; "-" &amp; $N907,'BM Data'!$O:$O,0),1),""))</f>
        <v/>
      </c>
      <c r="Q907" s="16" t="str">
        <f t="array" ref="Q907">IF($A907="","", IFERROR(INDEX('BM Data'!$J:$J,MATCH($J907&amp; "-" &amp; $N907,'BM Data'!$O:$O,0),1),""))</f>
        <v/>
      </c>
    </row>
    <row r="908">
      <c r="A908" s="10" t="str">
        <f>IFERROR(__xludf.DUMMYFUNCTION("""COMPUTED_VALUE"""),"")</f>
        <v/>
      </c>
      <c r="B908" s="3" t="str">
        <f>IFERROR(__xludf.DUMMYFUNCTION("""COMPUTED_VALUE"""),"")</f>
        <v/>
      </c>
      <c r="C908" s="11" t="str">
        <f>IFERROR(__xludf.DUMMYFUNCTION("""COMPUTED_VALUE"""),"")</f>
        <v/>
      </c>
      <c r="D908" s="11" t="str">
        <f>IFERROR(__xludf.DUMMYFUNCTION("""COMPUTED_VALUE"""),"")</f>
        <v/>
      </c>
      <c r="E908" s="11" t="str">
        <f>IFERROR(__xludf.DUMMYFUNCTION("""COMPUTED_VALUE"""),"")</f>
        <v/>
      </c>
      <c r="F908" s="11" t="str">
        <f>IFERROR(__xludf.DUMMYFUNCTION("""COMPUTED_VALUE"""),"")</f>
        <v/>
      </c>
      <c r="G908" s="11" t="str">
        <f>IFERROR(__xludf.DUMMYFUNCTION("""COMPUTED_VALUE"""),"")</f>
        <v/>
      </c>
      <c r="H908" s="12" t="str">
        <f>IFERROR(__xludf.DUMMYFUNCTION("""COMPUTED_VALUE"""),"")</f>
        <v/>
      </c>
      <c r="I908" s="12" t="str">
        <f>IFERROR(__xludf.DUMMYFUNCTION("""COMPUTED_VALUE"""),"")</f>
        <v/>
      </c>
      <c r="J908" s="13" t="str">
        <f t="shared" si="1"/>
        <v/>
      </c>
      <c r="K908" s="12" t="str">
        <f>IFERROR(IF(A908="","",if($G908="",Reference!$J$2, VLOOKUP($G908,Reference!$I$2:$J$1000,2,false))),"")</f>
        <v/>
      </c>
      <c r="L908" s="12" t="str">
        <f>IF(A908="","", IF(F908="",Reference!$M$2,F908))</f>
        <v/>
      </c>
      <c r="M908" s="14" t="str">
        <f t="shared" si="2"/>
        <v/>
      </c>
      <c r="N908" s="15" t="str">
        <f t="shared" si="3"/>
        <v/>
      </c>
      <c r="O908" s="14" t="str">
        <f t="shared" si="4"/>
        <v/>
      </c>
      <c r="P908" s="16" t="str">
        <f t="array" ref="P908">IF($A908="","", IFERROR(INDEX('BM Data'!$N:$N,MATCH($J908&amp; "-" &amp; $N908,'BM Data'!$O:$O,0),1),""))</f>
        <v/>
      </c>
      <c r="Q908" s="16" t="str">
        <f t="array" ref="Q908">IF($A908="","", IFERROR(INDEX('BM Data'!$J:$J,MATCH($J908&amp; "-" &amp; $N908,'BM Data'!$O:$O,0),1),""))</f>
        <v/>
      </c>
    </row>
    <row r="909">
      <c r="A909" s="10" t="str">
        <f>IFERROR(__xludf.DUMMYFUNCTION("""COMPUTED_VALUE"""),"")</f>
        <v/>
      </c>
      <c r="B909" s="3" t="str">
        <f>IFERROR(__xludf.DUMMYFUNCTION("""COMPUTED_VALUE"""),"")</f>
        <v/>
      </c>
      <c r="C909" s="11" t="str">
        <f>IFERROR(__xludf.DUMMYFUNCTION("""COMPUTED_VALUE"""),"")</f>
        <v/>
      </c>
      <c r="D909" s="11" t="str">
        <f>IFERROR(__xludf.DUMMYFUNCTION("""COMPUTED_VALUE"""),"")</f>
        <v/>
      </c>
      <c r="E909" s="11" t="str">
        <f>IFERROR(__xludf.DUMMYFUNCTION("""COMPUTED_VALUE"""),"")</f>
        <v/>
      </c>
      <c r="F909" s="11" t="str">
        <f>IFERROR(__xludf.DUMMYFUNCTION("""COMPUTED_VALUE"""),"")</f>
        <v/>
      </c>
      <c r="G909" s="11" t="str">
        <f>IFERROR(__xludf.DUMMYFUNCTION("""COMPUTED_VALUE"""),"")</f>
        <v/>
      </c>
      <c r="H909" s="12" t="str">
        <f>IFERROR(__xludf.DUMMYFUNCTION("""COMPUTED_VALUE"""),"")</f>
        <v/>
      </c>
      <c r="I909" s="12" t="str">
        <f>IFERROR(__xludf.DUMMYFUNCTION("""COMPUTED_VALUE"""),"")</f>
        <v/>
      </c>
      <c r="J909" s="13" t="str">
        <f t="shared" si="1"/>
        <v/>
      </c>
      <c r="K909" s="12" t="str">
        <f>IFERROR(IF(A909="","",if($G909="",Reference!$J$2, VLOOKUP($G909,Reference!$I$2:$J$1000,2,false))),"")</f>
        <v/>
      </c>
      <c r="L909" s="12" t="str">
        <f>IF(A909="","", IF(F909="",Reference!$M$2,F909))</f>
        <v/>
      </c>
      <c r="M909" s="14" t="str">
        <f t="shared" si="2"/>
        <v/>
      </c>
      <c r="N909" s="15" t="str">
        <f t="shared" si="3"/>
        <v/>
      </c>
      <c r="O909" s="14" t="str">
        <f t="shared" si="4"/>
        <v/>
      </c>
      <c r="P909" s="16" t="str">
        <f t="array" ref="P909">IF($A909="","", IFERROR(INDEX('BM Data'!$N:$N,MATCH($J909&amp; "-" &amp; $N909,'BM Data'!$O:$O,0),1),""))</f>
        <v/>
      </c>
      <c r="Q909" s="16" t="str">
        <f t="array" ref="Q909">IF($A909="","", IFERROR(INDEX('BM Data'!$J:$J,MATCH($J909&amp; "-" &amp; $N909,'BM Data'!$O:$O,0),1),""))</f>
        <v/>
      </c>
    </row>
    <row r="910">
      <c r="A910" s="10" t="str">
        <f>IFERROR(__xludf.DUMMYFUNCTION("""COMPUTED_VALUE"""),"")</f>
        <v/>
      </c>
      <c r="B910" s="3" t="str">
        <f>IFERROR(__xludf.DUMMYFUNCTION("""COMPUTED_VALUE"""),"")</f>
        <v/>
      </c>
      <c r="C910" s="11" t="str">
        <f>IFERROR(__xludf.DUMMYFUNCTION("""COMPUTED_VALUE"""),"")</f>
        <v/>
      </c>
      <c r="D910" s="11" t="str">
        <f>IFERROR(__xludf.DUMMYFUNCTION("""COMPUTED_VALUE"""),"")</f>
        <v/>
      </c>
      <c r="E910" s="11" t="str">
        <f>IFERROR(__xludf.DUMMYFUNCTION("""COMPUTED_VALUE"""),"")</f>
        <v/>
      </c>
      <c r="F910" s="11" t="str">
        <f>IFERROR(__xludf.DUMMYFUNCTION("""COMPUTED_VALUE"""),"")</f>
        <v/>
      </c>
      <c r="G910" s="11" t="str">
        <f>IFERROR(__xludf.DUMMYFUNCTION("""COMPUTED_VALUE"""),"")</f>
        <v/>
      </c>
      <c r="H910" s="12" t="str">
        <f>IFERROR(__xludf.DUMMYFUNCTION("""COMPUTED_VALUE"""),"")</f>
        <v/>
      </c>
      <c r="I910" s="12" t="str">
        <f>IFERROR(__xludf.DUMMYFUNCTION("""COMPUTED_VALUE"""),"")</f>
        <v/>
      </c>
      <c r="J910" s="13" t="str">
        <f t="shared" si="1"/>
        <v/>
      </c>
      <c r="K910" s="12" t="str">
        <f>IFERROR(IF(A910="","",if($G910="",Reference!$J$2, VLOOKUP($G910,Reference!$I$2:$J$1000,2,false))),"")</f>
        <v/>
      </c>
      <c r="L910" s="12" t="str">
        <f>IF(A910="","", IF(F910="",Reference!$M$2,F910))</f>
        <v/>
      </c>
      <c r="M910" s="14" t="str">
        <f t="shared" si="2"/>
        <v/>
      </c>
      <c r="N910" s="15" t="str">
        <f t="shared" si="3"/>
        <v/>
      </c>
      <c r="O910" s="14" t="str">
        <f t="shared" si="4"/>
        <v/>
      </c>
      <c r="P910" s="16" t="str">
        <f t="array" ref="P910">IF($A910="","", IFERROR(INDEX('BM Data'!$N:$N,MATCH($J910&amp; "-" &amp; $N910,'BM Data'!$O:$O,0),1),""))</f>
        <v/>
      </c>
      <c r="Q910" s="16" t="str">
        <f t="array" ref="Q910">IF($A910="","", IFERROR(INDEX('BM Data'!$J:$J,MATCH($J910&amp; "-" &amp; $N910,'BM Data'!$O:$O,0),1),""))</f>
        <v/>
      </c>
    </row>
    <row r="911">
      <c r="A911" s="10" t="str">
        <f>IFERROR(__xludf.DUMMYFUNCTION("""COMPUTED_VALUE"""),"")</f>
        <v/>
      </c>
      <c r="B911" s="3" t="str">
        <f>IFERROR(__xludf.DUMMYFUNCTION("""COMPUTED_VALUE"""),"")</f>
        <v/>
      </c>
      <c r="C911" s="11" t="str">
        <f>IFERROR(__xludf.DUMMYFUNCTION("""COMPUTED_VALUE"""),"")</f>
        <v/>
      </c>
      <c r="D911" s="11" t="str">
        <f>IFERROR(__xludf.DUMMYFUNCTION("""COMPUTED_VALUE"""),"")</f>
        <v/>
      </c>
      <c r="E911" s="11" t="str">
        <f>IFERROR(__xludf.DUMMYFUNCTION("""COMPUTED_VALUE"""),"")</f>
        <v/>
      </c>
      <c r="F911" s="11" t="str">
        <f>IFERROR(__xludf.DUMMYFUNCTION("""COMPUTED_VALUE"""),"")</f>
        <v/>
      </c>
      <c r="G911" s="11" t="str">
        <f>IFERROR(__xludf.DUMMYFUNCTION("""COMPUTED_VALUE"""),"")</f>
        <v/>
      </c>
      <c r="H911" s="12" t="str">
        <f>IFERROR(__xludf.DUMMYFUNCTION("""COMPUTED_VALUE"""),"")</f>
        <v/>
      </c>
      <c r="I911" s="12" t="str">
        <f>IFERROR(__xludf.DUMMYFUNCTION("""COMPUTED_VALUE"""),"")</f>
        <v/>
      </c>
      <c r="J911" s="13" t="str">
        <f t="shared" si="1"/>
        <v/>
      </c>
      <c r="K911" s="12" t="str">
        <f>IFERROR(IF(A911="","",if($G911="",Reference!$J$2, VLOOKUP($G911,Reference!$I$2:$J$1000,2,false))),"")</f>
        <v/>
      </c>
      <c r="L911" s="12" t="str">
        <f>IF(A911="","", IF(F911="",Reference!$M$2,F911))</f>
        <v/>
      </c>
      <c r="M911" s="14" t="str">
        <f t="shared" si="2"/>
        <v/>
      </c>
      <c r="N911" s="15" t="str">
        <f t="shared" si="3"/>
        <v/>
      </c>
      <c r="O911" s="14" t="str">
        <f t="shared" si="4"/>
        <v/>
      </c>
      <c r="P911" s="16" t="str">
        <f t="array" ref="P911">IF($A911="","", IFERROR(INDEX('BM Data'!$N:$N,MATCH($J911&amp; "-" &amp; $N911,'BM Data'!$O:$O,0),1),""))</f>
        <v/>
      </c>
      <c r="Q911" s="16" t="str">
        <f t="array" ref="Q911">IF($A911="","", IFERROR(INDEX('BM Data'!$J:$J,MATCH($J911&amp; "-" &amp; $N911,'BM Data'!$O:$O,0),1),""))</f>
        <v/>
      </c>
    </row>
    <row r="912">
      <c r="A912" s="10" t="str">
        <f>IFERROR(__xludf.DUMMYFUNCTION("""COMPUTED_VALUE"""),"")</f>
        <v/>
      </c>
      <c r="B912" s="3" t="str">
        <f>IFERROR(__xludf.DUMMYFUNCTION("""COMPUTED_VALUE"""),"")</f>
        <v/>
      </c>
      <c r="C912" s="11" t="str">
        <f>IFERROR(__xludf.DUMMYFUNCTION("""COMPUTED_VALUE"""),"")</f>
        <v/>
      </c>
      <c r="D912" s="11" t="str">
        <f>IFERROR(__xludf.DUMMYFUNCTION("""COMPUTED_VALUE"""),"")</f>
        <v/>
      </c>
      <c r="E912" s="11" t="str">
        <f>IFERROR(__xludf.DUMMYFUNCTION("""COMPUTED_VALUE"""),"")</f>
        <v/>
      </c>
      <c r="F912" s="11" t="str">
        <f>IFERROR(__xludf.DUMMYFUNCTION("""COMPUTED_VALUE"""),"")</f>
        <v/>
      </c>
      <c r="G912" s="11" t="str">
        <f>IFERROR(__xludf.DUMMYFUNCTION("""COMPUTED_VALUE"""),"")</f>
        <v/>
      </c>
      <c r="H912" s="12" t="str">
        <f>IFERROR(__xludf.DUMMYFUNCTION("""COMPUTED_VALUE"""),"")</f>
        <v/>
      </c>
      <c r="I912" s="12" t="str">
        <f>IFERROR(__xludf.DUMMYFUNCTION("""COMPUTED_VALUE"""),"")</f>
        <v/>
      </c>
      <c r="J912" s="13" t="str">
        <f t="shared" si="1"/>
        <v/>
      </c>
      <c r="K912" s="12" t="str">
        <f>IFERROR(IF(A912="","",if($G912="",Reference!$J$2, VLOOKUP($G912,Reference!$I$2:$J$1000,2,false))),"")</f>
        <v/>
      </c>
      <c r="L912" s="12" t="str">
        <f>IF(A912="","", IF(F912="",Reference!$M$2,F912))</f>
        <v/>
      </c>
      <c r="M912" s="14" t="str">
        <f t="shared" si="2"/>
        <v/>
      </c>
      <c r="N912" s="15" t="str">
        <f t="shared" si="3"/>
        <v/>
      </c>
      <c r="O912" s="14" t="str">
        <f t="shared" si="4"/>
        <v/>
      </c>
      <c r="P912" s="16" t="str">
        <f t="array" ref="P912">IF($A912="","", IFERROR(INDEX('BM Data'!$N:$N,MATCH($J912&amp; "-" &amp; $N912,'BM Data'!$O:$O,0),1),""))</f>
        <v/>
      </c>
      <c r="Q912" s="16" t="str">
        <f t="array" ref="Q912">IF($A912="","", IFERROR(INDEX('BM Data'!$J:$J,MATCH($J912&amp; "-" &amp; $N912,'BM Data'!$O:$O,0),1),""))</f>
        <v/>
      </c>
    </row>
    <row r="913">
      <c r="A913" s="10" t="str">
        <f>IFERROR(__xludf.DUMMYFUNCTION("""COMPUTED_VALUE"""),"")</f>
        <v/>
      </c>
      <c r="B913" s="3" t="str">
        <f>IFERROR(__xludf.DUMMYFUNCTION("""COMPUTED_VALUE"""),"")</f>
        <v/>
      </c>
      <c r="C913" s="11" t="str">
        <f>IFERROR(__xludf.DUMMYFUNCTION("""COMPUTED_VALUE"""),"")</f>
        <v/>
      </c>
      <c r="D913" s="11" t="str">
        <f>IFERROR(__xludf.DUMMYFUNCTION("""COMPUTED_VALUE"""),"")</f>
        <v/>
      </c>
      <c r="E913" s="11" t="str">
        <f>IFERROR(__xludf.DUMMYFUNCTION("""COMPUTED_VALUE"""),"")</f>
        <v/>
      </c>
      <c r="F913" s="11" t="str">
        <f>IFERROR(__xludf.DUMMYFUNCTION("""COMPUTED_VALUE"""),"")</f>
        <v/>
      </c>
      <c r="G913" s="11" t="str">
        <f>IFERROR(__xludf.DUMMYFUNCTION("""COMPUTED_VALUE"""),"")</f>
        <v/>
      </c>
      <c r="H913" s="12" t="str">
        <f>IFERROR(__xludf.DUMMYFUNCTION("""COMPUTED_VALUE"""),"")</f>
        <v/>
      </c>
      <c r="I913" s="12" t="str">
        <f>IFERROR(__xludf.DUMMYFUNCTION("""COMPUTED_VALUE"""),"")</f>
        <v/>
      </c>
      <c r="J913" s="13" t="str">
        <f t="shared" si="1"/>
        <v/>
      </c>
      <c r="K913" s="12" t="str">
        <f>IFERROR(IF(A913="","",if($G913="",Reference!$J$2, VLOOKUP($G913,Reference!$I$2:$J$1000,2,false))),"")</f>
        <v/>
      </c>
      <c r="L913" s="12" t="str">
        <f>IF(A913="","", IF(F913="",Reference!$M$2,F913))</f>
        <v/>
      </c>
      <c r="M913" s="14" t="str">
        <f t="shared" si="2"/>
        <v/>
      </c>
      <c r="N913" s="15" t="str">
        <f t="shared" si="3"/>
        <v/>
      </c>
      <c r="O913" s="14" t="str">
        <f t="shared" si="4"/>
        <v/>
      </c>
      <c r="P913" s="16" t="str">
        <f t="array" ref="P913">IF($A913="","", IFERROR(INDEX('BM Data'!$N:$N,MATCH($J913&amp; "-" &amp; $N913,'BM Data'!$O:$O,0),1),""))</f>
        <v/>
      </c>
      <c r="Q913" s="16" t="str">
        <f t="array" ref="Q913">IF($A913="","", IFERROR(INDEX('BM Data'!$J:$J,MATCH($J913&amp; "-" &amp; $N913,'BM Data'!$O:$O,0),1),""))</f>
        <v/>
      </c>
    </row>
    <row r="914">
      <c r="A914" s="10" t="str">
        <f>IFERROR(__xludf.DUMMYFUNCTION("""COMPUTED_VALUE"""),"")</f>
        <v/>
      </c>
      <c r="B914" s="3" t="str">
        <f>IFERROR(__xludf.DUMMYFUNCTION("""COMPUTED_VALUE"""),"")</f>
        <v/>
      </c>
      <c r="C914" s="11" t="str">
        <f>IFERROR(__xludf.DUMMYFUNCTION("""COMPUTED_VALUE"""),"")</f>
        <v/>
      </c>
      <c r="D914" s="11" t="str">
        <f>IFERROR(__xludf.DUMMYFUNCTION("""COMPUTED_VALUE"""),"")</f>
        <v/>
      </c>
      <c r="E914" s="11" t="str">
        <f>IFERROR(__xludf.DUMMYFUNCTION("""COMPUTED_VALUE"""),"")</f>
        <v/>
      </c>
      <c r="F914" s="11" t="str">
        <f>IFERROR(__xludf.DUMMYFUNCTION("""COMPUTED_VALUE"""),"")</f>
        <v/>
      </c>
      <c r="G914" s="11" t="str">
        <f>IFERROR(__xludf.DUMMYFUNCTION("""COMPUTED_VALUE"""),"")</f>
        <v/>
      </c>
      <c r="H914" s="12" t="str">
        <f>IFERROR(__xludf.DUMMYFUNCTION("""COMPUTED_VALUE"""),"")</f>
        <v/>
      </c>
      <c r="I914" s="12" t="str">
        <f>IFERROR(__xludf.DUMMYFUNCTION("""COMPUTED_VALUE"""),"")</f>
        <v/>
      </c>
      <c r="J914" s="13" t="str">
        <f t="shared" si="1"/>
        <v/>
      </c>
      <c r="K914" s="12" t="str">
        <f>IFERROR(IF(A914="","",if($G914="",Reference!$J$2, VLOOKUP($G914,Reference!$I$2:$J$1000,2,false))),"")</f>
        <v/>
      </c>
      <c r="L914" s="12" t="str">
        <f>IF(A914="","", IF(F914="",Reference!$M$2,F914))</f>
        <v/>
      </c>
      <c r="M914" s="14" t="str">
        <f t="shared" si="2"/>
        <v/>
      </c>
      <c r="N914" s="15" t="str">
        <f t="shared" si="3"/>
        <v/>
      </c>
      <c r="O914" s="14" t="str">
        <f t="shared" si="4"/>
        <v/>
      </c>
      <c r="P914" s="16" t="str">
        <f t="array" ref="P914">IF($A914="","", IFERROR(INDEX('BM Data'!$N:$N,MATCH($J914&amp; "-" &amp; $N914,'BM Data'!$O:$O,0),1),""))</f>
        <v/>
      </c>
      <c r="Q914" s="16" t="str">
        <f t="array" ref="Q914">IF($A914="","", IFERROR(INDEX('BM Data'!$J:$J,MATCH($J914&amp; "-" &amp; $N914,'BM Data'!$O:$O,0),1),""))</f>
        <v/>
      </c>
    </row>
    <row r="915">
      <c r="A915" s="10" t="str">
        <f>IFERROR(__xludf.DUMMYFUNCTION("""COMPUTED_VALUE"""),"")</f>
        <v/>
      </c>
      <c r="B915" s="3" t="str">
        <f>IFERROR(__xludf.DUMMYFUNCTION("""COMPUTED_VALUE"""),"")</f>
        <v/>
      </c>
      <c r="C915" s="11" t="str">
        <f>IFERROR(__xludf.DUMMYFUNCTION("""COMPUTED_VALUE"""),"")</f>
        <v/>
      </c>
      <c r="D915" s="11" t="str">
        <f>IFERROR(__xludf.DUMMYFUNCTION("""COMPUTED_VALUE"""),"")</f>
        <v/>
      </c>
      <c r="E915" s="11" t="str">
        <f>IFERROR(__xludf.DUMMYFUNCTION("""COMPUTED_VALUE"""),"")</f>
        <v/>
      </c>
      <c r="F915" s="11" t="str">
        <f>IFERROR(__xludf.DUMMYFUNCTION("""COMPUTED_VALUE"""),"")</f>
        <v/>
      </c>
      <c r="G915" s="11" t="str">
        <f>IFERROR(__xludf.DUMMYFUNCTION("""COMPUTED_VALUE"""),"")</f>
        <v/>
      </c>
      <c r="H915" s="12" t="str">
        <f>IFERROR(__xludf.DUMMYFUNCTION("""COMPUTED_VALUE"""),"")</f>
        <v/>
      </c>
      <c r="I915" s="12" t="str">
        <f>IFERROR(__xludf.DUMMYFUNCTION("""COMPUTED_VALUE"""),"")</f>
        <v/>
      </c>
      <c r="J915" s="13" t="str">
        <f t="shared" si="1"/>
        <v/>
      </c>
      <c r="K915" s="12" t="str">
        <f>IFERROR(IF(A915="","",if($G915="",Reference!$J$2, VLOOKUP($G915,Reference!$I$2:$J$1000,2,false))),"")</f>
        <v/>
      </c>
      <c r="L915" s="12" t="str">
        <f>IF(A915="","", IF(F915="",Reference!$M$2,F915))</f>
        <v/>
      </c>
      <c r="M915" s="14" t="str">
        <f t="shared" si="2"/>
        <v/>
      </c>
      <c r="N915" s="15" t="str">
        <f t="shared" si="3"/>
        <v/>
      </c>
      <c r="O915" s="14" t="str">
        <f t="shared" si="4"/>
        <v/>
      </c>
      <c r="P915" s="16" t="str">
        <f t="array" ref="P915">IF($A915="","", IFERROR(INDEX('BM Data'!$N:$N,MATCH($J915&amp; "-" &amp; $N915,'BM Data'!$O:$O,0),1),""))</f>
        <v/>
      </c>
      <c r="Q915" s="16" t="str">
        <f t="array" ref="Q915">IF($A915="","", IFERROR(INDEX('BM Data'!$J:$J,MATCH($J915&amp; "-" &amp; $N915,'BM Data'!$O:$O,0),1),""))</f>
        <v/>
      </c>
    </row>
    <row r="916">
      <c r="A916" s="10" t="str">
        <f>IFERROR(__xludf.DUMMYFUNCTION("""COMPUTED_VALUE"""),"")</f>
        <v/>
      </c>
      <c r="B916" s="3" t="str">
        <f>IFERROR(__xludf.DUMMYFUNCTION("""COMPUTED_VALUE"""),"")</f>
        <v/>
      </c>
      <c r="C916" s="11" t="str">
        <f>IFERROR(__xludf.DUMMYFUNCTION("""COMPUTED_VALUE"""),"")</f>
        <v/>
      </c>
      <c r="D916" s="11" t="str">
        <f>IFERROR(__xludf.DUMMYFUNCTION("""COMPUTED_VALUE"""),"")</f>
        <v/>
      </c>
      <c r="E916" s="11" t="str">
        <f>IFERROR(__xludf.DUMMYFUNCTION("""COMPUTED_VALUE"""),"")</f>
        <v/>
      </c>
      <c r="F916" s="11" t="str">
        <f>IFERROR(__xludf.DUMMYFUNCTION("""COMPUTED_VALUE"""),"")</f>
        <v/>
      </c>
      <c r="G916" s="11" t="str">
        <f>IFERROR(__xludf.DUMMYFUNCTION("""COMPUTED_VALUE"""),"")</f>
        <v/>
      </c>
      <c r="H916" s="12" t="str">
        <f>IFERROR(__xludf.DUMMYFUNCTION("""COMPUTED_VALUE"""),"")</f>
        <v/>
      </c>
      <c r="I916" s="12" t="str">
        <f>IFERROR(__xludf.DUMMYFUNCTION("""COMPUTED_VALUE"""),"")</f>
        <v/>
      </c>
      <c r="J916" s="13" t="str">
        <f t="shared" si="1"/>
        <v/>
      </c>
      <c r="K916" s="12" t="str">
        <f>IFERROR(IF(A916="","",if($G916="",Reference!$J$2, VLOOKUP($G916,Reference!$I$2:$J$1000,2,false))),"")</f>
        <v/>
      </c>
      <c r="L916" s="12" t="str">
        <f>IF(A916="","", IF(F916="",Reference!$M$2,F916))</f>
        <v/>
      </c>
      <c r="M916" s="14" t="str">
        <f t="shared" si="2"/>
        <v/>
      </c>
      <c r="N916" s="15" t="str">
        <f t="shared" si="3"/>
        <v/>
      </c>
      <c r="O916" s="14" t="str">
        <f t="shared" si="4"/>
        <v/>
      </c>
      <c r="P916" s="16" t="str">
        <f t="array" ref="P916">IF($A916="","", IFERROR(INDEX('BM Data'!$N:$N,MATCH($J916&amp; "-" &amp; $N916,'BM Data'!$O:$O,0),1),""))</f>
        <v/>
      </c>
      <c r="Q916" s="16" t="str">
        <f t="array" ref="Q916">IF($A916="","", IFERROR(INDEX('BM Data'!$J:$J,MATCH($J916&amp; "-" &amp; $N916,'BM Data'!$O:$O,0),1),""))</f>
        <v/>
      </c>
    </row>
    <row r="917">
      <c r="A917" s="10" t="str">
        <f>IFERROR(__xludf.DUMMYFUNCTION("""COMPUTED_VALUE"""),"")</f>
        <v/>
      </c>
      <c r="B917" s="3" t="str">
        <f>IFERROR(__xludf.DUMMYFUNCTION("""COMPUTED_VALUE"""),"")</f>
        <v/>
      </c>
      <c r="C917" s="11" t="str">
        <f>IFERROR(__xludf.DUMMYFUNCTION("""COMPUTED_VALUE"""),"")</f>
        <v/>
      </c>
      <c r="D917" s="11" t="str">
        <f>IFERROR(__xludf.DUMMYFUNCTION("""COMPUTED_VALUE"""),"")</f>
        <v/>
      </c>
      <c r="E917" s="11" t="str">
        <f>IFERROR(__xludf.DUMMYFUNCTION("""COMPUTED_VALUE"""),"")</f>
        <v/>
      </c>
      <c r="F917" s="11" t="str">
        <f>IFERROR(__xludf.DUMMYFUNCTION("""COMPUTED_VALUE"""),"")</f>
        <v/>
      </c>
      <c r="G917" s="11" t="str">
        <f>IFERROR(__xludf.DUMMYFUNCTION("""COMPUTED_VALUE"""),"")</f>
        <v/>
      </c>
      <c r="H917" s="12" t="str">
        <f>IFERROR(__xludf.DUMMYFUNCTION("""COMPUTED_VALUE"""),"")</f>
        <v/>
      </c>
      <c r="I917" s="12" t="str">
        <f>IFERROR(__xludf.DUMMYFUNCTION("""COMPUTED_VALUE"""),"")</f>
        <v/>
      </c>
      <c r="J917" s="13" t="str">
        <f t="shared" si="1"/>
        <v/>
      </c>
      <c r="K917" s="12" t="str">
        <f>IFERROR(IF(A917="","",if($G917="",Reference!$J$2, VLOOKUP($G917,Reference!$I$2:$J$1000,2,false))),"")</f>
        <v/>
      </c>
      <c r="L917" s="12" t="str">
        <f>IF(A917="","", IF(F917="",Reference!$M$2,F917))</f>
        <v/>
      </c>
      <c r="M917" s="14" t="str">
        <f t="shared" si="2"/>
        <v/>
      </c>
      <c r="N917" s="15" t="str">
        <f t="shared" si="3"/>
        <v/>
      </c>
      <c r="O917" s="14" t="str">
        <f t="shared" si="4"/>
        <v/>
      </c>
      <c r="P917" s="16" t="str">
        <f t="array" ref="P917">IF($A917="","", IFERROR(INDEX('BM Data'!$N:$N,MATCH($J917&amp; "-" &amp; $N917,'BM Data'!$O:$O,0),1),""))</f>
        <v/>
      </c>
      <c r="Q917" s="16" t="str">
        <f t="array" ref="Q917">IF($A917="","", IFERROR(INDEX('BM Data'!$J:$J,MATCH($J917&amp; "-" &amp; $N917,'BM Data'!$O:$O,0),1),""))</f>
        <v/>
      </c>
    </row>
    <row r="918">
      <c r="A918" s="10" t="str">
        <f>IFERROR(__xludf.DUMMYFUNCTION("""COMPUTED_VALUE"""),"")</f>
        <v/>
      </c>
      <c r="B918" s="3" t="str">
        <f>IFERROR(__xludf.DUMMYFUNCTION("""COMPUTED_VALUE"""),"")</f>
        <v/>
      </c>
      <c r="C918" s="11" t="str">
        <f>IFERROR(__xludf.DUMMYFUNCTION("""COMPUTED_VALUE"""),"")</f>
        <v/>
      </c>
      <c r="D918" s="11" t="str">
        <f>IFERROR(__xludf.DUMMYFUNCTION("""COMPUTED_VALUE"""),"")</f>
        <v/>
      </c>
      <c r="E918" s="11" t="str">
        <f>IFERROR(__xludf.DUMMYFUNCTION("""COMPUTED_VALUE"""),"")</f>
        <v/>
      </c>
      <c r="F918" s="11" t="str">
        <f>IFERROR(__xludf.DUMMYFUNCTION("""COMPUTED_VALUE"""),"")</f>
        <v/>
      </c>
      <c r="G918" s="11" t="str">
        <f>IFERROR(__xludf.DUMMYFUNCTION("""COMPUTED_VALUE"""),"")</f>
        <v/>
      </c>
      <c r="H918" s="12" t="str">
        <f>IFERROR(__xludf.DUMMYFUNCTION("""COMPUTED_VALUE"""),"")</f>
        <v/>
      </c>
      <c r="I918" s="12" t="str">
        <f>IFERROR(__xludf.DUMMYFUNCTION("""COMPUTED_VALUE"""),"")</f>
        <v/>
      </c>
      <c r="J918" s="13" t="str">
        <f t="shared" si="1"/>
        <v/>
      </c>
      <c r="K918" s="12" t="str">
        <f>IFERROR(IF(A918="","",if($G918="",Reference!$J$2, VLOOKUP($G918,Reference!$I$2:$J$1000,2,false))),"")</f>
        <v/>
      </c>
      <c r="L918" s="12" t="str">
        <f>IF(A918="","", IF(F918="",Reference!$M$2,F918))</f>
        <v/>
      </c>
      <c r="M918" s="14" t="str">
        <f t="shared" si="2"/>
        <v/>
      </c>
      <c r="N918" s="15" t="str">
        <f t="shared" si="3"/>
        <v/>
      </c>
      <c r="O918" s="14" t="str">
        <f t="shared" si="4"/>
        <v/>
      </c>
      <c r="P918" s="16" t="str">
        <f t="array" ref="P918">IF($A918="","", IFERROR(INDEX('BM Data'!$N:$N,MATCH($J918&amp; "-" &amp; $N918,'BM Data'!$O:$O,0),1),""))</f>
        <v/>
      </c>
      <c r="Q918" s="16" t="str">
        <f t="array" ref="Q918">IF($A918="","", IFERROR(INDEX('BM Data'!$J:$J,MATCH($J918&amp; "-" &amp; $N918,'BM Data'!$O:$O,0),1),""))</f>
        <v/>
      </c>
    </row>
    <row r="919">
      <c r="A919" s="10" t="str">
        <f>IFERROR(__xludf.DUMMYFUNCTION("""COMPUTED_VALUE"""),"")</f>
        <v/>
      </c>
      <c r="B919" s="3" t="str">
        <f>IFERROR(__xludf.DUMMYFUNCTION("""COMPUTED_VALUE"""),"")</f>
        <v/>
      </c>
      <c r="C919" s="11" t="str">
        <f>IFERROR(__xludf.DUMMYFUNCTION("""COMPUTED_VALUE"""),"")</f>
        <v/>
      </c>
      <c r="D919" s="11" t="str">
        <f>IFERROR(__xludf.DUMMYFUNCTION("""COMPUTED_VALUE"""),"")</f>
        <v/>
      </c>
      <c r="E919" s="11" t="str">
        <f>IFERROR(__xludf.DUMMYFUNCTION("""COMPUTED_VALUE"""),"")</f>
        <v/>
      </c>
      <c r="F919" s="11" t="str">
        <f>IFERROR(__xludf.DUMMYFUNCTION("""COMPUTED_VALUE"""),"")</f>
        <v/>
      </c>
      <c r="G919" s="11" t="str">
        <f>IFERROR(__xludf.DUMMYFUNCTION("""COMPUTED_VALUE"""),"")</f>
        <v/>
      </c>
      <c r="H919" s="12" t="str">
        <f>IFERROR(__xludf.DUMMYFUNCTION("""COMPUTED_VALUE"""),"")</f>
        <v/>
      </c>
      <c r="I919" s="12" t="str">
        <f>IFERROR(__xludf.DUMMYFUNCTION("""COMPUTED_VALUE"""),"")</f>
        <v/>
      </c>
      <c r="J919" s="13" t="str">
        <f t="shared" si="1"/>
        <v/>
      </c>
      <c r="K919" s="12" t="str">
        <f>IFERROR(IF(A919="","",if($G919="",Reference!$J$2, VLOOKUP($G919,Reference!$I$2:$J$1000,2,false))),"")</f>
        <v/>
      </c>
      <c r="L919" s="12" t="str">
        <f>IF(A919="","", IF(F919="",Reference!$M$2,F919))</f>
        <v/>
      </c>
      <c r="M919" s="14" t="str">
        <f t="shared" si="2"/>
        <v/>
      </c>
      <c r="N919" s="15" t="str">
        <f t="shared" si="3"/>
        <v/>
      </c>
      <c r="O919" s="14" t="str">
        <f t="shared" si="4"/>
        <v/>
      </c>
      <c r="P919" s="16" t="str">
        <f t="array" ref="P919">IF($A919="","", IFERROR(INDEX('BM Data'!$N:$N,MATCH($J919&amp; "-" &amp; $N919,'BM Data'!$O:$O,0),1),""))</f>
        <v/>
      </c>
      <c r="Q919" s="16" t="str">
        <f t="array" ref="Q919">IF($A919="","", IFERROR(INDEX('BM Data'!$J:$J,MATCH($J919&amp; "-" &amp; $N919,'BM Data'!$O:$O,0),1),""))</f>
        <v/>
      </c>
    </row>
    <row r="920">
      <c r="A920" s="10" t="str">
        <f>IFERROR(__xludf.DUMMYFUNCTION("""COMPUTED_VALUE"""),"")</f>
        <v/>
      </c>
      <c r="B920" s="3" t="str">
        <f>IFERROR(__xludf.DUMMYFUNCTION("""COMPUTED_VALUE"""),"")</f>
        <v/>
      </c>
      <c r="C920" s="11" t="str">
        <f>IFERROR(__xludf.DUMMYFUNCTION("""COMPUTED_VALUE"""),"")</f>
        <v/>
      </c>
      <c r="D920" s="11" t="str">
        <f>IFERROR(__xludf.DUMMYFUNCTION("""COMPUTED_VALUE"""),"")</f>
        <v/>
      </c>
      <c r="E920" s="11" t="str">
        <f>IFERROR(__xludf.DUMMYFUNCTION("""COMPUTED_VALUE"""),"")</f>
        <v/>
      </c>
      <c r="F920" s="11" t="str">
        <f>IFERROR(__xludf.DUMMYFUNCTION("""COMPUTED_VALUE"""),"")</f>
        <v/>
      </c>
      <c r="G920" s="11" t="str">
        <f>IFERROR(__xludf.DUMMYFUNCTION("""COMPUTED_VALUE"""),"")</f>
        <v/>
      </c>
      <c r="H920" s="12" t="str">
        <f>IFERROR(__xludf.DUMMYFUNCTION("""COMPUTED_VALUE"""),"")</f>
        <v/>
      </c>
      <c r="I920" s="12" t="str">
        <f>IFERROR(__xludf.DUMMYFUNCTION("""COMPUTED_VALUE"""),"")</f>
        <v/>
      </c>
      <c r="J920" s="13" t="str">
        <f t="shared" si="1"/>
        <v/>
      </c>
      <c r="K920" s="12" t="str">
        <f>IFERROR(IF(A920="","",if($G920="",Reference!$J$2, VLOOKUP($G920,Reference!$I$2:$J$1000,2,false))),"")</f>
        <v/>
      </c>
      <c r="L920" s="12" t="str">
        <f>IF(A920="","", IF(F920="",Reference!$M$2,F920))</f>
        <v/>
      </c>
      <c r="M920" s="14" t="str">
        <f t="shared" si="2"/>
        <v/>
      </c>
      <c r="N920" s="15" t="str">
        <f t="shared" si="3"/>
        <v/>
      </c>
      <c r="O920" s="14" t="str">
        <f t="shared" si="4"/>
        <v/>
      </c>
      <c r="P920" s="16" t="str">
        <f t="array" ref="P920">IF($A920="","", IFERROR(INDEX('BM Data'!$N:$N,MATCH($J920&amp; "-" &amp; $N920,'BM Data'!$O:$O,0),1),""))</f>
        <v/>
      </c>
      <c r="Q920" s="16" t="str">
        <f t="array" ref="Q920">IF($A920="","", IFERROR(INDEX('BM Data'!$J:$J,MATCH($J920&amp; "-" &amp; $N920,'BM Data'!$O:$O,0),1),""))</f>
        <v/>
      </c>
    </row>
    <row r="921">
      <c r="A921" s="10" t="str">
        <f>IFERROR(__xludf.DUMMYFUNCTION("""COMPUTED_VALUE"""),"")</f>
        <v/>
      </c>
      <c r="B921" s="3" t="str">
        <f>IFERROR(__xludf.DUMMYFUNCTION("""COMPUTED_VALUE"""),"")</f>
        <v/>
      </c>
      <c r="C921" s="11" t="str">
        <f>IFERROR(__xludf.DUMMYFUNCTION("""COMPUTED_VALUE"""),"")</f>
        <v/>
      </c>
      <c r="D921" s="11" t="str">
        <f>IFERROR(__xludf.DUMMYFUNCTION("""COMPUTED_VALUE"""),"")</f>
        <v/>
      </c>
      <c r="E921" s="11" t="str">
        <f>IFERROR(__xludf.DUMMYFUNCTION("""COMPUTED_VALUE"""),"")</f>
        <v/>
      </c>
      <c r="F921" s="11" t="str">
        <f>IFERROR(__xludf.DUMMYFUNCTION("""COMPUTED_VALUE"""),"")</f>
        <v/>
      </c>
      <c r="G921" s="11" t="str">
        <f>IFERROR(__xludf.DUMMYFUNCTION("""COMPUTED_VALUE"""),"")</f>
        <v/>
      </c>
      <c r="H921" s="12" t="str">
        <f>IFERROR(__xludf.DUMMYFUNCTION("""COMPUTED_VALUE"""),"")</f>
        <v/>
      </c>
      <c r="I921" s="12" t="str">
        <f>IFERROR(__xludf.DUMMYFUNCTION("""COMPUTED_VALUE"""),"")</f>
        <v/>
      </c>
      <c r="J921" s="13" t="str">
        <f t="shared" si="1"/>
        <v/>
      </c>
      <c r="K921" s="12" t="str">
        <f>IFERROR(IF(A921="","",if($G921="",Reference!$J$2, VLOOKUP($G921,Reference!$I$2:$J$1000,2,false))),"")</f>
        <v/>
      </c>
      <c r="L921" s="12" t="str">
        <f>IF(A921="","", IF(F921="",Reference!$M$2,F921))</f>
        <v/>
      </c>
      <c r="M921" s="14" t="str">
        <f t="shared" si="2"/>
        <v/>
      </c>
      <c r="N921" s="15" t="str">
        <f t="shared" si="3"/>
        <v/>
      </c>
      <c r="O921" s="14" t="str">
        <f t="shared" si="4"/>
        <v/>
      </c>
      <c r="P921" s="16" t="str">
        <f t="array" ref="P921">IF($A921="","", IFERROR(INDEX('BM Data'!$N:$N,MATCH($J921&amp; "-" &amp; $N921,'BM Data'!$O:$O,0),1),""))</f>
        <v/>
      </c>
      <c r="Q921" s="16" t="str">
        <f t="array" ref="Q921">IF($A921="","", IFERROR(INDEX('BM Data'!$J:$J,MATCH($J921&amp; "-" &amp; $N921,'BM Data'!$O:$O,0),1),""))</f>
        <v/>
      </c>
    </row>
    <row r="922">
      <c r="A922" s="10" t="str">
        <f>IFERROR(__xludf.DUMMYFUNCTION("""COMPUTED_VALUE"""),"")</f>
        <v/>
      </c>
      <c r="B922" s="3" t="str">
        <f>IFERROR(__xludf.DUMMYFUNCTION("""COMPUTED_VALUE"""),"")</f>
        <v/>
      </c>
      <c r="C922" s="11" t="str">
        <f>IFERROR(__xludf.DUMMYFUNCTION("""COMPUTED_VALUE"""),"")</f>
        <v/>
      </c>
      <c r="D922" s="11" t="str">
        <f>IFERROR(__xludf.DUMMYFUNCTION("""COMPUTED_VALUE"""),"")</f>
        <v/>
      </c>
      <c r="E922" s="11" t="str">
        <f>IFERROR(__xludf.DUMMYFUNCTION("""COMPUTED_VALUE"""),"")</f>
        <v/>
      </c>
      <c r="F922" s="11" t="str">
        <f>IFERROR(__xludf.DUMMYFUNCTION("""COMPUTED_VALUE"""),"")</f>
        <v/>
      </c>
      <c r="G922" s="11" t="str">
        <f>IFERROR(__xludf.DUMMYFUNCTION("""COMPUTED_VALUE"""),"")</f>
        <v/>
      </c>
      <c r="H922" s="12" t="str">
        <f>IFERROR(__xludf.DUMMYFUNCTION("""COMPUTED_VALUE"""),"")</f>
        <v/>
      </c>
      <c r="I922" s="12" t="str">
        <f>IFERROR(__xludf.DUMMYFUNCTION("""COMPUTED_VALUE"""),"")</f>
        <v/>
      </c>
      <c r="J922" s="13" t="str">
        <f t="shared" si="1"/>
        <v/>
      </c>
      <c r="K922" s="12" t="str">
        <f>IFERROR(IF(A922="","",if($G922="",Reference!$J$2, VLOOKUP($G922,Reference!$I$2:$J$1000,2,false))),"")</f>
        <v/>
      </c>
      <c r="L922" s="12" t="str">
        <f>IF(A922="","", IF(F922="",Reference!$M$2,F922))</f>
        <v/>
      </c>
      <c r="M922" s="14" t="str">
        <f t="shared" si="2"/>
        <v/>
      </c>
      <c r="N922" s="15" t="str">
        <f t="shared" si="3"/>
        <v/>
      </c>
      <c r="O922" s="14" t="str">
        <f t="shared" si="4"/>
        <v/>
      </c>
      <c r="P922" s="16" t="str">
        <f t="array" ref="P922">IF($A922="","", IFERROR(INDEX('BM Data'!$N:$N,MATCH($J922&amp; "-" &amp; $N922,'BM Data'!$O:$O,0),1),""))</f>
        <v/>
      </c>
      <c r="Q922" s="16" t="str">
        <f t="array" ref="Q922">IF($A922="","", IFERROR(INDEX('BM Data'!$J:$J,MATCH($J922&amp; "-" &amp; $N922,'BM Data'!$O:$O,0),1),""))</f>
        <v/>
      </c>
    </row>
    <row r="923">
      <c r="A923" s="10" t="str">
        <f>IFERROR(__xludf.DUMMYFUNCTION("""COMPUTED_VALUE"""),"")</f>
        <v/>
      </c>
      <c r="B923" s="3" t="str">
        <f>IFERROR(__xludf.DUMMYFUNCTION("""COMPUTED_VALUE"""),"")</f>
        <v/>
      </c>
      <c r="C923" s="11" t="str">
        <f>IFERROR(__xludf.DUMMYFUNCTION("""COMPUTED_VALUE"""),"")</f>
        <v/>
      </c>
      <c r="D923" s="11" t="str">
        <f>IFERROR(__xludf.DUMMYFUNCTION("""COMPUTED_VALUE"""),"")</f>
        <v/>
      </c>
      <c r="E923" s="11" t="str">
        <f>IFERROR(__xludf.DUMMYFUNCTION("""COMPUTED_VALUE"""),"")</f>
        <v/>
      </c>
      <c r="F923" s="11" t="str">
        <f>IFERROR(__xludf.DUMMYFUNCTION("""COMPUTED_VALUE"""),"")</f>
        <v/>
      </c>
      <c r="G923" s="11" t="str">
        <f>IFERROR(__xludf.DUMMYFUNCTION("""COMPUTED_VALUE"""),"")</f>
        <v/>
      </c>
      <c r="H923" s="12" t="str">
        <f>IFERROR(__xludf.DUMMYFUNCTION("""COMPUTED_VALUE"""),"")</f>
        <v/>
      </c>
      <c r="I923" s="12" t="str">
        <f>IFERROR(__xludf.DUMMYFUNCTION("""COMPUTED_VALUE"""),"")</f>
        <v/>
      </c>
      <c r="J923" s="13" t="str">
        <f t="shared" si="1"/>
        <v/>
      </c>
      <c r="K923" s="12" t="str">
        <f>IFERROR(IF(A923="","",if($G923="",Reference!$J$2, VLOOKUP($G923,Reference!$I$2:$J$1000,2,false))),"")</f>
        <v/>
      </c>
      <c r="L923" s="12" t="str">
        <f>IF(A923="","", IF(F923="",Reference!$M$2,F923))</f>
        <v/>
      </c>
      <c r="M923" s="14" t="str">
        <f t="shared" si="2"/>
        <v/>
      </c>
      <c r="N923" s="15" t="str">
        <f t="shared" si="3"/>
        <v/>
      </c>
      <c r="O923" s="14" t="str">
        <f t="shared" si="4"/>
        <v/>
      </c>
      <c r="P923" s="16" t="str">
        <f t="array" ref="P923">IF($A923="","", IFERROR(INDEX('BM Data'!$N:$N,MATCH($J923&amp; "-" &amp; $N923,'BM Data'!$O:$O,0),1),""))</f>
        <v/>
      </c>
      <c r="Q923" s="16" t="str">
        <f t="array" ref="Q923">IF($A923="","", IFERROR(INDEX('BM Data'!$J:$J,MATCH($J923&amp; "-" &amp; $N923,'BM Data'!$O:$O,0),1),""))</f>
        <v/>
      </c>
    </row>
    <row r="924">
      <c r="A924" s="10" t="str">
        <f>IFERROR(__xludf.DUMMYFUNCTION("""COMPUTED_VALUE"""),"")</f>
        <v/>
      </c>
      <c r="B924" s="3" t="str">
        <f>IFERROR(__xludf.DUMMYFUNCTION("""COMPUTED_VALUE"""),"")</f>
        <v/>
      </c>
      <c r="C924" s="11" t="str">
        <f>IFERROR(__xludf.DUMMYFUNCTION("""COMPUTED_VALUE"""),"")</f>
        <v/>
      </c>
      <c r="D924" s="11" t="str">
        <f>IFERROR(__xludf.DUMMYFUNCTION("""COMPUTED_VALUE"""),"")</f>
        <v/>
      </c>
      <c r="E924" s="11" t="str">
        <f>IFERROR(__xludf.DUMMYFUNCTION("""COMPUTED_VALUE"""),"")</f>
        <v/>
      </c>
      <c r="F924" s="11" t="str">
        <f>IFERROR(__xludf.DUMMYFUNCTION("""COMPUTED_VALUE"""),"")</f>
        <v/>
      </c>
      <c r="G924" s="11" t="str">
        <f>IFERROR(__xludf.DUMMYFUNCTION("""COMPUTED_VALUE"""),"")</f>
        <v/>
      </c>
      <c r="H924" s="12" t="str">
        <f>IFERROR(__xludf.DUMMYFUNCTION("""COMPUTED_VALUE"""),"")</f>
        <v/>
      </c>
      <c r="I924" s="12" t="str">
        <f>IFERROR(__xludf.DUMMYFUNCTION("""COMPUTED_VALUE"""),"")</f>
        <v/>
      </c>
      <c r="J924" s="13" t="str">
        <f t="shared" si="1"/>
        <v/>
      </c>
      <c r="K924" s="12" t="str">
        <f>IFERROR(IF(A924="","",if($G924="",Reference!$J$2, VLOOKUP($G924,Reference!$I$2:$J$1000,2,false))),"")</f>
        <v/>
      </c>
      <c r="L924" s="12" t="str">
        <f>IF(A924="","", IF(F924="",Reference!$M$2,F924))</f>
        <v/>
      </c>
      <c r="M924" s="14" t="str">
        <f t="shared" si="2"/>
        <v/>
      </c>
      <c r="N924" s="15" t="str">
        <f t="shared" si="3"/>
        <v/>
      </c>
      <c r="O924" s="14" t="str">
        <f t="shared" si="4"/>
        <v/>
      </c>
      <c r="P924" s="16" t="str">
        <f t="array" ref="P924">IF($A924="","", IFERROR(INDEX('BM Data'!$N:$N,MATCH($J924&amp; "-" &amp; $N924,'BM Data'!$O:$O,0),1),""))</f>
        <v/>
      </c>
      <c r="Q924" s="16" t="str">
        <f t="array" ref="Q924">IF($A924="","", IFERROR(INDEX('BM Data'!$J:$J,MATCH($J924&amp; "-" &amp; $N924,'BM Data'!$O:$O,0),1),""))</f>
        <v/>
      </c>
    </row>
    <row r="925">
      <c r="A925" s="10" t="str">
        <f>IFERROR(__xludf.DUMMYFUNCTION("""COMPUTED_VALUE"""),"")</f>
        <v/>
      </c>
      <c r="B925" s="3" t="str">
        <f>IFERROR(__xludf.DUMMYFUNCTION("""COMPUTED_VALUE"""),"")</f>
        <v/>
      </c>
      <c r="C925" s="11" t="str">
        <f>IFERROR(__xludf.DUMMYFUNCTION("""COMPUTED_VALUE"""),"")</f>
        <v/>
      </c>
      <c r="D925" s="11" t="str">
        <f>IFERROR(__xludf.DUMMYFUNCTION("""COMPUTED_VALUE"""),"")</f>
        <v/>
      </c>
      <c r="E925" s="11" t="str">
        <f>IFERROR(__xludf.DUMMYFUNCTION("""COMPUTED_VALUE"""),"")</f>
        <v/>
      </c>
      <c r="F925" s="11" t="str">
        <f>IFERROR(__xludf.DUMMYFUNCTION("""COMPUTED_VALUE"""),"")</f>
        <v/>
      </c>
      <c r="G925" s="11" t="str">
        <f>IFERROR(__xludf.DUMMYFUNCTION("""COMPUTED_VALUE"""),"")</f>
        <v/>
      </c>
      <c r="H925" s="12" t="str">
        <f>IFERROR(__xludf.DUMMYFUNCTION("""COMPUTED_VALUE"""),"")</f>
        <v/>
      </c>
      <c r="I925" s="12" t="str">
        <f>IFERROR(__xludf.DUMMYFUNCTION("""COMPUTED_VALUE"""),"")</f>
        <v/>
      </c>
      <c r="J925" s="13" t="str">
        <f t="shared" si="1"/>
        <v/>
      </c>
      <c r="K925" s="12" t="str">
        <f>IFERROR(IF(A925="","",if($G925="",Reference!$J$2, VLOOKUP($G925,Reference!$I$2:$J$1000,2,false))),"")</f>
        <v/>
      </c>
      <c r="L925" s="12" t="str">
        <f>IF(A925="","", IF(F925="",Reference!$M$2,F925))</f>
        <v/>
      </c>
      <c r="M925" s="14" t="str">
        <f t="shared" si="2"/>
        <v/>
      </c>
      <c r="N925" s="15" t="str">
        <f t="shared" si="3"/>
        <v/>
      </c>
      <c r="O925" s="14" t="str">
        <f t="shared" si="4"/>
        <v/>
      </c>
      <c r="P925" s="16" t="str">
        <f t="array" ref="P925">IF($A925="","", IFERROR(INDEX('BM Data'!$N:$N,MATCH($J925&amp; "-" &amp; $N925,'BM Data'!$O:$O,0),1),""))</f>
        <v/>
      </c>
      <c r="Q925" s="16" t="str">
        <f t="array" ref="Q925">IF($A925="","", IFERROR(INDEX('BM Data'!$J:$J,MATCH($J925&amp; "-" &amp; $N925,'BM Data'!$O:$O,0),1),""))</f>
        <v/>
      </c>
    </row>
    <row r="926">
      <c r="A926" s="10" t="str">
        <f>IFERROR(__xludf.DUMMYFUNCTION("""COMPUTED_VALUE"""),"")</f>
        <v/>
      </c>
      <c r="B926" s="3" t="str">
        <f>IFERROR(__xludf.DUMMYFUNCTION("""COMPUTED_VALUE"""),"")</f>
        <v/>
      </c>
      <c r="C926" s="11" t="str">
        <f>IFERROR(__xludf.DUMMYFUNCTION("""COMPUTED_VALUE"""),"")</f>
        <v/>
      </c>
      <c r="D926" s="11" t="str">
        <f>IFERROR(__xludf.DUMMYFUNCTION("""COMPUTED_VALUE"""),"")</f>
        <v/>
      </c>
      <c r="E926" s="11" t="str">
        <f>IFERROR(__xludf.DUMMYFUNCTION("""COMPUTED_VALUE"""),"")</f>
        <v/>
      </c>
      <c r="F926" s="11" t="str">
        <f>IFERROR(__xludf.DUMMYFUNCTION("""COMPUTED_VALUE"""),"")</f>
        <v/>
      </c>
      <c r="G926" s="11" t="str">
        <f>IFERROR(__xludf.DUMMYFUNCTION("""COMPUTED_VALUE"""),"")</f>
        <v/>
      </c>
      <c r="H926" s="12" t="str">
        <f>IFERROR(__xludf.DUMMYFUNCTION("""COMPUTED_VALUE"""),"")</f>
        <v/>
      </c>
      <c r="I926" s="12" t="str">
        <f>IFERROR(__xludf.DUMMYFUNCTION("""COMPUTED_VALUE"""),"")</f>
        <v/>
      </c>
      <c r="J926" s="13" t="str">
        <f t="shared" si="1"/>
        <v/>
      </c>
      <c r="K926" s="12" t="str">
        <f>IFERROR(IF(A926="","",if($G926="",Reference!$J$2, VLOOKUP($G926,Reference!$I$2:$J$1000,2,false))),"")</f>
        <v/>
      </c>
      <c r="L926" s="12" t="str">
        <f>IF(A926="","", IF(F926="",Reference!$M$2,F926))</f>
        <v/>
      </c>
      <c r="M926" s="14" t="str">
        <f t="shared" si="2"/>
        <v/>
      </c>
      <c r="N926" s="15" t="str">
        <f t="shared" si="3"/>
        <v/>
      </c>
      <c r="O926" s="14" t="str">
        <f t="shared" si="4"/>
        <v/>
      </c>
      <c r="P926" s="16" t="str">
        <f t="array" ref="P926">IF($A926="","", IFERROR(INDEX('BM Data'!$N:$N,MATCH($J926&amp; "-" &amp; $N926,'BM Data'!$O:$O,0),1),""))</f>
        <v/>
      </c>
      <c r="Q926" s="16" t="str">
        <f t="array" ref="Q926">IF($A926="","", IFERROR(INDEX('BM Data'!$J:$J,MATCH($J926&amp; "-" &amp; $N926,'BM Data'!$O:$O,0),1),""))</f>
        <v/>
      </c>
    </row>
    <row r="927">
      <c r="A927" s="10" t="str">
        <f>IFERROR(__xludf.DUMMYFUNCTION("""COMPUTED_VALUE"""),"")</f>
        <v/>
      </c>
      <c r="B927" s="3" t="str">
        <f>IFERROR(__xludf.DUMMYFUNCTION("""COMPUTED_VALUE"""),"")</f>
        <v/>
      </c>
      <c r="C927" s="11" t="str">
        <f>IFERROR(__xludf.DUMMYFUNCTION("""COMPUTED_VALUE"""),"")</f>
        <v/>
      </c>
      <c r="D927" s="11" t="str">
        <f>IFERROR(__xludf.DUMMYFUNCTION("""COMPUTED_VALUE"""),"")</f>
        <v/>
      </c>
      <c r="E927" s="11" t="str">
        <f>IFERROR(__xludf.DUMMYFUNCTION("""COMPUTED_VALUE"""),"")</f>
        <v/>
      </c>
      <c r="F927" s="11" t="str">
        <f>IFERROR(__xludf.DUMMYFUNCTION("""COMPUTED_VALUE"""),"")</f>
        <v/>
      </c>
      <c r="G927" s="11" t="str">
        <f>IFERROR(__xludf.DUMMYFUNCTION("""COMPUTED_VALUE"""),"")</f>
        <v/>
      </c>
      <c r="H927" s="12" t="str">
        <f>IFERROR(__xludf.DUMMYFUNCTION("""COMPUTED_VALUE"""),"")</f>
        <v/>
      </c>
      <c r="I927" s="12" t="str">
        <f>IFERROR(__xludf.DUMMYFUNCTION("""COMPUTED_VALUE"""),"")</f>
        <v/>
      </c>
      <c r="J927" s="13" t="str">
        <f t="shared" si="1"/>
        <v/>
      </c>
      <c r="K927" s="12" t="str">
        <f>IFERROR(IF(A927="","",if($G927="",Reference!$J$2, VLOOKUP($G927,Reference!$I$2:$J$1000,2,false))),"")</f>
        <v/>
      </c>
      <c r="L927" s="12" t="str">
        <f>IF(A927="","", IF(F927="",Reference!$M$2,F927))</f>
        <v/>
      </c>
      <c r="M927" s="14" t="str">
        <f t="shared" si="2"/>
        <v/>
      </c>
      <c r="N927" s="15" t="str">
        <f t="shared" si="3"/>
        <v/>
      </c>
      <c r="O927" s="14" t="str">
        <f t="shared" si="4"/>
        <v/>
      </c>
      <c r="P927" s="16" t="str">
        <f t="array" ref="P927">IF($A927="","", IFERROR(INDEX('BM Data'!$N:$N,MATCH($J927&amp; "-" &amp; $N927,'BM Data'!$O:$O,0),1),""))</f>
        <v/>
      </c>
      <c r="Q927" s="16" t="str">
        <f t="array" ref="Q927">IF($A927="","", IFERROR(INDEX('BM Data'!$J:$J,MATCH($J927&amp; "-" &amp; $N927,'BM Data'!$O:$O,0),1),""))</f>
        <v/>
      </c>
    </row>
    <row r="928">
      <c r="A928" s="10" t="str">
        <f>IFERROR(__xludf.DUMMYFUNCTION("""COMPUTED_VALUE"""),"")</f>
        <v/>
      </c>
      <c r="B928" s="3" t="str">
        <f>IFERROR(__xludf.DUMMYFUNCTION("""COMPUTED_VALUE"""),"")</f>
        <v/>
      </c>
      <c r="C928" s="11" t="str">
        <f>IFERROR(__xludf.DUMMYFUNCTION("""COMPUTED_VALUE"""),"")</f>
        <v/>
      </c>
      <c r="D928" s="11" t="str">
        <f>IFERROR(__xludf.DUMMYFUNCTION("""COMPUTED_VALUE"""),"")</f>
        <v/>
      </c>
      <c r="E928" s="11" t="str">
        <f>IFERROR(__xludf.DUMMYFUNCTION("""COMPUTED_VALUE"""),"")</f>
        <v/>
      </c>
      <c r="F928" s="11" t="str">
        <f>IFERROR(__xludf.DUMMYFUNCTION("""COMPUTED_VALUE"""),"")</f>
        <v/>
      </c>
      <c r="G928" s="11" t="str">
        <f>IFERROR(__xludf.DUMMYFUNCTION("""COMPUTED_VALUE"""),"")</f>
        <v/>
      </c>
      <c r="H928" s="12" t="str">
        <f>IFERROR(__xludf.DUMMYFUNCTION("""COMPUTED_VALUE"""),"")</f>
        <v/>
      </c>
      <c r="I928" s="12" t="str">
        <f>IFERROR(__xludf.DUMMYFUNCTION("""COMPUTED_VALUE"""),"")</f>
        <v/>
      </c>
      <c r="J928" s="13" t="str">
        <f t="shared" si="1"/>
        <v/>
      </c>
      <c r="K928" s="12" t="str">
        <f>IFERROR(IF(A928="","",if($G928="",Reference!$J$2, VLOOKUP($G928,Reference!$I$2:$J$1000,2,false))),"")</f>
        <v/>
      </c>
      <c r="L928" s="12" t="str">
        <f>IF(A928="","", IF(F928="",Reference!$M$2,F928))</f>
        <v/>
      </c>
      <c r="M928" s="14" t="str">
        <f t="shared" si="2"/>
        <v/>
      </c>
      <c r="N928" s="15" t="str">
        <f t="shared" si="3"/>
        <v/>
      </c>
      <c r="O928" s="14" t="str">
        <f t="shared" si="4"/>
        <v/>
      </c>
      <c r="P928" s="16" t="str">
        <f t="array" ref="P928">IF($A928="","", IFERROR(INDEX('BM Data'!$N:$N,MATCH($J928&amp; "-" &amp; $N928,'BM Data'!$O:$O,0),1),""))</f>
        <v/>
      </c>
      <c r="Q928" s="16" t="str">
        <f t="array" ref="Q928">IF($A928="","", IFERROR(INDEX('BM Data'!$J:$J,MATCH($J928&amp; "-" &amp; $N928,'BM Data'!$O:$O,0),1),""))</f>
        <v/>
      </c>
    </row>
    <row r="929">
      <c r="A929" s="10" t="str">
        <f>IFERROR(__xludf.DUMMYFUNCTION("""COMPUTED_VALUE"""),"")</f>
        <v/>
      </c>
      <c r="B929" s="3" t="str">
        <f>IFERROR(__xludf.DUMMYFUNCTION("""COMPUTED_VALUE"""),"")</f>
        <v/>
      </c>
      <c r="C929" s="11" t="str">
        <f>IFERROR(__xludf.DUMMYFUNCTION("""COMPUTED_VALUE"""),"")</f>
        <v/>
      </c>
      <c r="D929" s="11" t="str">
        <f>IFERROR(__xludf.DUMMYFUNCTION("""COMPUTED_VALUE"""),"")</f>
        <v/>
      </c>
      <c r="E929" s="11" t="str">
        <f>IFERROR(__xludf.DUMMYFUNCTION("""COMPUTED_VALUE"""),"")</f>
        <v/>
      </c>
      <c r="F929" s="11" t="str">
        <f>IFERROR(__xludf.DUMMYFUNCTION("""COMPUTED_VALUE"""),"")</f>
        <v/>
      </c>
      <c r="G929" s="11" t="str">
        <f>IFERROR(__xludf.DUMMYFUNCTION("""COMPUTED_VALUE"""),"")</f>
        <v/>
      </c>
      <c r="H929" s="12" t="str">
        <f>IFERROR(__xludf.DUMMYFUNCTION("""COMPUTED_VALUE"""),"")</f>
        <v/>
      </c>
      <c r="I929" s="12" t="str">
        <f>IFERROR(__xludf.DUMMYFUNCTION("""COMPUTED_VALUE"""),"")</f>
        <v/>
      </c>
      <c r="J929" s="13" t="str">
        <f t="shared" si="1"/>
        <v/>
      </c>
      <c r="K929" s="12" t="str">
        <f>IFERROR(IF(A929="","",if($G929="",Reference!$J$2, VLOOKUP($G929,Reference!$I$2:$J$1000,2,false))),"")</f>
        <v/>
      </c>
      <c r="L929" s="12" t="str">
        <f>IF(A929="","", IF(F929="",Reference!$M$2,F929))</f>
        <v/>
      </c>
      <c r="M929" s="14" t="str">
        <f t="shared" si="2"/>
        <v/>
      </c>
      <c r="N929" s="15" t="str">
        <f t="shared" si="3"/>
        <v/>
      </c>
      <c r="O929" s="14" t="str">
        <f t="shared" si="4"/>
        <v/>
      </c>
      <c r="P929" s="16" t="str">
        <f t="array" ref="P929">IF($A929="","", IFERROR(INDEX('BM Data'!$N:$N,MATCH($J929&amp; "-" &amp; $N929,'BM Data'!$O:$O,0),1),""))</f>
        <v/>
      </c>
      <c r="Q929" s="16" t="str">
        <f t="array" ref="Q929">IF($A929="","", IFERROR(INDEX('BM Data'!$J:$J,MATCH($J929&amp; "-" &amp; $N929,'BM Data'!$O:$O,0),1),""))</f>
        <v/>
      </c>
    </row>
    <row r="930">
      <c r="A930" s="10" t="str">
        <f>IFERROR(__xludf.DUMMYFUNCTION("""COMPUTED_VALUE"""),"")</f>
        <v/>
      </c>
      <c r="B930" s="3" t="str">
        <f>IFERROR(__xludf.DUMMYFUNCTION("""COMPUTED_VALUE"""),"")</f>
        <v/>
      </c>
      <c r="C930" s="11" t="str">
        <f>IFERROR(__xludf.DUMMYFUNCTION("""COMPUTED_VALUE"""),"")</f>
        <v/>
      </c>
      <c r="D930" s="11" t="str">
        <f>IFERROR(__xludf.DUMMYFUNCTION("""COMPUTED_VALUE"""),"")</f>
        <v/>
      </c>
      <c r="E930" s="11" t="str">
        <f>IFERROR(__xludf.DUMMYFUNCTION("""COMPUTED_VALUE"""),"")</f>
        <v/>
      </c>
      <c r="F930" s="11" t="str">
        <f>IFERROR(__xludf.DUMMYFUNCTION("""COMPUTED_VALUE"""),"")</f>
        <v/>
      </c>
      <c r="G930" s="11" t="str">
        <f>IFERROR(__xludf.DUMMYFUNCTION("""COMPUTED_VALUE"""),"")</f>
        <v/>
      </c>
      <c r="H930" s="12" t="str">
        <f>IFERROR(__xludf.DUMMYFUNCTION("""COMPUTED_VALUE"""),"")</f>
        <v/>
      </c>
      <c r="I930" s="12" t="str">
        <f>IFERROR(__xludf.DUMMYFUNCTION("""COMPUTED_VALUE"""),"")</f>
        <v/>
      </c>
      <c r="J930" s="13" t="str">
        <f t="shared" si="1"/>
        <v/>
      </c>
      <c r="K930" s="12" t="str">
        <f>IFERROR(IF(A930="","",if($G930="",Reference!$J$2, VLOOKUP($G930,Reference!$I$2:$J$1000,2,false))),"")</f>
        <v/>
      </c>
      <c r="L930" s="12" t="str">
        <f>IF(A930="","", IF(F930="",Reference!$M$2,F930))</f>
        <v/>
      </c>
      <c r="M930" s="14" t="str">
        <f t="shared" si="2"/>
        <v/>
      </c>
      <c r="N930" s="15" t="str">
        <f t="shared" si="3"/>
        <v/>
      </c>
      <c r="O930" s="14" t="str">
        <f t="shared" si="4"/>
        <v/>
      </c>
      <c r="P930" s="16" t="str">
        <f t="array" ref="P930">IF($A930="","", IFERROR(INDEX('BM Data'!$N:$N,MATCH($J930&amp; "-" &amp; $N930,'BM Data'!$O:$O,0),1),""))</f>
        <v/>
      </c>
      <c r="Q930" s="16" t="str">
        <f t="array" ref="Q930">IF($A930="","", IFERROR(INDEX('BM Data'!$J:$J,MATCH($J930&amp; "-" &amp; $N930,'BM Data'!$O:$O,0),1),""))</f>
        <v/>
      </c>
    </row>
    <row r="931">
      <c r="A931" s="10" t="str">
        <f>IFERROR(__xludf.DUMMYFUNCTION("""COMPUTED_VALUE"""),"")</f>
        <v/>
      </c>
      <c r="B931" s="3" t="str">
        <f>IFERROR(__xludf.DUMMYFUNCTION("""COMPUTED_VALUE"""),"")</f>
        <v/>
      </c>
      <c r="C931" s="11" t="str">
        <f>IFERROR(__xludf.DUMMYFUNCTION("""COMPUTED_VALUE"""),"")</f>
        <v/>
      </c>
      <c r="D931" s="11" t="str">
        <f>IFERROR(__xludf.DUMMYFUNCTION("""COMPUTED_VALUE"""),"")</f>
        <v/>
      </c>
      <c r="E931" s="11" t="str">
        <f>IFERROR(__xludf.DUMMYFUNCTION("""COMPUTED_VALUE"""),"")</f>
        <v/>
      </c>
      <c r="F931" s="11" t="str">
        <f>IFERROR(__xludf.DUMMYFUNCTION("""COMPUTED_VALUE"""),"")</f>
        <v/>
      </c>
      <c r="G931" s="11" t="str">
        <f>IFERROR(__xludf.DUMMYFUNCTION("""COMPUTED_VALUE"""),"")</f>
        <v/>
      </c>
      <c r="H931" s="12" t="str">
        <f>IFERROR(__xludf.DUMMYFUNCTION("""COMPUTED_VALUE"""),"")</f>
        <v/>
      </c>
      <c r="I931" s="12" t="str">
        <f>IFERROR(__xludf.DUMMYFUNCTION("""COMPUTED_VALUE"""),"")</f>
        <v/>
      </c>
      <c r="J931" s="13" t="str">
        <f t="shared" si="1"/>
        <v/>
      </c>
      <c r="K931" s="12" t="str">
        <f>IFERROR(IF(A931="","",if($G931="",Reference!$J$2, VLOOKUP($G931,Reference!$I$2:$J$1000,2,false))),"")</f>
        <v/>
      </c>
      <c r="L931" s="12" t="str">
        <f>IF(A931="","", IF(F931="",Reference!$M$2,F931))</f>
        <v/>
      </c>
      <c r="M931" s="14" t="str">
        <f t="shared" si="2"/>
        <v/>
      </c>
      <c r="N931" s="15" t="str">
        <f t="shared" si="3"/>
        <v/>
      </c>
      <c r="O931" s="14" t="str">
        <f t="shared" si="4"/>
        <v/>
      </c>
      <c r="P931" s="16" t="str">
        <f t="array" ref="P931">IF($A931="","", IFERROR(INDEX('BM Data'!$N:$N,MATCH($J931&amp; "-" &amp; $N931,'BM Data'!$O:$O,0),1),""))</f>
        <v/>
      </c>
      <c r="Q931" s="16" t="str">
        <f t="array" ref="Q931">IF($A931="","", IFERROR(INDEX('BM Data'!$J:$J,MATCH($J931&amp; "-" &amp; $N931,'BM Data'!$O:$O,0),1),""))</f>
        <v/>
      </c>
    </row>
    <row r="932">
      <c r="A932" s="10" t="str">
        <f>IFERROR(__xludf.DUMMYFUNCTION("""COMPUTED_VALUE"""),"")</f>
        <v/>
      </c>
      <c r="B932" s="3" t="str">
        <f>IFERROR(__xludf.DUMMYFUNCTION("""COMPUTED_VALUE"""),"")</f>
        <v/>
      </c>
      <c r="C932" s="11" t="str">
        <f>IFERROR(__xludf.DUMMYFUNCTION("""COMPUTED_VALUE"""),"")</f>
        <v/>
      </c>
      <c r="D932" s="11" t="str">
        <f>IFERROR(__xludf.DUMMYFUNCTION("""COMPUTED_VALUE"""),"")</f>
        <v/>
      </c>
      <c r="E932" s="11" t="str">
        <f>IFERROR(__xludf.DUMMYFUNCTION("""COMPUTED_VALUE"""),"")</f>
        <v/>
      </c>
      <c r="F932" s="11" t="str">
        <f>IFERROR(__xludf.DUMMYFUNCTION("""COMPUTED_VALUE"""),"")</f>
        <v/>
      </c>
      <c r="G932" s="11" t="str">
        <f>IFERROR(__xludf.DUMMYFUNCTION("""COMPUTED_VALUE"""),"")</f>
        <v/>
      </c>
      <c r="H932" s="12" t="str">
        <f>IFERROR(__xludf.DUMMYFUNCTION("""COMPUTED_VALUE"""),"")</f>
        <v/>
      </c>
      <c r="I932" s="12" t="str">
        <f>IFERROR(__xludf.DUMMYFUNCTION("""COMPUTED_VALUE"""),"")</f>
        <v/>
      </c>
      <c r="J932" s="13" t="str">
        <f t="shared" si="1"/>
        <v/>
      </c>
      <c r="K932" s="12" t="str">
        <f>IFERROR(IF(A932="","",if($G932="",Reference!$J$2, VLOOKUP($G932,Reference!$I$2:$J$1000,2,false))),"")</f>
        <v/>
      </c>
      <c r="L932" s="12" t="str">
        <f>IF(A932="","", IF(F932="",Reference!$M$2,F932))</f>
        <v/>
      </c>
      <c r="M932" s="14" t="str">
        <f t="shared" si="2"/>
        <v/>
      </c>
      <c r="N932" s="15" t="str">
        <f t="shared" si="3"/>
        <v/>
      </c>
      <c r="O932" s="14" t="str">
        <f t="shared" si="4"/>
        <v/>
      </c>
      <c r="P932" s="16" t="str">
        <f t="array" ref="P932">IF($A932="","", IFERROR(INDEX('BM Data'!$N:$N,MATCH($J932&amp; "-" &amp; $N932,'BM Data'!$O:$O,0),1),""))</f>
        <v/>
      </c>
      <c r="Q932" s="16" t="str">
        <f t="array" ref="Q932">IF($A932="","", IFERROR(INDEX('BM Data'!$J:$J,MATCH($J932&amp; "-" &amp; $N932,'BM Data'!$O:$O,0),1),""))</f>
        <v/>
      </c>
    </row>
    <row r="933">
      <c r="A933" s="10" t="str">
        <f>IFERROR(__xludf.DUMMYFUNCTION("""COMPUTED_VALUE"""),"")</f>
        <v/>
      </c>
      <c r="B933" s="3" t="str">
        <f>IFERROR(__xludf.DUMMYFUNCTION("""COMPUTED_VALUE"""),"")</f>
        <v/>
      </c>
      <c r="C933" s="11" t="str">
        <f>IFERROR(__xludf.DUMMYFUNCTION("""COMPUTED_VALUE"""),"")</f>
        <v/>
      </c>
      <c r="D933" s="11" t="str">
        <f>IFERROR(__xludf.DUMMYFUNCTION("""COMPUTED_VALUE"""),"")</f>
        <v/>
      </c>
      <c r="E933" s="11" t="str">
        <f>IFERROR(__xludf.DUMMYFUNCTION("""COMPUTED_VALUE"""),"")</f>
        <v/>
      </c>
      <c r="F933" s="11" t="str">
        <f>IFERROR(__xludf.DUMMYFUNCTION("""COMPUTED_VALUE"""),"")</f>
        <v/>
      </c>
      <c r="G933" s="11" t="str">
        <f>IFERROR(__xludf.DUMMYFUNCTION("""COMPUTED_VALUE"""),"")</f>
        <v/>
      </c>
      <c r="H933" s="12" t="str">
        <f>IFERROR(__xludf.DUMMYFUNCTION("""COMPUTED_VALUE"""),"")</f>
        <v/>
      </c>
      <c r="I933" s="12" t="str">
        <f>IFERROR(__xludf.DUMMYFUNCTION("""COMPUTED_VALUE"""),"")</f>
        <v/>
      </c>
      <c r="J933" s="13" t="str">
        <f t="shared" si="1"/>
        <v/>
      </c>
      <c r="K933" s="12" t="str">
        <f>IFERROR(IF(A933="","",if($G933="",Reference!$J$2, VLOOKUP($G933,Reference!$I$2:$J$1000,2,false))),"")</f>
        <v/>
      </c>
      <c r="L933" s="12" t="str">
        <f>IF(A933="","", IF(F933="",Reference!$M$2,F933))</f>
        <v/>
      </c>
      <c r="M933" s="14" t="str">
        <f t="shared" si="2"/>
        <v/>
      </c>
      <c r="N933" s="15" t="str">
        <f t="shared" si="3"/>
        <v/>
      </c>
      <c r="O933" s="14" t="str">
        <f t="shared" si="4"/>
        <v/>
      </c>
      <c r="P933" s="16" t="str">
        <f t="array" ref="P933">IF($A933="","", IFERROR(INDEX('BM Data'!$N:$N,MATCH($J933&amp; "-" &amp; $N933,'BM Data'!$O:$O,0),1),""))</f>
        <v/>
      </c>
      <c r="Q933" s="16" t="str">
        <f t="array" ref="Q933">IF($A933="","", IFERROR(INDEX('BM Data'!$J:$J,MATCH($J933&amp; "-" &amp; $N933,'BM Data'!$O:$O,0),1),""))</f>
        <v/>
      </c>
    </row>
    <row r="934">
      <c r="A934" s="10" t="str">
        <f>IFERROR(__xludf.DUMMYFUNCTION("""COMPUTED_VALUE"""),"")</f>
        <v/>
      </c>
      <c r="B934" s="3" t="str">
        <f>IFERROR(__xludf.DUMMYFUNCTION("""COMPUTED_VALUE"""),"")</f>
        <v/>
      </c>
      <c r="C934" s="11" t="str">
        <f>IFERROR(__xludf.DUMMYFUNCTION("""COMPUTED_VALUE"""),"")</f>
        <v/>
      </c>
      <c r="D934" s="11" t="str">
        <f>IFERROR(__xludf.DUMMYFUNCTION("""COMPUTED_VALUE"""),"")</f>
        <v/>
      </c>
      <c r="E934" s="11" t="str">
        <f>IFERROR(__xludf.DUMMYFUNCTION("""COMPUTED_VALUE"""),"")</f>
        <v/>
      </c>
      <c r="F934" s="11" t="str">
        <f>IFERROR(__xludf.DUMMYFUNCTION("""COMPUTED_VALUE"""),"")</f>
        <v/>
      </c>
      <c r="G934" s="11" t="str">
        <f>IFERROR(__xludf.DUMMYFUNCTION("""COMPUTED_VALUE"""),"")</f>
        <v/>
      </c>
      <c r="H934" s="12" t="str">
        <f>IFERROR(__xludf.DUMMYFUNCTION("""COMPUTED_VALUE"""),"")</f>
        <v/>
      </c>
      <c r="I934" s="12" t="str">
        <f>IFERROR(__xludf.DUMMYFUNCTION("""COMPUTED_VALUE"""),"")</f>
        <v/>
      </c>
      <c r="J934" s="13" t="str">
        <f t="shared" si="1"/>
        <v/>
      </c>
      <c r="K934" s="12" t="str">
        <f>IFERROR(IF(A934="","",if($G934="",Reference!$J$2, VLOOKUP($G934,Reference!$I$2:$J$1000,2,false))),"")</f>
        <v/>
      </c>
      <c r="L934" s="12" t="str">
        <f>IF(A934="","", IF(F934="",Reference!$M$2,F934))</f>
        <v/>
      </c>
      <c r="M934" s="14" t="str">
        <f t="shared" si="2"/>
        <v/>
      </c>
      <c r="N934" s="15" t="str">
        <f t="shared" si="3"/>
        <v/>
      </c>
      <c r="O934" s="14" t="str">
        <f t="shared" si="4"/>
        <v/>
      </c>
      <c r="P934" s="16" t="str">
        <f t="array" ref="P934">IF($A934="","", IFERROR(INDEX('BM Data'!$N:$N,MATCH($J934&amp; "-" &amp; $N934,'BM Data'!$O:$O,0),1),""))</f>
        <v/>
      </c>
      <c r="Q934" s="16" t="str">
        <f t="array" ref="Q934">IF($A934="","", IFERROR(INDEX('BM Data'!$J:$J,MATCH($J934&amp; "-" &amp; $N934,'BM Data'!$O:$O,0),1),""))</f>
        <v/>
      </c>
    </row>
    <row r="935">
      <c r="A935" s="10" t="str">
        <f>IFERROR(__xludf.DUMMYFUNCTION("""COMPUTED_VALUE"""),"")</f>
        <v/>
      </c>
      <c r="B935" s="3" t="str">
        <f>IFERROR(__xludf.DUMMYFUNCTION("""COMPUTED_VALUE"""),"")</f>
        <v/>
      </c>
      <c r="C935" s="11" t="str">
        <f>IFERROR(__xludf.DUMMYFUNCTION("""COMPUTED_VALUE"""),"")</f>
        <v/>
      </c>
      <c r="D935" s="11" t="str">
        <f>IFERROR(__xludf.DUMMYFUNCTION("""COMPUTED_VALUE"""),"")</f>
        <v/>
      </c>
      <c r="E935" s="11" t="str">
        <f>IFERROR(__xludf.DUMMYFUNCTION("""COMPUTED_VALUE"""),"")</f>
        <v/>
      </c>
      <c r="F935" s="11" t="str">
        <f>IFERROR(__xludf.DUMMYFUNCTION("""COMPUTED_VALUE"""),"")</f>
        <v/>
      </c>
      <c r="G935" s="11" t="str">
        <f>IFERROR(__xludf.DUMMYFUNCTION("""COMPUTED_VALUE"""),"")</f>
        <v/>
      </c>
      <c r="H935" s="12" t="str">
        <f>IFERROR(__xludf.DUMMYFUNCTION("""COMPUTED_VALUE"""),"")</f>
        <v/>
      </c>
      <c r="I935" s="12" t="str">
        <f>IFERROR(__xludf.DUMMYFUNCTION("""COMPUTED_VALUE"""),"")</f>
        <v/>
      </c>
      <c r="J935" s="13" t="str">
        <f t="shared" si="1"/>
        <v/>
      </c>
      <c r="K935" s="12" t="str">
        <f>IFERROR(IF(A935="","",if($G935="",Reference!$J$2, VLOOKUP($G935,Reference!$I$2:$J$1000,2,false))),"")</f>
        <v/>
      </c>
      <c r="L935" s="12" t="str">
        <f>IF(A935="","", IF(F935="",Reference!$M$2,F935))</f>
        <v/>
      </c>
      <c r="M935" s="14" t="str">
        <f t="shared" si="2"/>
        <v/>
      </c>
      <c r="N935" s="15" t="str">
        <f t="shared" si="3"/>
        <v/>
      </c>
      <c r="O935" s="14" t="str">
        <f t="shared" si="4"/>
        <v/>
      </c>
      <c r="P935" s="16" t="str">
        <f t="array" ref="P935">IF($A935="","", IFERROR(INDEX('BM Data'!$N:$N,MATCH($J935&amp; "-" &amp; $N935,'BM Data'!$O:$O,0),1),""))</f>
        <v/>
      </c>
      <c r="Q935" s="16" t="str">
        <f t="array" ref="Q935">IF($A935="","", IFERROR(INDEX('BM Data'!$J:$J,MATCH($J935&amp; "-" &amp; $N935,'BM Data'!$O:$O,0),1),""))</f>
        <v/>
      </c>
    </row>
    <row r="936">
      <c r="A936" s="10" t="str">
        <f>IFERROR(__xludf.DUMMYFUNCTION("""COMPUTED_VALUE"""),"")</f>
        <v/>
      </c>
      <c r="B936" s="3" t="str">
        <f>IFERROR(__xludf.DUMMYFUNCTION("""COMPUTED_VALUE"""),"")</f>
        <v/>
      </c>
      <c r="C936" s="11" t="str">
        <f>IFERROR(__xludf.DUMMYFUNCTION("""COMPUTED_VALUE"""),"")</f>
        <v/>
      </c>
      <c r="D936" s="11" t="str">
        <f>IFERROR(__xludf.DUMMYFUNCTION("""COMPUTED_VALUE"""),"")</f>
        <v/>
      </c>
      <c r="E936" s="11" t="str">
        <f>IFERROR(__xludf.DUMMYFUNCTION("""COMPUTED_VALUE"""),"")</f>
        <v/>
      </c>
      <c r="F936" s="11" t="str">
        <f>IFERROR(__xludf.DUMMYFUNCTION("""COMPUTED_VALUE"""),"")</f>
        <v/>
      </c>
      <c r="G936" s="11" t="str">
        <f>IFERROR(__xludf.DUMMYFUNCTION("""COMPUTED_VALUE"""),"")</f>
        <v/>
      </c>
      <c r="H936" s="12" t="str">
        <f>IFERROR(__xludf.DUMMYFUNCTION("""COMPUTED_VALUE"""),"")</f>
        <v/>
      </c>
      <c r="I936" s="12" t="str">
        <f>IFERROR(__xludf.DUMMYFUNCTION("""COMPUTED_VALUE"""),"")</f>
        <v/>
      </c>
      <c r="J936" s="13" t="str">
        <f t="shared" si="1"/>
        <v/>
      </c>
      <c r="K936" s="12" t="str">
        <f>IFERROR(IF(A936="","",if($G936="",Reference!$J$2, VLOOKUP($G936,Reference!$I$2:$J$1000,2,false))),"")</f>
        <v/>
      </c>
      <c r="L936" s="12" t="str">
        <f>IF(A936="","", IF(F936="",Reference!$M$2,F936))</f>
        <v/>
      </c>
      <c r="M936" s="14" t="str">
        <f t="shared" si="2"/>
        <v/>
      </c>
      <c r="N936" s="15" t="str">
        <f t="shared" si="3"/>
        <v/>
      </c>
      <c r="O936" s="14" t="str">
        <f t="shared" si="4"/>
        <v/>
      </c>
      <c r="P936" s="16" t="str">
        <f t="array" ref="P936">IF($A936="","", IFERROR(INDEX('BM Data'!$N:$N,MATCH($J936&amp; "-" &amp; $N936,'BM Data'!$O:$O,0),1),""))</f>
        <v/>
      </c>
      <c r="Q936" s="16" t="str">
        <f t="array" ref="Q936">IF($A936="","", IFERROR(INDEX('BM Data'!$J:$J,MATCH($J936&amp; "-" &amp; $N936,'BM Data'!$O:$O,0),1),""))</f>
        <v/>
      </c>
    </row>
    <row r="937">
      <c r="A937" s="10" t="str">
        <f>IFERROR(__xludf.DUMMYFUNCTION("""COMPUTED_VALUE"""),"")</f>
        <v/>
      </c>
      <c r="B937" s="3" t="str">
        <f>IFERROR(__xludf.DUMMYFUNCTION("""COMPUTED_VALUE"""),"")</f>
        <v/>
      </c>
      <c r="C937" s="11" t="str">
        <f>IFERROR(__xludf.DUMMYFUNCTION("""COMPUTED_VALUE"""),"")</f>
        <v/>
      </c>
      <c r="D937" s="11" t="str">
        <f>IFERROR(__xludf.DUMMYFUNCTION("""COMPUTED_VALUE"""),"")</f>
        <v/>
      </c>
      <c r="E937" s="11" t="str">
        <f>IFERROR(__xludf.DUMMYFUNCTION("""COMPUTED_VALUE"""),"")</f>
        <v/>
      </c>
      <c r="F937" s="11" t="str">
        <f>IFERROR(__xludf.DUMMYFUNCTION("""COMPUTED_VALUE"""),"")</f>
        <v/>
      </c>
      <c r="G937" s="11" t="str">
        <f>IFERROR(__xludf.DUMMYFUNCTION("""COMPUTED_VALUE"""),"")</f>
        <v/>
      </c>
      <c r="H937" s="12" t="str">
        <f>IFERROR(__xludf.DUMMYFUNCTION("""COMPUTED_VALUE"""),"")</f>
        <v/>
      </c>
      <c r="I937" s="12" t="str">
        <f>IFERROR(__xludf.DUMMYFUNCTION("""COMPUTED_VALUE"""),"")</f>
        <v/>
      </c>
      <c r="J937" s="13" t="str">
        <f t="shared" si="1"/>
        <v/>
      </c>
      <c r="K937" s="12" t="str">
        <f>IFERROR(IF(A937="","",if($G937="",Reference!$J$2, VLOOKUP($G937,Reference!$I$2:$J$1000,2,false))),"")</f>
        <v/>
      </c>
      <c r="L937" s="12" t="str">
        <f>IF(A937="","", IF(F937="",Reference!$M$2,F937))</f>
        <v/>
      </c>
      <c r="M937" s="14" t="str">
        <f t="shared" si="2"/>
        <v/>
      </c>
      <c r="N937" s="15" t="str">
        <f t="shared" si="3"/>
        <v/>
      </c>
      <c r="O937" s="14" t="str">
        <f t="shared" si="4"/>
        <v/>
      </c>
      <c r="P937" s="16" t="str">
        <f t="array" ref="P937">IF($A937="","", IFERROR(INDEX('BM Data'!$N:$N,MATCH($J937&amp; "-" &amp; $N937,'BM Data'!$O:$O,0),1),""))</f>
        <v/>
      </c>
      <c r="Q937" s="16" t="str">
        <f t="array" ref="Q937">IF($A937="","", IFERROR(INDEX('BM Data'!$J:$J,MATCH($J937&amp; "-" &amp; $N937,'BM Data'!$O:$O,0),1),""))</f>
        <v/>
      </c>
    </row>
    <row r="938">
      <c r="A938" s="10" t="str">
        <f>IFERROR(__xludf.DUMMYFUNCTION("""COMPUTED_VALUE"""),"")</f>
        <v/>
      </c>
      <c r="B938" s="3" t="str">
        <f>IFERROR(__xludf.DUMMYFUNCTION("""COMPUTED_VALUE"""),"")</f>
        <v/>
      </c>
      <c r="C938" s="11" t="str">
        <f>IFERROR(__xludf.DUMMYFUNCTION("""COMPUTED_VALUE"""),"")</f>
        <v/>
      </c>
      <c r="D938" s="11" t="str">
        <f>IFERROR(__xludf.DUMMYFUNCTION("""COMPUTED_VALUE"""),"")</f>
        <v/>
      </c>
      <c r="E938" s="11" t="str">
        <f>IFERROR(__xludf.DUMMYFUNCTION("""COMPUTED_VALUE"""),"")</f>
        <v/>
      </c>
      <c r="F938" s="11" t="str">
        <f>IFERROR(__xludf.DUMMYFUNCTION("""COMPUTED_VALUE"""),"")</f>
        <v/>
      </c>
      <c r="G938" s="11" t="str">
        <f>IFERROR(__xludf.DUMMYFUNCTION("""COMPUTED_VALUE"""),"")</f>
        <v/>
      </c>
      <c r="H938" s="12" t="str">
        <f>IFERROR(__xludf.DUMMYFUNCTION("""COMPUTED_VALUE"""),"")</f>
        <v/>
      </c>
      <c r="I938" s="12" t="str">
        <f>IFERROR(__xludf.DUMMYFUNCTION("""COMPUTED_VALUE"""),"")</f>
        <v/>
      </c>
      <c r="J938" s="13" t="str">
        <f t="shared" si="1"/>
        <v/>
      </c>
      <c r="K938" s="12" t="str">
        <f>IFERROR(IF(A938="","",if($G938="",Reference!$J$2, VLOOKUP($G938,Reference!$I$2:$J$1000,2,false))),"")</f>
        <v/>
      </c>
      <c r="L938" s="12" t="str">
        <f>IF(A938="","", IF(F938="",Reference!$M$2,F938))</f>
        <v/>
      </c>
      <c r="M938" s="14" t="str">
        <f t="shared" si="2"/>
        <v/>
      </c>
      <c r="N938" s="15" t="str">
        <f t="shared" si="3"/>
        <v/>
      </c>
      <c r="O938" s="14" t="str">
        <f t="shared" si="4"/>
        <v/>
      </c>
      <c r="P938" s="16" t="str">
        <f t="array" ref="P938">IF($A938="","", IFERROR(INDEX('BM Data'!$N:$N,MATCH($J938&amp; "-" &amp; $N938,'BM Data'!$O:$O,0),1),""))</f>
        <v/>
      </c>
      <c r="Q938" s="16" t="str">
        <f t="array" ref="Q938">IF($A938="","", IFERROR(INDEX('BM Data'!$J:$J,MATCH($J938&amp; "-" &amp; $N938,'BM Data'!$O:$O,0),1),""))</f>
        <v/>
      </c>
    </row>
    <row r="939">
      <c r="A939" s="10" t="str">
        <f>IFERROR(__xludf.DUMMYFUNCTION("""COMPUTED_VALUE"""),"")</f>
        <v/>
      </c>
      <c r="B939" s="3" t="str">
        <f>IFERROR(__xludf.DUMMYFUNCTION("""COMPUTED_VALUE"""),"")</f>
        <v/>
      </c>
      <c r="C939" s="11" t="str">
        <f>IFERROR(__xludf.DUMMYFUNCTION("""COMPUTED_VALUE"""),"")</f>
        <v/>
      </c>
      <c r="D939" s="11" t="str">
        <f>IFERROR(__xludf.DUMMYFUNCTION("""COMPUTED_VALUE"""),"")</f>
        <v/>
      </c>
      <c r="E939" s="11" t="str">
        <f>IFERROR(__xludf.DUMMYFUNCTION("""COMPUTED_VALUE"""),"")</f>
        <v/>
      </c>
      <c r="F939" s="11" t="str">
        <f>IFERROR(__xludf.DUMMYFUNCTION("""COMPUTED_VALUE"""),"")</f>
        <v/>
      </c>
      <c r="G939" s="11" t="str">
        <f>IFERROR(__xludf.DUMMYFUNCTION("""COMPUTED_VALUE"""),"")</f>
        <v/>
      </c>
      <c r="H939" s="12" t="str">
        <f>IFERROR(__xludf.DUMMYFUNCTION("""COMPUTED_VALUE"""),"")</f>
        <v/>
      </c>
      <c r="I939" s="12" t="str">
        <f>IFERROR(__xludf.DUMMYFUNCTION("""COMPUTED_VALUE"""),"")</f>
        <v/>
      </c>
      <c r="J939" s="13" t="str">
        <f t="shared" si="1"/>
        <v/>
      </c>
      <c r="K939" s="12" t="str">
        <f>IFERROR(IF(A939="","",if($G939="",Reference!$J$2, VLOOKUP($G939,Reference!$I$2:$J$1000,2,false))),"")</f>
        <v/>
      </c>
      <c r="L939" s="12" t="str">
        <f>IF(A939="","", IF(F939="",Reference!$M$2,F939))</f>
        <v/>
      </c>
      <c r="M939" s="14" t="str">
        <f t="shared" si="2"/>
        <v/>
      </c>
      <c r="N939" s="15" t="str">
        <f t="shared" si="3"/>
        <v/>
      </c>
      <c r="O939" s="14" t="str">
        <f t="shared" si="4"/>
        <v/>
      </c>
      <c r="P939" s="16" t="str">
        <f t="array" ref="P939">IF($A939="","", IFERROR(INDEX('BM Data'!$N:$N,MATCH($J939&amp; "-" &amp; $N939,'BM Data'!$O:$O,0),1),""))</f>
        <v/>
      </c>
      <c r="Q939" s="16" t="str">
        <f t="array" ref="Q939">IF($A939="","", IFERROR(INDEX('BM Data'!$J:$J,MATCH($J939&amp; "-" &amp; $N939,'BM Data'!$O:$O,0),1),""))</f>
        <v/>
      </c>
    </row>
    <row r="940">
      <c r="A940" s="10" t="str">
        <f>IFERROR(__xludf.DUMMYFUNCTION("""COMPUTED_VALUE"""),"")</f>
        <v/>
      </c>
      <c r="B940" s="3" t="str">
        <f>IFERROR(__xludf.DUMMYFUNCTION("""COMPUTED_VALUE"""),"")</f>
        <v/>
      </c>
      <c r="C940" s="11" t="str">
        <f>IFERROR(__xludf.DUMMYFUNCTION("""COMPUTED_VALUE"""),"")</f>
        <v/>
      </c>
      <c r="D940" s="11" t="str">
        <f>IFERROR(__xludf.DUMMYFUNCTION("""COMPUTED_VALUE"""),"")</f>
        <v/>
      </c>
      <c r="E940" s="11" t="str">
        <f>IFERROR(__xludf.DUMMYFUNCTION("""COMPUTED_VALUE"""),"")</f>
        <v/>
      </c>
      <c r="F940" s="11" t="str">
        <f>IFERROR(__xludf.DUMMYFUNCTION("""COMPUTED_VALUE"""),"")</f>
        <v/>
      </c>
      <c r="G940" s="11" t="str">
        <f>IFERROR(__xludf.DUMMYFUNCTION("""COMPUTED_VALUE"""),"")</f>
        <v/>
      </c>
      <c r="H940" s="12" t="str">
        <f>IFERROR(__xludf.DUMMYFUNCTION("""COMPUTED_VALUE"""),"")</f>
        <v/>
      </c>
      <c r="I940" s="12" t="str">
        <f>IFERROR(__xludf.DUMMYFUNCTION("""COMPUTED_VALUE"""),"")</f>
        <v/>
      </c>
      <c r="J940" s="13" t="str">
        <f t="shared" si="1"/>
        <v/>
      </c>
      <c r="K940" s="12" t="str">
        <f>IFERROR(IF(A940="","",if($G940="",Reference!$J$2, VLOOKUP($G940,Reference!$I$2:$J$1000,2,false))),"")</f>
        <v/>
      </c>
      <c r="L940" s="12" t="str">
        <f>IF(A940="","", IF(F940="",Reference!$M$2,F940))</f>
        <v/>
      </c>
      <c r="M940" s="14" t="str">
        <f t="shared" si="2"/>
        <v/>
      </c>
      <c r="N940" s="15" t="str">
        <f t="shared" si="3"/>
        <v/>
      </c>
      <c r="O940" s="14" t="str">
        <f t="shared" si="4"/>
        <v/>
      </c>
      <c r="P940" s="16" t="str">
        <f t="array" ref="P940">IF($A940="","", IFERROR(INDEX('BM Data'!$N:$N,MATCH($J940&amp; "-" &amp; $N940,'BM Data'!$O:$O,0),1),""))</f>
        <v/>
      </c>
      <c r="Q940" s="16" t="str">
        <f t="array" ref="Q940">IF($A940="","", IFERROR(INDEX('BM Data'!$J:$J,MATCH($J940&amp; "-" &amp; $N940,'BM Data'!$O:$O,0),1),""))</f>
        <v/>
      </c>
    </row>
    <row r="941">
      <c r="A941" s="10" t="str">
        <f>IFERROR(__xludf.DUMMYFUNCTION("""COMPUTED_VALUE"""),"")</f>
        <v/>
      </c>
      <c r="B941" s="3" t="str">
        <f>IFERROR(__xludf.DUMMYFUNCTION("""COMPUTED_VALUE"""),"")</f>
        <v/>
      </c>
      <c r="C941" s="11" t="str">
        <f>IFERROR(__xludf.DUMMYFUNCTION("""COMPUTED_VALUE"""),"")</f>
        <v/>
      </c>
      <c r="D941" s="11" t="str">
        <f>IFERROR(__xludf.DUMMYFUNCTION("""COMPUTED_VALUE"""),"")</f>
        <v/>
      </c>
      <c r="E941" s="11" t="str">
        <f>IFERROR(__xludf.DUMMYFUNCTION("""COMPUTED_VALUE"""),"")</f>
        <v/>
      </c>
      <c r="F941" s="11" t="str">
        <f>IFERROR(__xludf.DUMMYFUNCTION("""COMPUTED_VALUE"""),"")</f>
        <v/>
      </c>
      <c r="G941" s="11" t="str">
        <f>IFERROR(__xludf.DUMMYFUNCTION("""COMPUTED_VALUE"""),"")</f>
        <v/>
      </c>
      <c r="H941" s="12" t="str">
        <f>IFERROR(__xludf.DUMMYFUNCTION("""COMPUTED_VALUE"""),"")</f>
        <v/>
      </c>
      <c r="I941" s="12" t="str">
        <f>IFERROR(__xludf.DUMMYFUNCTION("""COMPUTED_VALUE"""),"")</f>
        <v/>
      </c>
      <c r="J941" s="13" t="str">
        <f t="shared" si="1"/>
        <v/>
      </c>
      <c r="K941" s="12" t="str">
        <f>IFERROR(IF(A941="","",if($G941="",Reference!$J$2, VLOOKUP($G941,Reference!$I$2:$J$1000,2,false))),"")</f>
        <v/>
      </c>
      <c r="L941" s="12" t="str">
        <f>IF(A941="","", IF(F941="",Reference!$M$2,F941))</f>
        <v/>
      </c>
      <c r="M941" s="14" t="str">
        <f t="shared" si="2"/>
        <v/>
      </c>
      <c r="N941" s="15" t="str">
        <f t="shared" si="3"/>
        <v/>
      </c>
      <c r="O941" s="14" t="str">
        <f t="shared" si="4"/>
        <v/>
      </c>
      <c r="P941" s="16" t="str">
        <f t="array" ref="P941">IF($A941="","", IFERROR(INDEX('BM Data'!$N:$N,MATCH($J941&amp; "-" &amp; $N941,'BM Data'!$O:$O,0),1),""))</f>
        <v/>
      </c>
      <c r="Q941" s="16" t="str">
        <f t="array" ref="Q941">IF($A941="","", IFERROR(INDEX('BM Data'!$J:$J,MATCH($J941&amp; "-" &amp; $N941,'BM Data'!$O:$O,0),1),""))</f>
        <v/>
      </c>
    </row>
    <row r="942">
      <c r="A942" s="10" t="str">
        <f>IFERROR(__xludf.DUMMYFUNCTION("""COMPUTED_VALUE"""),"")</f>
        <v/>
      </c>
      <c r="B942" s="3" t="str">
        <f>IFERROR(__xludf.DUMMYFUNCTION("""COMPUTED_VALUE"""),"")</f>
        <v/>
      </c>
      <c r="C942" s="11" t="str">
        <f>IFERROR(__xludf.DUMMYFUNCTION("""COMPUTED_VALUE"""),"")</f>
        <v/>
      </c>
      <c r="D942" s="11" t="str">
        <f>IFERROR(__xludf.DUMMYFUNCTION("""COMPUTED_VALUE"""),"")</f>
        <v/>
      </c>
      <c r="E942" s="11" t="str">
        <f>IFERROR(__xludf.DUMMYFUNCTION("""COMPUTED_VALUE"""),"")</f>
        <v/>
      </c>
      <c r="F942" s="11" t="str">
        <f>IFERROR(__xludf.DUMMYFUNCTION("""COMPUTED_VALUE"""),"")</f>
        <v/>
      </c>
      <c r="G942" s="11" t="str">
        <f>IFERROR(__xludf.DUMMYFUNCTION("""COMPUTED_VALUE"""),"")</f>
        <v/>
      </c>
      <c r="H942" s="12" t="str">
        <f>IFERROR(__xludf.DUMMYFUNCTION("""COMPUTED_VALUE"""),"")</f>
        <v/>
      </c>
      <c r="I942" s="12" t="str">
        <f>IFERROR(__xludf.DUMMYFUNCTION("""COMPUTED_VALUE"""),"")</f>
        <v/>
      </c>
      <c r="J942" s="13" t="str">
        <f t="shared" si="1"/>
        <v/>
      </c>
      <c r="K942" s="12" t="str">
        <f>IFERROR(IF(A942="","",if($G942="",Reference!$J$2, VLOOKUP($G942,Reference!$I$2:$J$1000,2,false))),"")</f>
        <v/>
      </c>
      <c r="L942" s="12" t="str">
        <f>IF(A942="","", IF(F942="",Reference!$M$2,F942))</f>
        <v/>
      </c>
      <c r="M942" s="14" t="str">
        <f t="shared" si="2"/>
        <v/>
      </c>
      <c r="N942" s="15" t="str">
        <f t="shared" si="3"/>
        <v/>
      </c>
      <c r="O942" s="14" t="str">
        <f t="shared" si="4"/>
        <v/>
      </c>
      <c r="P942" s="16" t="str">
        <f t="array" ref="P942">IF($A942="","", IFERROR(INDEX('BM Data'!$N:$N,MATCH($J942&amp; "-" &amp; $N942,'BM Data'!$O:$O,0),1),""))</f>
        <v/>
      </c>
      <c r="Q942" s="16" t="str">
        <f t="array" ref="Q942">IF($A942="","", IFERROR(INDEX('BM Data'!$J:$J,MATCH($J942&amp; "-" &amp; $N942,'BM Data'!$O:$O,0),1),""))</f>
        <v/>
      </c>
    </row>
    <row r="943">
      <c r="A943" s="10" t="str">
        <f>IFERROR(__xludf.DUMMYFUNCTION("""COMPUTED_VALUE"""),"")</f>
        <v/>
      </c>
      <c r="B943" s="3" t="str">
        <f>IFERROR(__xludf.DUMMYFUNCTION("""COMPUTED_VALUE"""),"")</f>
        <v/>
      </c>
      <c r="C943" s="11" t="str">
        <f>IFERROR(__xludf.DUMMYFUNCTION("""COMPUTED_VALUE"""),"")</f>
        <v/>
      </c>
      <c r="D943" s="11" t="str">
        <f>IFERROR(__xludf.DUMMYFUNCTION("""COMPUTED_VALUE"""),"")</f>
        <v/>
      </c>
      <c r="E943" s="11" t="str">
        <f>IFERROR(__xludf.DUMMYFUNCTION("""COMPUTED_VALUE"""),"")</f>
        <v/>
      </c>
      <c r="F943" s="11" t="str">
        <f>IFERROR(__xludf.DUMMYFUNCTION("""COMPUTED_VALUE"""),"")</f>
        <v/>
      </c>
      <c r="G943" s="11" t="str">
        <f>IFERROR(__xludf.DUMMYFUNCTION("""COMPUTED_VALUE"""),"")</f>
        <v/>
      </c>
      <c r="H943" s="12" t="str">
        <f>IFERROR(__xludf.DUMMYFUNCTION("""COMPUTED_VALUE"""),"")</f>
        <v/>
      </c>
      <c r="I943" s="12" t="str">
        <f>IFERROR(__xludf.DUMMYFUNCTION("""COMPUTED_VALUE"""),"")</f>
        <v/>
      </c>
      <c r="J943" s="13" t="str">
        <f t="shared" si="1"/>
        <v/>
      </c>
      <c r="K943" s="12" t="str">
        <f>IFERROR(IF(A943="","",if($G943="",Reference!$J$2, VLOOKUP($G943,Reference!$I$2:$J$1000,2,false))),"")</f>
        <v/>
      </c>
      <c r="L943" s="12" t="str">
        <f>IF(A943="","", IF(F943="",Reference!$M$2,F943))</f>
        <v/>
      </c>
      <c r="M943" s="14" t="str">
        <f t="shared" si="2"/>
        <v/>
      </c>
      <c r="N943" s="15" t="str">
        <f t="shared" si="3"/>
        <v/>
      </c>
      <c r="O943" s="14" t="str">
        <f t="shared" si="4"/>
        <v/>
      </c>
      <c r="P943" s="16" t="str">
        <f t="array" ref="P943">IF($A943="","", IFERROR(INDEX('BM Data'!$N:$N,MATCH($J943&amp; "-" &amp; $N943,'BM Data'!$O:$O,0),1),""))</f>
        <v/>
      </c>
      <c r="Q943" s="16" t="str">
        <f t="array" ref="Q943">IF($A943="","", IFERROR(INDEX('BM Data'!$J:$J,MATCH($J943&amp; "-" &amp; $N943,'BM Data'!$O:$O,0),1),""))</f>
        <v/>
      </c>
    </row>
    <row r="944">
      <c r="A944" s="10" t="str">
        <f>IFERROR(__xludf.DUMMYFUNCTION("""COMPUTED_VALUE"""),"")</f>
        <v/>
      </c>
      <c r="B944" s="3" t="str">
        <f>IFERROR(__xludf.DUMMYFUNCTION("""COMPUTED_VALUE"""),"")</f>
        <v/>
      </c>
      <c r="C944" s="11" t="str">
        <f>IFERROR(__xludf.DUMMYFUNCTION("""COMPUTED_VALUE"""),"")</f>
        <v/>
      </c>
      <c r="D944" s="11" t="str">
        <f>IFERROR(__xludf.DUMMYFUNCTION("""COMPUTED_VALUE"""),"")</f>
        <v/>
      </c>
      <c r="E944" s="11" t="str">
        <f>IFERROR(__xludf.DUMMYFUNCTION("""COMPUTED_VALUE"""),"")</f>
        <v/>
      </c>
      <c r="F944" s="11" t="str">
        <f>IFERROR(__xludf.DUMMYFUNCTION("""COMPUTED_VALUE"""),"")</f>
        <v/>
      </c>
      <c r="G944" s="11" t="str">
        <f>IFERROR(__xludf.DUMMYFUNCTION("""COMPUTED_VALUE"""),"")</f>
        <v/>
      </c>
      <c r="H944" s="12" t="str">
        <f>IFERROR(__xludf.DUMMYFUNCTION("""COMPUTED_VALUE"""),"")</f>
        <v/>
      </c>
      <c r="I944" s="12" t="str">
        <f>IFERROR(__xludf.DUMMYFUNCTION("""COMPUTED_VALUE"""),"")</f>
        <v/>
      </c>
      <c r="J944" s="13" t="str">
        <f t="shared" si="1"/>
        <v/>
      </c>
      <c r="K944" s="12" t="str">
        <f>IFERROR(IF(A944="","",if($G944="",Reference!$J$2, VLOOKUP($G944,Reference!$I$2:$J$1000,2,false))),"")</f>
        <v/>
      </c>
      <c r="L944" s="12" t="str">
        <f>IF(A944="","", IF(F944="",Reference!$M$2,F944))</f>
        <v/>
      </c>
      <c r="M944" s="14" t="str">
        <f t="shared" si="2"/>
        <v/>
      </c>
      <c r="N944" s="15" t="str">
        <f t="shared" si="3"/>
        <v/>
      </c>
      <c r="O944" s="14" t="str">
        <f t="shared" si="4"/>
        <v/>
      </c>
      <c r="P944" s="16" t="str">
        <f t="array" ref="P944">IF($A944="","", IFERROR(INDEX('BM Data'!$N:$N,MATCH($J944&amp; "-" &amp; $N944,'BM Data'!$O:$O,0),1),""))</f>
        <v/>
      </c>
      <c r="Q944" s="16" t="str">
        <f t="array" ref="Q944">IF($A944="","", IFERROR(INDEX('BM Data'!$J:$J,MATCH($J944&amp; "-" &amp; $N944,'BM Data'!$O:$O,0),1),""))</f>
        <v/>
      </c>
    </row>
    <row r="945">
      <c r="A945" s="10" t="str">
        <f>IFERROR(__xludf.DUMMYFUNCTION("""COMPUTED_VALUE"""),"")</f>
        <v/>
      </c>
      <c r="B945" s="3" t="str">
        <f>IFERROR(__xludf.DUMMYFUNCTION("""COMPUTED_VALUE"""),"")</f>
        <v/>
      </c>
      <c r="C945" s="11" t="str">
        <f>IFERROR(__xludf.DUMMYFUNCTION("""COMPUTED_VALUE"""),"")</f>
        <v/>
      </c>
      <c r="D945" s="11" t="str">
        <f>IFERROR(__xludf.DUMMYFUNCTION("""COMPUTED_VALUE"""),"")</f>
        <v/>
      </c>
      <c r="E945" s="11" t="str">
        <f>IFERROR(__xludf.DUMMYFUNCTION("""COMPUTED_VALUE"""),"")</f>
        <v/>
      </c>
      <c r="F945" s="11" t="str">
        <f>IFERROR(__xludf.DUMMYFUNCTION("""COMPUTED_VALUE"""),"")</f>
        <v/>
      </c>
      <c r="G945" s="11" t="str">
        <f>IFERROR(__xludf.DUMMYFUNCTION("""COMPUTED_VALUE"""),"")</f>
        <v/>
      </c>
      <c r="H945" s="12" t="str">
        <f>IFERROR(__xludf.DUMMYFUNCTION("""COMPUTED_VALUE"""),"")</f>
        <v/>
      </c>
      <c r="I945" s="12" t="str">
        <f>IFERROR(__xludf.DUMMYFUNCTION("""COMPUTED_VALUE"""),"")</f>
        <v/>
      </c>
      <c r="J945" s="13" t="str">
        <f t="shared" si="1"/>
        <v/>
      </c>
      <c r="K945" s="12" t="str">
        <f>IFERROR(IF(A945="","",if($G945="",Reference!$J$2, VLOOKUP($G945,Reference!$I$2:$J$1000,2,false))),"")</f>
        <v/>
      </c>
      <c r="L945" s="12" t="str">
        <f>IF(A945="","", IF(F945="",Reference!$M$2,F945))</f>
        <v/>
      </c>
      <c r="M945" s="14" t="str">
        <f t="shared" si="2"/>
        <v/>
      </c>
      <c r="N945" s="15" t="str">
        <f t="shared" si="3"/>
        <v/>
      </c>
      <c r="O945" s="14" t="str">
        <f t="shared" si="4"/>
        <v/>
      </c>
      <c r="P945" s="16" t="str">
        <f t="array" ref="P945">IF($A945="","", IFERROR(INDEX('BM Data'!$N:$N,MATCH($J945&amp; "-" &amp; $N945,'BM Data'!$O:$O,0),1),""))</f>
        <v/>
      </c>
      <c r="Q945" s="16" t="str">
        <f t="array" ref="Q945">IF($A945="","", IFERROR(INDEX('BM Data'!$J:$J,MATCH($J945&amp; "-" &amp; $N945,'BM Data'!$O:$O,0),1),""))</f>
        <v/>
      </c>
    </row>
    <row r="946">
      <c r="A946" s="10" t="str">
        <f>IFERROR(__xludf.DUMMYFUNCTION("""COMPUTED_VALUE"""),"")</f>
        <v/>
      </c>
      <c r="B946" s="3" t="str">
        <f>IFERROR(__xludf.DUMMYFUNCTION("""COMPUTED_VALUE"""),"")</f>
        <v/>
      </c>
      <c r="C946" s="11" t="str">
        <f>IFERROR(__xludf.DUMMYFUNCTION("""COMPUTED_VALUE"""),"")</f>
        <v/>
      </c>
      <c r="D946" s="11" t="str">
        <f>IFERROR(__xludf.DUMMYFUNCTION("""COMPUTED_VALUE"""),"")</f>
        <v/>
      </c>
      <c r="E946" s="11" t="str">
        <f>IFERROR(__xludf.DUMMYFUNCTION("""COMPUTED_VALUE"""),"")</f>
        <v/>
      </c>
      <c r="F946" s="11" t="str">
        <f>IFERROR(__xludf.DUMMYFUNCTION("""COMPUTED_VALUE"""),"")</f>
        <v/>
      </c>
      <c r="G946" s="11" t="str">
        <f>IFERROR(__xludf.DUMMYFUNCTION("""COMPUTED_VALUE"""),"")</f>
        <v/>
      </c>
      <c r="H946" s="12" t="str">
        <f>IFERROR(__xludf.DUMMYFUNCTION("""COMPUTED_VALUE"""),"")</f>
        <v/>
      </c>
      <c r="I946" s="12" t="str">
        <f>IFERROR(__xludf.DUMMYFUNCTION("""COMPUTED_VALUE"""),"")</f>
        <v/>
      </c>
      <c r="J946" s="13" t="str">
        <f t="shared" si="1"/>
        <v/>
      </c>
      <c r="K946" s="12" t="str">
        <f>IFERROR(IF(A946="","",if($G946="",Reference!$J$2, VLOOKUP($G946,Reference!$I$2:$J$1000,2,false))),"")</f>
        <v/>
      </c>
      <c r="L946" s="12" t="str">
        <f>IF(A946="","", IF(F946="",Reference!$M$2,F946))</f>
        <v/>
      </c>
      <c r="M946" s="14" t="str">
        <f t="shared" si="2"/>
        <v/>
      </c>
      <c r="N946" s="15" t="str">
        <f t="shared" si="3"/>
        <v/>
      </c>
      <c r="O946" s="14" t="str">
        <f t="shared" si="4"/>
        <v/>
      </c>
      <c r="P946" s="16" t="str">
        <f t="array" ref="P946">IF($A946="","", IFERROR(INDEX('BM Data'!$N:$N,MATCH($J946&amp; "-" &amp; $N946,'BM Data'!$O:$O,0),1),""))</f>
        <v/>
      </c>
      <c r="Q946" s="16" t="str">
        <f t="array" ref="Q946">IF($A946="","", IFERROR(INDEX('BM Data'!$J:$J,MATCH($J946&amp; "-" &amp; $N946,'BM Data'!$O:$O,0),1),""))</f>
        <v/>
      </c>
    </row>
    <row r="947">
      <c r="A947" s="10" t="str">
        <f>IFERROR(__xludf.DUMMYFUNCTION("""COMPUTED_VALUE"""),"")</f>
        <v/>
      </c>
      <c r="B947" s="3" t="str">
        <f>IFERROR(__xludf.DUMMYFUNCTION("""COMPUTED_VALUE"""),"")</f>
        <v/>
      </c>
      <c r="C947" s="11" t="str">
        <f>IFERROR(__xludf.DUMMYFUNCTION("""COMPUTED_VALUE"""),"")</f>
        <v/>
      </c>
      <c r="D947" s="11" t="str">
        <f>IFERROR(__xludf.DUMMYFUNCTION("""COMPUTED_VALUE"""),"")</f>
        <v/>
      </c>
      <c r="E947" s="11" t="str">
        <f>IFERROR(__xludf.DUMMYFUNCTION("""COMPUTED_VALUE"""),"")</f>
        <v/>
      </c>
      <c r="F947" s="11" t="str">
        <f>IFERROR(__xludf.DUMMYFUNCTION("""COMPUTED_VALUE"""),"")</f>
        <v/>
      </c>
      <c r="G947" s="11" t="str">
        <f>IFERROR(__xludf.DUMMYFUNCTION("""COMPUTED_VALUE"""),"")</f>
        <v/>
      </c>
      <c r="H947" s="12" t="str">
        <f>IFERROR(__xludf.DUMMYFUNCTION("""COMPUTED_VALUE"""),"")</f>
        <v/>
      </c>
      <c r="I947" s="12" t="str">
        <f>IFERROR(__xludf.DUMMYFUNCTION("""COMPUTED_VALUE"""),"")</f>
        <v/>
      </c>
      <c r="J947" s="13" t="str">
        <f t="shared" si="1"/>
        <v/>
      </c>
      <c r="K947" s="12" t="str">
        <f>IFERROR(IF(A947="","",if($G947="",Reference!$J$2, VLOOKUP($G947,Reference!$I$2:$J$1000,2,false))),"")</f>
        <v/>
      </c>
      <c r="L947" s="12" t="str">
        <f>IF(A947="","", IF(F947="",Reference!$M$2,F947))</f>
        <v/>
      </c>
      <c r="M947" s="14" t="str">
        <f t="shared" si="2"/>
        <v/>
      </c>
      <c r="N947" s="15" t="str">
        <f t="shared" si="3"/>
        <v/>
      </c>
      <c r="O947" s="14" t="str">
        <f t="shared" si="4"/>
        <v/>
      </c>
      <c r="P947" s="16" t="str">
        <f t="array" ref="P947">IF($A947="","", IFERROR(INDEX('BM Data'!$N:$N,MATCH($J947&amp; "-" &amp; $N947,'BM Data'!$O:$O,0),1),""))</f>
        <v/>
      </c>
      <c r="Q947" s="16" t="str">
        <f t="array" ref="Q947">IF($A947="","", IFERROR(INDEX('BM Data'!$J:$J,MATCH($J947&amp; "-" &amp; $N947,'BM Data'!$O:$O,0),1),""))</f>
        <v/>
      </c>
    </row>
    <row r="948">
      <c r="A948" s="10" t="str">
        <f>IFERROR(__xludf.DUMMYFUNCTION("""COMPUTED_VALUE"""),"")</f>
        <v/>
      </c>
      <c r="B948" s="3" t="str">
        <f>IFERROR(__xludf.DUMMYFUNCTION("""COMPUTED_VALUE"""),"")</f>
        <v/>
      </c>
      <c r="C948" s="11" t="str">
        <f>IFERROR(__xludf.DUMMYFUNCTION("""COMPUTED_VALUE"""),"")</f>
        <v/>
      </c>
      <c r="D948" s="11" t="str">
        <f>IFERROR(__xludf.DUMMYFUNCTION("""COMPUTED_VALUE"""),"")</f>
        <v/>
      </c>
      <c r="E948" s="11" t="str">
        <f>IFERROR(__xludf.DUMMYFUNCTION("""COMPUTED_VALUE"""),"")</f>
        <v/>
      </c>
      <c r="F948" s="11" t="str">
        <f>IFERROR(__xludf.DUMMYFUNCTION("""COMPUTED_VALUE"""),"")</f>
        <v/>
      </c>
      <c r="G948" s="11" t="str">
        <f>IFERROR(__xludf.DUMMYFUNCTION("""COMPUTED_VALUE"""),"")</f>
        <v/>
      </c>
      <c r="H948" s="12" t="str">
        <f>IFERROR(__xludf.DUMMYFUNCTION("""COMPUTED_VALUE"""),"")</f>
        <v/>
      </c>
      <c r="I948" s="12" t="str">
        <f>IFERROR(__xludf.DUMMYFUNCTION("""COMPUTED_VALUE"""),"")</f>
        <v/>
      </c>
      <c r="J948" s="13" t="str">
        <f t="shared" si="1"/>
        <v/>
      </c>
      <c r="K948" s="12" t="str">
        <f>IFERROR(IF(A948="","",if($G948="",Reference!$J$2, VLOOKUP($G948,Reference!$I$2:$J$1000,2,false))),"")</f>
        <v/>
      </c>
      <c r="L948" s="12" t="str">
        <f>IF(A948="","", IF(F948="",Reference!$M$2,F948))</f>
        <v/>
      </c>
      <c r="M948" s="14" t="str">
        <f t="shared" si="2"/>
        <v/>
      </c>
      <c r="N948" s="15" t="str">
        <f t="shared" si="3"/>
        <v/>
      </c>
      <c r="O948" s="14" t="str">
        <f t="shared" si="4"/>
        <v/>
      </c>
      <c r="P948" s="16" t="str">
        <f t="array" ref="P948">IF($A948="","", IFERROR(INDEX('BM Data'!$N:$N,MATCH($J948&amp; "-" &amp; $N948,'BM Data'!$O:$O,0),1),""))</f>
        <v/>
      </c>
      <c r="Q948" s="16" t="str">
        <f t="array" ref="Q948">IF($A948="","", IFERROR(INDEX('BM Data'!$J:$J,MATCH($J948&amp; "-" &amp; $N948,'BM Data'!$O:$O,0),1),""))</f>
        <v/>
      </c>
    </row>
    <row r="949">
      <c r="A949" s="10" t="str">
        <f>IFERROR(__xludf.DUMMYFUNCTION("""COMPUTED_VALUE"""),"")</f>
        <v/>
      </c>
      <c r="B949" s="3" t="str">
        <f>IFERROR(__xludf.DUMMYFUNCTION("""COMPUTED_VALUE"""),"")</f>
        <v/>
      </c>
      <c r="C949" s="11" t="str">
        <f>IFERROR(__xludf.DUMMYFUNCTION("""COMPUTED_VALUE"""),"")</f>
        <v/>
      </c>
      <c r="D949" s="11" t="str">
        <f>IFERROR(__xludf.DUMMYFUNCTION("""COMPUTED_VALUE"""),"")</f>
        <v/>
      </c>
      <c r="E949" s="11" t="str">
        <f>IFERROR(__xludf.DUMMYFUNCTION("""COMPUTED_VALUE"""),"")</f>
        <v/>
      </c>
      <c r="F949" s="11" t="str">
        <f>IFERROR(__xludf.DUMMYFUNCTION("""COMPUTED_VALUE"""),"")</f>
        <v/>
      </c>
      <c r="G949" s="11" t="str">
        <f>IFERROR(__xludf.DUMMYFUNCTION("""COMPUTED_VALUE"""),"")</f>
        <v/>
      </c>
      <c r="H949" s="12" t="str">
        <f>IFERROR(__xludf.DUMMYFUNCTION("""COMPUTED_VALUE"""),"")</f>
        <v/>
      </c>
      <c r="I949" s="12" t="str">
        <f>IFERROR(__xludf.DUMMYFUNCTION("""COMPUTED_VALUE"""),"")</f>
        <v/>
      </c>
      <c r="J949" s="13" t="str">
        <f t="shared" si="1"/>
        <v/>
      </c>
      <c r="K949" s="12" t="str">
        <f>IFERROR(IF(A949="","",if($G949="",Reference!$J$2, VLOOKUP($G949,Reference!$I$2:$J$1000,2,false))),"")</f>
        <v/>
      </c>
      <c r="L949" s="12" t="str">
        <f>IF(A949="","", IF(F949="",Reference!$M$2,F949))</f>
        <v/>
      </c>
      <c r="M949" s="14" t="str">
        <f t="shared" si="2"/>
        <v/>
      </c>
      <c r="N949" s="15" t="str">
        <f t="shared" si="3"/>
        <v/>
      </c>
      <c r="O949" s="14" t="str">
        <f t="shared" si="4"/>
        <v/>
      </c>
      <c r="P949" s="16" t="str">
        <f t="array" ref="P949">IF($A949="","", IFERROR(INDEX('BM Data'!$N:$N,MATCH($J949&amp; "-" &amp; $N949,'BM Data'!$O:$O,0),1),""))</f>
        <v/>
      </c>
      <c r="Q949" s="16" t="str">
        <f t="array" ref="Q949">IF($A949="","", IFERROR(INDEX('BM Data'!$J:$J,MATCH($J949&amp; "-" &amp; $N949,'BM Data'!$O:$O,0),1),""))</f>
        <v/>
      </c>
    </row>
    <row r="950">
      <c r="A950" s="10" t="str">
        <f>IFERROR(__xludf.DUMMYFUNCTION("""COMPUTED_VALUE"""),"")</f>
        <v/>
      </c>
      <c r="B950" s="3" t="str">
        <f>IFERROR(__xludf.DUMMYFUNCTION("""COMPUTED_VALUE"""),"")</f>
        <v/>
      </c>
      <c r="C950" s="11" t="str">
        <f>IFERROR(__xludf.DUMMYFUNCTION("""COMPUTED_VALUE"""),"")</f>
        <v/>
      </c>
      <c r="D950" s="11" t="str">
        <f>IFERROR(__xludf.DUMMYFUNCTION("""COMPUTED_VALUE"""),"")</f>
        <v/>
      </c>
      <c r="E950" s="11" t="str">
        <f>IFERROR(__xludf.DUMMYFUNCTION("""COMPUTED_VALUE"""),"")</f>
        <v/>
      </c>
      <c r="F950" s="11" t="str">
        <f>IFERROR(__xludf.DUMMYFUNCTION("""COMPUTED_VALUE"""),"")</f>
        <v/>
      </c>
      <c r="G950" s="11" t="str">
        <f>IFERROR(__xludf.DUMMYFUNCTION("""COMPUTED_VALUE"""),"")</f>
        <v/>
      </c>
      <c r="H950" s="12" t="str">
        <f>IFERROR(__xludf.DUMMYFUNCTION("""COMPUTED_VALUE"""),"")</f>
        <v/>
      </c>
      <c r="I950" s="12" t="str">
        <f>IFERROR(__xludf.DUMMYFUNCTION("""COMPUTED_VALUE"""),"")</f>
        <v/>
      </c>
      <c r="J950" s="13" t="str">
        <f t="shared" si="1"/>
        <v/>
      </c>
      <c r="K950" s="12" t="str">
        <f>IFERROR(IF(A950="","",if($G950="",Reference!$J$2, VLOOKUP($G950,Reference!$I$2:$J$1000,2,false))),"")</f>
        <v/>
      </c>
      <c r="L950" s="12" t="str">
        <f>IF(A950="","", IF(F950="",Reference!$M$2,F950))</f>
        <v/>
      </c>
      <c r="M950" s="14" t="str">
        <f t="shared" si="2"/>
        <v/>
      </c>
      <c r="N950" s="15" t="str">
        <f t="shared" si="3"/>
        <v/>
      </c>
      <c r="O950" s="14" t="str">
        <f t="shared" si="4"/>
        <v/>
      </c>
      <c r="P950" s="16" t="str">
        <f t="array" ref="P950">IF($A950="","", IFERROR(INDEX('BM Data'!$N:$N,MATCH($J950&amp; "-" &amp; $N950,'BM Data'!$O:$O,0),1),""))</f>
        <v/>
      </c>
      <c r="Q950" s="16" t="str">
        <f t="array" ref="Q950">IF($A950="","", IFERROR(INDEX('BM Data'!$J:$J,MATCH($J950&amp; "-" &amp; $N950,'BM Data'!$O:$O,0),1),""))</f>
        <v/>
      </c>
    </row>
    <row r="951">
      <c r="A951" s="10" t="str">
        <f>IFERROR(__xludf.DUMMYFUNCTION("""COMPUTED_VALUE"""),"")</f>
        <v/>
      </c>
      <c r="B951" s="3" t="str">
        <f>IFERROR(__xludf.DUMMYFUNCTION("""COMPUTED_VALUE"""),"")</f>
        <v/>
      </c>
      <c r="C951" s="11" t="str">
        <f>IFERROR(__xludf.DUMMYFUNCTION("""COMPUTED_VALUE"""),"")</f>
        <v/>
      </c>
      <c r="D951" s="11" t="str">
        <f>IFERROR(__xludf.DUMMYFUNCTION("""COMPUTED_VALUE"""),"")</f>
        <v/>
      </c>
      <c r="E951" s="11" t="str">
        <f>IFERROR(__xludf.DUMMYFUNCTION("""COMPUTED_VALUE"""),"")</f>
        <v/>
      </c>
      <c r="F951" s="11" t="str">
        <f>IFERROR(__xludf.DUMMYFUNCTION("""COMPUTED_VALUE"""),"")</f>
        <v/>
      </c>
      <c r="G951" s="11" t="str">
        <f>IFERROR(__xludf.DUMMYFUNCTION("""COMPUTED_VALUE"""),"")</f>
        <v/>
      </c>
      <c r="H951" s="12" t="str">
        <f>IFERROR(__xludf.DUMMYFUNCTION("""COMPUTED_VALUE"""),"")</f>
        <v/>
      </c>
      <c r="I951" s="12" t="str">
        <f>IFERROR(__xludf.DUMMYFUNCTION("""COMPUTED_VALUE"""),"")</f>
        <v/>
      </c>
      <c r="J951" s="13" t="str">
        <f t="shared" si="1"/>
        <v/>
      </c>
      <c r="K951" s="12" t="str">
        <f>IFERROR(IF(A951="","",if($G951="",Reference!$J$2, VLOOKUP($G951,Reference!$I$2:$J$1000,2,false))),"")</f>
        <v/>
      </c>
      <c r="L951" s="12" t="str">
        <f>IF(A951="","", IF(F951="",Reference!$M$2,F951))</f>
        <v/>
      </c>
      <c r="M951" s="14" t="str">
        <f t="shared" si="2"/>
        <v/>
      </c>
      <c r="N951" s="15" t="str">
        <f t="shared" si="3"/>
        <v/>
      </c>
      <c r="O951" s="14" t="str">
        <f t="shared" si="4"/>
        <v/>
      </c>
      <c r="P951" s="16" t="str">
        <f t="array" ref="P951">IF($A951="","", IFERROR(INDEX('BM Data'!$N:$N,MATCH($J951&amp; "-" &amp; $N951,'BM Data'!$O:$O,0),1),""))</f>
        <v/>
      </c>
      <c r="Q951" s="16" t="str">
        <f t="array" ref="Q951">IF($A951="","", IFERROR(INDEX('BM Data'!$J:$J,MATCH($J951&amp; "-" &amp; $N951,'BM Data'!$O:$O,0),1),""))</f>
        <v/>
      </c>
    </row>
    <row r="952">
      <c r="A952" s="10" t="str">
        <f>IFERROR(__xludf.DUMMYFUNCTION("""COMPUTED_VALUE"""),"")</f>
        <v/>
      </c>
      <c r="B952" s="3" t="str">
        <f>IFERROR(__xludf.DUMMYFUNCTION("""COMPUTED_VALUE"""),"")</f>
        <v/>
      </c>
      <c r="C952" s="11" t="str">
        <f>IFERROR(__xludf.DUMMYFUNCTION("""COMPUTED_VALUE"""),"")</f>
        <v/>
      </c>
      <c r="D952" s="11" t="str">
        <f>IFERROR(__xludf.DUMMYFUNCTION("""COMPUTED_VALUE"""),"")</f>
        <v/>
      </c>
      <c r="E952" s="11" t="str">
        <f>IFERROR(__xludf.DUMMYFUNCTION("""COMPUTED_VALUE"""),"")</f>
        <v/>
      </c>
      <c r="F952" s="11" t="str">
        <f>IFERROR(__xludf.DUMMYFUNCTION("""COMPUTED_VALUE"""),"")</f>
        <v/>
      </c>
      <c r="G952" s="11" t="str">
        <f>IFERROR(__xludf.DUMMYFUNCTION("""COMPUTED_VALUE"""),"")</f>
        <v/>
      </c>
      <c r="H952" s="12" t="str">
        <f>IFERROR(__xludf.DUMMYFUNCTION("""COMPUTED_VALUE"""),"")</f>
        <v/>
      </c>
      <c r="I952" s="12" t="str">
        <f>IFERROR(__xludf.DUMMYFUNCTION("""COMPUTED_VALUE"""),"")</f>
        <v/>
      </c>
      <c r="J952" s="13" t="str">
        <f t="shared" si="1"/>
        <v/>
      </c>
      <c r="K952" s="12" t="str">
        <f>IFERROR(IF(A952="","",if($G952="",Reference!$J$2, VLOOKUP($G952,Reference!$I$2:$J$1000,2,false))),"")</f>
        <v/>
      </c>
      <c r="L952" s="12" t="str">
        <f>IF(A952="","", IF(F952="",Reference!$M$2,F952))</f>
        <v/>
      </c>
      <c r="M952" s="14" t="str">
        <f t="shared" si="2"/>
        <v/>
      </c>
      <c r="N952" s="15" t="str">
        <f t="shared" si="3"/>
        <v/>
      </c>
      <c r="O952" s="14" t="str">
        <f t="shared" si="4"/>
        <v/>
      </c>
      <c r="P952" s="16" t="str">
        <f t="array" ref="P952">IF($A952="","", IFERROR(INDEX('BM Data'!$N:$N,MATCH($J952&amp; "-" &amp; $N952,'BM Data'!$O:$O,0),1),""))</f>
        <v/>
      </c>
      <c r="Q952" s="16" t="str">
        <f t="array" ref="Q952">IF($A952="","", IFERROR(INDEX('BM Data'!$J:$J,MATCH($J952&amp; "-" &amp; $N952,'BM Data'!$O:$O,0),1),""))</f>
        <v/>
      </c>
    </row>
    <row r="953">
      <c r="A953" s="10" t="str">
        <f>IFERROR(__xludf.DUMMYFUNCTION("""COMPUTED_VALUE"""),"")</f>
        <v/>
      </c>
      <c r="B953" s="3" t="str">
        <f>IFERROR(__xludf.DUMMYFUNCTION("""COMPUTED_VALUE"""),"")</f>
        <v/>
      </c>
      <c r="C953" s="11" t="str">
        <f>IFERROR(__xludf.DUMMYFUNCTION("""COMPUTED_VALUE"""),"")</f>
        <v/>
      </c>
      <c r="D953" s="11" t="str">
        <f>IFERROR(__xludf.DUMMYFUNCTION("""COMPUTED_VALUE"""),"")</f>
        <v/>
      </c>
      <c r="E953" s="11" t="str">
        <f>IFERROR(__xludf.DUMMYFUNCTION("""COMPUTED_VALUE"""),"")</f>
        <v/>
      </c>
      <c r="F953" s="11" t="str">
        <f>IFERROR(__xludf.DUMMYFUNCTION("""COMPUTED_VALUE"""),"")</f>
        <v/>
      </c>
      <c r="G953" s="11" t="str">
        <f>IFERROR(__xludf.DUMMYFUNCTION("""COMPUTED_VALUE"""),"")</f>
        <v/>
      </c>
      <c r="H953" s="12" t="str">
        <f>IFERROR(__xludf.DUMMYFUNCTION("""COMPUTED_VALUE"""),"")</f>
        <v/>
      </c>
      <c r="I953" s="12" t="str">
        <f>IFERROR(__xludf.DUMMYFUNCTION("""COMPUTED_VALUE"""),"")</f>
        <v/>
      </c>
      <c r="J953" s="13" t="str">
        <f t="shared" si="1"/>
        <v/>
      </c>
      <c r="K953" s="12" t="str">
        <f>IFERROR(IF(A953="","",if($G953="",Reference!$J$2, VLOOKUP($G953,Reference!$I$2:$J$1000,2,false))),"")</f>
        <v/>
      </c>
      <c r="L953" s="12" t="str">
        <f>IF(A953="","", IF(F953="",Reference!$M$2,F953))</f>
        <v/>
      </c>
      <c r="M953" s="14" t="str">
        <f t="shared" si="2"/>
        <v/>
      </c>
      <c r="N953" s="15" t="str">
        <f t="shared" si="3"/>
        <v/>
      </c>
      <c r="O953" s="14" t="str">
        <f t="shared" si="4"/>
        <v/>
      </c>
      <c r="P953" s="16" t="str">
        <f t="array" ref="P953">IF($A953="","", IFERROR(INDEX('BM Data'!$N:$N,MATCH($J953&amp; "-" &amp; $N953,'BM Data'!$O:$O,0),1),""))</f>
        <v/>
      </c>
      <c r="Q953" s="16" t="str">
        <f t="array" ref="Q953">IF($A953="","", IFERROR(INDEX('BM Data'!$J:$J,MATCH($J953&amp; "-" &amp; $N953,'BM Data'!$O:$O,0),1),""))</f>
        <v/>
      </c>
    </row>
    <row r="954">
      <c r="A954" s="10" t="str">
        <f>IFERROR(__xludf.DUMMYFUNCTION("""COMPUTED_VALUE"""),"")</f>
        <v/>
      </c>
      <c r="B954" s="3" t="str">
        <f>IFERROR(__xludf.DUMMYFUNCTION("""COMPUTED_VALUE"""),"")</f>
        <v/>
      </c>
      <c r="C954" s="11" t="str">
        <f>IFERROR(__xludf.DUMMYFUNCTION("""COMPUTED_VALUE"""),"")</f>
        <v/>
      </c>
      <c r="D954" s="11" t="str">
        <f>IFERROR(__xludf.DUMMYFUNCTION("""COMPUTED_VALUE"""),"")</f>
        <v/>
      </c>
      <c r="E954" s="11" t="str">
        <f>IFERROR(__xludf.DUMMYFUNCTION("""COMPUTED_VALUE"""),"")</f>
        <v/>
      </c>
      <c r="F954" s="11" t="str">
        <f>IFERROR(__xludf.DUMMYFUNCTION("""COMPUTED_VALUE"""),"")</f>
        <v/>
      </c>
      <c r="G954" s="11" t="str">
        <f>IFERROR(__xludf.DUMMYFUNCTION("""COMPUTED_VALUE"""),"")</f>
        <v/>
      </c>
      <c r="H954" s="12" t="str">
        <f>IFERROR(__xludf.DUMMYFUNCTION("""COMPUTED_VALUE"""),"")</f>
        <v/>
      </c>
      <c r="I954" s="12" t="str">
        <f>IFERROR(__xludf.DUMMYFUNCTION("""COMPUTED_VALUE"""),"")</f>
        <v/>
      </c>
      <c r="J954" s="13" t="str">
        <f t="shared" si="1"/>
        <v/>
      </c>
      <c r="K954" s="12" t="str">
        <f>IFERROR(IF(A954="","",if($G954="",Reference!$J$2, VLOOKUP($G954,Reference!$I$2:$J$1000,2,false))),"")</f>
        <v/>
      </c>
      <c r="L954" s="12" t="str">
        <f>IF(A954="","", IF(F954="",Reference!$M$2,F954))</f>
        <v/>
      </c>
      <c r="M954" s="14" t="str">
        <f t="shared" si="2"/>
        <v/>
      </c>
      <c r="N954" s="15" t="str">
        <f t="shared" si="3"/>
        <v/>
      </c>
      <c r="O954" s="14" t="str">
        <f t="shared" si="4"/>
        <v/>
      </c>
      <c r="P954" s="16" t="str">
        <f t="array" ref="P954">IF($A954="","", IFERROR(INDEX('BM Data'!$N:$N,MATCH($J954&amp; "-" &amp; $N954,'BM Data'!$O:$O,0),1),""))</f>
        <v/>
      </c>
      <c r="Q954" s="16" t="str">
        <f t="array" ref="Q954">IF($A954="","", IFERROR(INDEX('BM Data'!$J:$J,MATCH($J954&amp; "-" &amp; $N954,'BM Data'!$O:$O,0),1),""))</f>
        <v/>
      </c>
    </row>
    <row r="955">
      <c r="A955" s="10" t="str">
        <f>IFERROR(__xludf.DUMMYFUNCTION("""COMPUTED_VALUE"""),"")</f>
        <v/>
      </c>
      <c r="B955" s="3" t="str">
        <f>IFERROR(__xludf.DUMMYFUNCTION("""COMPUTED_VALUE"""),"")</f>
        <v/>
      </c>
      <c r="C955" s="11" t="str">
        <f>IFERROR(__xludf.DUMMYFUNCTION("""COMPUTED_VALUE"""),"")</f>
        <v/>
      </c>
      <c r="D955" s="11" t="str">
        <f>IFERROR(__xludf.DUMMYFUNCTION("""COMPUTED_VALUE"""),"")</f>
        <v/>
      </c>
      <c r="E955" s="11" t="str">
        <f>IFERROR(__xludf.DUMMYFUNCTION("""COMPUTED_VALUE"""),"")</f>
        <v/>
      </c>
      <c r="F955" s="11" t="str">
        <f>IFERROR(__xludf.DUMMYFUNCTION("""COMPUTED_VALUE"""),"")</f>
        <v/>
      </c>
      <c r="G955" s="11" t="str">
        <f>IFERROR(__xludf.DUMMYFUNCTION("""COMPUTED_VALUE"""),"")</f>
        <v/>
      </c>
      <c r="H955" s="12" t="str">
        <f>IFERROR(__xludf.DUMMYFUNCTION("""COMPUTED_VALUE"""),"")</f>
        <v/>
      </c>
      <c r="I955" s="12" t="str">
        <f>IFERROR(__xludf.DUMMYFUNCTION("""COMPUTED_VALUE"""),"")</f>
        <v/>
      </c>
      <c r="J955" s="13" t="str">
        <f t="shared" si="1"/>
        <v/>
      </c>
      <c r="K955" s="12" t="str">
        <f>IFERROR(IF(A955="","",if($G955="",Reference!$J$2, VLOOKUP($G955,Reference!$I$2:$J$1000,2,false))),"")</f>
        <v/>
      </c>
      <c r="L955" s="12" t="str">
        <f>IF(A955="","", IF(F955="",Reference!$M$2,F955))</f>
        <v/>
      </c>
      <c r="M955" s="14" t="str">
        <f t="shared" si="2"/>
        <v/>
      </c>
      <c r="N955" s="15" t="str">
        <f t="shared" si="3"/>
        <v/>
      </c>
      <c r="O955" s="14" t="str">
        <f t="shared" si="4"/>
        <v/>
      </c>
      <c r="P955" s="16" t="str">
        <f t="array" ref="P955">IF($A955="","", IFERROR(INDEX('BM Data'!$N:$N,MATCH($J955&amp; "-" &amp; $N955,'BM Data'!$O:$O,0),1),""))</f>
        <v/>
      </c>
      <c r="Q955" s="16" t="str">
        <f t="array" ref="Q955">IF($A955="","", IFERROR(INDEX('BM Data'!$J:$J,MATCH($J955&amp; "-" &amp; $N955,'BM Data'!$O:$O,0),1),""))</f>
        <v/>
      </c>
    </row>
    <row r="956">
      <c r="A956" s="10" t="str">
        <f>IFERROR(__xludf.DUMMYFUNCTION("""COMPUTED_VALUE"""),"")</f>
        <v/>
      </c>
      <c r="B956" s="3" t="str">
        <f>IFERROR(__xludf.DUMMYFUNCTION("""COMPUTED_VALUE"""),"")</f>
        <v/>
      </c>
      <c r="C956" s="11" t="str">
        <f>IFERROR(__xludf.DUMMYFUNCTION("""COMPUTED_VALUE"""),"")</f>
        <v/>
      </c>
      <c r="D956" s="11" t="str">
        <f>IFERROR(__xludf.DUMMYFUNCTION("""COMPUTED_VALUE"""),"")</f>
        <v/>
      </c>
      <c r="E956" s="11" t="str">
        <f>IFERROR(__xludf.DUMMYFUNCTION("""COMPUTED_VALUE"""),"")</f>
        <v/>
      </c>
      <c r="F956" s="11" t="str">
        <f>IFERROR(__xludf.DUMMYFUNCTION("""COMPUTED_VALUE"""),"")</f>
        <v/>
      </c>
      <c r="G956" s="11" t="str">
        <f>IFERROR(__xludf.DUMMYFUNCTION("""COMPUTED_VALUE"""),"")</f>
        <v/>
      </c>
      <c r="H956" s="12" t="str">
        <f>IFERROR(__xludf.DUMMYFUNCTION("""COMPUTED_VALUE"""),"")</f>
        <v/>
      </c>
      <c r="I956" s="12" t="str">
        <f>IFERROR(__xludf.DUMMYFUNCTION("""COMPUTED_VALUE"""),"")</f>
        <v/>
      </c>
      <c r="J956" s="13" t="str">
        <f t="shared" si="1"/>
        <v/>
      </c>
      <c r="K956" s="12" t="str">
        <f>IFERROR(IF(A956="","",if($G956="",Reference!$J$2, VLOOKUP($G956,Reference!$I$2:$J$1000,2,false))),"")</f>
        <v/>
      </c>
      <c r="L956" s="12" t="str">
        <f>IF(A956="","", IF(F956="",Reference!$M$2,F956))</f>
        <v/>
      </c>
      <c r="M956" s="14" t="str">
        <f t="shared" si="2"/>
        <v/>
      </c>
      <c r="N956" s="15" t="str">
        <f t="shared" si="3"/>
        <v/>
      </c>
      <c r="O956" s="14" t="str">
        <f t="shared" si="4"/>
        <v/>
      </c>
      <c r="P956" s="16" t="str">
        <f t="array" ref="P956">IF($A956="","", IFERROR(INDEX('BM Data'!$N:$N,MATCH($J956&amp; "-" &amp; $N956,'BM Data'!$O:$O,0),1),""))</f>
        <v/>
      </c>
      <c r="Q956" s="16" t="str">
        <f t="array" ref="Q956">IF($A956="","", IFERROR(INDEX('BM Data'!$J:$J,MATCH($J956&amp; "-" &amp; $N956,'BM Data'!$O:$O,0),1),""))</f>
        <v/>
      </c>
    </row>
    <row r="957">
      <c r="A957" s="10" t="str">
        <f>IFERROR(__xludf.DUMMYFUNCTION("""COMPUTED_VALUE"""),"")</f>
        <v/>
      </c>
      <c r="B957" s="3" t="str">
        <f>IFERROR(__xludf.DUMMYFUNCTION("""COMPUTED_VALUE"""),"")</f>
        <v/>
      </c>
      <c r="C957" s="11" t="str">
        <f>IFERROR(__xludf.DUMMYFUNCTION("""COMPUTED_VALUE"""),"")</f>
        <v/>
      </c>
      <c r="D957" s="11" t="str">
        <f>IFERROR(__xludf.DUMMYFUNCTION("""COMPUTED_VALUE"""),"")</f>
        <v/>
      </c>
      <c r="E957" s="11" t="str">
        <f>IFERROR(__xludf.DUMMYFUNCTION("""COMPUTED_VALUE"""),"")</f>
        <v/>
      </c>
      <c r="F957" s="11" t="str">
        <f>IFERROR(__xludf.DUMMYFUNCTION("""COMPUTED_VALUE"""),"")</f>
        <v/>
      </c>
      <c r="G957" s="11" t="str">
        <f>IFERROR(__xludf.DUMMYFUNCTION("""COMPUTED_VALUE"""),"")</f>
        <v/>
      </c>
      <c r="H957" s="12" t="str">
        <f>IFERROR(__xludf.DUMMYFUNCTION("""COMPUTED_VALUE"""),"")</f>
        <v/>
      </c>
      <c r="I957" s="12" t="str">
        <f>IFERROR(__xludf.DUMMYFUNCTION("""COMPUTED_VALUE"""),"")</f>
        <v/>
      </c>
      <c r="J957" s="13" t="str">
        <f t="shared" si="1"/>
        <v/>
      </c>
      <c r="K957" s="12" t="str">
        <f>IFERROR(IF(A957="","",if($G957="",Reference!$J$2, VLOOKUP($G957,Reference!$I$2:$J$1000,2,false))),"")</f>
        <v/>
      </c>
      <c r="L957" s="12" t="str">
        <f>IF(A957="","", IF(F957="",Reference!$M$2,F957))</f>
        <v/>
      </c>
      <c r="M957" s="14" t="str">
        <f t="shared" si="2"/>
        <v/>
      </c>
      <c r="N957" s="15" t="str">
        <f t="shared" si="3"/>
        <v/>
      </c>
      <c r="O957" s="14" t="str">
        <f t="shared" si="4"/>
        <v/>
      </c>
      <c r="P957" s="16" t="str">
        <f t="array" ref="P957">IF($A957="","", IFERROR(INDEX('BM Data'!$N:$N,MATCH($J957&amp; "-" &amp; $N957,'BM Data'!$O:$O,0),1),""))</f>
        <v/>
      </c>
      <c r="Q957" s="16" t="str">
        <f t="array" ref="Q957">IF($A957="","", IFERROR(INDEX('BM Data'!$J:$J,MATCH($J957&amp; "-" &amp; $N957,'BM Data'!$O:$O,0),1),""))</f>
        <v/>
      </c>
    </row>
    <row r="958">
      <c r="A958" s="10" t="str">
        <f>IFERROR(__xludf.DUMMYFUNCTION("""COMPUTED_VALUE"""),"")</f>
        <v/>
      </c>
      <c r="B958" s="3" t="str">
        <f>IFERROR(__xludf.DUMMYFUNCTION("""COMPUTED_VALUE"""),"")</f>
        <v/>
      </c>
      <c r="C958" s="11" t="str">
        <f>IFERROR(__xludf.DUMMYFUNCTION("""COMPUTED_VALUE"""),"")</f>
        <v/>
      </c>
      <c r="D958" s="11" t="str">
        <f>IFERROR(__xludf.DUMMYFUNCTION("""COMPUTED_VALUE"""),"")</f>
        <v/>
      </c>
      <c r="E958" s="11" t="str">
        <f>IFERROR(__xludf.DUMMYFUNCTION("""COMPUTED_VALUE"""),"")</f>
        <v/>
      </c>
      <c r="F958" s="11" t="str">
        <f>IFERROR(__xludf.DUMMYFUNCTION("""COMPUTED_VALUE"""),"")</f>
        <v/>
      </c>
      <c r="G958" s="11" t="str">
        <f>IFERROR(__xludf.DUMMYFUNCTION("""COMPUTED_VALUE"""),"")</f>
        <v/>
      </c>
      <c r="H958" s="12" t="str">
        <f>IFERROR(__xludf.DUMMYFUNCTION("""COMPUTED_VALUE"""),"")</f>
        <v/>
      </c>
      <c r="I958" s="12" t="str">
        <f>IFERROR(__xludf.DUMMYFUNCTION("""COMPUTED_VALUE"""),"")</f>
        <v/>
      </c>
      <c r="J958" s="13" t="str">
        <f t="shared" si="1"/>
        <v/>
      </c>
      <c r="K958" s="12" t="str">
        <f>IFERROR(IF(A958="","",if($G958="",Reference!$J$2, VLOOKUP($G958,Reference!$I$2:$J$1000,2,false))),"")</f>
        <v/>
      </c>
      <c r="L958" s="12" t="str">
        <f>IF(A958="","", IF(F958="",Reference!$M$2,F958))</f>
        <v/>
      </c>
      <c r="M958" s="14" t="str">
        <f t="shared" si="2"/>
        <v/>
      </c>
      <c r="N958" s="15" t="str">
        <f t="shared" si="3"/>
        <v/>
      </c>
      <c r="O958" s="14" t="str">
        <f t="shared" si="4"/>
        <v/>
      </c>
      <c r="P958" s="16" t="str">
        <f t="array" ref="P958">IF($A958="","", IFERROR(INDEX('BM Data'!$N:$N,MATCH($J958&amp; "-" &amp; $N958,'BM Data'!$O:$O,0),1),""))</f>
        <v/>
      </c>
      <c r="Q958" s="16" t="str">
        <f t="array" ref="Q958">IF($A958="","", IFERROR(INDEX('BM Data'!$J:$J,MATCH($J958&amp; "-" &amp; $N958,'BM Data'!$O:$O,0),1),""))</f>
        <v/>
      </c>
    </row>
    <row r="959">
      <c r="A959" s="10" t="str">
        <f>IFERROR(__xludf.DUMMYFUNCTION("""COMPUTED_VALUE"""),"")</f>
        <v/>
      </c>
      <c r="B959" s="3" t="str">
        <f>IFERROR(__xludf.DUMMYFUNCTION("""COMPUTED_VALUE"""),"")</f>
        <v/>
      </c>
      <c r="C959" s="11" t="str">
        <f>IFERROR(__xludf.DUMMYFUNCTION("""COMPUTED_VALUE"""),"")</f>
        <v/>
      </c>
      <c r="D959" s="11" t="str">
        <f>IFERROR(__xludf.DUMMYFUNCTION("""COMPUTED_VALUE"""),"")</f>
        <v/>
      </c>
      <c r="E959" s="11" t="str">
        <f>IFERROR(__xludf.DUMMYFUNCTION("""COMPUTED_VALUE"""),"")</f>
        <v/>
      </c>
      <c r="F959" s="11" t="str">
        <f>IFERROR(__xludf.DUMMYFUNCTION("""COMPUTED_VALUE"""),"")</f>
        <v/>
      </c>
      <c r="G959" s="11" t="str">
        <f>IFERROR(__xludf.DUMMYFUNCTION("""COMPUTED_VALUE"""),"")</f>
        <v/>
      </c>
      <c r="H959" s="12" t="str">
        <f>IFERROR(__xludf.DUMMYFUNCTION("""COMPUTED_VALUE"""),"")</f>
        <v/>
      </c>
      <c r="I959" s="12" t="str">
        <f>IFERROR(__xludf.DUMMYFUNCTION("""COMPUTED_VALUE"""),"")</f>
        <v/>
      </c>
      <c r="J959" s="13" t="str">
        <f t="shared" si="1"/>
        <v/>
      </c>
      <c r="K959" s="12" t="str">
        <f>IFERROR(IF(A959="","",if($G959="",Reference!$J$2, VLOOKUP($G959,Reference!$I$2:$J$1000,2,false))),"")</f>
        <v/>
      </c>
      <c r="L959" s="12" t="str">
        <f>IF(A959="","", IF(F959="",Reference!$M$2,F959))</f>
        <v/>
      </c>
      <c r="M959" s="14" t="str">
        <f t="shared" si="2"/>
        <v/>
      </c>
      <c r="N959" s="15" t="str">
        <f t="shared" si="3"/>
        <v/>
      </c>
      <c r="O959" s="14" t="str">
        <f t="shared" si="4"/>
        <v/>
      </c>
      <c r="P959" s="16" t="str">
        <f t="array" ref="P959">IF($A959="","", IFERROR(INDEX('BM Data'!$N:$N,MATCH($J959&amp; "-" &amp; $N959,'BM Data'!$O:$O,0),1),""))</f>
        <v/>
      </c>
      <c r="Q959" s="16" t="str">
        <f t="array" ref="Q959">IF($A959="","", IFERROR(INDEX('BM Data'!$J:$J,MATCH($J959&amp; "-" &amp; $N959,'BM Data'!$O:$O,0),1),""))</f>
        <v/>
      </c>
    </row>
    <row r="960">
      <c r="A960" s="10" t="str">
        <f>IFERROR(__xludf.DUMMYFUNCTION("""COMPUTED_VALUE"""),"")</f>
        <v/>
      </c>
      <c r="B960" s="3" t="str">
        <f>IFERROR(__xludf.DUMMYFUNCTION("""COMPUTED_VALUE"""),"")</f>
        <v/>
      </c>
      <c r="C960" s="11" t="str">
        <f>IFERROR(__xludf.DUMMYFUNCTION("""COMPUTED_VALUE"""),"")</f>
        <v/>
      </c>
      <c r="D960" s="11" t="str">
        <f>IFERROR(__xludf.DUMMYFUNCTION("""COMPUTED_VALUE"""),"")</f>
        <v/>
      </c>
      <c r="E960" s="11" t="str">
        <f>IFERROR(__xludf.DUMMYFUNCTION("""COMPUTED_VALUE"""),"")</f>
        <v/>
      </c>
      <c r="F960" s="11" t="str">
        <f>IFERROR(__xludf.DUMMYFUNCTION("""COMPUTED_VALUE"""),"")</f>
        <v/>
      </c>
      <c r="G960" s="11" t="str">
        <f>IFERROR(__xludf.DUMMYFUNCTION("""COMPUTED_VALUE"""),"")</f>
        <v/>
      </c>
      <c r="H960" s="12" t="str">
        <f>IFERROR(__xludf.DUMMYFUNCTION("""COMPUTED_VALUE"""),"")</f>
        <v/>
      </c>
      <c r="I960" s="12" t="str">
        <f>IFERROR(__xludf.DUMMYFUNCTION("""COMPUTED_VALUE"""),"")</f>
        <v/>
      </c>
      <c r="J960" s="13" t="str">
        <f t="shared" si="1"/>
        <v/>
      </c>
      <c r="K960" s="12" t="str">
        <f>IFERROR(IF(A960="","",if($G960="",Reference!$J$2, VLOOKUP($G960,Reference!$I$2:$J$1000,2,false))),"")</f>
        <v/>
      </c>
      <c r="L960" s="12" t="str">
        <f>IF(A960="","", IF(F960="",Reference!$M$2,F960))</f>
        <v/>
      </c>
      <c r="M960" s="14" t="str">
        <f t="shared" si="2"/>
        <v/>
      </c>
      <c r="N960" s="15" t="str">
        <f t="shared" si="3"/>
        <v/>
      </c>
      <c r="O960" s="14" t="str">
        <f t="shared" si="4"/>
        <v/>
      </c>
      <c r="P960" s="16" t="str">
        <f t="array" ref="P960">IF($A960="","", IFERROR(INDEX('BM Data'!$N:$N,MATCH($J960&amp; "-" &amp; $N960,'BM Data'!$O:$O,0),1),""))</f>
        <v/>
      </c>
      <c r="Q960" s="16" t="str">
        <f t="array" ref="Q960">IF($A960="","", IFERROR(INDEX('BM Data'!$J:$J,MATCH($J960&amp; "-" &amp; $N960,'BM Data'!$O:$O,0),1),""))</f>
        <v/>
      </c>
    </row>
    <row r="961">
      <c r="A961" s="10" t="str">
        <f>IFERROR(__xludf.DUMMYFUNCTION("""COMPUTED_VALUE"""),"")</f>
        <v/>
      </c>
      <c r="B961" s="3" t="str">
        <f>IFERROR(__xludf.DUMMYFUNCTION("""COMPUTED_VALUE"""),"")</f>
        <v/>
      </c>
      <c r="C961" s="11" t="str">
        <f>IFERROR(__xludf.DUMMYFUNCTION("""COMPUTED_VALUE"""),"")</f>
        <v/>
      </c>
      <c r="D961" s="11" t="str">
        <f>IFERROR(__xludf.DUMMYFUNCTION("""COMPUTED_VALUE"""),"")</f>
        <v/>
      </c>
      <c r="E961" s="11" t="str">
        <f>IFERROR(__xludf.DUMMYFUNCTION("""COMPUTED_VALUE"""),"")</f>
        <v/>
      </c>
      <c r="F961" s="11" t="str">
        <f>IFERROR(__xludf.DUMMYFUNCTION("""COMPUTED_VALUE"""),"")</f>
        <v/>
      </c>
      <c r="G961" s="11" t="str">
        <f>IFERROR(__xludf.DUMMYFUNCTION("""COMPUTED_VALUE"""),"")</f>
        <v/>
      </c>
      <c r="H961" s="12" t="str">
        <f>IFERROR(__xludf.DUMMYFUNCTION("""COMPUTED_VALUE"""),"")</f>
        <v/>
      </c>
      <c r="I961" s="12" t="str">
        <f>IFERROR(__xludf.DUMMYFUNCTION("""COMPUTED_VALUE"""),"")</f>
        <v/>
      </c>
      <c r="J961" s="13" t="str">
        <f t="shared" si="1"/>
        <v/>
      </c>
      <c r="K961" s="12" t="str">
        <f>IFERROR(IF(A961="","",if($G961="",Reference!$J$2, VLOOKUP($G961,Reference!$I$2:$J$1000,2,false))),"")</f>
        <v/>
      </c>
      <c r="L961" s="12" t="str">
        <f>IF(A961="","", IF(F961="",Reference!$M$2,F961))</f>
        <v/>
      </c>
      <c r="M961" s="14" t="str">
        <f t="shared" si="2"/>
        <v/>
      </c>
      <c r="N961" s="15" t="str">
        <f t="shared" si="3"/>
        <v/>
      </c>
      <c r="O961" s="14" t="str">
        <f t="shared" si="4"/>
        <v/>
      </c>
      <c r="P961" s="16" t="str">
        <f t="array" ref="P961">IF($A961="","", IFERROR(INDEX('BM Data'!$N:$N,MATCH($J961&amp; "-" &amp; $N961,'BM Data'!$O:$O,0),1),""))</f>
        <v/>
      </c>
      <c r="Q961" s="16" t="str">
        <f t="array" ref="Q961">IF($A961="","", IFERROR(INDEX('BM Data'!$J:$J,MATCH($J961&amp; "-" &amp; $N961,'BM Data'!$O:$O,0),1),""))</f>
        <v/>
      </c>
    </row>
    <row r="962">
      <c r="A962" s="10" t="str">
        <f>IFERROR(__xludf.DUMMYFUNCTION("""COMPUTED_VALUE"""),"")</f>
        <v/>
      </c>
      <c r="B962" s="3" t="str">
        <f>IFERROR(__xludf.DUMMYFUNCTION("""COMPUTED_VALUE"""),"")</f>
        <v/>
      </c>
      <c r="C962" s="11" t="str">
        <f>IFERROR(__xludf.DUMMYFUNCTION("""COMPUTED_VALUE"""),"")</f>
        <v/>
      </c>
      <c r="D962" s="11" t="str">
        <f>IFERROR(__xludf.DUMMYFUNCTION("""COMPUTED_VALUE"""),"")</f>
        <v/>
      </c>
      <c r="E962" s="11" t="str">
        <f>IFERROR(__xludf.DUMMYFUNCTION("""COMPUTED_VALUE"""),"")</f>
        <v/>
      </c>
      <c r="F962" s="11" t="str">
        <f>IFERROR(__xludf.DUMMYFUNCTION("""COMPUTED_VALUE"""),"")</f>
        <v/>
      </c>
      <c r="G962" s="11" t="str">
        <f>IFERROR(__xludf.DUMMYFUNCTION("""COMPUTED_VALUE"""),"")</f>
        <v/>
      </c>
      <c r="H962" s="12" t="str">
        <f>IFERROR(__xludf.DUMMYFUNCTION("""COMPUTED_VALUE"""),"")</f>
        <v/>
      </c>
      <c r="I962" s="12" t="str">
        <f>IFERROR(__xludf.DUMMYFUNCTION("""COMPUTED_VALUE"""),"")</f>
        <v/>
      </c>
      <c r="J962" s="13" t="str">
        <f t="shared" si="1"/>
        <v/>
      </c>
      <c r="K962" s="12" t="str">
        <f>IFERROR(IF(A962="","",if($G962="",Reference!$J$2, VLOOKUP($G962,Reference!$I$2:$J$1000,2,false))),"")</f>
        <v/>
      </c>
      <c r="L962" s="12" t="str">
        <f>IF(A962="","", IF(F962="",Reference!$M$2,F962))</f>
        <v/>
      </c>
      <c r="M962" s="14" t="str">
        <f t="shared" si="2"/>
        <v/>
      </c>
      <c r="N962" s="15" t="str">
        <f t="shared" si="3"/>
        <v/>
      </c>
      <c r="O962" s="14" t="str">
        <f t="shared" si="4"/>
        <v/>
      </c>
      <c r="P962" s="16" t="str">
        <f t="array" ref="P962">IF($A962="","", IFERROR(INDEX('BM Data'!$N:$N,MATCH($J962&amp; "-" &amp; $N962,'BM Data'!$O:$O,0),1),""))</f>
        <v/>
      </c>
      <c r="Q962" s="16" t="str">
        <f t="array" ref="Q962">IF($A962="","", IFERROR(INDEX('BM Data'!$J:$J,MATCH($J962&amp; "-" &amp; $N962,'BM Data'!$O:$O,0),1),""))</f>
        <v/>
      </c>
    </row>
    <row r="963">
      <c r="A963" s="10" t="str">
        <f>IFERROR(__xludf.DUMMYFUNCTION("""COMPUTED_VALUE"""),"")</f>
        <v/>
      </c>
      <c r="B963" s="3" t="str">
        <f>IFERROR(__xludf.DUMMYFUNCTION("""COMPUTED_VALUE"""),"")</f>
        <v/>
      </c>
      <c r="C963" s="11" t="str">
        <f>IFERROR(__xludf.DUMMYFUNCTION("""COMPUTED_VALUE"""),"")</f>
        <v/>
      </c>
      <c r="D963" s="11" t="str">
        <f>IFERROR(__xludf.DUMMYFUNCTION("""COMPUTED_VALUE"""),"")</f>
        <v/>
      </c>
      <c r="E963" s="11" t="str">
        <f>IFERROR(__xludf.DUMMYFUNCTION("""COMPUTED_VALUE"""),"")</f>
        <v/>
      </c>
      <c r="F963" s="11" t="str">
        <f>IFERROR(__xludf.DUMMYFUNCTION("""COMPUTED_VALUE"""),"")</f>
        <v/>
      </c>
      <c r="G963" s="11" t="str">
        <f>IFERROR(__xludf.DUMMYFUNCTION("""COMPUTED_VALUE"""),"")</f>
        <v/>
      </c>
      <c r="H963" s="12" t="str">
        <f>IFERROR(__xludf.DUMMYFUNCTION("""COMPUTED_VALUE"""),"")</f>
        <v/>
      </c>
      <c r="I963" s="12" t="str">
        <f>IFERROR(__xludf.DUMMYFUNCTION("""COMPUTED_VALUE"""),"")</f>
        <v/>
      </c>
      <c r="J963" s="13" t="str">
        <f t="shared" si="1"/>
        <v/>
      </c>
      <c r="K963" s="12" t="str">
        <f>IFERROR(IF(A963="","",if($G963="",Reference!$J$2, VLOOKUP($G963,Reference!$I$2:$J$1000,2,false))),"")</f>
        <v/>
      </c>
      <c r="L963" s="12" t="str">
        <f>IF(A963="","", IF(F963="",Reference!$M$2,F963))</f>
        <v/>
      </c>
      <c r="M963" s="14" t="str">
        <f t="shared" si="2"/>
        <v/>
      </c>
      <c r="N963" s="15" t="str">
        <f t="shared" si="3"/>
        <v/>
      </c>
      <c r="O963" s="14" t="str">
        <f t="shared" si="4"/>
        <v/>
      </c>
      <c r="P963" s="16" t="str">
        <f t="array" ref="P963">IF($A963="","", IFERROR(INDEX('BM Data'!$N:$N,MATCH($J963&amp; "-" &amp; $N963,'BM Data'!$O:$O,0),1),""))</f>
        <v/>
      </c>
      <c r="Q963" s="16" t="str">
        <f t="array" ref="Q963">IF($A963="","", IFERROR(INDEX('BM Data'!$J:$J,MATCH($J963&amp; "-" &amp; $N963,'BM Data'!$O:$O,0),1),""))</f>
        <v/>
      </c>
    </row>
    <row r="964">
      <c r="A964" s="10" t="str">
        <f>IFERROR(__xludf.DUMMYFUNCTION("""COMPUTED_VALUE"""),"")</f>
        <v/>
      </c>
      <c r="B964" s="3" t="str">
        <f>IFERROR(__xludf.DUMMYFUNCTION("""COMPUTED_VALUE"""),"")</f>
        <v/>
      </c>
      <c r="C964" s="11" t="str">
        <f>IFERROR(__xludf.DUMMYFUNCTION("""COMPUTED_VALUE"""),"")</f>
        <v/>
      </c>
      <c r="D964" s="11" t="str">
        <f>IFERROR(__xludf.DUMMYFUNCTION("""COMPUTED_VALUE"""),"")</f>
        <v/>
      </c>
      <c r="E964" s="11" t="str">
        <f>IFERROR(__xludf.DUMMYFUNCTION("""COMPUTED_VALUE"""),"")</f>
        <v/>
      </c>
      <c r="F964" s="11" t="str">
        <f>IFERROR(__xludf.DUMMYFUNCTION("""COMPUTED_VALUE"""),"")</f>
        <v/>
      </c>
      <c r="G964" s="11" t="str">
        <f>IFERROR(__xludf.DUMMYFUNCTION("""COMPUTED_VALUE"""),"")</f>
        <v/>
      </c>
      <c r="H964" s="12" t="str">
        <f>IFERROR(__xludf.DUMMYFUNCTION("""COMPUTED_VALUE"""),"")</f>
        <v/>
      </c>
      <c r="I964" s="12" t="str">
        <f>IFERROR(__xludf.DUMMYFUNCTION("""COMPUTED_VALUE"""),"")</f>
        <v/>
      </c>
      <c r="J964" s="13" t="str">
        <f t="shared" si="1"/>
        <v/>
      </c>
      <c r="K964" s="12" t="str">
        <f>IFERROR(IF(A964="","",if($G964="",Reference!$J$2, VLOOKUP($G964,Reference!$I$2:$J$1000,2,false))),"")</f>
        <v/>
      </c>
      <c r="L964" s="12" t="str">
        <f>IF(A964="","", IF(F964="",Reference!$M$2,F964))</f>
        <v/>
      </c>
      <c r="M964" s="14" t="str">
        <f t="shared" si="2"/>
        <v/>
      </c>
      <c r="N964" s="15" t="str">
        <f t="shared" si="3"/>
        <v/>
      </c>
      <c r="O964" s="14" t="str">
        <f t="shared" si="4"/>
        <v/>
      </c>
      <c r="P964" s="16" t="str">
        <f t="array" ref="P964">IF($A964="","", IFERROR(INDEX('BM Data'!$N:$N,MATCH($J964&amp; "-" &amp; $N964,'BM Data'!$O:$O,0),1),""))</f>
        <v/>
      </c>
      <c r="Q964" s="16" t="str">
        <f t="array" ref="Q964">IF($A964="","", IFERROR(INDEX('BM Data'!$J:$J,MATCH($J964&amp; "-" &amp; $N964,'BM Data'!$O:$O,0),1),""))</f>
        <v/>
      </c>
    </row>
    <row r="965">
      <c r="A965" s="10" t="str">
        <f>IFERROR(__xludf.DUMMYFUNCTION("""COMPUTED_VALUE"""),"")</f>
        <v/>
      </c>
      <c r="B965" s="3" t="str">
        <f>IFERROR(__xludf.DUMMYFUNCTION("""COMPUTED_VALUE"""),"")</f>
        <v/>
      </c>
      <c r="C965" s="11" t="str">
        <f>IFERROR(__xludf.DUMMYFUNCTION("""COMPUTED_VALUE"""),"")</f>
        <v/>
      </c>
      <c r="D965" s="11" t="str">
        <f>IFERROR(__xludf.DUMMYFUNCTION("""COMPUTED_VALUE"""),"")</f>
        <v/>
      </c>
      <c r="E965" s="11" t="str">
        <f>IFERROR(__xludf.DUMMYFUNCTION("""COMPUTED_VALUE"""),"")</f>
        <v/>
      </c>
      <c r="F965" s="11" t="str">
        <f>IFERROR(__xludf.DUMMYFUNCTION("""COMPUTED_VALUE"""),"")</f>
        <v/>
      </c>
      <c r="G965" s="11" t="str">
        <f>IFERROR(__xludf.DUMMYFUNCTION("""COMPUTED_VALUE"""),"")</f>
        <v/>
      </c>
      <c r="H965" s="12" t="str">
        <f>IFERROR(__xludf.DUMMYFUNCTION("""COMPUTED_VALUE"""),"")</f>
        <v/>
      </c>
      <c r="I965" s="12" t="str">
        <f>IFERROR(__xludf.DUMMYFUNCTION("""COMPUTED_VALUE"""),"")</f>
        <v/>
      </c>
      <c r="J965" s="13" t="str">
        <f t="shared" si="1"/>
        <v/>
      </c>
      <c r="K965" s="12" t="str">
        <f>IFERROR(IF(A965="","",if($G965="",Reference!$J$2, VLOOKUP($G965,Reference!$I$2:$J$1000,2,false))),"")</f>
        <v/>
      </c>
      <c r="L965" s="12" t="str">
        <f>IF(A965="","", IF(F965="",Reference!$M$2,F965))</f>
        <v/>
      </c>
      <c r="M965" s="14" t="str">
        <f t="shared" si="2"/>
        <v/>
      </c>
      <c r="N965" s="15" t="str">
        <f t="shared" si="3"/>
        <v/>
      </c>
      <c r="O965" s="14" t="str">
        <f t="shared" si="4"/>
        <v/>
      </c>
      <c r="P965" s="16" t="str">
        <f t="array" ref="P965">IF($A965="","", IFERROR(INDEX('BM Data'!$N:$N,MATCH($J965&amp; "-" &amp; $N965,'BM Data'!$O:$O,0),1),""))</f>
        <v/>
      </c>
      <c r="Q965" s="16" t="str">
        <f t="array" ref="Q965">IF($A965="","", IFERROR(INDEX('BM Data'!$J:$J,MATCH($J965&amp; "-" &amp; $N965,'BM Data'!$O:$O,0),1),""))</f>
        <v/>
      </c>
    </row>
    <row r="966">
      <c r="A966" s="10" t="str">
        <f>IFERROR(__xludf.DUMMYFUNCTION("""COMPUTED_VALUE"""),"")</f>
        <v/>
      </c>
      <c r="B966" s="3" t="str">
        <f>IFERROR(__xludf.DUMMYFUNCTION("""COMPUTED_VALUE"""),"")</f>
        <v/>
      </c>
      <c r="C966" s="11" t="str">
        <f>IFERROR(__xludf.DUMMYFUNCTION("""COMPUTED_VALUE"""),"")</f>
        <v/>
      </c>
      <c r="D966" s="11" t="str">
        <f>IFERROR(__xludf.DUMMYFUNCTION("""COMPUTED_VALUE"""),"")</f>
        <v/>
      </c>
      <c r="E966" s="11" t="str">
        <f>IFERROR(__xludf.DUMMYFUNCTION("""COMPUTED_VALUE"""),"")</f>
        <v/>
      </c>
      <c r="F966" s="11" t="str">
        <f>IFERROR(__xludf.DUMMYFUNCTION("""COMPUTED_VALUE"""),"")</f>
        <v/>
      </c>
      <c r="G966" s="11" t="str">
        <f>IFERROR(__xludf.DUMMYFUNCTION("""COMPUTED_VALUE"""),"")</f>
        <v/>
      </c>
      <c r="H966" s="12" t="str">
        <f>IFERROR(__xludf.DUMMYFUNCTION("""COMPUTED_VALUE"""),"")</f>
        <v/>
      </c>
      <c r="I966" s="12" t="str">
        <f>IFERROR(__xludf.DUMMYFUNCTION("""COMPUTED_VALUE"""),"")</f>
        <v/>
      </c>
      <c r="J966" s="13" t="str">
        <f t="shared" si="1"/>
        <v/>
      </c>
      <c r="K966" s="12" t="str">
        <f>IFERROR(IF(A966="","",if($G966="",Reference!$J$2, VLOOKUP($G966,Reference!$I$2:$J$1000,2,false))),"")</f>
        <v/>
      </c>
      <c r="L966" s="12" t="str">
        <f>IF(A966="","", IF(F966="",Reference!$M$2,F966))</f>
        <v/>
      </c>
      <c r="M966" s="14" t="str">
        <f t="shared" si="2"/>
        <v/>
      </c>
      <c r="N966" s="15" t="str">
        <f t="shared" si="3"/>
        <v/>
      </c>
      <c r="O966" s="14" t="str">
        <f t="shared" si="4"/>
        <v/>
      </c>
      <c r="P966" s="16"/>
      <c r="Q966" s="16"/>
    </row>
    <row r="967">
      <c r="A967" s="10" t="str">
        <f>IFERROR(__xludf.DUMMYFUNCTION("""COMPUTED_VALUE"""),"")</f>
        <v/>
      </c>
      <c r="B967" s="3" t="str">
        <f>IFERROR(__xludf.DUMMYFUNCTION("""COMPUTED_VALUE"""),"")</f>
        <v/>
      </c>
      <c r="C967" s="11" t="str">
        <f>IFERROR(__xludf.DUMMYFUNCTION("""COMPUTED_VALUE"""),"")</f>
        <v/>
      </c>
      <c r="D967" s="11" t="str">
        <f>IFERROR(__xludf.DUMMYFUNCTION("""COMPUTED_VALUE"""),"")</f>
        <v/>
      </c>
      <c r="E967" s="11" t="str">
        <f>IFERROR(__xludf.DUMMYFUNCTION("""COMPUTED_VALUE"""),"")</f>
        <v/>
      </c>
      <c r="F967" s="11" t="str">
        <f>IFERROR(__xludf.DUMMYFUNCTION("""COMPUTED_VALUE"""),"")</f>
        <v/>
      </c>
      <c r="G967" s="11" t="str">
        <f>IFERROR(__xludf.DUMMYFUNCTION("""COMPUTED_VALUE"""),"")</f>
        <v/>
      </c>
      <c r="H967" s="12" t="str">
        <f>IFERROR(__xludf.DUMMYFUNCTION("""COMPUTED_VALUE"""),"")</f>
        <v/>
      </c>
      <c r="I967" s="12" t="str">
        <f>IFERROR(__xludf.DUMMYFUNCTION("""COMPUTED_VALUE"""),"")</f>
        <v/>
      </c>
      <c r="J967" s="13" t="str">
        <f t="shared" si="1"/>
        <v/>
      </c>
      <c r="K967" s="12" t="str">
        <f>IFERROR(IF(A967="","",if($G967="",Reference!$J$2, VLOOKUP($G967,Reference!$I$2:$J$1000,2,false))),"")</f>
        <v/>
      </c>
      <c r="L967" s="12" t="str">
        <f>IF(A967="","", IF(F967="",Reference!$M$2,F967))</f>
        <v/>
      </c>
      <c r="M967" s="14" t="str">
        <f t="shared" si="2"/>
        <v/>
      </c>
      <c r="N967" s="15" t="str">
        <f t="shared" si="3"/>
        <v/>
      </c>
      <c r="O967" s="14" t="str">
        <f t="shared" si="4"/>
        <v/>
      </c>
      <c r="P967" s="16" t="str">
        <f t="array" ref="P967">IF(A967="","", IFERROR(INDEX('BM Data'!$N:$N,MATCH(J967&amp; "-" &amp; N967,'BM Data'!$O:$O,0),1),""))</f>
        <v/>
      </c>
      <c r="Q967" s="16"/>
    </row>
    <row r="968">
      <c r="A968" s="10" t="str">
        <f>IFERROR(__xludf.DUMMYFUNCTION("""COMPUTED_VALUE"""),"")</f>
        <v/>
      </c>
      <c r="B968" s="3" t="str">
        <f>IFERROR(__xludf.DUMMYFUNCTION("""COMPUTED_VALUE"""),"")</f>
        <v/>
      </c>
      <c r="C968" s="11" t="str">
        <f>IFERROR(__xludf.DUMMYFUNCTION("""COMPUTED_VALUE"""),"")</f>
        <v/>
      </c>
      <c r="D968" s="11" t="str">
        <f>IFERROR(__xludf.DUMMYFUNCTION("""COMPUTED_VALUE"""),"")</f>
        <v/>
      </c>
      <c r="E968" s="11" t="str">
        <f>IFERROR(__xludf.DUMMYFUNCTION("""COMPUTED_VALUE"""),"")</f>
        <v/>
      </c>
      <c r="F968" s="11" t="str">
        <f>IFERROR(__xludf.DUMMYFUNCTION("""COMPUTED_VALUE"""),"")</f>
        <v/>
      </c>
      <c r="G968" s="11" t="str">
        <f>IFERROR(__xludf.DUMMYFUNCTION("""COMPUTED_VALUE"""),"")</f>
        <v/>
      </c>
      <c r="H968" s="12" t="str">
        <f>IFERROR(__xludf.DUMMYFUNCTION("""COMPUTED_VALUE"""),"")</f>
        <v/>
      </c>
      <c r="I968" s="12" t="str">
        <f>IFERROR(__xludf.DUMMYFUNCTION("""COMPUTED_VALUE"""),"")</f>
        <v/>
      </c>
      <c r="J968" s="13" t="str">
        <f t="shared" si="1"/>
        <v/>
      </c>
      <c r="K968" s="12" t="str">
        <f>IFERROR(IF(A968="","",if($G968="",Reference!$J$2, VLOOKUP($G968,Reference!$I$2:$J$1000,2,false))),"")</f>
        <v/>
      </c>
      <c r="L968" s="12" t="str">
        <f>IF(A968="","", IF(F968="",Reference!$M$2,F968))</f>
        <v/>
      </c>
      <c r="M968" s="14" t="str">
        <f t="shared" si="2"/>
        <v/>
      </c>
      <c r="N968" s="15" t="str">
        <f t="shared" si="3"/>
        <v/>
      </c>
      <c r="O968" s="14" t="str">
        <f t="shared" si="4"/>
        <v/>
      </c>
      <c r="P968" s="16" t="str">
        <f t="array" ref="P968">IF(A968="","", IFERROR(INDEX('BM Data'!$N:$N,MATCH(J968&amp; "-" &amp; N968,'BM Data'!$O:$O,0),1),""))</f>
        <v/>
      </c>
      <c r="Q968" s="16"/>
    </row>
    <row r="969">
      <c r="A969" s="10" t="str">
        <f>IFERROR(__xludf.DUMMYFUNCTION("""COMPUTED_VALUE"""),"")</f>
        <v/>
      </c>
      <c r="B969" s="3" t="str">
        <f>IFERROR(__xludf.DUMMYFUNCTION("""COMPUTED_VALUE"""),"")</f>
        <v/>
      </c>
      <c r="C969" s="11" t="str">
        <f>IFERROR(__xludf.DUMMYFUNCTION("""COMPUTED_VALUE"""),"")</f>
        <v/>
      </c>
      <c r="D969" s="11" t="str">
        <f>IFERROR(__xludf.DUMMYFUNCTION("""COMPUTED_VALUE"""),"")</f>
        <v/>
      </c>
      <c r="E969" s="11" t="str">
        <f>IFERROR(__xludf.DUMMYFUNCTION("""COMPUTED_VALUE"""),"")</f>
        <v/>
      </c>
      <c r="F969" s="11" t="str">
        <f>IFERROR(__xludf.DUMMYFUNCTION("""COMPUTED_VALUE"""),"")</f>
        <v/>
      </c>
      <c r="G969" s="11" t="str">
        <f>IFERROR(__xludf.DUMMYFUNCTION("""COMPUTED_VALUE"""),"")</f>
        <v/>
      </c>
      <c r="H969" s="12" t="str">
        <f>IFERROR(__xludf.DUMMYFUNCTION("""COMPUTED_VALUE"""),"")</f>
        <v/>
      </c>
      <c r="I969" s="12" t="str">
        <f>IFERROR(__xludf.DUMMYFUNCTION("""COMPUTED_VALUE"""),"")</f>
        <v/>
      </c>
      <c r="J969" s="13" t="str">
        <f t="shared" si="1"/>
        <v/>
      </c>
      <c r="K969" s="12" t="str">
        <f>IFERROR(IF(A969="","",if($G969="",Reference!$J$2, VLOOKUP($G969,Reference!$I$2:$J$1000,2,false))),"")</f>
        <v/>
      </c>
      <c r="L969" s="12" t="str">
        <f>IF(A969="","", IF(F969="",Reference!$M$2,F969))</f>
        <v/>
      </c>
      <c r="M969" s="14" t="str">
        <f t="shared" si="2"/>
        <v/>
      </c>
      <c r="N969" s="15" t="str">
        <f t="shared" si="3"/>
        <v/>
      </c>
      <c r="O969" s="14" t="str">
        <f t="shared" si="4"/>
        <v/>
      </c>
      <c r="P969" s="16" t="str">
        <f t="array" ref="P969">IF(A969="","", IFERROR(INDEX('BM Data'!$N:$N,MATCH(J969&amp; "-" &amp; N969,'BM Data'!$O:$O,0),1),""))</f>
        <v/>
      </c>
      <c r="Q969" s="16"/>
    </row>
    <row r="970">
      <c r="A970" s="10" t="str">
        <f>IFERROR(__xludf.DUMMYFUNCTION("""COMPUTED_VALUE"""),"")</f>
        <v/>
      </c>
      <c r="B970" s="3" t="str">
        <f>IFERROR(__xludf.DUMMYFUNCTION("""COMPUTED_VALUE"""),"")</f>
        <v/>
      </c>
      <c r="C970" s="11" t="str">
        <f>IFERROR(__xludf.DUMMYFUNCTION("""COMPUTED_VALUE"""),"")</f>
        <v/>
      </c>
      <c r="D970" s="11" t="str">
        <f>IFERROR(__xludf.DUMMYFUNCTION("""COMPUTED_VALUE"""),"")</f>
        <v/>
      </c>
      <c r="E970" s="11" t="str">
        <f>IFERROR(__xludf.DUMMYFUNCTION("""COMPUTED_VALUE"""),"")</f>
        <v/>
      </c>
      <c r="F970" s="11" t="str">
        <f>IFERROR(__xludf.DUMMYFUNCTION("""COMPUTED_VALUE"""),"")</f>
        <v/>
      </c>
      <c r="G970" s="11" t="str">
        <f>IFERROR(__xludf.DUMMYFUNCTION("""COMPUTED_VALUE"""),"")</f>
        <v/>
      </c>
      <c r="H970" s="12" t="str">
        <f>IFERROR(__xludf.DUMMYFUNCTION("""COMPUTED_VALUE"""),"")</f>
        <v/>
      </c>
      <c r="I970" s="12" t="str">
        <f>IFERROR(__xludf.DUMMYFUNCTION("""COMPUTED_VALUE"""),"")</f>
        <v/>
      </c>
      <c r="J970" s="13" t="str">
        <f t="shared" si="1"/>
        <v/>
      </c>
      <c r="K970" s="12" t="str">
        <f>IFERROR(IF(A970="","",if($G970="",Reference!$J$2, VLOOKUP($G970,Reference!$I$2:$J$1000,2,false))),"")</f>
        <v/>
      </c>
      <c r="L970" s="12" t="str">
        <f>IF(A970="","", IF(F970="",Reference!$M$2,F970))</f>
        <v/>
      </c>
      <c r="M970" s="14" t="str">
        <f t="shared" si="2"/>
        <v/>
      </c>
      <c r="N970" s="15" t="str">
        <f t="shared" si="3"/>
        <v/>
      </c>
      <c r="O970" s="14" t="str">
        <f t="shared" si="4"/>
        <v/>
      </c>
      <c r="P970" s="16" t="str">
        <f t="array" ref="P970">IF(A970="","", IFERROR(INDEX('BM Data'!$N:$N,MATCH(J970&amp; "-" &amp; N970,'BM Data'!$O:$O,0),1),""))</f>
        <v/>
      </c>
      <c r="Q970" s="16"/>
    </row>
    <row r="971">
      <c r="A971" s="10" t="str">
        <f>IFERROR(__xludf.DUMMYFUNCTION("""COMPUTED_VALUE"""),"")</f>
        <v/>
      </c>
      <c r="B971" s="3" t="str">
        <f>IFERROR(__xludf.DUMMYFUNCTION("""COMPUTED_VALUE"""),"")</f>
        <v/>
      </c>
      <c r="C971" s="11" t="str">
        <f>IFERROR(__xludf.DUMMYFUNCTION("""COMPUTED_VALUE"""),"")</f>
        <v/>
      </c>
      <c r="D971" s="11" t="str">
        <f>IFERROR(__xludf.DUMMYFUNCTION("""COMPUTED_VALUE"""),"")</f>
        <v/>
      </c>
      <c r="E971" s="11" t="str">
        <f>IFERROR(__xludf.DUMMYFUNCTION("""COMPUTED_VALUE"""),"")</f>
        <v/>
      </c>
      <c r="F971" s="11" t="str">
        <f>IFERROR(__xludf.DUMMYFUNCTION("""COMPUTED_VALUE"""),"")</f>
        <v/>
      </c>
      <c r="G971" s="11" t="str">
        <f>IFERROR(__xludf.DUMMYFUNCTION("""COMPUTED_VALUE"""),"")</f>
        <v/>
      </c>
      <c r="H971" s="12" t="str">
        <f>IFERROR(__xludf.DUMMYFUNCTION("""COMPUTED_VALUE"""),"")</f>
        <v/>
      </c>
      <c r="I971" s="12" t="str">
        <f>IFERROR(__xludf.DUMMYFUNCTION("""COMPUTED_VALUE"""),"")</f>
        <v/>
      </c>
      <c r="J971" s="13" t="str">
        <f t="shared" si="1"/>
        <v/>
      </c>
      <c r="K971" s="12" t="str">
        <f>IFERROR(IF(A971="","",if($G971="",Reference!$J$2, VLOOKUP($G971,Reference!$I$2:$J$1000,2,false))),"")</f>
        <v/>
      </c>
      <c r="L971" s="12" t="str">
        <f>IF(A971="","", IF(F971="",Reference!$M$2,F971))</f>
        <v/>
      </c>
      <c r="M971" s="14" t="str">
        <f t="shared" si="2"/>
        <v/>
      </c>
      <c r="N971" s="15" t="str">
        <f t="shared" si="3"/>
        <v/>
      </c>
      <c r="O971" s="14" t="str">
        <f t="shared" si="4"/>
        <v/>
      </c>
      <c r="P971" s="16" t="str">
        <f t="array" ref="P971">IF(A971="","", IFERROR(INDEX('BM Data'!$N:$N,MATCH(J971&amp; "-" &amp; N971,'BM Data'!$O:$O,0),1),""))</f>
        <v/>
      </c>
      <c r="Q971" s="16"/>
    </row>
    <row r="972">
      <c r="A972" s="10" t="str">
        <f>IFERROR(__xludf.DUMMYFUNCTION("""COMPUTED_VALUE"""),"")</f>
        <v/>
      </c>
      <c r="B972" s="3" t="str">
        <f>IFERROR(__xludf.DUMMYFUNCTION("""COMPUTED_VALUE"""),"")</f>
        <v/>
      </c>
      <c r="C972" s="11" t="str">
        <f>IFERROR(__xludf.DUMMYFUNCTION("""COMPUTED_VALUE"""),"")</f>
        <v/>
      </c>
      <c r="D972" s="11" t="str">
        <f>IFERROR(__xludf.DUMMYFUNCTION("""COMPUTED_VALUE"""),"")</f>
        <v/>
      </c>
      <c r="E972" s="11" t="str">
        <f>IFERROR(__xludf.DUMMYFUNCTION("""COMPUTED_VALUE"""),"")</f>
        <v/>
      </c>
      <c r="F972" s="11" t="str">
        <f>IFERROR(__xludf.DUMMYFUNCTION("""COMPUTED_VALUE"""),"")</f>
        <v/>
      </c>
      <c r="G972" s="11" t="str">
        <f>IFERROR(__xludf.DUMMYFUNCTION("""COMPUTED_VALUE"""),"")</f>
        <v/>
      </c>
      <c r="H972" s="12" t="str">
        <f>IFERROR(__xludf.DUMMYFUNCTION("""COMPUTED_VALUE"""),"")</f>
        <v/>
      </c>
      <c r="I972" s="12" t="str">
        <f>IFERROR(__xludf.DUMMYFUNCTION("""COMPUTED_VALUE"""),"")</f>
        <v/>
      </c>
      <c r="J972" s="13" t="str">
        <f t="shared" si="1"/>
        <v/>
      </c>
      <c r="K972" s="12" t="str">
        <f>IFERROR(IF(A972="","",if($G972="",Reference!$J$2, VLOOKUP($G972,Reference!$I$2:$J$1000,2,false))),"")</f>
        <v/>
      </c>
      <c r="L972" s="12" t="str">
        <f>IF(A972="","", IF(F972="",Reference!$M$2,F972))</f>
        <v/>
      </c>
      <c r="M972" s="14" t="str">
        <f t="shared" si="2"/>
        <v/>
      </c>
      <c r="N972" s="15" t="str">
        <f t="shared" si="3"/>
        <v/>
      </c>
      <c r="O972" s="14" t="str">
        <f t="shared" si="4"/>
        <v/>
      </c>
      <c r="P972" s="16" t="str">
        <f t="array" ref="P972">IF(A972="","", IFERROR(INDEX('BM Data'!$N:$N,MATCH(J972&amp; "-" &amp; N972,'BM Data'!$O:$O,0),1),""))</f>
        <v/>
      </c>
      <c r="Q972" s="16"/>
    </row>
    <row r="973">
      <c r="A973" s="10" t="str">
        <f>IFERROR(__xludf.DUMMYFUNCTION("""COMPUTED_VALUE"""),"")</f>
        <v/>
      </c>
      <c r="B973" s="3" t="str">
        <f>IFERROR(__xludf.DUMMYFUNCTION("""COMPUTED_VALUE"""),"")</f>
        <v/>
      </c>
      <c r="C973" s="11" t="str">
        <f>IFERROR(__xludf.DUMMYFUNCTION("""COMPUTED_VALUE"""),"")</f>
        <v/>
      </c>
      <c r="D973" s="11" t="str">
        <f>IFERROR(__xludf.DUMMYFUNCTION("""COMPUTED_VALUE"""),"")</f>
        <v/>
      </c>
      <c r="E973" s="11" t="str">
        <f>IFERROR(__xludf.DUMMYFUNCTION("""COMPUTED_VALUE"""),"")</f>
        <v/>
      </c>
      <c r="F973" s="11" t="str">
        <f>IFERROR(__xludf.DUMMYFUNCTION("""COMPUTED_VALUE"""),"")</f>
        <v/>
      </c>
      <c r="G973" s="11" t="str">
        <f>IFERROR(__xludf.DUMMYFUNCTION("""COMPUTED_VALUE"""),"")</f>
        <v/>
      </c>
      <c r="H973" s="12" t="str">
        <f>IFERROR(__xludf.DUMMYFUNCTION("""COMPUTED_VALUE"""),"")</f>
        <v/>
      </c>
      <c r="I973" s="12" t="str">
        <f>IFERROR(__xludf.DUMMYFUNCTION("""COMPUTED_VALUE"""),"")</f>
        <v/>
      </c>
      <c r="J973" s="13" t="str">
        <f t="shared" si="1"/>
        <v/>
      </c>
      <c r="K973" s="12" t="str">
        <f>IFERROR(IF(A973="","",if($G973="",Reference!$J$2, VLOOKUP($G973,Reference!$I$2:$J$1000,2,false))),"")</f>
        <v/>
      </c>
      <c r="L973" s="12" t="str">
        <f>IF(A973="","", IF(F973="",Reference!$M$2,F973))</f>
        <v/>
      </c>
      <c r="M973" s="14" t="str">
        <f t="shared" si="2"/>
        <v/>
      </c>
      <c r="N973" s="15" t="str">
        <f t="shared" si="3"/>
        <v/>
      </c>
      <c r="O973" s="14" t="str">
        <f t="shared" si="4"/>
        <v/>
      </c>
      <c r="P973" s="16" t="str">
        <f t="array" ref="P973">IF(A973="","", IFERROR(INDEX('BM Data'!$N:$N,MATCH(J973&amp; "-" &amp; N973,'BM Data'!$O:$O,0),1),""))</f>
        <v/>
      </c>
      <c r="Q973" s="16"/>
    </row>
    <row r="974">
      <c r="A974" s="10" t="str">
        <f>IFERROR(__xludf.DUMMYFUNCTION("""COMPUTED_VALUE"""),"")</f>
        <v/>
      </c>
      <c r="B974" s="3" t="str">
        <f>IFERROR(__xludf.DUMMYFUNCTION("""COMPUTED_VALUE"""),"")</f>
        <v/>
      </c>
      <c r="C974" s="11" t="str">
        <f>IFERROR(__xludf.DUMMYFUNCTION("""COMPUTED_VALUE"""),"")</f>
        <v/>
      </c>
      <c r="D974" s="11" t="str">
        <f>IFERROR(__xludf.DUMMYFUNCTION("""COMPUTED_VALUE"""),"")</f>
        <v/>
      </c>
      <c r="E974" s="11" t="str">
        <f>IFERROR(__xludf.DUMMYFUNCTION("""COMPUTED_VALUE"""),"")</f>
        <v/>
      </c>
      <c r="F974" s="11" t="str">
        <f>IFERROR(__xludf.DUMMYFUNCTION("""COMPUTED_VALUE"""),"")</f>
        <v/>
      </c>
      <c r="G974" s="11" t="str">
        <f>IFERROR(__xludf.DUMMYFUNCTION("""COMPUTED_VALUE"""),"")</f>
        <v/>
      </c>
      <c r="H974" s="12" t="str">
        <f>IFERROR(__xludf.DUMMYFUNCTION("""COMPUTED_VALUE"""),"")</f>
        <v/>
      </c>
      <c r="I974" s="12" t="str">
        <f>IFERROR(__xludf.DUMMYFUNCTION("""COMPUTED_VALUE"""),"")</f>
        <v/>
      </c>
      <c r="J974" s="13" t="str">
        <f t="shared" si="1"/>
        <v/>
      </c>
      <c r="K974" s="12" t="str">
        <f>IFERROR(IF(A974="","",if($G974="",Reference!$J$2, VLOOKUP($G974,Reference!$I$2:$J$1000,2,false))),"")</f>
        <v/>
      </c>
      <c r="L974" s="12" t="str">
        <f>IF(A974="","", IF(F974="",Reference!$M$2,F974))</f>
        <v/>
      </c>
      <c r="M974" s="14" t="str">
        <f t="shared" si="2"/>
        <v/>
      </c>
      <c r="N974" s="15" t="str">
        <f t="shared" si="3"/>
        <v/>
      </c>
      <c r="O974" s="14" t="str">
        <f t="shared" si="4"/>
        <v/>
      </c>
      <c r="P974" s="16" t="str">
        <f t="array" ref="P974">IF(A974="","", IFERROR(INDEX('BM Data'!$N:$N,MATCH(J974&amp; "-" &amp; N974,'BM Data'!$O:$O,0),1),""))</f>
        <v/>
      </c>
      <c r="Q974" s="16"/>
    </row>
    <row r="975">
      <c r="A975" s="10" t="str">
        <f>IFERROR(__xludf.DUMMYFUNCTION("""COMPUTED_VALUE"""),"")</f>
        <v/>
      </c>
      <c r="B975" s="3" t="str">
        <f>IFERROR(__xludf.DUMMYFUNCTION("""COMPUTED_VALUE"""),"")</f>
        <v/>
      </c>
      <c r="C975" s="11" t="str">
        <f>IFERROR(__xludf.DUMMYFUNCTION("""COMPUTED_VALUE"""),"")</f>
        <v/>
      </c>
      <c r="D975" s="11" t="str">
        <f>IFERROR(__xludf.DUMMYFUNCTION("""COMPUTED_VALUE"""),"")</f>
        <v/>
      </c>
      <c r="E975" s="11" t="str">
        <f>IFERROR(__xludf.DUMMYFUNCTION("""COMPUTED_VALUE"""),"")</f>
        <v/>
      </c>
      <c r="F975" s="11" t="str">
        <f>IFERROR(__xludf.DUMMYFUNCTION("""COMPUTED_VALUE"""),"")</f>
        <v/>
      </c>
      <c r="G975" s="11" t="str">
        <f>IFERROR(__xludf.DUMMYFUNCTION("""COMPUTED_VALUE"""),"")</f>
        <v/>
      </c>
      <c r="H975" s="12" t="str">
        <f>IFERROR(__xludf.DUMMYFUNCTION("""COMPUTED_VALUE"""),"")</f>
        <v/>
      </c>
      <c r="I975" s="12" t="str">
        <f>IFERROR(__xludf.DUMMYFUNCTION("""COMPUTED_VALUE"""),"")</f>
        <v/>
      </c>
      <c r="J975" s="13" t="str">
        <f t="shared" si="1"/>
        <v/>
      </c>
      <c r="K975" s="12" t="str">
        <f>IFERROR(IF(A975="","",if($G975="",Reference!$J$2, VLOOKUP($G975,Reference!$I$2:$J$1000,2,false))),"")</f>
        <v/>
      </c>
      <c r="L975" s="12" t="str">
        <f>IF(A975="","", IF(F975="",Reference!$M$2,F975))</f>
        <v/>
      </c>
      <c r="M975" s="14" t="str">
        <f t="shared" si="2"/>
        <v/>
      </c>
      <c r="N975" s="15" t="str">
        <f t="shared" si="3"/>
        <v/>
      </c>
      <c r="O975" s="14" t="str">
        <f t="shared" si="4"/>
        <v/>
      </c>
      <c r="P975" s="16" t="str">
        <f t="array" ref="P975">IF(A975="","", IFERROR(INDEX('BM Data'!$N:$N,MATCH(J975&amp; "-" &amp; N975,'BM Data'!$O:$O,0),1),""))</f>
        <v/>
      </c>
      <c r="Q975" s="16"/>
    </row>
    <row r="976">
      <c r="A976" s="10" t="str">
        <f>IFERROR(__xludf.DUMMYFUNCTION("""COMPUTED_VALUE"""),"")</f>
        <v/>
      </c>
      <c r="B976" s="3" t="str">
        <f>IFERROR(__xludf.DUMMYFUNCTION("""COMPUTED_VALUE"""),"")</f>
        <v/>
      </c>
      <c r="C976" s="11" t="str">
        <f>IFERROR(__xludf.DUMMYFUNCTION("""COMPUTED_VALUE"""),"")</f>
        <v/>
      </c>
      <c r="D976" s="11" t="str">
        <f>IFERROR(__xludf.DUMMYFUNCTION("""COMPUTED_VALUE"""),"")</f>
        <v/>
      </c>
      <c r="E976" s="11" t="str">
        <f>IFERROR(__xludf.DUMMYFUNCTION("""COMPUTED_VALUE"""),"")</f>
        <v/>
      </c>
      <c r="F976" s="11" t="str">
        <f>IFERROR(__xludf.DUMMYFUNCTION("""COMPUTED_VALUE"""),"")</f>
        <v/>
      </c>
      <c r="G976" s="11" t="str">
        <f>IFERROR(__xludf.DUMMYFUNCTION("""COMPUTED_VALUE"""),"")</f>
        <v/>
      </c>
      <c r="H976" s="12" t="str">
        <f>IFERROR(__xludf.DUMMYFUNCTION("""COMPUTED_VALUE"""),"")</f>
        <v/>
      </c>
      <c r="I976" s="12" t="str">
        <f>IFERROR(__xludf.DUMMYFUNCTION("""COMPUTED_VALUE"""),"")</f>
        <v/>
      </c>
      <c r="J976" s="13" t="str">
        <f t="shared" si="1"/>
        <v/>
      </c>
      <c r="K976" s="12" t="str">
        <f>IFERROR(IF(A976="","",if($G976="",Reference!$J$2, VLOOKUP($G976,Reference!$I$2:$J$1000,2,false))),"")</f>
        <v/>
      </c>
      <c r="L976" s="12" t="str">
        <f>IF(A976="","", IF(F976="",Reference!$M$2,F976))</f>
        <v/>
      </c>
      <c r="M976" s="14" t="str">
        <f t="shared" si="2"/>
        <v/>
      </c>
      <c r="N976" s="15" t="str">
        <f t="shared" si="3"/>
        <v/>
      </c>
      <c r="O976" s="14" t="str">
        <f t="shared" si="4"/>
        <v/>
      </c>
      <c r="P976" s="16" t="str">
        <f t="array" ref="P976">IF(A976="","", IFERROR(INDEX('BM Data'!$N:$N,MATCH(J976&amp; "-" &amp; N976,'BM Data'!$O:$O,0),1),""))</f>
        <v/>
      </c>
      <c r="Q976" s="16"/>
    </row>
    <row r="977">
      <c r="A977" s="10" t="str">
        <f>IFERROR(__xludf.DUMMYFUNCTION("""COMPUTED_VALUE"""),"")</f>
        <v/>
      </c>
      <c r="B977" s="3" t="str">
        <f>IFERROR(__xludf.DUMMYFUNCTION("""COMPUTED_VALUE"""),"")</f>
        <v/>
      </c>
      <c r="C977" s="11" t="str">
        <f>IFERROR(__xludf.DUMMYFUNCTION("""COMPUTED_VALUE"""),"")</f>
        <v/>
      </c>
      <c r="D977" s="11" t="str">
        <f>IFERROR(__xludf.DUMMYFUNCTION("""COMPUTED_VALUE"""),"")</f>
        <v/>
      </c>
      <c r="E977" s="11" t="str">
        <f>IFERROR(__xludf.DUMMYFUNCTION("""COMPUTED_VALUE"""),"")</f>
        <v/>
      </c>
      <c r="F977" s="11" t="str">
        <f>IFERROR(__xludf.DUMMYFUNCTION("""COMPUTED_VALUE"""),"")</f>
        <v/>
      </c>
      <c r="G977" s="11" t="str">
        <f>IFERROR(__xludf.DUMMYFUNCTION("""COMPUTED_VALUE"""),"")</f>
        <v/>
      </c>
      <c r="H977" s="12" t="str">
        <f>IFERROR(__xludf.DUMMYFUNCTION("""COMPUTED_VALUE"""),"")</f>
        <v/>
      </c>
      <c r="I977" s="12" t="str">
        <f>IFERROR(__xludf.DUMMYFUNCTION("""COMPUTED_VALUE"""),"")</f>
        <v/>
      </c>
      <c r="J977" s="13" t="str">
        <f t="shared" si="1"/>
        <v/>
      </c>
      <c r="K977" s="12" t="str">
        <f>IFERROR(IF(A977="","",if($G977="",Reference!$J$2, VLOOKUP($G977,Reference!$I$2:$J$1000,2,false))),"")</f>
        <v/>
      </c>
      <c r="L977" s="12" t="str">
        <f>IF(A977="","", IF(F977="",Reference!$M$2,F977))</f>
        <v/>
      </c>
      <c r="M977" s="14" t="str">
        <f t="shared" si="2"/>
        <v/>
      </c>
      <c r="N977" s="15" t="str">
        <f t="shared" si="3"/>
        <v/>
      </c>
      <c r="O977" s="14" t="str">
        <f t="shared" si="4"/>
        <v/>
      </c>
      <c r="P977" s="16" t="str">
        <f t="array" ref="P977">IF(A977="","", IFERROR(INDEX('BM Data'!$N:$N,MATCH(J977&amp; "-" &amp; N977,'BM Data'!$O:$O,0),1),""))</f>
        <v/>
      </c>
      <c r="Q977" s="16"/>
    </row>
    <row r="978">
      <c r="A978" s="10" t="str">
        <f>IFERROR(__xludf.DUMMYFUNCTION("""COMPUTED_VALUE"""),"")</f>
        <v/>
      </c>
      <c r="B978" s="3" t="str">
        <f>IFERROR(__xludf.DUMMYFUNCTION("""COMPUTED_VALUE"""),"")</f>
        <v/>
      </c>
      <c r="C978" s="11" t="str">
        <f>IFERROR(__xludf.DUMMYFUNCTION("""COMPUTED_VALUE"""),"")</f>
        <v/>
      </c>
      <c r="D978" s="11" t="str">
        <f>IFERROR(__xludf.DUMMYFUNCTION("""COMPUTED_VALUE"""),"")</f>
        <v/>
      </c>
      <c r="E978" s="11" t="str">
        <f>IFERROR(__xludf.DUMMYFUNCTION("""COMPUTED_VALUE"""),"")</f>
        <v/>
      </c>
      <c r="F978" s="11" t="str">
        <f>IFERROR(__xludf.DUMMYFUNCTION("""COMPUTED_VALUE"""),"")</f>
        <v/>
      </c>
      <c r="G978" s="11" t="str">
        <f>IFERROR(__xludf.DUMMYFUNCTION("""COMPUTED_VALUE"""),"")</f>
        <v/>
      </c>
      <c r="H978" s="12" t="str">
        <f>IFERROR(__xludf.DUMMYFUNCTION("""COMPUTED_VALUE"""),"")</f>
        <v/>
      </c>
      <c r="I978" s="12" t="str">
        <f>IFERROR(__xludf.DUMMYFUNCTION("""COMPUTED_VALUE"""),"")</f>
        <v/>
      </c>
      <c r="J978" s="13" t="str">
        <f t="shared" si="1"/>
        <v/>
      </c>
      <c r="K978" s="12" t="str">
        <f>IFERROR(IF(A978="","",if($G978="",Reference!$J$2, VLOOKUP($G978,Reference!$I$2:$J$1000,2,false))),"")</f>
        <v/>
      </c>
      <c r="L978" s="12" t="str">
        <f>IF(A978="","", IF(F978="",Reference!$M$2,F978))</f>
        <v/>
      </c>
      <c r="M978" s="14" t="str">
        <f t="shared" si="2"/>
        <v/>
      </c>
      <c r="N978" s="15" t="str">
        <f t="shared" si="3"/>
        <v/>
      </c>
      <c r="O978" s="14" t="str">
        <f t="shared" si="4"/>
        <v/>
      </c>
      <c r="P978" s="16" t="str">
        <f t="array" ref="P978">IF(A978="","", IFERROR(INDEX('BM Data'!$N:$N,MATCH(J978&amp; "-" &amp; N978,'BM Data'!$O:$O,0),1),""))</f>
        <v/>
      </c>
      <c r="Q978" s="16"/>
    </row>
    <row r="979">
      <c r="A979" s="10" t="str">
        <f>IFERROR(__xludf.DUMMYFUNCTION("""COMPUTED_VALUE"""),"")</f>
        <v/>
      </c>
      <c r="B979" s="3" t="str">
        <f>IFERROR(__xludf.DUMMYFUNCTION("""COMPUTED_VALUE"""),"")</f>
        <v/>
      </c>
      <c r="C979" s="11" t="str">
        <f>IFERROR(__xludf.DUMMYFUNCTION("""COMPUTED_VALUE"""),"")</f>
        <v/>
      </c>
      <c r="D979" s="11" t="str">
        <f>IFERROR(__xludf.DUMMYFUNCTION("""COMPUTED_VALUE"""),"")</f>
        <v/>
      </c>
      <c r="E979" s="11" t="str">
        <f>IFERROR(__xludf.DUMMYFUNCTION("""COMPUTED_VALUE"""),"")</f>
        <v/>
      </c>
      <c r="F979" s="11" t="str">
        <f>IFERROR(__xludf.DUMMYFUNCTION("""COMPUTED_VALUE"""),"")</f>
        <v/>
      </c>
      <c r="G979" s="11" t="str">
        <f>IFERROR(__xludf.DUMMYFUNCTION("""COMPUTED_VALUE"""),"")</f>
        <v/>
      </c>
      <c r="H979" s="12" t="str">
        <f>IFERROR(__xludf.DUMMYFUNCTION("""COMPUTED_VALUE"""),"")</f>
        <v/>
      </c>
      <c r="I979" s="12" t="str">
        <f>IFERROR(__xludf.DUMMYFUNCTION("""COMPUTED_VALUE"""),"")</f>
        <v/>
      </c>
      <c r="J979" s="13" t="str">
        <f t="shared" si="1"/>
        <v/>
      </c>
      <c r="K979" s="12" t="str">
        <f>IFERROR(IF(A979="","",if($G979="",Reference!$J$2, VLOOKUP($G979,Reference!$I$2:$J$1000,2,false))),"")</f>
        <v/>
      </c>
      <c r="L979" s="12" t="str">
        <f>IF(A979="","", IF(F979="",Reference!$M$2,F979))</f>
        <v/>
      </c>
      <c r="M979" s="14" t="str">
        <f t="shared" si="2"/>
        <v/>
      </c>
      <c r="N979" s="15" t="str">
        <f t="shared" si="3"/>
        <v/>
      </c>
      <c r="O979" s="14" t="str">
        <f t="shared" si="4"/>
        <v/>
      </c>
      <c r="P979" s="16" t="str">
        <f t="array" ref="P979">IF(A979="","", IFERROR(INDEX('BM Data'!$N:$N,MATCH(J979&amp; "-" &amp; N979,'BM Data'!$O:$O,0),1),""))</f>
        <v/>
      </c>
      <c r="Q979" s="16"/>
    </row>
    <row r="980">
      <c r="A980" s="10" t="str">
        <f>IFERROR(__xludf.DUMMYFUNCTION("""COMPUTED_VALUE"""),"")</f>
        <v/>
      </c>
      <c r="B980" s="3" t="str">
        <f>IFERROR(__xludf.DUMMYFUNCTION("""COMPUTED_VALUE"""),"")</f>
        <v/>
      </c>
      <c r="C980" s="11" t="str">
        <f>IFERROR(__xludf.DUMMYFUNCTION("""COMPUTED_VALUE"""),"")</f>
        <v/>
      </c>
      <c r="D980" s="11" t="str">
        <f>IFERROR(__xludf.DUMMYFUNCTION("""COMPUTED_VALUE"""),"")</f>
        <v/>
      </c>
      <c r="E980" s="11" t="str">
        <f>IFERROR(__xludf.DUMMYFUNCTION("""COMPUTED_VALUE"""),"")</f>
        <v/>
      </c>
      <c r="F980" s="11" t="str">
        <f>IFERROR(__xludf.DUMMYFUNCTION("""COMPUTED_VALUE"""),"")</f>
        <v/>
      </c>
      <c r="G980" s="11" t="str">
        <f>IFERROR(__xludf.DUMMYFUNCTION("""COMPUTED_VALUE"""),"")</f>
        <v/>
      </c>
      <c r="H980" s="12" t="str">
        <f>IFERROR(__xludf.DUMMYFUNCTION("""COMPUTED_VALUE"""),"")</f>
        <v/>
      </c>
      <c r="I980" s="12" t="str">
        <f>IFERROR(__xludf.DUMMYFUNCTION("""COMPUTED_VALUE"""),"")</f>
        <v/>
      </c>
      <c r="J980" s="13" t="str">
        <f t="shared" si="1"/>
        <v/>
      </c>
      <c r="K980" s="12" t="str">
        <f>IFERROR(IF(A980="","",if($G980="",Reference!$J$2, VLOOKUP($G980,Reference!$I$2:$J$1000,2,false))),"")</f>
        <v/>
      </c>
      <c r="L980" s="12" t="str">
        <f>IF(A980="","", IF(F980="",Reference!$M$2,F980))</f>
        <v/>
      </c>
      <c r="M980" s="14" t="str">
        <f t="shared" si="2"/>
        <v/>
      </c>
      <c r="N980" s="15" t="str">
        <f t="shared" si="3"/>
        <v/>
      </c>
      <c r="O980" s="14" t="str">
        <f t="shared" si="4"/>
        <v/>
      </c>
      <c r="P980" s="16" t="str">
        <f t="array" ref="P980">IF(A980="","", IFERROR(INDEX('BM Data'!$N:$N,MATCH(J980&amp; "-" &amp; N980,'BM Data'!$O:$O,0),1),""))</f>
        <v/>
      </c>
      <c r="Q980" s="16"/>
    </row>
    <row r="981">
      <c r="A981" s="10" t="str">
        <f>IFERROR(__xludf.DUMMYFUNCTION("""COMPUTED_VALUE"""),"")</f>
        <v/>
      </c>
      <c r="B981" s="3" t="str">
        <f>IFERROR(__xludf.DUMMYFUNCTION("""COMPUTED_VALUE"""),"")</f>
        <v/>
      </c>
      <c r="C981" s="11" t="str">
        <f>IFERROR(__xludf.DUMMYFUNCTION("""COMPUTED_VALUE"""),"")</f>
        <v/>
      </c>
      <c r="D981" s="11" t="str">
        <f>IFERROR(__xludf.DUMMYFUNCTION("""COMPUTED_VALUE"""),"")</f>
        <v/>
      </c>
      <c r="E981" s="11" t="str">
        <f>IFERROR(__xludf.DUMMYFUNCTION("""COMPUTED_VALUE"""),"")</f>
        <v/>
      </c>
      <c r="F981" s="11" t="str">
        <f>IFERROR(__xludf.DUMMYFUNCTION("""COMPUTED_VALUE"""),"")</f>
        <v/>
      </c>
      <c r="G981" s="11" t="str">
        <f>IFERROR(__xludf.DUMMYFUNCTION("""COMPUTED_VALUE"""),"")</f>
        <v/>
      </c>
      <c r="H981" s="12" t="str">
        <f>IFERROR(__xludf.DUMMYFUNCTION("""COMPUTED_VALUE"""),"")</f>
        <v/>
      </c>
      <c r="I981" s="12" t="str">
        <f>IFERROR(__xludf.DUMMYFUNCTION("""COMPUTED_VALUE"""),"")</f>
        <v/>
      </c>
      <c r="J981" s="13" t="str">
        <f t="shared" si="1"/>
        <v/>
      </c>
      <c r="K981" s="12" t="str">
        <f>IFERROR(IF(A981="","",if($G981="",Reference!$J$2, VLOOKUP($G981,Reference!$I$2:$J$1000,2,false))),"")</f>
        <v/>
      </c>
      <c r="L981" s="12" t="str">
        <f>IF(A981="","", IF(F981="",Reference!$M$2,F981))</f>
        <v/>
      </c>
      <c r="M981" s="14" t="str">
        <f t="shared" si="2"/>
        <v/>
      </c>
      <c r="N981" s="15" t="str">
        <f t="shared" si="3"/>
        <v/>
      </c>
      <c r="O981" s="14" t="str">
        <f t="shared" si="4"/>
        <v/>
      </c>
      <c r="P981" s="16" t="str">
        <f t="array" ref="P981">IF(A981="","", IFERROR(INDEX('BM Data'!$N:$N,MATCH(J981&amp; "-" &amp; N981,'BM Data'!$O:$O,0),1),""))</f>
        <v/>
      </c>
      <c r="Q981" s="16"/>
    </row>
    <row r="982">
      <c r="A982" s="10" t="str">
        <f>IFERROR(__xludf.DUMMYFUNCTION("""COMPUTED_VALUE"""),"")</f>
        <v/>
      </c>
      <c r="B982" s="3" t="str">
        <f>IFERROR(__xludf.DUMMYFUNCTION("""COMPUTED_VALUE"""),"")</f>
        <v/>
      </c>
      <c r="C982" s="11" t="str">
        <f>IFERROR(__xludf.DUMMYFUNCTION("""COMPUTED_VALUE"""),"")</f>
        <v/>
      </c>
      <c r="D982" s="11" t="str">
        <f>IFERROR(__xludf.DUMMYFUNCTION("""COMPUTED_VALUE"""),"")</f>
        <v/>
      </c>
      <c r="E982" s="11" t="str">
        <f>IFERROR(__xludf.DUMMYFUNCTION("""COMPUTED_VALUE"""),"")</f>
        <v/>
      </c>
      <c r="F982" s="11" t="str">
        <f>IFERROR(__xludf.DUMMYFUNCTION("""COMPUTED_VALUE"""),"")</f>
        <v/>
      </c>
      <c r="G982" s="11" t="str">
        <f>IFERROR(__xludf.DUMMYFUNCTION("""COMPUTED_VALUE"""),"")</f>
        <v/>
      </c>
      <c r="H982" s="12" t="str">
        <f>IFERROR(__xludf.DUMMYFUNCTION("""COMPUTED_VALUE"""),"")</f>
        <v/>
      </c>
      <c r="I982" s="12" t="str">
        <f>IFERROR(__xludf.DUMMYFUNCTION("""COMPUTED_VALUE"""),"")</f>
        <v/>
      </c>
      <c r="J982" s="13" t="str">
        <f t="shared" si="1"/>
        <v/>
      </c>
      <c r="K982" s="12" t="str">
        <f>IFERROR(IF(A982="","",if($G982="",Reference!$J$2, VLOOKUP($G982,Reference!$I$2:$J$1000,2,false))),"")</f>
        <v/>
      </c>
      <c r="L982" s="12" t="str">
        <f>IF(A982="","", IF(F982="",Reference!$M$2,F982))</f>
        <v/>
      </c>
      <c r="M982" s="14" t="str">
        <f t="shared" si="2"/>
        <v/>
      </c>
      <c r="N982" s="15" t="str">
        <f t="shared" si="3"/>
        <v/>
      </c>
      <c r="O982" s="14" t="str">
        <f t="shared" si="4"/>
        <v/>
      </c>
      <c r="P982" s="16" t="str">
        <f t="array" ref="P982">IF(A982="","", IFERROR(INDEX('BM Data'!$N:$N,MATCH(J982&amp; "-" &amp; N982,'BM Data'!$O:$O,0),1),""))</f>
        <v/>
      </c>
      <c r="Q982" s="16"/>
    </row>
    <row r="983">
      <c r="A983" s="10" t="str">
        <f>IFERROR(__xludf.DUMMYFUNCTION("""COMPUTED_VALUE"""),"")</f>
        <v/>
      </c>
      <c r="B983" s="3" t="str">
        <f>IFERROR(__xludf.DUMMYFUNCTION("""COMPUTED_VALUE"""),"")</f>
        <v/>
      </c>
      <c r="C983" s="11" t="str">
        <f>IFERROR(__xludf.DUMMYFUNCTION("""COMPUTED_VALUE"""),"")</f>
        <v/>
      </c>
      <c r="D983" s="11" t="str">
        <f>IFERROR(__xludf.DUMMYFUNCTION("""COMPUTED_VALUE"""),"")</f>
        <v/>
      </c>
      <c r="E983" s="11" t="str">
        <f>IFERROR(__xludf.DUMMYFUNCTION("""COMPUTED_VALUE"""),"")</f>
        <v/>
      </c>
      <c r="F983" s="11" t="str">
        <f>IFERROR(__xludf.DUMMYFUNCTION("""COMPUTED_VALUE"""),"")</f>
        <v/>
      </c>
      <c r="G983" s="11" t="str">
        <f>IFERROR(__xludf.DUMMYFUNCTION("""COMPUTED_VALUE"""),"")</f>
        <v/>
      </c>
      <c r="H983" s="12" t="str">
        <f>IFERROR(__xludf.DUMMYFUNCTION("""COMPUTED_VALUE"""),"")</f>
        <v/>
      </c>
      <c r="I983" s="12" t="str">
        <f>IFERROR(__xludf.DUMMYFUNCTION("""COMPUTED_VALUE"""),"")</f>
        <v/>
      </c>
      <c r="J983" s="13" t="str">
        <f t="shared" si="1"/>
        <v/>
      </c>
      <c r="K983" s="12" t="str">
        <f>IFERROR(IF(A983="","",if($G983="",Reference!$J$2, VLOOKUP($G983,Reference!$I$2:$J$1000,2,false))),"")</f>
        <v/>
      </c>
      <c r="L983" s="12" t="str">
        <f>IF(A983="","", IF(F983="",Reference!$M$2,F983))</f>
        <v/>
      </c>
      <c r="M983" s="14" t="str">
        <f t="shared" si="2"/>
        <v/>
      </c>
      <c r="N983" s="15" t="str">
        <f t="shared" si="3"/>
        <v/>
      </c>
      <c r="O983" s="14" t="str">
        <f t="shared" si="4"/>
        <v/>
      </c>
      <c r="P983" s="16" t="str">
        <f t="array" ref="P983">IF(A983="","", IFERROR(INDEX('BM Data'!$N:$N,MATCH(J983&amp; "-" &amp; N983,'BM Data'!$O:$O,0),1),""))</f>
        <v/>
      </c>
      <c r="Q983" s="16"/>
    </row>
    <row r="984">
      <c r="A984" s="10" t="str">
        <f>IFERROR(__xludf.DUMMYFUNCTION("""COMPUTED_VALUE"""),"")</f>
        <v/>
      </c>
      <c r="B984" s="3" t="str">
        <f>IFERROR(__xludf.DUMMYFUNCTION("""COMPUTED_VALUE"""),"")</f>
        <v/>
      </c>
      <c r="C984" s="11" t="str">
        <f>IFERROR(__xludf.DUMMYFUNCTION("""COMPUTED_VALUE"""),"")</f>
        <v/>
      </c>
      <c r="D984" s="11" t="str">
        <f>IFERROR(__xludf.DUMMYFUNCTION("""COMPUTED_VALUE"""),"")</f>
        <v/>
      </c>
      <c r="E984" s="11" t="str">
        <f>IFERROR(__xludf.DUMMYFUNCTION("""COMPUTED_VALUE"""),"")</f>
        <v/>
      </c>
      <c r="F984" s="11" t="str">
        <f>IFERROR(__xludf.DUMMYFUNCTION("""COMPUTED_VALUE"""),"")</f>
        <v/>
      </c>
      <c r="G984" s="11" t="str">
        <f>IFERROR(__xludf.DUMMYFUNCTION("""COMPUTED_VALUE"""),"")</f>
        <v/>
      </c>
      <c r="H984" s="12" t="str">
        <f>IFERROR(__xludf.DUMMYFUNCTION("""COMPUTED_VALUE"""),"")</f>
        <v/>
      </c>
      <c r="I984" s="12" t="str">
        <f>IFERROR(__xludf.DUMMYFUNCTION("""COMPUTED_VALUE"""),"")</f>
        <v/>
      </c>
      <c r="J984" s="13" t="str">
        <f t="shared" si="1"/>
        <v/>
      </c>
      <c r="K984" s="12" t="str">
        <f>IFERROR(IF(A984="","",if($G984="",Reference!$J$2, VLOOKUP($G984,Reference!$I$2:$J$1000,2,false))),"")</f>
        <v/>
      </c>
      <c r="L984" s="12" t="str">
        <f>IF(A984="","", IF(F984="",Reference!$M$2,F984))</f>
        <v/>
      </c>
      <c r="M984" s="14" t="str">
        <f t="shared" si="2"/>
        <v/>
      </c>
      <c r="N984" s="15" t="str">
        <f t="shared" si="3"/>
        <v/>
      </c>
      <c r="O984" s="14" t="str">
        <f t="shared" si="4"/>
        <v/>
      </c>
      <c r="P984" s="16" t="str">
        <f t="array" ref="P984">IF(A984="","", IFERROR(INDEX('BM Data'!$N:$N,MATCH(J984&amp; "-" &amp; N984,'BM Data'!$O:$O,0),1),""))</f>
        <v/>
      </c>
      <c r="Q984" s="16"/>
    </row>
    <row r="985">
      <c r="A985" s="10" t="str">
        <f>IFERROR(__xludf.DUMMYFUNCTION("""COMPUTED_VALUE"""),"")</f>
        <v/>
      </c>
      <c r="B985" s="3" t="str">
        <f>IFERROR(__xludf.DUMMYFUNCTION("""COMPUTED_VALUE"""),"")</f>
        <v/>
      </c>
      <c r="C985" s="11" t="str">
        <f>IFERROR(__xludf.DUMMYFUNCTION("""COMPUTED_VALUE"""),"")</f>
        <v/>
      </c>
      <c r="D985" s="11" t="str">
        <f>IFERROR(__xludf.DUMMYFUNCTION("""COMPUTED_VALUE"""),"")</f>
        <v/>
      </c>
      <c r="E985" s="11" t="str">
        <f>IFERROR(__xludf.DUMMYFUNCTION("""COMPUTED_VALUE"""),"")</f>
        <v/>
      </c>
      <c r="F985" s="11" t="str">
        <f>IFERROR(__xludf.DUMMYFUNCTION("""COMPUTED_VALUE"""),"")</f>
        <v/>
      </c>
      <c r="G985" s="11" t="str">
        <f>IFERROR(__xludf.DUMMYFUNCTION("""COMPUTED_VALUE"""),"")</f>
        <v/>
      </c>
      <c r="H985" s="12" t="str">
        <f>IFERROR(__xludf.DUMMYFUNCTION("""COMPUTED_VALUE"""),"")</f>
        <v/>
      </c>
      <c r="I985" s="12" t="str">
        <f>IFERROR(__xludf.DUMMYFUNCTION("""COMPUTED_VALUE"""),"")</f>
        <v/>
      </c>
      <c r="J985" s="13" t="str">
        <f t="shared" si="1"/>
        <v/>
      </c>
      <c r="K985" s="12" t="str">
        <f>IFERROR(IF(A985="","",if($G985="",Reference!$J$2, VLOOKUP($G985,Reference!$I$2:$J$1000,2,false))),"")</f>
        <v/>
      </c>
      <c r="L985" s="12" t="str">
        <f>IF(A985="","", IF(F985="",Reference!$M$2,F985))</f>
        <v/>
      </c>
      <c r="M985" s="14" t="str">
        <f t="shared" si="2"/>
        <v/>
      </c>
      <c r="N985" s="15" t="str">
        <f t="shared" si="3"/>
        <v/>
      </c>
      <c r="O985" s="14" t="str">
        <f t="shared" si="4"/>
        <v/>
      </c>
      <c r="P985" s="16" t="str">
        <f t="array" ref="P985">IF(A985="","", IFERROR(INDEX('BM Data'!$N:$N,MATCH(J985&amp; "-" &amp; N985,'BM Data'!$O:$O,0),1),""))</f>
        <v/>
      </c>
      <c r="Q985" s="16"/>
    </row>
    <row r="986">
      <c r="A986" s="10" t="str">
        <f>IFERROR(__xludf.DUMMYFUNCTION("""COMPUTED_VALUE"""),"")</f>
        <v/>
      </c>
      <c r="B986" s="3" t="str">
        <f>IFERROR(__xludf.DUMMYFUNCTION("""COMPUTED_VALUE"""),"")</f>
        <v/>
      </c>
      <c r="C986" s="11" t="str">
        <f>IFERROR(__xludf.DUMMYFUNCTION("""COMPUTED_VALUE"""),"")</f>
        <v/>
      </c>
      <c r="D986" s="11" t="str">
        <f>IFERROR(__xludf.DUMMYFUNCTION("""COMPUTED_VALUE"""),"")</f>
        <v/>
      </c>
      <c r="E986" s="11" t="str">
        <f>IFERROR(__xludf.DUMMYFUNCTION("""COMPUTED_VALUE"""),"")</f>
        <v/>
      </c>
      <c r="F986" s="11" t="str">
        <f>IFERROR(__xludf.DUMMYFUNCTION("""COMPUTED_VALUE"""),"")</f>
        <v/>
      </c>
      <c r="G986" s="11" t="str">
        <f>IFERROR(__xludf.DUMMYFUNCTION("""COMPUTED_VALUE"""),"")</f>
        <v/>
      </c>
      <c r="H986" s="12" t="str">
        <f>IFERROR(__xludf.DUMMYFUNCTION("""COMPUTED_VALUE"""),"")</f>
        <v/>
      </c>
      <c r="I986" s="12" t="str">
        <f>IFERROR(__xludf.DUMMYFUNCTION("""COMPUTED_VALUE"""),"")</f>
        <v/>
      </c>
      <c r="J986" s="13" t="str">
        <f t="shared" si="1"/>
        <v/>
      </c>
      <c r="K986" s="12" t="str">
        <f>IFERROR(IF(A986="","",if($G986="",Reference!$J$2, VLOOKUP($G986,Reference!$I$2:$J$1000,2,false))),"")</f>
        <v/>
      </c>
      <c r="L986" s="12" t="str">
        <f>IF(A986="","", IF(F986="",Reference!$M$2,F986))</f>
        <v/>
      </c>
      <c r="M986" s="14" t="str">
        <f t="shared" si="2"/>
        <v/>
      </c>
      <c r="N986" s="15" t="str">
        <f t="shared" si="3"/>
        <v/>
      </c>
      <c r="O986" s="14" t="str">
        <f t="shared" si="4"/>
        <v/>
      </c>
      <c r="P986" s="16" t="str">
        <f t="array" ref="P986">IF(A986="","", IFERROR(INDEX('BM Data'!$N:$N,MATCH(J986&amp; "-" &amp; N986,'BM Data'!$O:$O,0),1),""))</f>
        <v/>
      </c>
      <c r="Q986" s="16"/>
    </row>
    <row r="987">
      <c r="A987" s="10" t="str">
        <f>IFERROR(__xludf.DUMMYFUNCTION("""COMPUTED_VALUE"""),"")</f>
        <v/>
      </c>
      <c r="B987" s="3" t="str">
        <f>IFERROR(__xludf.DUMMYFUNCTION("""COMPUTED_VALUE"""),"")</f>
        <v/>
      </c>
      <c r="C987" s="11" t="str">
        <f>IFERROR(__xludf.DUMMYFUNCTION("""COMPUTED_VALUE"""),"")</f>
        <v/>
      </c>
      <c r="D987" s="11" t="str">
        <f>IFERROR(__xludf.DUMMYFUNCTION("""COMPUTED_VALUE"""),"")</f>
        <v/>
      </c>
      <c r="E987" s="11" t="str">
        <f>IFERROR(__xludf.DUMMYFUNCTION("""COMPUTED_VALUE"""),"")</f>
        <v/>
      </c>
      <c r="F987" s="11" t="str">
        <f>IFERROR(__xludf.DUMMYFUNCTION("""COMPUTED_VALUE"""),"")</f>
        <v/>
      </c>
      <c r="G987" s="11" t="str">
        <f>IFERROR(__xludf.DUMMYFUNCTION("""COMPUTED_VALUE"""),"")</f>
        <v/>
      </c>
      <c r="H987" s="12" t="str">
        <f>IFERROR(__xludf.DUMMYFUNCTION("""COMPUTED_VALUE"""),"")</f>
        <v/>
      </c>
      <c r="I987" s="12" t="str">
        <f>IFERROR(__xludf.DUMMYFUNCTION("""COMPUTED_VALUE"""),"")</f>
        <v/>
      </c>
      <c r="J987" s="13" t="str">
        <f t="shared" si="1"/>
        <v/>
      </c>
      <c r="K987" s="12" t="str">
        <f>IFERROR(IF(A987="","",if($G987="",Reference!$J$2, VLOOKUP($G987,Reference!$I$2:$J$1000,2,false))),"")</f>
        <v/>
      </c>
      <c r="L987" s="12" t="str">
        <f>IF(A987="","", IF(F987="",Reference!$M$2,F987))</f>
        <v/>
      </c>
      <c r="M987" s="14" t="str">
        <f t="shared" si="2"/>
        <v/>
      </c>
      <c r="N987" s="15" t="str">
        <f t="shared" si="3"/>
        <v/>
      </c>
      <c r="O987" s="14" t="str">
        <f t="shared" si="4"/>
        <v/>
      </c>
      <c r="P987" s="16" t="str">
        <f t="array" ref="P987">IF(A987="","", IFERROR(INDEX('BM Data'!$N:$N,MATCH(J987&amp; "-" &amp; N987,'BM Data'!$O:$O,0),1),""))</f>
        <v/>
      </c>
      <c r="Q987" s="16"/>
    </row>
    <row r="988">
      <c r="A988" s="10" t="str">
        <f>IFERROR(__xludf.DUMMYFUNCTION("""COMPUTED_VALUE"""),"")</f>
        <v/>
      </c>
      <c r="B988" s="3" t="str">
        <f>IFERROR(__xludf.DUMMYFUNCTION("""COMPUTED_VALUE"""),"")</f>
        <v/>
      </c>
      <c r="C988" s="11" t="str">
        <f>IFERROR(__xludf.DUMMYFUNCTION("""COMPUTED_VALUE"""),"")</f>
        <v/>
      </c>
      <c r="D988" s="11" t="str">
        <f>IFERROR(__xludf.DUMMYFUNCTION("""COMPUTED_VALUE"""),"")</f>
        <v/>
      </c>
      <c r="E988" s="11" t="str">
        <f>IFERROR(__xludf.DUMMYFUNCTION("""COMPUTED_VALUE"""),"")</f>
        <v/>
      </c>
      <c r="F988" s="11" t="str">
        <f>IFERROR(__xludf.DUMMYFUNCTION("""COMPUTED_VALUE"""),"")</f>
        <v/>
      </c>
      <c r="G988" s="11" t="str">
        <f>IFERROR(__xludf.DUMMYFUNCTION("""COMPUTED_VALUE"""),"")</f>
        <v/>
      </c>
      <c r="H988" s="12" t="str">
        <f>IFERROR(__xludf.DUMMYFUNCTION("""COMPUTED_VALUE"""),"")</f>
        <v/>
      </c>
      <c r="I988" s="12" t="str">
        <f>IFERROR(__xludf.DUMMYFUNCTION("""COMPUTED_VALUE"""),"")</f>
        <v/>
      </c>
      <c r="J988" s="13" t="str">
        <f t="shared" si="1"/>
        <v/>
      </c>
      <c r="K988" s="12" t="str">
        <f>IFERROR(IF(A988="","",if($G988="",Reference!$J$2, VLOOKUP($G988,Reference!$I$2:$J$1000,2,false))),"")</f>
        <v/>
      </c>
      <c r="L988" s="12" t="str">
        <f>IF(A988="","", IF(F988="",Reference!$M$2,F988))</f>
        <v/>
      </c>
      <c r="M988" s="14" t="str">
        <f t="shared" si="2"/>
        <v/>
      </c>
      <c r="N988" s="15" t="str">
        <f t="shared" si="3"/>
        <v/>
      </c>
      <c r="O988" s="14" t="str">
        <f t="shared" si="4"/>
        <v/>
      </c>
      <c r="P988" s="16" t="str">
        <f t="array" ref="P988">IF(A988="","", IFERROR(INDEX('BM Data'!$N:$N,MATCH(J988&amp; "-" &amp; N988,'BM Data'!$O:$O,0),1),""))</f>
        <v/>
      </c>
      <c r="Q988" s="16"/>
    </row>
    <row r="989">
      <c r="A989" s="10" t="str">
        <f>IFERROR(__xludf.DUMMYFUNCTION("""COMPUTED_VALUE"""),"")</f>
        <v/>
      </c>
      <c r="B989" s="3" t="str">
        <f>IFERROR(__xludf.DUMMYFUNCTION("""COMPUTED_VALUE"""),"")</f>
        <v/>
      </c>
      <c r="C989" s="11" t="str">
        <f>IFERROR(__xludf.DUMMYFUNCTION("""COMPUTED_VALUE"""),"")</f>
        <v/>
      </c>
      <c r="D989" s="11" t="str">
        <f>IFERROR(__xludf.DUMMYFUNCTION("""COMPUTED_VALUE"""),"")</f>
        <v/>
      </c>
      <c r="E989" s="11" t="str">
        <f>IFERROR(__xludf.DUMMYFUNCTION("""COMPUTED_VALUE"""),"")</f>
        <v/>
      </c>
      <c r="F989" s="11" t="str">
        <f>IFERROR(__xludf.DUMMYFUNCTION("""COMPUTED_VALUE"""),"")</f>
        <v/>
      </c>
      <c r="G989" s="11" t="str">
        <f>IFERROR(__xludf.DUMMYFUNCTION("""COMPUTED_VALUE"""),"")</f>
        <v/>
      </c>
      <c r="H989" s="12" t="str">
        <f>IFERROR(__xludf.DUMMYFUNCTION("""COMPUTED_VALUE"""),"")</f>
        <v/>
      </c>
      <c r="I989" s="12" t="str">
        <f>IFERROR(__xludf.DUMMYFUNCTION("""COMPUTED_VALUE"""),"")</f>
        <v/>
      </c>
      <c r="J989" s="13" t="str">
        <f t="shared" si="1"/>
        <v/>
      </c>
      <c r="K989" s="12" t="str">
        <f>IFERROR(IF(A989="","",if($G989="",Reference!$J$2, VLOOKUP($G989,Reference!$I$2:$J$1000,2,false))),"")</f>
        <v/>
      </c>
      <c r="L989" s="12" t="str">
        <f>IF(A989="","", IF(F989="",Reference!$M$2,F989))</f>
        <v/>
      </c>
      <c r="M989" s="14" t="str">
        <f t="shared" si="2"/>
        <v/>
      </c>
      <c r="N989" s="15" t="str">
        <f t="shared" si="3"/>
        <v/>
      </c>
      <c r="O989" s="14" t="str">
        <f t="shared" si="4"/>
        <v/>
      </c>
      <c r="P989" s="16" t="str">
        <f t="array" ref="P989">IF(A989="","", IFERROR(INDEX('BM Data'!$N:$N,MATCH(J989&amp; "-" &amp; N989,'BM Data'!$O:$O,0),1),""))</f>
        <v/>
      </c>
      <c r="Q989" s="16"/>
    </row>
    <row r="990">
      <c r="A990" s="10" t="str">
        <f>IFERROR(__xludf.DUMMYFUNCTION("""COMPUTED_VALUE"""),"")</f>
        <v/>
      </c>
      <c r="B990" s="3" t="str">
        <f>IFERROR(__xludf.DUMMYFUNCTION("""COMPUTED_VALUE"""),"")</f>
        <v/>
      </c>
      <c r="C990" s="11" t="str">
        <f>IFERROR(__xludf.DUMMYFUNCTION("""COMPUTED_VALUE"""),"")</f>
        <v/>
      </c>
      <c r="D990" s="11" t="str">
        <f>IFERROR(__xludf.DUMMYFUNCTION("""COMPUTED_VALUE"""),"")</f>
        <v/>
      </c>
      <c r="E990" s="11" t="str">
        <f>IFERROR(__xludf.DUMMYFUNCTION("""COMPUTED_VALUE"""),"")</f>
        <v/>
      </c>
      <c r="F990" s="11" t="str">
        <f>IFERROR(__xludf.DUMMYFUNCTION("""COMPUTED_VALUE"""),"")</f>
        <v/>
      </c>
      <c r="G990" s="11" t="str">
        <f>IFERROR(__xludf.DUMMYFUNCTION("""COMPUTED_VALUE"""),"")</f>
        <v/>
      </c>
      <c r="H990" s="12" t="str">
        <f>IFERROR(__xludf.DUMMYFUNCTION("""COMPUTED_VALUE"""),"")</f>
        <v/>
      </c>
      <c r="I990" s="12" t="str">
        <f>IFERROR(__xludf.DUMMYFUNCTION("""COMPUTED_VALUE"""),"")</f>
        <v/>
      </c>
      <c r="J990" s="13" t="str">
        <f t="shared" si="1"/>
        <v/>
      </c>
      <c r="K990" s="12" t="str">
        <f>IFERROR(IF(A990="","",if($G990="",Reference!$J$2, VLOOKUP($G990,Reference!$I$2:$J$1000,2,false))),"")</f>
        <v/>
      </c>
      <c r="L990" s="12" t="str">
        <f>IF(A990="","", IF(F990="",Reference!$M$2,F990))</f>
        <v/>
      </c>
      <c r="M990" s="14" t="str">
        <f t="shared" si="2"/>
        <v/>
      </c>
      <c r="N990" s="15" t="str">
        <f t="shared" si="3"/>
        <v/>
      </c>
      <c r="O990" s="14" t="str">
        <f t="shared" si="4"/>
        <v/>
      </c>
      <c r="P990" s="16" t="str">
        <f t="array" ref="P990">IF(A990="","", IFERROR(INDEX('BM Data'!$N:$N,MATCH(J990&amp; "-" &amp; N990,'BM Data'!$O:$O,0),1),""))</f>
        <v/>
      </c>
      <c r="Q990" s="16"/>
    </row>
    <row r="991">
      <c r="A991" s="10" t="str">
        <f>IFERROR(__xludf.DUMMYFUNCTION("""COMPUTED_VALUE"""),"")</f>
        <v/>
      </c>
      <c r="B991" s="3" t="str">
        <f>IFERROR(__xludf.DUMMYFUNCTION("""COMPUTED_VALUE"""),"")</f>
        <v/>
      </c>
      <c r="C991" s="11" t="str">
        <f>IFERROR(__xludf.DUMMYFUNCTION("""COMPUTED_VALUE"""),"")</f>
        <v/>
      </c>
      <c r="D991" s="11" t="str">
        <f>IFERROR(__xludf.DUMMYFUNCTION("""COMPUTED_VALUE"""),"")</f>
        <v/>
      </c>
      <c r="E991" s="11" t="str">
        <f>IFERROR(__xludf.DUMMYFUNCTION("""COMPUTED_VALUE"""),"")</f>
        <v/>
      </c>
      <c r="F991" s="11" t="str">
        <f>IFERROR(__xludf.DUMMYFUNCTION("""COMPUTED_VALUE"""),"")</f>
        <v/>
      </c>
      <c r="G991" s="11" t="str">
        <f>IFERROR(__xludf.DUMMYFUNCTION("""COMPUTED_VALUE"""),"")</f>
        <v/>
      </c>
      <c r="H991" s="12" t="str">
        <f>IFERROR(__xludf.DUMMYFUNCTION("""COMPUTED_VALUE"""),"")</f>
        <v/>
      </c>
      <c r="I991" s="12" t="str">
        <f>IFERROR(__xludf.DUMMYFUNCTION("""COMPUTED_VALUE"""),"")</f>
        <v/>
      </c>
      <c r="J991" s="13" t="str">
        <f t="shared" si="1"/>
        <v/>
      </c>
      <c r="K991" s="12" t="str">
        <f>IFERROR(IF(A991="","",if($G991="",Reference!$J$2, VLOOKUP($G991,Reference!$I$2:$J$1000,2,false))),"")</f>
        <v/>
      </c>
      <c r="L991" s="12" t="str">
        <f>IF(A991="","", IF(F991="",Reference!$M$2,F991))</f>
        <v/>
      </c>
      <c r="M991" s="14" t="str">
        <f t="shared" si="2"/>
        <v/>
      </c>
      <c r="N991" s="15" t="str">
        <f t="shared" si="3"/>
        <v/>
      </c>
      <c r="O991" s="14" t="str">
        <f t="shared" si="4"/>
        <v/>
      </c>
      <c r="P991" s="16" t="str">
        <f t="array" ref="P991">IF(A991="","", IFERROR(INDEX('BM Data'!$N:$N,MATCH(J991&amp; "-" &amp; N991,'BM Data'!$O:$O,0),1),""))</f>
        <v/>
      </c>
      <c r="Q991" s="16"/>
    </row>
    <row r="992">
      <c r="A992" s="10" t="str">
        <f>IFERROR(__xludf.DUMMYFUNCTION("""COMPUTED_VALUE"""),"")</f>
        <v/>
      </c>
      <c r="B992" s="3" t="str">
        <f>IFERROR(__xludf.DUMMYFUNCTION("""COMPUTED_VALUE"""),"")</f>
        <v/>
      </c>
      <c r="C992" s="11" t="str">
        <f>IFERROR(__xludf.DUMMYFUNCTION("""COMPUTED_VALUE"""),"")</f>
        <v/>
      </c>
      <c r="D992" s="11" t="str">
        <f>IFERROR(__xludf.DUMMYFUNCTION("""COMPUTED_VALUE"""),"")</f>
        <v/>
      </c>
      <c r="E992" s="11" t="str">
        <f>IFERROR(__xludf.DUMMYFUNCTION("""COMPUTED_VALUE"""),"")</f>
        <v/>
      </c>
      <c r="F992" s="11" t="str">
        <f>IFERROR(__xludf.DUMMYFUNCTION("""COMPUTED_VALUE"""),"")</f>
        <v/>
      </c>
      <c r="G992" s="11" t="str">
        <f>IFERROR(__xludf.DUMMYFUNCTION("""COMPUTED_VALUE"""),"")</f>
        <v/>
      </c>
      <c r="H992" s="12" t="str">
        <f>IFERROR(__xludf.DUMMYFUNCTION("""COMPUTED_VALUE"""),"")</f>
        <v/>
      </c>
      <c r="I992" s="12" t="str">
        <f>IFERROR(__xludf.DUMMYFUNCTION("""COMPUTED_VALUE"""),"")</f>
        <v/>
      </c>
      <c r="J992" s="13" t="str">
        <f t="shared" si="1"/>
        <v/>
      </c>
      <c r="K992" s="12" t="str">
        <f>IFERROR(IF(A992="","",if($G992="",Reference!$J$2, VLOOKUP($G992,Reference!$I$2:$J$1000,2,false))),"")</f>
        <v/>
      </c>
      <c r="L992" s="12" t="str">
        <f>IF(A992="","", IF(F992="",Reference!$M$2,F992))</f>
        <v/>
      </c>
      <c r="M992" s="14" t="str">
        <f t="shared" si="2"/>
        <v/>
      </c>
      <c r="N992" s="15" t="str">
        <f t="shared" si="3"/>
        <v/>
      </c>
      <c r="O992" s="14" t="str">
        <f t="shared" si="4"/>
        <v/>
      </c>
      <c r="P992" s="16" t="str">
        <f t="array" ref="P992">IF(A992="","", IFERROR(INDEX('BM Data'!$N:$N,MATCH(J992&amp; "-" &amp; N992,'BM Data'!$O:$O,0),1),""))</f>
        <v/>
      </c>
      <c r="Q992" s="16"/>
    </row>
    <row r="993">
      <c r="A993" s="10" t="str">
        <f>IFERROR(__xludf.DUMMYFUNCTION("""COMPUTED_VALUE"""),"")</f>
        <v/>
      </c>
      <c r="B993" s="3" t="str">
        <f>IFERROR(__xludf.DUMMYFUNCTION("""COMPUTED_VALUE"""),"")</f>
        <v/>
      </c>
      <c r="C993" s="11" t="str">
        <f>IFERROR(__xludf.DUMMYFUNCTION("""COMPUTED_VALUE"""),"")</f>
        <v/>
      </c>
      <c r="D993" s="11" t="str">
        <f>IFERROR(__xludf.DUMMYFUNCTION("""COMPUTED_VALUE"""),"")</f>
        <v/>
      </c>
      <c r="E993" s="11" t="str">
        <f>IFERROR(__xludf.DUMMYFUNCTION("""COMPUTED_VALUE"""),"")</f>
        <v/>
      </c>
      <c r="F993" s="11" t="str">
        <f>IFERROR(__xludf.DUMMYFUNCTION("""COMPUTED_VALUE"""),"")</f>
        <v/>
      </c>
      <c r="G993" s="11" t="str">
        <f>IFERROR(__xludf.DUMMYFUNCTION("""COMPUTED_VALUE"""),"")</f>
        <v/>
      </c>
      <c r="H993" s="12" t="str">
        <f>IFERROR(__xludf.DUMMYFUNCTION("""COMPUTED_VALUE"""),"")</f>
        <v/>
      </c>
      <c r="I993" s="12" t="str">
        <f>IFERROR(__xludf.DUMMYFUNCTION("""COMPUTED_VALUE"""),"")</f>
        <v/>
      </c>
      <c r="J993" s="13" t="str">
        <f t="shared" si="1"/>
        <v/>
      </c>
      <c r="K993" s="12" t="str">
        <f>IFERROR(IF(A993="","",if($G993="",Reference!$J$2, VLOOKUP($G993,Reference!$I$2:$J$1000,2,false))),"")</f>
        <v/>
      </c>
      <c r="L993" s="12" t="str">
        <f>IF(A993="","", IF(F993="",Reference!$M$2,F993))</f>
        <v/>
      </c>
      <c r="M993" s="14" t="str">
        <f t="shared" si="2"/>
        <v/>
      </c>
      <c r="N993" s="15" t="str">
        <f t="shared" si="3"/>
        <v/>
      </c>
      <c r="O993" s="14" t="str">
        <f t="shared" si="4"/>
        <v/>
      </c>
      <c r="P993" s="16" t="str">
        <f t="array" ref="P993">IF(A993="","", IFERROR(INDEX('BM Data'!$N:$N,MATCH(J993&amp; "-" &amp; N993,'BM Data'!$O:$O,0),1),""))</f>
        <v/>
      </c>
      <c r="Q993" s="16"/>
    </row>
    <row r="994">
      <c r="A994" s="10" t="str">
        <f>IFERROR(__xludf.DUMMYFUNCTION("""COMPUTED_VALUE"""),"")</f>
        <v/>
      </c>
      <c r="B994" s="3" t="str">
        <f>IFERROR(__xludf.DUMMYFUNCTION("""COMPUTED_VALUE"""),"")</f>
        <v/>
      </c>
      <c r="C994" s="11" t="str">
        <f>IFERROR(__xludf.DUMMYFUNCTION("""COMPUTED_VALUE"""),"")</f>
        <v/>
      </c>
      <c r="D994" s="11" t="str">
        <f>IFERROR(__xludf.DUMMYFUNCTION("""COMPUTED_VALUE"""),"")</f>
        <v/>
      </c>
      <c r="E994" s="11" t="str">
        <f>IFERROR(__xludf.DUMMYFUNCTION("""COMPUTED_VALUE"""),"")</f>
        <v/>
      </c>
      <c r="F994" s="11" t="str">
        <f>IFERROR(__xludf.DUMMYFUNCTION("""COMPUTED_VALUE"""),"")</f>
        <v/>
      </c>
      <c r="G994" s="11" t="str">
        <f>IFERROR(__xludf.DUMMYFUNCTION("""COMPUTED_VALUE"""),"")</f>
        <v/>
      </c>
      <c r="H994" s="12" t="str">
        <f>IFERROR(__xludf.DUMMYFUNCTION("""COMPUTED_VALUE"""),"")</f>
        <v/>
      </c>
      <c r="I994" s="12" t="str">
        <f>IFERROR(__xludf.DUMMYFUNCTION("""COMPUTED_VALUE"""),"")</f>
        <v/>
      </c>
      <c r="J994" s="13" t="str">
        <f t="shared" si="1"/>
        <v/>
      </c>
      <c r="K994" s="12" t="str">
        <f>IFERROR(IF(A994="","",if($G994="",Reference!$J$2, VLOOKUP($G994,Reference!$I$2:$J$1000,2,false))),"")</f>
        <v/>
      </c>
      <c r="L994" s="12" t="str">
        <f>IF(A994="","", IF(F994="",Reference!$M$2,F994))</f>
        <v/>
      </c>
      <c r="M994" s="14" t="str">
        <f t="shared" si="2"/>
        <v/>
      </c>
      <c r="N994" s="15" t="str">
        <f t="shared" si="3"/>
        <v/>
      </c>
      <c r="O994" s="14" t="str">
        <f t="shared" si="4"/>
        <v/>
      </c>
      <c r="P994" s="16" t="str">
        <f t="array" ref="P994">IF(A994="","", IFERROR(INDEX('BM Data'!$N:$N,MATCH(J994&amp; "-" &amp; N994,'BM Data'!$O:$O,0),1),""))</f>
        <v/>
      </c>
      <c r="Q994" s="16"/>
    </row>
    <row r="995">
      <c r="A995" s="10" t="str">
        <f>IFERROR(__xludf.DUMMYFUNCTION("""COMPUTED_VALUE"""),"")</f>
        <v/>
      </c>
      <c r="B995" s="3" t="str">
        <f>IFERROR(__xludf.DUMMYFUNCTION("""COMPUTED_VALUE"""),"")</f>
        <v/>
      </c>
      <c r="C995" s="11" t="str">
        <f>IFERROR(__xludf.DUMMYFUNCTION("""COMPUTED_VALUE"""),"")</f>
        <v/>
      </c>
      <c r="D995" s="11" t="str">
        <f>IFERROR(__xludf.DUMMYFUNCTION("""COMPUTED_VALUE"""),"")</f>
        <v/>
      </c>
      <c r="E995" s="11" t="str">
        <f>IFERROR(__xludf.DUMMYFUNCTION("""COMPUTED_VALUE"""),"")</f>
        <v/>
      </c>
      <c r="F995" s="11" t="str">
        <f>IFERROR(__xludf.DUMMYFUNCTION("""COMPUTED_VALUE"""),"")</f>
        <v/>
      </c>
      <c r="G995" s="11" t="str">
        <f>IFERROR(__xludf.DUMMYFUNCTION("""COMPUTED_VALUE"""),"")</f>
        <v/>
      </c>
      <c r="H995" s="12" t="str">
        <f>IFERROR(__xludf.DUMMYFUNCTION("""COMPUTED_VALUE"""),"")</f>
        <v/>
      </c>
      <c r="I995" s="12" t="str">
        <f>IFERROR(__xludf.DUMMYFUNCTION("""COMPUTED_VALUE"""),"")</f>
        <v/>
      </c>
      <c r="J995" s="13" t="str">
        <f t="shared" si="1"/>
        <v/>
      </c>
      <c r="K995" s="12" t="str">
        <f>IFERROR(IF(A995="","",if($G995="",Reference!$J$2, VLOOKUP($G995,Reference!$I$2:$J$1000,2,false))),"")</f>
        <v/>
      </c>
      <c r="L995" s="12" t="str">
        <f>IF(A995="","", IF(F995="",Reference!$M$2,F995))</f>
        <v/>
      </c>
      <c r="M995" s="14" t="str">
        <f t="shared" si="2"/>
        <v/>
      </c>
      <c r="N995" s="15" t="str">
        <f t="shared" si="3"/>
        <v/>
      </c>
      <c r="O995" s="14" t="str">
        <f t="shared" si="4"/>
        <v/>
      </c>
      <c r="P995" s="16" t="str">
        <f t="array" ref="P995">IF(A995="","", IFERROR(INDEX('BM Data'!$N:$N,MATCH(J995&amp; "-" &amp; N995,'BM Data'!$O:$O,0),1),""))</f>
        <v/>
      </c>
      <c r="Q995" s="16"/>
    </row>
    <row r="996">
      <c r="A996" s="10" t="str">
        <f>IFERROR(__xludf.DUMMYFUNCTION("""COMPUTED_VALUE"""),"")</f>
        <v/>
      </c>
      <c r="B996" s="3" t="str">
        <f>IFERROR(__xludf.DUMMYFUNCTION("""COMPUTED_VALUE"""),"")</f>
        <v/>
      </c>
      <c r="C996" s="11" t="str">
        <f>IFERROR(__xludf.DUMMYFUNCTION("""COMPUTED_VALUE"""),"")</f>
        <v/>
      </c>
      <c r="D996" s="11" t="str">
        <f>IFERROR(__xludf.DUMMYFUNCTION("""COMPUTED_VALUE"""),"")</f>
        <v/>
      </c>
      <c r="E996" s="11" t="str">
        <f>IFERROR(__xludf.DUMMYFUNCTION("""COMPUTED_VALUE"""),"")</f>
        <v/>
      </c>
      <c r="F996" s="11" t="str">
        <f>IFERROR(__xludf.DUMMYFUNCTION("""COMPUTED_VALUE"""),"")</f>
        <v/>
      </c>
      <c r="G996" s="11" t="str">
        <f>IFERROR(__xludf.DUMMYFUNCTION("""COMPUTED_VALUE"""),"")</f>
        <v/>
      </c>
      <c r="H996" s="12" t="str">
        <f>IFERROR(__xludf.DUMMYFUNCTION("""COMPUTED_VALUE"""),"")</f>
        <v/>
      </c>
      <c r="I996" s="12" t="str">
        <f>IFERROR(__xludf.DUMMYFUNCTION("""COMPUTED_VALUE"""),"")</f>
        <v/>
      </c>
      <c r="J996" s="13" t="str">
        <f t="shared" si="1"/>
        <v/>
      </c>
      <c r="K996" s="12" t="str">
        <f>IFERROR(IF(A996="","",if($G996="",Reference!$J$2, VLOOKUP($G996,Reference!$I$2:$J$1000,2,false))),"")</f>
        <v/>
      </c>
      <c r="L996" s="12" t="str">
        <f>IF(A996="","", IF(F996="",Reference!$M$2,F996))</f>
        <v/>
      </c>
      <c r="M996" s="14" t="str">
        <f t="shared" si="2"/>
        <v/>
      </c>
      <c r="N996" s="15" t="str">
        <f t="shared" si="3"/>
        <v/>
      </c>
      <c r="O996" s="14" t="str">
        <f t="shared" si="4"/>
        <v/>
      </c>
      <c r="P996" s="16" t="str">
        <f t="array" ref="P996">IF(A996="","", IFERROR(INDEX('BM Data'!$N:$N,MATCH(J996&amp; "-" &amp; N996,'BM Data'!$O:$O,0),1),""))</f>
        <v/>
      </c>
      <c r="Q996" s="16"/>
    </row>
    <row r="997">
      <c r="A997" s="10" t="str">
        <f>IFERROR(__xludf.DUMMYFUNCTION("""COMPUTED_VALUE"""),"")</f>
        <v/>
      </c>
      <c r="B997" s="3" t="str">
        <f>IFERROR(__xludf.DUMMYFUNCTION("""COMPUTED_VALUE"""),"")</f>
        <v/>
      </c>
      <c r="C997" s="11" t="str">
        <f>IFERROR(__xludf.DUMMYFUNCTION("""COMPUTED_VALUE"""),"")</f>
        <v/>
      </c>
      <c r="D997" s="11" t="str">
        <f>IFERROR(__xludf.DUMMYFUNCTION("""COMPUTED_VALUE"""),"")</f>
        <v/>
      </c>
      <c r="E997" s="11" t="str">
        <f>IFERROR(__xludf.DUMMYFUNCTION("""COMPUTED_VALUE"""),"")</f>
        <v/>
      </c>
      <c r="F997" s="11" t="str">
        <f>IFERROR(__xludf.DUMMYFUNCTION("""COMPUTED_VALUE"""),"")</f>
        <v/>
      </c>
      <c r="G997" s="11" t="str">
        <f>IFERROR(__xludf.DUMMYFUNCTION("""COMPUTED_VALUE"""),"")</f>
        <v/>
      </c>
      <c r="H997" s="12" t="str">
        <f>IFERROR(__xludf.DUMMYFUNCTION("""COMPUTED_VALUE"""),"")</f>
        <v/>
      </c>
      <c r="I997" s="12" t="str">
        <f>IFERROR(__xludf.DUMMYFUNCTION("""COMPUTED_VALUE"""),"")</f>
        <v/>
      </c>
      <c r="J997" s="13" t="str">
        <f t="shared" si="1"/>
        <v/>
      </c>
      <c r="K997" s="12" t="str">
        <f>IFERROR(IF(A997="","",if($G997="",Reference!$J$2, VLOOKUP($G997,Reference!$I$2:$J$1000,2,false))),"")</f>
        <v/>
      </c>
      <c r="L997" s="12" t="str">
        <f>IF(A997="","", IF(F997="",Reference!$M$2,F997))</f>
        <v/>
      </c>
      <c r="M997" s="14" t="str">
        <f t="shared" si="2"/>
        <v/>
      </c>
      <c r="N997" s="15" t="str">
        <f t="shared" si="3"/>
        <v/>
      </c>
      <c r="O997" s="14" t="str">
        <f t="shared" si="4"/>
        <v/>
      </c>
      <c r="P997" s="16" t="str">
        <f t="array" ref="P997">IF(A997="","", IFERROR(INDEX('BM Data'!$N:$N,MATCH(J997&amp; "-" &amp; N997,'BM Data'!$O:$O,0),1),""))</f>
        <v/>
      </c>
      <c r="Q997" s="16"/>
    </row>
    <row r="998">
      <c r="A998" s="10" t="str">
        <f>IFERROR(__xludf.DUMMYFUNCTION("""COMPUTED_VALUE"""),"")</f>
        <v/>
      </c>
      <c r="B998" s="3" t="str">
        <f>IFERROR(__xludf.DUMMYFUNCTION("""COMPUTED_VALUE"""),"")</f>
        <v/>
      </c>
      <c r="C998" s="11" t="str">
        <f>IFERROR(__xludf.DUMMYFUNCTION("""COMPUTED_VALUE"""),"")</f>
        <v/>
      </c>
      <c r="D998" s="11" t="str">
        <f>IFERROR(__xludf.DUMMYFUNCTION("""COMPUTED_VALUE"""),"")</f>
        <v/>
      </c>
      <c r="E998" s="11" t="str">
        <f>IFERROR(__xludf.DUMMYFUNCTION("""COMPUTED_VALUE"""),"")</f>
        <v/>
      </c>
      <c r="F998" s="11" t="str">
        <f>IFERROR(__xludf.DUMMYFUNCTION("""COMPUTED_VALUE"""),"")</f>
        <v/>
      </c>
      <c r="G998" s="11" t="str">
        <f>IFERROR(__xludf.DUMMYFUNCTION("""COMPUTED_VALUE"""),"")</f>
        <v/>
      </c>
      <c r="H998" s="12" t="str">
        <f>IFERROR(__xludf.DUMMYFUNCTION("""COMPUTED_VALUE"""),"")</f>
        <v/>
      </c>
      <c r="I998" s="12" t="str">
        <f>IFERROR(__xludf.DUMMYFUNCTION("""COMPUTED_VALUE"""),"")</f>
        <v/>
      </c>
      <c r="J998" s="13" t="str">
        <f t="shared" si="1"/>
        <v/>
      </c>
      <c r="K998" s="12" t="str">
        <f>IFERROR(IF(A998="","",if($G998="",Reference!$J$2, VLOOKUP($G998,Reference!$I$2:$J$1000,2,false))),"")</f>
        <v/>
      </c>
      <c r="L998" s="12" t="str">
        <f>IF(A998="","", IF(F998="",Reference!$M$2,F998))</f>
        <v/>
      </c>
      <c r="M998" s="14" t="str">
        <f t="shared" si="2"/>
        <v/>
      </c>
      <c r="N998" s="15" t="str">
        <f t="shared" si="3"/>
        <v/>
      </c>
      <c r="O998" s="14" t="str">
        <f t="shared" si="4"/>
        <v/>
      </c>
      <c r="P998" s="16" t="str">
        <f t="array" ref="P998">IF(A998="","", IFERROR(INDEX('BM Data'!$N:$N,MATCH(J998&amp; "-" &amp; N998,'BM Data'!$O:$O,0),1),""))</f>
        <v/>
      </c>
      <c r="Q998" s="16"/>
    </row>
    <row r="999">
      <c r="A999" s="10" t="str">
        <f>IFERROR(__xludf.DUMMYFUNCTION("""COMPUTED_VALUE"""),"")</f>
        <v/>
      </c>
      <c r="B999" s="3" t="str">
        <f>IFERROR(__xludf.DUMMYFUNCTION("""COMPUTED_VALUE"""),"")</f>
        <v/>
      </c>
      <c r="C999" s="11" t="str">
        <f>IFERROR(__xludf.DUMMYFUNCTION("""COMPUTED_VALUE"""),"")</f>
        <v/>
      </c>
      <c r="D999" s="11" t="str">
        <f>IFERROR(__xludf.DUMMYFUNCTION("""COMPUTED_VALUE"""),"")</f>
        <v/>
      </c>
      <c r="E999" s="11" t="str">
        <f>IFERROR(__xludf.DUMMYFUNCTION("""COMPUTED_VALUE"""),"")</f>
        <v/>
      </c>
      <c r="F999" s="11" t="str">
        <f>IFERROR(__xludf.DUMMYFUNCTION("""COMPUTED_VALUE"""),"")</f>
        <v/>
      </c>
      <c r="G999" s="11" t="str">
        <f>IFERROR(__xludf.DUMMYFUNCTION("""COMPUTED_VALUE"""),"")</f>
        <v/>
      </c>
      <c r="H999" s="12" t="str">
        <f>IFERROR(__xludf.DUMMYFUNCTION("""COMPUTED_VALUE"""),"")</f>
        <v/>
      </c>
      <c r="I999" s="12" t="str">
        <f>IFERROR(__xludf.DUMMYFUNCTION("""COMPUTED_VALUE"""),"")</f>
        <v/>
      </c>
      <c r="J999" s="13" t="str">
        <f t="shared" si="1"/>
        <v/>
      </c>
      <c r="K999" s="12" t="str">
        <f>IFERROR(IF(A999="","",if($G999="",Reference!$J$2, VLOOKUP($G999,Reference!$I$2:$J$1000,2,false))),"")</f>
        <v/>
      </c>
      <c r="L999" s="12" t="str">
        <f>IF(A999="","", IF(F999="",Reference!$M$2,F999))</f>
        <v/>
      </c>
      <c r="M999" s="14" t="str">
        <f t="shared" si="2"/>
        <v/>
      </c>
      <c r="N999" s="15" t="str">
        <f t="shared" si="3"/>
        <v/>
      </c>
      <c r="O999" s="14" t="str">
        <f t="shared" si="4"/>
        <v/>
      </c>
      <c r="P999" s="16" t="str">
        <f t="array" ref="P999">IF(A999="","", IFERROR(INDEX('BM Data'!$N:$N,MATCH(J999&amp; "-" &amp; N999,'BM Data'!$O:$O,0),1),""))</f>
        <v/>
      </c>
      <c r="Q999" s="16"/>
    </row>
    <row r="1000">
      <c r="A1000" s="10" t="str">
        <f>IFERROR(__xludf.DUMMYFUNCTION("""COMPUTED_VALUE"""),"")</f>
        <v/>
      </c>
      <c r="B1000" s="3" t="str">
        <f>IFERROR(__xludf.DUMMYFUNCTION("""COMPUTED_VALUE"""),"")</f>
        <v/>
      </c>
      <c r="C1000" s="11" t="str">
        <f>IFERROR(__xludf.DUMMYFUNCTION("""COMPUTED_VALUE"""),"")</f>
        <v/>
      </c>
      <c r="D1000" s="11" t="str">
        <f>IFERROR(__xludf.DUMMYFUNCTION("""COMPUTED_VALUE"""),"")</f>
        <v/>
      </c>
      <c r="E1000" s="11" t="str">
        <f>IFERROR(__xludf.DUMMYFUNCTION("""COMPUTED_VALUE"""),"")</f>
        <v/>
      </c>
      <c r="F1000" s="11" t="str">
        <f>IFERROR(__xludf.DUMMYFUNCTION("""COMPUTED_VALUE"""),"")</f>
        <v/>
      </c>
      <c r="G1000" s="11" t="str">
        <f>IFERROR(__xludf.DUMMYFUNCTION("""COMPUTED_VALUE"""),"")</f>
        <v/>
      </c>
      <c r="H1000" s="12" t="str">
        <f>IFERROR(__xludf.DUMMYFUNCTION("""COMPUTED_VALUE"""),"")</f>
        <v/>
      </c>
      <c r="I1000" s="12" t="str">
        <f>IFERROR(__xludf.DUMMYFUNCTION("""COMPUTED_VALUE"""),"")</f>
        <v/>
      </c>
      <c r="J1000" s="13" t="str">
        <f t="shared" si="1"/>
        <v/>
      </c>
      <c r="K1000" s="12" t="str">
        <f>IFERROR(IF(A1000="","",if($G1000="",Reference!$J$2, VLOOKUP($G1000,Reference!$I$2:$J$1000,2,false))),"")</f>
        <v/>
      </c>
      <c r="L1000" s="12" t="str">
        <f>IF(A1000="","", IF(F1000="",Reference!$M$2,F1000))</f>
        <v/>
      </c>
      <c r="M1000" s="14" t="str">
        <f t="shared" si="2"/>
        <v/>
      </c>
      <c r="N1000" s="15" t="str">
        <f t="shared" si="3"/>
        <v/>
      </c>
      <c r="O1000" s="14" t="str">
        <f t="shared" si="4"/>
        <v/>
      </c>
      <c r="P1000" s="16" t="str">
        <f t="array" ref="P1000">IF(A1000="","", IFERROR(INDEX('BM Data'!$N:$N,MATCH(J1000&amp; "-" &amp; N1000,'BM Data'!$O:$O,0),1),""))</f>
        <v/>
      </c>
      <c r="Q1000" s="16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6.86"/>
    <col customWidth="1" hidden="1" min="2" max="2" width="16.86"/>
    <col customWidth="1" min="3" max="3" width="16.86"/>
    <col customWidth="1" hidden="1" min="4" max="7" width="16.86"/>
    <col customWidth="1" min="8" max="8" width="16.86"/>
    <col customWidth="1" hidden="1" min="9" max="9" width="16.86"/>
    <col customWidth="1" min="10" max="15" width="16.86"/>
  </cols>
  <sheetData>
    <row r="1">
      <c r="A1" s="81" t="str">
        <f>IFERROR(__xludf.DUMMYFUNCTION("QUERY('BrewMaster Data'!A:K)"),"id")</f>
        <v>id</v>
      </c>
      <c r="B1" s="81" t="str">
        <f>IFERROR(__xludf.DUMMYFUNCTION("""COMPUTED_VALUE"""),"name")</f>
        <v>name</v>
      </c>
      <c r="C1" s="81" t="str">
        <f>IFERROR(__xludf.DUMMYFUNCTION("""COMPUTED_VALUE"""),"createdAt")</f>
        <v>createdAt</v>
      </c>
      <c r="D1" s="81" t="str">
        <f>IFERROR(__xludf.DUMMYFUNCTION("""COMPUTED_VALUE"""),"temperature")</f>
        <v>temperature</v>
      </c>
      <c r="E1" s="81" t="str">
        <f>IFERROR(__xludf.DUMMYFUNCTION("""COMPUTED_VALUE"""),"grind")</f>
        <v>grind</v>
      </c>
      <c r="F1" s="81" t="str">
        <f>IFERROR(__xludf.DUMMYFUNCTION("""COMPUTED_VALUE"""),"tasty")</f>
        <v>tasty</v>
      </c>
      <c r="G1" s="81" t="str">
        <f>IFERROR(__xludf.DUMMYFUNCTION("""COMPUTED_VALUE"""),"note")</f>
        <v>note</v>
      </c>
      <c r="H1" s="81" t="str">
        <f>IFERROR(__xludf.DUMMYFUNCTION("""COMPUTED_VALUE"""),"total time")</f>
        <v>total time</v>
      </c>
      <c r="I1" s="82" t="str">
        <f>IFERROR(__xludf.DUMMYFUNCTION("""COMPUTED_VALUE"""),"average flowrate")</f>
        <v>average flowrate</v>
      </c>
      <c r="J1" s="81" t="str">
        <f>IFERROR(__xludf.DUMMYFUNCTION("""COMPUTED_VALUE"""),"total weight")</f>
        <v>total weight</v>
      </c>
      <c r="K1" s="81" t="str">
        <f>IFERROR(__xludf.DUMMYFUNCTION("""COMPUTED_VALUE"""),"brew data")</f>
        <v>brew data</v>
      </c>
      <c r="L1" s="83" t="s">
        <v>79</v>
      </c>
      <c r="M1" s="83" t="s">
        <v>80</v>
      </c>
      <c r="N1" s="83" t="s">
        <v>81</v>
      </c>
      <c r="O1" s="83" t="s">
        <v>82</v>
      </c>
    </row>
    <row r="2">
      <c r="A2" s="84" t="str">
        <f>IFERROR(__xludf.DUMMYFUNCTION("""COMPUTED_VALUE"""),"p52zDf7BXH")</f>
        <v>p52zDf7BXH</v>
      </c>
      <c r="B2" s="84" t="str">
        <f>IFERROR(__xludf.DUMMYFUNCTION("""COMPUTED_VALUE"""),"Brew")</f>
        <v>Brew</v>
      </c>
      <c r="C2" s="85">
        <f>IFERROR(__xludf.DUMMYFUNCTION("""COMPUTED_VALUE"""),43926.06538194444)</f>
        <v>43926.06538</v>
      </c>
      <c r="D2" s="86">
        <f>IFERROR(__xludf.DUMMYFUNCTION("""COMPUTED_VALUE"""),88.0)</f>
        <v>88</v>
      </c>
      <c r="E2" s="87" t="str">
        <f>IFERROR(__xludf.DUMMYFUNCTION("""COMPUTED_VALUE"""),"")</f>
        <v/>
      </c>
      <c r="F2" s="86">
        <f>IFERROR(__xludf.DUMMYFUNCTION("""COMPUTED_VALUE"""),4.0)</f>
        <v>4</v>
      </c>
      <c r="G2" s="87" t="str">
        <f>IFERROR(__xludf.DUMMYFUNCTION("""COMPUTED_VALUE"""),"")</f>
        <v/>
      </c>
      <c r="H2" s="86">
        <f>IFERROR(__xludf.DUMMYFUNCTION("""COMPUTED_VALUE"""),222.0)</f>
        <v>222</v>
      </c>
      <c r="I2" s="86">
        <f>IFERROR(__xludf.DUMMYFUNCTION("""COMPUTED_VALUE"""),1.84)</f>
        <v>1.84</v>
      </c>
      <c r="J2" s="86">
        <f>IFERROR(__xludf.DUMMYFUNCTION("""COMPUTED_VALUE"""),339.10000610352)</f>
        <v>339.1000061</v>
      </c>
      <c r="K2" s="84" t="str">
        <f>IFERROR(__xludf.DUMMYFUNCTION("""COMPUTED_VALUE"""),"0.00;1.20;2.80;2.90;3.80;4.19;4.19;5.00;5.80;6.00;6.30;6.70;7.20;9.10;10.20;10.40;10.50;10.90;12.60;13.30;14.60;14.80;16.00;16.20;16.90;17.70;18.10;19.29;19.79;20.60;21.10;22.10;22.70;23.40;24.30;25.20;26.00;26.40;27.60;28.00;29.20;29.80;30.00;30.50;31.20"&amp;";31.80;32.40;32.90;35.00;35.70;35.90;36.20;36.70;37.30;38.00;38.90;40.20;40.40;41.60;42.40;43.00;43.70;44.50;45.00;45.70;46.50;47.20;48.40;49.60;49.80;50.10;50.70;53.20;53.00;53.20;53.50;54.70;55.10;55.10;55.00;55.00;55.10;55.30;55.40;55.40;57.10;56.60;56"&amp;".50;56.50;56.50;56.50;56.60;56.60;56.30;56.50;56.60;56.50;56.50;56.40;56.50;56.30;56.30;56.50;56.50;56.60;56.60;56.30;56.50;56.60;56.60;56.60;56.70;56.80;56.80;56.80;56.80;56.20;56.30;56.50;56.70;56.70;56.70;56.70;56.70;56.60;56.10;56.30;56.50;56.50;56.50"&amp;";56.50;56.50;56.70;56.70;56.80;56.90;56.70;56.60;56.70;56.70;56.80;56.60;56.50;56.50;56.60;56.60;56.30;56.40;56.50;56.60;56.50;56.50;56.60;56.60;56.60;58.30;59.30;59.40;60.30;64.19;62.70;62.40;62.80;63.70;64.40;65.19;65.50;66.40;66.90;67.50;68.10;69.00;69"&amp;".80;70.80;71.30;71.69;72.60;73.00;73.60;75.40;75.60;76.19;76.90;77.60;80.10;82.50;82.00;82.20;82.60;83.30;83.90;84.60;86.60;86.90;87.30;88.10;88.70;89.60;90.50;91.70;95.10;93.20;93.80;94.50;95.10;95.70;96.20;96.60;96.20;29.40;36.70;28.40;-16.50;225.30;108"&amp;".80;97.80;97.20;97.30;98.20;99.00;99.60;101.00;103.10;107.10;104.60;104.80;111.30;107.70;108.10;108.70;109.30;110.00;110.80;112.10;112.70;113.60;114.90;115.70;116.10;116.60;119.10;120.10;119.70;119.70;120.80;121.50;122.20;122.80;124.00;124.30;125.20;125.9"&amp;"0;126.40;127.30;128.20;129.20;129.39;130.00;130.60;133.00;131.20;131.20;131.30;131.39;131.50;131.50;131.30;131.70;132.20;132.50;133.50;134.20;134.70;134.89;135.70;136.10;135.89;135.50;135.50;135.39;135.20;135.70;135.60;135.39;135.30;135.10;135.00;135.20;1"&amp;"34.80;134.89;134.89;135.00;134.89;135.00;135.10;134.60;134.70;134.80;135.00;135.00;135.10;135.10;135.30;135.30;135.20;135.20;135.30;135.20;134.80;135.00;135.10;135.30;135.20;135.30;135.30;135.50;135.50;135.39;135.30;135.39;135.39;135.30;135.20;135.20;135."&amp;"10;135.20;135.30;135.20;136.30;135.60;135.50;135.20;135.10;135.00;135.10;135.30;135.30;135.50;135.39;135.20;135.10;135.10;135.30;135.10;135.10;135.20;135.30;135.10;135.00;134.80;135.00;135.20;135.20;135.39;135.39;135.30;135.20;134.10;134.50;134.70;134.89;"&amp;"135.00;135.10;135.20;135.39;135.39;135.39;135.50;135.50;135.50;135.50;135.39;135.39;135.30;135.30;135.60;135.30;135.20;135.10;135.00;135.00;135.50;136.30;136.70;137.89;138.70;139.39;139.80;141.30;141.60;142.20;142.80;143.89;145.39;145.80;146.89;147.20;147"&amp;".89;148.60;149.39;151.60;152.10;152.50;152.89;153.39;154.70;155.70;157.20;157.80;158.39;159.20;161.89;161.89;162.10;162.50;163.30;165.30;166.40;166.50;167.10;167.70;168.50;169.30;169.90;170.90;171.80;173.20;173.90;174.50;175.10;174.40;174.80;175.50;175.80"&amp;";174.60;176.00;176.00;176.00;176.10;176.20;176.50;177.00;177.80;177.90;178.70;179.50;180.30;181.10;182.20;182.40;182.80;183.00;183.50;184.40;185.80;186.30;187.20;188.50;189.40;190.30;191.10;192.70;193.30;194.10;194.90;195.80;196.60;198.80;198.60;199.10;19"&amp;"9.70;200.30;200.90;201.80;202.80;203.30;203.80;204.20;204.60;205.20;205.50;206.10;206.40;206.70;206.70;206.90;207.00;207.00;206.90;206.90;206.60;206.60;206.60;207.90;206.10;206.30;206.60;206.60;206.70;206.70;206.60;206.50;206.50;206.60;206.70;206.70;206.6"&amp;"0;205.30;205.80;206.30;206.70;206.70;206.70;206.60;206.60;206.60;206.70;206.60;206.50;206.60;206.70;206.70;206.60;206.80;207.00;207.00;206.90;207.00;206.90;206.80;206.80;206.70;206.70;206.70;206.60;206.30;206.50;206.70;206.70;206.60;206.60;206.60;206.60;2"&amp;"06.60;206.70;206.70;206.60;206.70;206.60;206.20;206.50;206.50;206.40;206.60;206.60;206.70;205.70;206.00;206.30;206.40;206.30;206.50;206.70;206.80;206.80;206.80;206.80;206.70;206.50;206.60;206.50;206.60;206.50;206.50;206.30;206.40;206.50;206.50;206.60;206."&amp;"60;206.60;205.80;206.10;206.30;206.30;206.40;206.40;205.90;206.30;206.40;206.40;206.30;206.40;206.60;206.20;206.50;207.20;207.10;207.00;206.80;206.70;206.60;206.60;206.50;206.60;206.60;206.50;206.40;206.60;206.60;207.30;207.20;207.70;208.20;209.10;213.30;"&amp;"212.60;212.90;213.70;214.60;217.00;217.10;218.20;219.40;220.00;220.80;221.60;222.30;223.20;224.60;225.60;226.20;227.20;228.50;229.50;230.70;231.10;232.20;233.20;234.20;235.40;236.30;237.90;238.70;239.60;240.30;241.10;242.00;243.30;243.60;244.50;245.90;246"&amp;".80;247.90;248.70;249.20;250.70;251.90;252.90;253.40;254.20;256.60;259.10;258.20;258.40;259.90;261.00;261.20;261.79;262.70;263.50;264.20;265.10;267.70;267.79;267.79;268.50;269.00;269.20;269.40;269.40;269.40;269.40;269.20;269.70;270.00;271.00;271.90;272.50"&amp;";273.79;274.00;274.40;274.70;274.90;274.90;274.90;274.00;274.29;274.70;274.90;274.79;274.79;274.70;274.60;274.50;274.70;274.90;274.90;274.70;275.20;274.79;274.79;275.00;275.00;275.00;275.00;274.90;274.90;275.00;275.00;274.90;275.20;275.20;275.29;275.20;27"&amp;"5.29;275.10;275.10;275.10;274.90;275.00;275.50;275.20;275.20;275.10;275.10;275.20;275.20;275.10;275.10;275.10;275.00;275.00;275.00;274.60;274.70;274.79;274.90;274.90;274.79;274.79;275.00;275.10;275.10;275.00;274.90;274.79;274.79;274.90;274.90;274.90;274.9"&amp;"0;274.90;274.90;274.90;274.79;274.79;274.90;275.00;275.00;274.90;275.10;275.10;275.00;274.70;274.70;274.79;274.90;274.90;274.79;274.79;274.70;274.70;274.70;274.60;274.70;274.79;274.79;274.90;274.90;275.20;275.00;274.90;274.70;274.70;274.60;274.79;275.79;2"&amp;"75.40;274.79;274.70;274.60;274.60;274.70;274.70;274.79;274.70;274.79;274.70;274.70;274.70;274.40;274.79;274.90;274.90;274.79;274.79;274.70;273.90;274.20;274.40;274.50;274.60;274.70;274.40;275.40;277.40;278.79;280.00;281.29;282.40;287.00;286.60;287.00;288."&amp;"00;290.00;290.60;294.70;295.90;300.10;297.70;298.29;299.20;300.40;301.50;302.60;304.40;309.70;307.60;308.29;313.40;311.79;311.90;312.20;312.60;313.29;314.70;315.60;317.00;317.40;318.10;318.90;319.40;320.20;322.00;323.00;323.10;323.29;323.70;324.50;325.10;"&amp;"325.90;326.20;326.60;326.90;326.90;327.10;327.10;327.10;326.79;327.40;327.90;328.40;329.40;330.20;330.70;330.90;331.50;332.30;332.60;333.30;333.80;333.70;333.90;334.60;336.30;337.60;338.00;338.10;338.20;338.30;338.20;338.20;338.20;338.20;338.60;339.00;339"&amp;".20;339.40;339.60;339.80;339.80;339.80;339.80;339.80;339.40;339.30;339.40;339.40;339.40;339.50;339.40;339.00;339.20;339.40;339.40;339.50;339.50;339.30;339.20;339.40;339.40;339.40;339.40;339.40;339.50;339.40;339.40;339.50;339.50;339.40;339.50;339.30;339.30"&amp;";339.40;339.50;339.50;339.60;339.50;339.70;339.70;339.60;339.60;339.60;339.60;339.60;339.60;339.60;339.60;339.60;339.60;339.60;339.50;339.50;339.50;339.50;339.60;339.70;339.70;339.70;339.70;339.70;339.70;339.60;339.60;339.60;339.60;339.60;339.60;339.60;33"&amp;"9.60;339.60;339.70;339.70;339.60;339.50;339.50;339.60;339.60;339.70;339.70;339.60;339.50;339.50;339.50;339.60;339.60;339.50;339.40;339.30;339.00;339.30;339.40;339.40;339.40;339.40;339.40;339.50;339.50;339.40;339.40;339.40;339.30;339.30;339.30;339.40;339.4"&amp;"0;339.40;339.30;339.30;339.40;339.30;339.30;339.30;339.20;339.30;339.40;339.30;339.20;339.20;339.30;339.30;339.30;339.30;339.30;339.30;339.30;339.30;339.30;339.20;339.20;339.20;339.20;339.00;339.20;339.20;339.30;339.20;339.30;339.30;339.20;339.20;339.20;3"&amp;"39.20;339.20;339.20;339.20;339.20;339.20;339.20;339.20;339.20;339.20;339.20;339.20;339.20;339.20;339.20;339.20;339.20;339.20;339.20;339.20;339.20;339.20;339.10;339.00;339.10;339.10;339.10;339.10;339.10;339.20;339.20;339.30;339.20;339.20;339.20;339.30;339."&amp;"30;339.30;339.30;339.30;339.30;339.30;339.30;339.30;339.30;339.20;339.20;339.20;339.20;339.20;339.30;339.20;339.20;339.20;339.20;339.20;339.20;339.20;339.20;339.20;339.20;339.10;")</f>
        <v>0.00;1.20;2.80;2.90;3.80;4.19;4.19;5.00;5.80;6.00;6.30;6.70;7.20;9.10;10.20;10.40;10.50;10.90;12.60;13.30;14.60;14.80;16.00;16.20;16.90;17.70;18.10;19.29;19.79;20.60;21.10;22.10;22.70;23.40;24.30;25.20;26.00;26.40;27.60;28.00;29.20;29.80;30.00;30.50;31.20;31.80;32.40;32.90;35.00;35.70;35.90;36.20;36.70;37.30;38.00;38.90;40.20;40.40;41.60;42.40;43.00;43.70;44.50;45.00;45.70;46.50;47.20;48.40;49.60;49.80;50.10;50.70;53.20;53.00;53.20;53.50;54.70;55.10;55.10;55.00;55.00;55.10;55.30;55.40;55.40;57.10;56.60;56.50;56.50;56.50;56.50;56.60;56.60;56.30;56.50;56.60;56.50;56.50;56.40;56.50;56.30;56.30;56.50;56.50;56.60;56.60;56.30;56.50;56.60;56.60;56.60;56.70;56.80;56.80;56.80;56.80;56.20;56.30;56.50;56.70;56.70;56.70;56.70;56.70;56.60;56.10;56.30;56.50;56.50;56.50;56.50;56.50;56.70;56.70;56.80;56.90;56.70;56.60;56.70;56.70;56.80;56.60;56.50;56.50;56.60;56.60;56.30;56.40;56.50;56.60;56.50;56.50;56.60;56.60;56.60;58.30;59.30;59.40;60.30;64.19;62.70;62.40;62.80;63.70;64.40;65.19;65.50;66.40;66.90;67.50;68.10;69.00;69.80;70.80;71.30;71.69;72.60;73.00;73.60;75.40;75.60;76.19;76.90;77.60;80.10;82.50;82.00;82.20;82.60;83.30;83.90;84.60;86.60;86.90;87.30;88.10;88.70;89.60;90.50;91.70;95.10;93.20;93.80;94.50;95.10;95.70;96.20;96.60;96.20;29.40;36.70;28.40;-16.50;225.30;108.80;97.80;97.20;97.30;98.20;99.00;99.60;101.00;103.10;107.10;104.60;104.80;111.30;107.70;108.10;108.70;109.30;110.00;110.80;112.10;112.70;113.60;114.90;115.70;116.10;116.60;119.10;120.10;119.70;119.70;120.80;121.50;122.20;122.80;124.00;124.30;125.20;125.90;126.40;127.30;128.20;129.20;129.39;130.00;130.60;133.00;131.20;131.20;131.30;131.39;131.50;131.50;131.30;131.70;132.20;132.50;133.50;134.20;134.70;134.89;135.70;136.10;135.89;135.50;135.50;135.39;135.20;135.70;135.60;135.39;135.30;135.10;135.00;135.20;134.80;134.89;134.89;135.00;134.89;135.00;135.10;134.60;134.70;134.80;135.00;135.00;135.10;135.10;135.30;135.30;135.20;135.20;135.30;135.20;134.80;135.00;135.10;135.30;135.20;135.30;135.30;135.50;135.50;135.39;135.30;135.39;135.39;135.30;135.20;135.20;135.10;135.20;135.30;135.20;136.30;135.60;135.50;135.20;135.10;135.00;135.10;135.30;135.30;135.50;135.39;135.20;135.10;135.10;135.30;135.10;135.10;135.20;135.30;135.10;135.00;134.80;135.00;135.20;135.20;135.39;135.39;135.30;135.20;134.10;134.50;134.70;134.89;135.00;135.10;135.20;135.39;135.39;135.39;135.50;135.50;135.50;135.50;135.39;135.39;135.30;135.30;135.60;135.30;135.20;135.10;135.00;135.00;135.50;136.30;136.70;137.89;138.70;139.39;139.80;141.30;141.60;142.20;142.80;143.89;145.39;145.80;146.89;147.20;147.89;148.60;149.39;151.60;152.10;152.50;152.89;153.39;154.70;155.70;157.20;157.80;158.39;159.20;161.89;161.89;162.10;162.50;163.30;165.30;166.40;166.50;167.10;167.70;168.50;169.30;169.90;170.90;171.80;173.20;173.90;174.50;175.10;174.40;174.80;175.50;175.80;174.60;176.00;176.00;176.00;176.10;176.20;176.50;177.00;177.80;177.90;178.70;179.50;180.30;181.10;182.20;182.40;182.80;183.00;183.50;184.40;185.80;186.30;187.20;188.50;189.40;190.30;191.10;192.70;193.30;194.10;194.90;195.80;196.60;198.80;198.60;199.10;199.70;200.30;200.90;201.80;202.80;203.30;203.80;204.20;204.60;205.20;205.50;206.10;206.40;206.70;206.70;206.90;207.00;207.00;206.90;206.90;206.60;206.60;206.60;207.90;206.10;206.30;206.60;206.60;206.70;206.70;206.60;206.50;206.50;206.60;206.70;206.70;206.60;205.30;205.80;206.30;206.70;206.70;206.70;206.60;206.60;206.60;206.70;206.60;206.50;206.60;206.70;206.70;206.60;206.80;207.00;207.00;206.90;207.00;206.90;206.80;206.80;206.70;206.70;206.70;206.60;206.30;206.50;206.70;206.70;206.60;206.60;206.60;206.60;206.60;206.70;206.70;206.60;206.70;206.60;206.20;206.50;206.50;206.40;206.60;206.60;206.70;205.70;206.00;206.30;206.40;206.30;206.50;206.70;206.80;206.80;206.80;206.80;206.70;206.50;206.60;206.50;206.60;206.50;206.50;206.30;206.40;206.50;206.50;206.60;206.60;206.60;205.80;206.10;206.30;206.30;206.40;206.40;205.90;206.30;206.40;206.40;206.30;206.40;206.60;206.20;206.50;207.20;207.10;207.00;206.80;206.70;206.60;206.60;206.50;206.60;206.60;206.50;206.40;206.60;206.60;207.30;207.20;207.70;208.20;209.10;213.30;212.60;212.90;213.70;214.60;217.00;217.10;218.20;219.40;220.00;220.80;221.60;222.30;223.20;224.60;225.60;226.20;227.20;228.50;229.50;230.70;231.10;232.20;233.20;234.20;235.40;236.30;237.90;238.70;239.60;240.30;241.10;242.00;243.30;243.60;244.50;245.90;246.80;247.90;248.70;249.20;250.70;251.90;252.90;253.40;254.20;256.60;259.10;258.20;258.40;259.90;261.00;261.20;261.79;262.70;263.50;264.20;265.10;267.70;267.79;267.79;268.50;269.00;269.20;269.40;269.40;269.40;269.40;269.20;269.70;270.00;271.00;271.90;272.50;273.79;274.00;274.40;274.70;274.90;274.90;274.90;274.00;274.29;274.70;274.90;274.79;274.79;274.70;274.60;274.50;274.70;274.90;274.90;274.70;275.20;274.79;274.79;275.00;275.00;275.00;275.00;274.90;274.90;275.00;275.00;274.90;275.20;275.20;275.29;275.20;275.29;275.10;275.10;275.10;274.90;275.00;275.50;275.20;275.20;275.10;275.10;275.20;275.20;275.10;275.10;275.10;275.00;275.00;275.00;274.60;274.70;274.79;274.90;274.90;274.79;274.79;275.00;275.10;275.10;275.00;274.90;274.79;274.79;274.90;274.90;274.90;274.90;274.90;274.90;274.90;274.79;274.79;274.90;275.00;275.00;274.90;275.10;275.10;275.00;274.70;274.70;274.79;274.90;274.90;274.79;274.79;274.70;274.70;274.70;274.60;274.70;274.79;274.79;274.90;274.90;275.20;275.00;274.90;274.70;274.70;274.60;274.79;275.79;275.40;274.79;274.70;274.60;274.60;274.70;274.70;274.79;274.70;274.79;274.70;274.70;274.70;274.40;274.79;274.90;274.90;274.79;274.79;274.70;273.90;274.20;274.40;274.50;274.60;274.70;274.40;275.40;277.40;278.79;280.00;281.29;282.40;287.00;286.60;287.00;288.00;290.00;290.60;294.70;295.90;300.10;297.70;298.29;299.20;300.40;301.50;302.60;304.40;309.70;307.60;308.29;313.40;311.79;311.90;312.20;312.60;313.29;314.70;315.60;317.00;317.40;318.10;318.90;319.40;320.20;322.00;323.00;323.10;323.29;323.70;324.50;325.10;325.90;326.20;326.60;326.90;326.90;327.10;327.10;327.10;326.79;327.40;327.90;328.40;329.40;330.20;330.70;330.90;331.50;332.30;332.60;333.30;333.80;333.70;333.90;334.60;336.30;337.60;338.00;338.10;338.20;338.30;338.20;338.20;338.20;338.20;338.60;339.00;339.20;339.40;339.60;339.80;339.80;339.80;339.80;339.80;339.40;339.30;339.40;339.40;339.40;339.50;339.40;339.00;339.20;339.40;339.40;339.50;339.50;339.30;339.20;339.40;339.40;339.40;339.40;339.40;339.50;339.40;339.40;339.50;339.50;339.40;339.50;339.30;339.30;339.40;339.50;339.50;339.60;339.50;339.70;339.70;339.60;339.60;339.60;339.60;339.60;339.60;339.60;339.60;339.60;339.60;339.60;339.50;339.50;339.50;339.50;339.60;339.70;339.70;339.70;339.70;339.70;339.70;339.60;339.60;339.60;339.60;339.60;339.60;339.60;339.60;339.60;339.70;339.70;339.60;339.50;339.50;339.60;339.60;339.70;339.70;339.60;339.50;339.50;339.50;339.60;339.60;339.50;339.40;339.30;339.00;339.30;339.40;339.40;339.40;339.40;339.40;339.50;339.50;339.40;339.40;339.40;339.30;339.30;339.30;339.40;339.40;339.40;339.30;339.30;339.40;339.30;339.30;339.30;339.20;339.30;339.40;339.30;339.20;339.20;339.30;339.30;339.30;339.30;339.30;339.30;339.30;339.30;339.30;339.20;339.20;339.20;339.20;339.00;339.20;339.20;339.30;339.20;339.30;339.30;339.20;339.20;339.20;339.20;339.20;339.20;339.20;339.20;339.20;339.20;339.20;339.20;339.20;339.20;339.20;339.20;339.20;339.20;339.20;339.20;339.20;339.20;339.20;339.20;339.20;339.10;339.00;339.10;339.10;339.10;339.10;339.10;339.20;339.20;339.30;339.20;339.20;339.20;339.30;339.30;339.30;339.30;339.30;339.30;339.30;339.30;339.30;339.30;339.20;339.20;339.20;339.20;339.20;339.30;339.20;339.20;339.20;339.20;339.20;339.20;339.20;339.20;339.20;339.20;339.10;</v>
      </c>
      <c r="L2" s="84">
        <f>IFERROR(__xludf.DUMMYFUNCTION("IF(A2="""","""", COUNT(SPLIT(K2,"";"")))"),1115.0)</f>
        <v>1115</v>
      </c>
      <c r="M2" s="84">
        <f t="shared" ref="M2:M1003" si="1">iferror(L2/H2,"")</f>
        <v>5.022522523</v>
      </c>
      <c r="N2" s="84">
        <f>IFERROR(__xludf.DUMMYFUNCTION("IFERROR(AVERAGE(query(INDIRECT(""'FR Table'!"" &amp; vlookup(rows($A$1:$A1),Reference!$O:$P,2,false) &amp; ""3:"" &amp; vlookup(rows($A$1:$A1),Reference!$O:$P,2,false)), 
""SELECT "" &amp; vlookup(rows($A$1:$A1),Reference!$O:$P,2,false) 
&amp; "" WHERE "" &amp; vlookup(rows($A$1"&amp;":$A1),Reference!$O:$P,2,false) &amp;
"" &gt;= "" &amp; Reference!$R$2)) * M2,"""")"),9.171157225336799)</f>
        <v>9.171157225</v>
      </c>
      <c r="O2" s="84" t="str">
        <f t="shared" ref="O2:O1614" si="2">IF($A2="","", DATE(YEAR(C2),MONTH(C2),DAY(C2)) &amp; "-" &amp; H2)</f>
        <v>43926-222</v>
      </c>
    </row>
    <row r="3">
      <c r="A3" s="84" t="str">
        <f>IFERROR(__xludf.DUMMYFUNCTION("""COMPUTED_VALUE"""),"1CQ6Flvu9p")</f>
        <v>1CQ6Flvu9p</v>
      </c>
      <c r="B3" s="84" t="str">
        <f>IFERROR(__xludf.DUMMYFUNCTION("""COMPUTED_VALUE"""),"Brew")</f>
        <v>Brew</v>
      </c>
      <c r="C3" s="85">
        <f>IFERROR(__xludf.DUMMYFUNCTION("""COMPUTED_VALUE"""),43925.65892361111)</f>
        <v>43925.65892</v>
      </c>
      <c r="D3" s="86">
        <f>IFERROR(__xludf.DUMMYFUNCTION("""COMPUTED_VALUE"""),88.0)</f>
        <v>88</v>
      </c>
      <c r="E3" s="87" t="str">
        <f>IFERROR(__xludf.DUMMYFUNCTION("""COMPUTED_VALUE"""),"")</f>
        <v/>
      </c>
      <c r="F3" s="86">
        <f>IFERROR(__xludf.DUMMYFUNCTION("""COMPUTED_VALUE"""),4.0)</f>
        <v>4</v>
      </c>
      <c r="G3" s="87" t="str">
        <f>IFERROR(__xludf.DUMMYFUNCTION("""COMPUTED_VALUE"""),"")</f>
        <v/>
      </c>
      <c r="H3" s="86">
        <f>IFERROR(__xludf.DUMMYFUNCTION("""COMPUTED_VALUE"""),222.0)</f>
        <v>222</v>
      </c>
      <c r="I3" s="86">
        <f>IFERROR(__xludf.DUMMYFUNCTION("""COMPUTED_VALUE"""),1.59)</f>
        <v>1.59</v>
      </c>
      <c r="J3" s="86">
        <f>IFERROR(__xludf.DUMMYFUNCTION("""COMPUTED_VALUE"""),343.70001220703)</f>
        <v>343.7000122</v>
      </c>
      <c r="K3" s="84" t="str">
        <f>IFERROR(__xludf.DUMMYFUNCTION("""COMPUTED_VALUE"""),"0.00;5.00;6.80;2.80;4.00;4.00;5.30;7.20;8.00;8.89;9.70;12.00;12.90;14.20;15.50;15.80;17.40;18.10;19.00;20.10;20.60;21.30;22.10;23.40;23.70;24.60;25.90;26.60;27.70;28.20;28.60;29.40;30.10;30.20;32.59;32.40;32.80;33.09;33.50;33.80;35.80;36.40;37.59;37.80;38"&amp;".09;38.30;39.30;39.90;41.60;42.10;42.70;43.50;43.60;44.00;44.90;45.50;46.10;47.00;47.50;48.00;48.80;50.40;50.50;50.50;50.50;50.60;50.60;50.70;51.20;52.50;52.80;53.00;53.40;53.90;54.40;54.80;54.90;55.00;54.90;55.00;55.00;55.30;55.90;56.70;56.80;56.90;56.90"&amp;";56.90;56.90;56.70;56.60;56.50;56.50;56.70;56.90;57.00;56.90;56.90;56.90;56.90;56.90;56.90;56.90;56.90;56.90;57.00;56.90;56.90;56.80;56.80;56.80;56.70;56.50;56.50;56.60;56.70;56.80;56.80;56.80;56.80;56.70;56.70;56.70;56.80;56.70;56.70;56.70;56.70;56.80;56"&amp;".80;56.90;56.80;56.90;56.90;56.90;56.80;56.80;56.80;56.90;56.90;56.70;56.70;56.80;56.70;56.80;56.80;56.80;56.70;56.50;57.00;62.50;61.60;61.50;61.70;62.50;63.60;68.10;71.60;68.80;68.69;68.90;69.60;70.30;71.60;72.60;73.60;74.19;74.80;75.30;75.69;76.40;77.40"&amp;";79.10;79.10;79.30;79.90;80.40;80.80;81.19;82.00;83.60;84.80;84.70;84.80;85.20;85.80;86.30;86.90;87.50;88.00;89.50;89.70;90.10;90.70;91.40;92.10;94.40;94.20;94.50;95.00;95.60;96.10;96.60;97.10;97.90;98.30;99.30;99.70;100.00;100.50;100.80;101.30;102.20;102"&amp;".40;103.40;103.70;104.50;105.00;106.00;106.10;106.30;106.70;107.20;107.60;108.30;108.60;109.20;109.70;110.30;110.90;112.10;112.40;113.10;113.80;114.60;115.20;115.60;116.30;118.40;118.40;118.40;118.70;118.80;119.20;119.70;120.00;120.60;121.20;121.80;122.40"&amp;";123.00;124.20;124.40;125.10;125.80;126.60;127.20;127.80;128.10;128.80;129.39;130.00;130.80;131.50;132.60;132.89;133.20;133.70;134.39;134.60;136.60;136.70;137.00;137.60;138.10;138.20;138.30;138.30;138.20;138.10;138.10;138.10;138.20;138.10;138.50;138.39;13"&amp;"8.39;138.39;138.20;138.10;138.20;138.30;138.30;137.80;138.00;138.10;138.20;138.30;138.30;138.20;138.00;138.20;138.39;138.39;138.39;138.39;138.00;138.20;138.20;138.20;138.20;138.39;138.39;138.30;138.30;138.30;138.30;138.30;138.20;137.80;138.00;138.30;138.3"&amp;"0;138.30;138.30;138.30;138.10;138.30;138.20;138.30;138.39;138.30;138.30;138.30;138.10;138.10;138.10;138.20;138.10;138.20;138.10;138.20;138.10;138.20;138.20;138.30;138.39;138.30;138.20;138.00;137.89;138.00;137.70;137.89;138.10;138.20;138.20;138.20;138.20;1"&amp;"38.20;138.20;138.20;138.20;138.20;138.20;138.20;138.10;138.10;138.10;138.00;138.00;138.10;138.30;138.30;138.30;138.20;138.20;138.20;138.20;138.20;138.50;140.39;140.39;140.60;141.20;141.80;142.20;142.70;143.60;143.80;144.70;145.39;145.70;146.70;147.70;148."&amp;"00;148.50;149.20;149.80;150.50;152.89;153.70;153.89;154.10;154.50;154.89;155.70;156.60;158.00;158.20;158.80;159.39;160.00;160.80;161.30;162.00;162.30;162.80;163.39;164.10;165.30;166.00;166.60;167.40;168.50;169.40;170.30;171.40;171.70;172.30;172.90;173.60;"&amp;"174.50;175.20;175.90;176.20;177.30;177.90;178.30;179.50;180.00;180.40;181.30;181.90;182.50;183.00;184.20;184.60;185.10;185.60;186.10;186.70;187.60;188.90;190.00;190.20;190.70;191.40;192.20;193.20;194.40;194.60;195.20;196.00;196.80;197.60;198.50;199.20;199"&amp;".70;201.10;201.60;203.00;203.90;204.60;205.10;207.60;208.00;208.30;208.80;209.60;210.40;211.20;211.20;212.10;212.90;213.80;214.60;215.60;215.90;216.60;216.70;216.90;217.00;217.10;217.00;217.00;217.20;217.10;217.00;217.00;217.00;217.00;217.00;217.00;216.80"&amp;";216.80;216.80;216.80;216.70;216.70;216.70;216.70;216.40;216.50;216.70;216.80;216.60;216.50;216.60;216.50;216.60;216.80;216.70;216.70;216.60;216.70;216.80;216.70;216.70;216.60;216.60;216.60;216.50;216.20;216.30;216.30;216.40;216.50;216.40;216.40;216.40;21"&amp;"6.40;216.40;216.50;216.40;216.50;216.50;216.40;216.40;216.30;216.30;216.50;216.60;216.70;216.80;216.80;216.70;216.70;216.70;216.70;216.20;216.20;216.40;216.50;216.50;216.50;216.30;216.30;216.40;216.50;216.50;216.60;216.50;216.40;216.40;216.50;216.50;216.5"&amp;"0;216.50;216.60;216.50;216.50;216.50;216.50;216.50;216.40;216.40;216.40;216.40;216.40;216.50;216.60;216.50;216.50;216.50;216.40;216.40;216.40;216.40;216.80;216.70;216.60;216.60;216.50;216.40;216.50;216.60;216.70;216.80;217.40;218.00;219.90;220.20;220.50;2"&amp;"21.20;221.80;222.60;222.80;223.60;224.00;224.70;225.50;226.00;226.50;226.90;227.40;229.30;231.00;231.30;231.70;232.20;235.20;235.90;236.10;235.90;237.60;237.90;238.60;239.50;240.40;241.20;242.30;243.20;243.60;244.40;245.10;247.90;248.00;248.50;249.10;249."&amp;"70;250.60;254.10;253.20;253.50;253.70;254.20;254.90;255.70;256.60;258.20;258.50;259.20;259.90;260.70;261.70;262.60;263.10;264.70;265.20;265.79;266.70;267.50;268.29;269.10;269.60;274.60;273.50;273.90;274.00;274.40;275.10;275.70;276.79;277.20;278.10;277.90;"&amp;"277.79;277.79;277.90;277.79;277.70;277.70;277.40;277.50;277.50;277.70;277.70;277.70;278.00;277.50;277.40;277.50;277.60;277.60;277.60;277.60;277.60;277.60;277.60;277.60;277.60;277.29;277.40;277.40;277.50;277.50;277.50;277.40;277.29;277.20;277.40;277.50;277"&amp;".50;277.40;277.29;277.20;277.29;277.29;277.20;277.20;277.29;276.70;277.00;277.10;277.10;277.20;277.29;277.20;277.00;277.10;277.20;277.40;277.40;277.40;277.40;277.20;277.20;277.20;277.20;277.20;277.20;277.29;277.40;277.50;277.50;277.40;277.40;277.50;277.50"&amp;";277.40;277.29;277.20;277.29;277.40;277.40;277.40;277.40;277.40;277.40;277.40;277.40;277.29;277.29;277.00;276.90;277.00;277.10;277.20;277.29;277.29;277.10;277.20;277.20;277.20;277.20;277.29;277.29;277.40;277.40;277.40;277.40;277.40;277.20;277.20;277.20;27"&amp;"7.20;277.29;277.40;277.40;277.00;277.10;277.20;277.20;277.20;277.20;277.20;277.00;277.00;277.20;277.20;277.20;277.29;277.29;277.29;277.20;277.20;277.20;276.40;277.20;277.20;277.29;277.29;277.20;277.20;277.20;277.00;277.10;277.20;277.20;277.10;277.10;277.0"&amp;"0;276.90;276.90;276.90;276.90;276.79;277.10;278.40;279.60;280.70;281.70;283.70;286.00;285.50;285.70;285.90;288.70;289.40;290.00;290.90;292.00;293.20;296.29;297.29;297.40;300.00;301.10;303.29;303.60;303.90;306.29;308.20;309.79;309.50;309.90;310.50;314.60;3"&amp;"16.00;316.00;316.29;316.90;320.29;320.50;320.90;322.20;323.20;324.40;325.50;329.40;330.40;330.60;330.80;331.60;335.20;335.30;335.80;336.70;337.70;339.00;340.30;345.30;344.80;345.00;345.00;344.90;345.00;345.00;344.90;344.90;345.00;345.00;345.00;344.90;344."&amp;"90;345.80;345.60;345.30;345.00;344.90;344.80;344.70;345.30;344.70;344.60;344.60;344.70;344.70;344.80;344.40;344.50;344.70;344.70;344.70;344.80;344.70;344.70;344.70;344.70;344.80;344.80;344.80;344.80;344.90;344.80;344.80;344.80;344.80;344.80;344.70;344.60;"&amp;"344.60;344.20;344.40;344.60;344.60;344.80;344.80;343.90;344.20;344.50;344.60;344.80;344.70;344.70;344.50;344.50;344.20;344.20;344.20;344.50;344.60;344.60;344.50;344.50;344.40;344.40;344.20;344.20;344.20;344.20;344.30;344.40;344.40;344.50;344.40;344.40;344"&amp;".40;344.40;344.40;344.40;344.60;344.60;344.50;344.50;344.20;344.30;344.40;344.40;344.40;344.30;344.30;344.20;344.20;344.30;344.20;344.30;344.30;344.00;344.10;344.30;344.40;344.40;344.40;344.40;344.40;344.30;344.30;344.30;344.10;344.30;344.20;344.20;344.20"&amp;";344.30;344.30;344.30;344.30;344.20;344.20;344.30;344.40;344.40;344.30;344.30;344.30;344.30;344.30;344.20;344.20;344.10;344.10;344.10;344.30;344.30;344.10;344.20;344.20;344.30;344.30;344.30;344.30;344.20;344.20;344.20;344.10;344.10;344.10;343.90;343.90;34"&amp;"4.10;344.20;344.20;344.10;344.00;344.00;344.00;344.00;344.00;344.20;344.20;344.10;344.10;344.10;344.10;344.20;344.20;344.20;344.20;344.10;344.10;344.10;344.00;344.00;344.00;343.90;343.90;343.90;343.90;343.90;344.00;344.00;343.80;343.70;343.70;343.70;343.7"&amp;"0;343.70;343.70;343.80;343.70;343.80;343.80;343.90;343.90;343.80;343.80;343.80;343.80;343.80;343.80;343.90;343.60;343.70;343.70;343.70;343.70;343.70;343.70;343.70;343.60;343.70;")</f>
        <v>0.00;5.00;6.80;2.80;4.00;4.00;5.30;7.20;8.00;8.89;9.70;12.00;12.90;14.20;15.50;15.80;17.40;18.10;19.00;20.10;20.60;21.30;22.10;23.40;23.70;24.60;25.90;26.60;27.70;28.20;28.60;29.40;30.10;30.20;32.59;32.40;32.80;33.09;33.50;33.80;35.80;36.40;37.59;37.80;38.09;38.30;39.30;39.90;41.60;42.10;42.70;43.50;43.60;44.00;44.90;45.50;46.10;47.00;47.50;48.00;48.80;50.40;50.50;50.50;50.50;50.60;50.60;50.70;51.20;52.50;52.80;53.00;53.40;53.90;54.40;54.80;54.90;55.00;54.90;55.00;55.00;55.30;55.90;56.70;56.80;56.90;56.90;56.90;56.90;56.70;56.60;56.50;56.50;56.70;56.90;57.00;56.90;56.90;56.90;56.90;56.90;56.90;56.90;56.90;56.90;57.00;56.90;56.90;56.80;56.80;56.80;56.70;56.50;56.50;56.60;56.70;56.80;56.80;56.80;56.80;56.70;56.70;56.70;56.80;56.70;56.70;56.70;56.70;56.80;56.80;56.90;56.80;56.90;56.90;56.90;56.80;56.80;56.80;56.90;56.90;56.70;56.70;56.80;56.70;56.80;56.80;56.80;56.70;56.50;57.00;62.50;61.60;61.50;61.70;62.50;63.60;68.10;71.60;68.80;68.69;68.90;69.60;70.30;71.60;72.60;73.60;74.19;74.80;75.30;75.69;76.40;77.40;79.10;79.10;79.30;79.90;80.40;80.80;81.19;82.00;83.60;84.80;84.70;84.80;85.20;85.80;86.30;86.90;87.50;88.00;89.50;89.70;90.10;90.70;91.40;92.10;94.40;94.20;94.50;95.00;95.60;96.10;96.60;97.10;97.90;98.30;99.30;99.70;100.00;100.50;100.80;101.30;102.20;102.40;103.40;103.70;104.50;105.00;106.00;106.10;106.30;106.70;107.20;107.60;108.30;108.60;109.20;109.70;110.30;110.90;112.10;112.40;113.10;113.80;114.60;115.20;115.60;116.30;118.40;118.40;118.40;118.70;118.80;119.20;119.70;120.00;120.60;121.20;121.80;122.40;123.00;124.20;124.40;125.10;125.80;126.60;127.20;127.80;128.10;128.80;129.39;130.00;130.80;131.50;132.60;132.89;133.20;133.70;134.39;134.60;136.60;136.70;137.00;137.60;138.10;138.20;138.30;138.30;138.20;138.10;138.10;138.10;138.20;138.10;138.50;138.39;138.39;138.39;138.20;138.10;138.20;138.30;138.30;137.80;138.00;138.10;138.20;138.30;138.30;138.20;138.00;138.20;138.39;138.39;138.39;138.39;138.00;138.20;138.20;138.20;138.20;138.39;138.39;138.30;138.30;138.30;138.30;138.30;138.20;137.80;138.00;138.30;138.30;138.30;138.30;138.30;138.10;138.30;138.20;138.30;138.39;138.30;138.30;138.30;138.10;138.10;138.10;138.20;138.10;138.20;138.10;138.20;138.10;138.20;138.20;138.30;138.39;138.30;138.20;138.00;137.89;138.00;137.70;137.89;138.10;138.20;138.20;138.20;138.20;138.20;138.20;138.20;138.20;138.20;138.20;138.20;138.10;138.10;138.10;138.00;138.00;138.10;138.30;138.30;138.30;138.20;138.20;138.20;138.20;138.20;138.50;140.39;140.39;140.60;141.20;141.80;142.20;142.70;143.60;143.80;144.70;145.39;145.70;146.70;147.70;148.00;148.50;149.20;149.80;150.50;152.89;153.70;153.89;154.10;154.50;154.89;155.70;156.60;158.00;158.20;158.80;159.39;160.00;160.80;161.30;162.00;162.30;162.80;163.39;164.10;165.30;166.00;166.60;167.40;168.50;169.40;170.30;171.40;171.70;172.30;172.90;173.60;174.50;175.20;175.90;176.20;177.30;177.90;178.30;179.50;180.00;180.40;181.30;181.90;182.50;183.00;184.20;184.60;185.10;185.60;186.10;186.70;187.60;188.90;190.00;190.20;190.70;191.40;192.20;193.20;194.40;194.60;195.20;196.00;196.80;197.60;198.50;199.20;199.70;201.10;201.60;203.00;203.90;204.60;205.10;207.60;208.00;208.30;208.80;209.60;210.40;211.20;211.20;212.10;212.90;213.80;214.60;215.60;215.90;216.60;216.70;216.90;217.00;217.10;217.00;217.00;217.20;217.10;217.00;217.00;217.00;217.00;217.00;217.00;216.80;216.80;216.80;216.80;216.70;216.70;216.70;216.70;216.40;216.50;216.70;216.80;216.60;216.50;216.60;216.50;216.60;216.80;216.70;216.70;216.60;216.70;216.80;216.70;216.70;216.60;216.60;216.60;216.50;216.20;216.30;216.30;216.40;216.50;216.40;216.40;216.40;216.40;216.40;216.50;216.40;216.50;216.50;216.40;216.40;216.30;216.30;216.50;216.60;216.70;216.80;216.80;216.70;216.70;216.70;216.70;216.20;216.20;216.40;216.50;216.50;216.50;216.30;216.30;216.40;216.50;216.50;216.60;216.50;216.40;216.40;216.50;216.50;216.50;216.50;216.60;216.50;216.50;216.50;216.50;216.50;216.40;216.40;216.40;216.40;216.40;216.50;216.60;216.50;216.50;216.50;216.40;216.40;216.40;216.40;216.80;216.70;216.60;216.60;216.50;216.40;216.50;216.60;216.70;216.80;217.40;218.00;219.90;220.20;220.50;221.20;221.80;222.60;222.80;223.60;224.00;224.70;225.50;226.00;226.50;226.90;227.40;229.30;231.00;231.30;231.70;232.20;235.20;235.90;236.10;235.90;237.60;237.90;238.60;239.50;240.40;241.20;242.30;243.20;243.60;244.40;245.10;247.90;248.00;248.50;249.10;249.70;250.60;254.10;253.20;253.50;253.70;254.20;254.90;255.70;256.60;258.20;258.50;259.20;259.90;260.70;261.70;262.60;263.10;264.70;265.20;265.79;266.70;267.50;268.29;269.10;269.60;274.60;273.50;273.90;274.00;274.40;275.10;275.70;276.79;277.20;278.10;277.90;277.79;277.79;277.90;277.79;277.70;277.70;277.40;277.50;277.50;277.70;277.70;277.70;278.00;277.50;277.40;277.50;277.60;277.60;277.60;277.60;277.60;277.60;277.60;277.60;277.60;277.29;277.40;277.40;277.50;277.50;277.50;277.40;277.29;277.20;277.40;277.50;277.50;277.40;277.29;277.20;277.29;277.29;277.20;277.20;277.29;276.70;277.00;277.10;277.10;277.20;277.29;277.20;277.00;277.10;277.20;277.40;277.40;277.40;277.40;277.20;277.20;277.20;277.20;277.20;277.20;277.29;277.40;277.50;277.50;277.40;277.40;277.50;277.50;277.40;277.29;277.20;277.29;277.40;277.40;277.40;277.40;277.40;277.40;277.40;277.40;277.29;277.29;277.00;276.90;277.00;277.10;277.20;277.29;277.29;277.10;277.20;277.20;277.20;277.20;277.29;277.29;277.40;277.40;277.40;277.40;277.40;277.20;277.20;277.20;277.20;277.29;277.40;277.40;277.00;277.10;277.20;277.20;277.20;277.20;277.20;277.00;277.00;277.20;277.20;277.20;277.29;277.29;277.29;277.20;277.20;277.20;276.40;277.20;277.20;277.29;277.29;277.20;277.20;277.20;277.00;277.10;277.20;277.20;277.10;277.10;277.00;276.90;276.90;276.90;276.90;276.79;277.10;278.40;279.60;280.70;281.70;283.70;286.00;285.50;285.70;285.90;288.70;289.40;290.00;290.90;292.00;293.20;296.29;297.29;297.40;300.00;301.10;303.29;303.60;303.90;306.29;308.20;309.79;309.50;309.90;310.50;314.60;316.00;316.00;316.29;316.90;320.29;320.50;320.90;322.20;323.20;324.40;325.50;329.40;330.40;330.60;330.80;331.60;335.20;335.30;335.80;336.70;337.70;339.00;340.30;345.30;344.80;345.00;345.00;344.90;345.00;345.00;344.90;344.90;345.00;345.00;345.00;344.90;344.90;345.80;345.60;345.30;345.00;344.90;344.80;344.70;345.30;344.70;344.60;344.60;344.70;344.70;344.80;344.40;344.50;344.70;344.70;344.70;344.80;344.70;344.70;344.70;344.70;344.80;344.80;344.80;344.80;344.90;344.80;344.80;344.80;344.80;344.80;344.70;344.60;344.60;344.20;344.40;344.60;344.60;344.80;344.80;343.90;344.20;344.50;344.60;344.80;344.70;344.70;344.50;344.50;344.20;344.20;344.20;344.50;344.60;344.60;344.50;344.50;344.40;344.40;344.20;344.20;344.20;344.20;344.30;344.40;344.40;344.50;344.40;344.40;344.40;344.40;344.40;344.40;344.60;344.60;344.50;344.50;344.20;344.30;344.40;344.40;344.40;344.30;344.30;344.20;344.20;344.30;344.20;344.30;344.30;344.00;344.10;344.30;344.40;344.40;344.40;344.40;344.40;344.30;344.30;344.30;344.10;344.30;344.20;344.20;344.20;344.30;344.30;344.30;344.30;344.20;344.20;344.30;344.40;344.40;344.30;344.30;344.30;344.30;344.30;344.20;344.20;344.10;344.10;344.10;344.30;344.30;344.10;344.20;344.20;344.30;344.30;344.30;344.30;344.20;344.20;344.20;344.10;344.10;344.10;343.90;343.90;344.10;344.20;344.20;344.10;344.00;344.00;344.00;344.00;344.00;344.20;344.20;344.10;344.10;344.10;344.10;344.20;344.20;344.20;344.20;344.10;344.10;344.10;344.00;344.00;344.00;343.90;343.90;343.90;343.90;343.90;344.00;344.00;343.80;343.70;343.70;343.70;343.70;343.70;343.70;343.80;343.70;343.80;343.80;343.90;343.90;343.80;343.80;343.80;343.80;343.80;343.80;343.90;343.60;343.70;343.70;343.70;343.70;343.70;343.70;343.70;343.60;343.70;</v>
      </c>
      <c r="L3" s="84">
        <f>IFERROR(__xludf.DUMMYFUNCTION("IF(A3="""","""", COUNT(SPLIT(K3,"";"")))"),1113.0)</f>
        <v>1113</v>
      </c>
      <c r="M3" s="84">
        <f t="shared" si="1"/>
        <v>5.013513514</v>
      </c>
      <c r="N3" s="84">
        <f>IFERROR(__xludf.DUMMYFUNCTION("IFERROR(AVERAGE(query(INDIRECT(""'FR Table'!"" &amp; vlookup(rows($A$1:$A2),Reference!$O:$P,2,false) &amp; ""3:"" &amp; vlookup(rows($A$1:$A2),Reference!$O:$P,2,false)), 
""SELECT "" &amp; vlookup(rows($A$1:$A2),Reference!$O:$P,2,false) 
&amp; "" WHERE "" &amp; vlookup(rows($A$1"&amp;":$A2),Reference!$O:$P,2,false) &amp;
"" &gt;= "" &amp; Reference!$R$2)) * M3,"""")"),5.142659083133769)</f>
        <v>5.142659083</v>
      </c>
      <c r="O3" s="84" t="str">
        <f t="shared" si="2"/>
        <v>43925-222</v>
      </c>
    </row>
    <row r="4">
      <c r="A4" s="84" t="str">
        <f>IFERROR(__xludf.DUMMYFUNCTION("""COMPUTED_VALUE"""),"LYBwlesj82")</f>
        <v>LYBwlesj82</v>
      </c>
      <c r="B4" s="84" t="str">
        <f>IFERROR(__xludf.DUMMYFUNCTION("""COMPUTED_VALUE"""),"Brew")</f>
        <v>Brew</v>
      </c>
      <c r="C4" s="85">
        <f>IFERROR(__xludf.DUMMYFUNCTION("""COMPUTED_VALUE"""),43925.64255787037)</f>
        <v>43925.64256</v>
      </c>
      <c r="D4" s="86">
        <f>IFERROR(__xludf.DUMMYFUNCTION("""COMPUTED_VALUE"""),88.0)</f>
        <v>88</v>
      </c>
      <c r="E4" s="87" t="str">
        <f>IFERROR(__xludf.DUMMYFUNCTION("""COMPUTED_VALUE"""),"")</f>
        <v/>
      </c>
      <c r="F4" s="86">
        <f>IFERROR(__xludf.DUMMYFUNCTION("""COMPUTED_VALUE"""),3.0)</f>
        <v>3</v>
      </c>
      <c r="G4" s="87" t="str">
        <f>IFERROR(__xludf.DUMMYFUNCTION("""COMPUTED_VALUE"""),"")</f>
        <v/>
      </c>
      <c r="H4" s="86">
        <f>IFERROR(__xludf.DUMMYFUNCTION("""COMPUTED_VALUE"""),245.0)</f>
        <v>245</v>
      </c>
      <c r="I4" s="86">
        <f>IFERROR(__xludf.DUMMYFUNCTION("""COMPUTED_VALUE"""),1.45)</f>
        <v>1.45</v>
      </c>
      <c r="J4" s="86">
        <f>IFERROR(__xludf.DUMMYFUNCTION("""COMPUTED_VALUE"""),342.29998779297)</f>
        <v>342.2999878</v>
      </c>
      <c r="K4" s="84" t="str">
        <f>IFERROR(__xludf.DUMMYFUNCTION("""COMPUTED_VALUE"""),"0.00;2.40;2.40;3.80;4.60;5.50;5.50;5.50;5.60;5.70;6.00;6.30;6.70;6.90;7.40;7.40;7.70;8.39;10.00;10.70;11.10;11.10;11.40;11.90;12.50;13.40;13.70;14.60;14.80;15.20;15.70;16.20;16.70;17.20;17.90;19.20;19.50;19.50;20.00;20.60;21.10;21.60;22.00;22.70;23.70;23."&amp;"80;24.00;24.50;24.70;25.20;25.30;25.50;26.10;26.10;26.20;26.50;26.80;27.20;27.70;28.40;29.80;30.00;30.20;30.60;32.30;33.20;33.80;34.59;35.30;35.80;36.00;37.09;37.30;37.50;37.90;38.20;38.30;38.40;38.30;38.30;38.30;38.30;38.40;39.80;39.80;39.90;40.09;40.59;"&amp;"41.20;41.70;42.30;43.20;44.80;44.90;45.10;45.50;46.00;46.60;47.10;47.60;47.90;48.30;48.50;48.70;48.90;49.50;49.90;50.30;50.90;51.60;52.50;52.80;53.70;54.00;54.40;54.90;55.50;55.80;56.00;56.10;56.10;56.10;56.10;56.10;56.10;56.10;56.00;56.00;56.00;56.00;55."&amp;"80;55.90;55.90;56.00;56.40;56.80;57.10;57.10;57.10;57.00;56.90;56.90;57.00;57.00;57.00;57.00;57.00;57.00;56.90;56.90;56.90;56.90;56.40;56.50;56.80;56.90;60.70;59.40;58.80;59.10;59.90;60.70;61.50;62.40;64.10;64.69;65.19;67.69;67.69;68.50;68.69;68.90;69.60;"&amp;"70.19;72.80;73.19;75.19;75.10;74.80;74.80;75.19;75.90;76.90;77.80;77.19;79.69;79.90;80.60;81.50;82.30;83.10;84.00;84.30;85.00;85.90;86.90;88.50;89.60;90.40;91.90;92.10;92.50;93.80;94.80;95.60;96.40;97.90;98.70;99.30;100.10;100.70;101.60;103.40;105.40;105."&amp;"00;105.50;106.20;106.30;108.90;108.50;108.90;109.30;110.10;111.30;112.10;115.60;114.90;114.70;115.10;116.00;116.80;117.20;117.90;120.20;119.90;121.80;121.90;122.10;122.60;123.20;124.20;124.50;125.70;126.40;127.10;127.80;128.20;128.39;128.39;127.50;127.80;"&amp;"128.00;128.70;129.30;129.80;130.20;130.60;131.30;132.30;132.89;133.30;133.20;133.30;133.50;133.60;133.50;133.60;133.50;132.39;132.50;132.50;134.50;134.80;135.20;135.39;135.39;135.39;135.60;135.20;135.30;135.50;135.50;135.50;135.39;135.30;135.30;135.39;135"&amp;".50;135.50;135.50;135.50;135.39;135.39;135.39;135.50;135.50;135.39;135.30;135.20;137.10;135.60;135.50;135.50;135.39;135.30;135.30;135.39;135.89;135.60;135.50;135.39;135.39;135.50;135.50;135.20;135.30;135.39;135.39;135.39;135.60;135.70;135.70;135.70;135.70"&amp;";135.60;135.60;135.60;135.50;135.50;135.30;135.30;135.39;135.50;135.50;135.50;135.20;135.30;135.50;135.60;135.50;135.60;135.70;135.70;135.70;135.70;135.70;135.50;135.60;135.60;135.60;135.50;135.39;135.39;135.39;135.50;135.50;135.39;135.50;135.50;135.70;13"&amp;"5.70;135.70;135.70;135.70;135.70;135.70;135.60;135.60;135.60;135.50;135.50;135.50;135.50;135.30;135.20;135.30;135.39;135.39;135.89;135.89;135.89;135.39;135.39;135.39;135.39;135.50;136.50;136.39;135.50;135.50;135.50;135.60;135.80;136.20;136.70;137.10;137.8"&amp;"0;138.20;138.70;139.20;139.89;140.20;141.00;141.30;141.70;142.30;143.10;143.39;144.89;145.20;145.70;146.30;146.89;147.39;147.89;149.10;149.20;149.89;150.39;150.89;151.30;152.30;152.50;153.00;154.00;154.70;156.39;156.70;156.89;157.20;157.60;158.30;159.39;1"&amp;"59.80;160.20;160.80;161.39;162.10;162.70;163.60;164.00;164.60;165.20;165.60;166.10;166.60;167.10;167.80;168.30;168.90;169.50;170.10;170.50;170.80;171.50;171.80;172.40;173.20;173.80;174.00;174.40;175.00;175.60;176.20;176.80;177.60;178.00;178.60;179.20;179."&amp;"70;179.90;180.30;181.10;181.60;182.10;182.40;182.90;183.40;184.10;184.40;184.70;185.70;186.10;186.90;187.30;187.50;187.80;188.20;188.80;189.40;189.90;190.80;191.70;192.20;193.20;193.30;193.40;193.70;194.20;194.70;195.10;195.90;196.10;196.50;197.30;197.90;"&amp;"198.40;199.20;199.30;199.60;200.00;200.40;201.10;202.10;203.40;203.20;203.30;203.50;203.80;204.60;205.00;205.10;205.10;205.10;205.10;205.10;205.10;205.10;205.10;204.50;204.50;204.80;205.10;205.00;204.90;205.20;205.30;205.30;205.30;205.30;205.20;204.80;204"&amp;".80;205.00;205.10;205.10;205.00;205.00;205.00;205.00;205.00;205.00;205.00;204.90;204.90;204.90;205.00;205.00;205.10;205.20;205.10;205.10;205.00;205.00;205.00;205.10;205.10;205.00;204.90;204.90;204.90;204.90;204.60;204.70;204.90;204.80;204.90;205.00;205.00"&amp;";205.00;204.90;204.90;204.90;204.80;204.80;204.80;204.90;204.80;204.80;204.80;204.80;204.90;204.90;204.90;204.90;205.00;204.90;205.00;204.90;204.90;204.90;205.00;205.00;204.90;204.90;204.90;204.90;204.90;204.90;204.80;204.80;204.80;204.80;204.70;204.80;20"&amp;"4.90;204.90;204.90;204.90;204.90;204.80;204.80;204.80;204.80;204.80;204.80;204.80;204.80;204.80;204.80;204.80;204.80;204.80;204.90;204.90;204.90;204.80;204.90;204.90;204.90;204.90;204.80;204.70;204.70;204.80;204.80;204.80;204.90;204.80;204.70;204.80;204.8"&amp;"0;204.70;204.50;204.40;204.60;204.80;204.80;204.70;204.60;204.60;204.60;204.50;204.50;204.50;204.60;204.70;204.80;204.80;204.80;209.50;208.40;207.40;205.30;204.60;205.70;206.00;206.40;207.00;207.40;208.00;209.00;208.10;210.20;210.30;211.10;213.10;213.50;2"&amp;"13.70;214.00;214.40;214.80;215.60;216.40;216.90;217.60;218.20;218.90;219.60;220.20;220.90;221.20;221.80;222.40;223.00;224.00;224.60;224.90;225.30;225.80;226.50;227.20;227.70;228.50;228.80;229.20;229.90;230.70;231.30;232.60;232.90;233.20;233.70;234.30;235."&amp;"30;236.10;237.00;237.10;237.60;238.00;238.60;239.00;239.60;240.50;241.00;241.80;242.40;243.00;243.60;245.20;246.80;246.70;246.90;247.40;247.80;248.50;249.00;249.90;250.30;251.10;251.80;252.50;253.20;254.30;255.00;255.30;256.29;256.90;257.50;258.00;258.70;"&amp;"259.10;260.00;260.40;261.10;262.40;262.90;263.50;264.20;264.90;265.70;266.40;268.20;268.40;269.50;270.29;271.20;272.00;272.60;273.40;275.40;275.50;276.20;276.70;277.20;277.70;278.79;281.90;281.90;282.60;283.50;286.00;285.50;285.60;285.79;285.79;286.00;286"&amp;".10;286.10;286.20;286.29;286.40;286.40;286.29;286.20;286.20;286.20;286.20;286.10;286.10;286.10;286.10;286.10;286.10;286.00;286.00;286.00;285.90;285.90;285.90;286.00;286.10;286.20;286.20;286.20;286.20;286.20;286.20;286.20;286.20;286.10;286.10;286.10;286.10"&amp;";286.10;286.10;286.10;286.10;286.10;286.10;286.20;286.20;286.10;286.10;286.10;286.10;286.20;286.29;286.29;286.29;286.20;286.20;286.20;286.10;286.10;286.00;286.00;286.00;286.00;286.00;286.10;286.00;286.10;286.10;286.10;286.10;286.10;285.90;285.90;286.00;28"&amp;"6.10;286.00;285.90;285.90;286.10;286.10;286.20;286.20;286.20;286.20;286.20;286.10;286.20;286.20;286.20;286.10;286.10;286.10;286.20;286.20;286.20;286.20;286.20;286.20;286.10;286.10;286.10;286.10;286.10;286.10;286.10;286.10;286.10;286.10;286.10;286.00;286.0"&amp;"0;286.00;286.00;286.00;286.00;286.00;285.79;285.79;285.79;285.79;285.79;285.79;285.90;286.00;286.00;285.90;285.90;286.00;285.90;285.90;286.00;286.10;286.10;286.10;286.20;286.20;286.20;286.20;286.20;286.20;286.20;286.10;286.10;286.10;286.00;286.00;286.00;2"&amp;"86.00;286.00;286.00;286.00;286.00;286.00;286.00;286.00;286.00;285.90;285.90;285.90;285.90;285.90;285.79;285.79;285.90;286.00;286.00;285.90;285.90;285.70;285.90;286.00;286.10;286.00;286.00;285.90;285.90;285.90;286.29;286.90;288.20;289.29;290.29;291.90;294."&amp;"00;294.20;296.00;296.40;298.00;298.40;298.70;299.10;299.70;300.20;300.79;301.50;302.50;304.29;304.60;304.90;305.40;305.90;306.60;307.29;308.29;309.70;309.79;310.10;310.60;311.10;311.60;312.10;312.79;313.79;314.40;314.70;314.90;315.29;315.70;316.20;316.40;"&amp;"317.00;317.50;318.00;318.00;318.20;318.40;318.79;319.29;320.00;320.50;321.60;321.70;321.79;322.10;322.60;323.40;324.79;325.10;325.40;325.79;326.50;326.70;327.60;329.20;329.30;329.30;329.70;330.30;331.00;332.30;332.70;333.90;334.30;335.10;335.70;336.10;336"&amp;".40;336.60;337.00;337.20;337.80;338.20;338.50;338.90;339.50;339.70;340.10;340.50;340.90;341.20;341.70;341.80;342.20;342.50;342.50;342.60;342.70;342.70;342.70;342.70;342.70;342.70;342.70;342.70;342.70;342.80;342.90;343.00;343.10;343.00;342.90;342.90;342.90"&amp;";342.90;342.90;342.90;342.80;342.90;342.90;342.90;342.90;342.90;342.90;342.90;342.90;342.90;342.90;342.90;342.90;342.90;342.80;342.80;342.80;342.80;342.70;342.70;342.70;342.70;342.70;342.80;342.80;342.90;342.90;342.80;342.80;342.70;342.70;342.70;342.70;34"&amp;"2.60;342.60;342.60;342.60;342.60;342.60;342.60;342.60;342.60;342.60;342.60;342.50;342.50;342.50;342.50;342.50;342.50;342.60;342.60;342.60;342.50;342.50;342.50;342.40;342.40;342.40;342.30;342.30;342.30;342.30;342.40;342.40;342.50;342.50;342.50;342.40;342.4"&amp;"0;342.30;342.30;342.30;342.50;342.50;342.40;342.40;342.30;342.30;342.40;342.40;342.40;342.40;342.40;342.40;342.30;342.30;342.30;342.30;342.30;342.30;342.30;342.30;342.20;342.20;342.50;342.50;342.50;342.60;342.60;342.60;342.50;342.50;342.50;342.50;342.50;3"&amp;"42.50;342.60;342.60;342.50;342.50;342.50;342.40;342.30;342.30;342.30;342.50;342.50;342.50;342.50;342.40;342.30;342.30;342.30;342.30;342.30;342.30;342.30;342.30;342.30;342.30;342.30;342.30;342.30;342.30;")</f>
        <v>0.00;2.40;2.40;3.80;4.60;5.50;5.50;5.50;5.60;5.70;6.00;6.30;6.70;6.90;7.40;7.40;7.70;8.39;10.00;10.70;11.10;11.10;11.40;11.90;12.50;13.40;13.70;14.60;14.80;15.20;15.70;16.20;16.70;17.20;17.90;19.20;19.50;19.50;20.00;20.60;21.10;21.60;22.00;22.70;23.70;23.80;24.00;24.50;24.70;25.20;25.30;25.50;26.10;26.10;26.20;26.50;26.80;27.20;27.70;28.40;29.80;30.00;30.20;30.60;32.30;33.20;33.80;34.59;35.30;35.80;36.00;37.09;37.30;37.50;37.90;38.20;38.30;38.40;38.30;38.30;38.30;38.30;38.40;39.80;39.80;39.90;40.09;40.59;41.20;41.70;42.30;43.20;44.80;44.90;45.10;45.50;46.00;46.60;47.10;47.60;47.90;48.30;48.50;48.70;48.90;49.50;49.90;50.30;50.90;51.60;52.50;52.80;53.70;54.00;54.40;54.90;55.50;55.80;56.00;56.10;56.10;56.10;56.10;56.10;56.10;56.10;56.00;56.00;56.00;56.00;55.80;55.90;55.90;56.00;56.40;56.80;57.10;57.10;57.10;57.00;56.90;56.90;57.00;57.00;57.00;57.00;57.00;57.00;56.90;56.90;56.90;56.90;56.40;56.50;56.80;56.90;60.70;59.40;58.80;59.10;59.90;60.70;61.50;62.40;64.10;64.69;65.19;67.69;67.69;68.50;68.69;68.90;69.60;70.19;72.80;73.19;75.19;75.10;74.80;74.80;75.19;75.90;76.90;77.80;77.19;79.69;79.90;80.60;81.50;82.30;83.10;84.00;84.30;85.00;85.90;86.90;88.50;89.60;90.40;91.90;92.10;92.50;93.80;94.80;95.60;96.40;97.90;98.70;99.30;100.10;100.70;101.60;103.40;105.40;105.00;105.50;106.20;106.30;108.90;108.50;108.90;109.30;110.10;111.30;112.10;115.60;114.90;114.70;115.10;116.00;116.80;117.20;117.90;120.20;119.90;121.80;121.90;122.10;122.60;123.20;124.20;124.50;125.70;126.40;127.10;127.80;128.20;128.39;128.39;127.50;127.80;128.00;128.70;129.30;129.80;130.20;130.60;131.30;132.30;132.89;133.30;133.20;133.30;133.50;133.60;133.50;133.60;133.50;132.39;132.50;132.50;134.50;134.80;135.20;135.39;135.39;135.39;135.60;135.20;135.30;135.50;135.50;135.50;135.39;135.30;135.30;135.39;135.50;135.50;135.50;135.50;135.39;135.39;135.39;135.50;135.50;135.39;135.30;135.20;137.10;135.60;135.50;135.50;135.39;135.30;135.30;135.39;135.89;135.60;135.50;135.39;135.39;135.50;135.50;135.20;135.30;135.39;135.39;135.39;135.60;135.70;135.70;135.70;135.70;135.60;135.60;135.60;135.50;135.50;135.30;135.30;135.39;135.50;135.50;135.50;135.20;135.30;135.50;135.60;135.50;135.60;135.70;135.70;135.70;135.70;135.70;135.50;135.60;135.60;135.60;135.50;135.39;135.39;135.39;135.50;135.50;135.39;135.50;135.50;135.70;135.70;135.70;135.70;135.70;135.70;135.70;135.60;135.60;135.60;135.50;135.50;135.50;135.50;135.30;135.20;135.30;135.39;135.39;135.89;135.89;135.89;135.39;135.39;135.39;135.39;135.50;136.50;136.39;135.50;135.50;135.50;135.60;135.80;136.20;136.70;137.10;137.80;138.20;138.70;139.20;139.89;140.20;141.00;141.30;141.70;142.30;143.10;143.39;144.89;145.20;145.70;146.30;146.89;147.39;147.89;149.10;149.20;149.89;150.39;150.89;151.30;152.30;152.50;153.00;154.00;154.70;156.39;156.70;156.89;157.20;157.60;158.30;159.39;159.80;160.20;160.80;161.39;162.10;162.70;163.60;164.00;164.60;165.20;165.60;166.10;166.60;167.10;167.80;168.30;168.90;169.50;170.10;170.50;170.80;171.50;171.80;172.40;173.20;173.80;174.00;174.40;175.00;175.60;176.20;176.80;177.60;178.00;178.60;179.20;179.70;179.90;180.30;181.10;181.60;182.10;182.40;182.90;183.40;184.10;184.40;184.70;185.70;186.10;186.90;187.30;187.50;187.80;188.20;188.80;189.40;189.90;190.80;191.70;192.20;193.20;193.30;193.40;193.70;194.20;194.70;195.10;195.90;196.10;196.50;197.30;197.90;198.40;199.20;199.30;199.60;200.00;200.40;201.10;202.10;203.40;203.20;203.30;203.50;203.80;204.60;205.00;205.10;205.10;205.10;205.10;205.10;205.10;205.10;205.10;204.50;204.50;204.80;205.10;205.00;204.90;205.20;205.30;205.30;205.30;205.30;205.20;204.80;204.80;205.00;205.10;205.10;205.00;205.00;205.00;205.00;205.00;205.00;205.00;204.90;204.90;204.90;205.00;205.00;205.10;205.20;205.10;205.10;205.00;205.00;205.00;205.10;205.10;205.00;204.90;204.90;204.90;204.90;204.60;204.70;204.90;204.80;204.90;205.00;205.00;205.00;204.90;204.90;204.90;204.80;204.80;204.80;204.90;204.80;204.80;204.80;204.80;204.90;204.90;204.90;204.90;205.00;204.90;205.00;204.90;204.90;204.90;205.00;205.00;204.90;204.90;204.90;204.90;204.90;204.90;204.80;204.80;204.80;204.80;204.70;204.80;204.90;204.90;204.90;204.90;204.90;204.80;204.80;204.80;204.80;204.80;204.80;204.80;204.80;204.80;204.80;204.80;204.80;204.80;204.90;204.90;204.90;204.80;204.90;204.90;204.90;204.90;204.80;204.70;204.70;204.80;204.80;204.80;204.90;204.80;204.70;204.80;204.80;204.70;204.50;204.40;204.60;204.80;204.80;204.70;204.60;204.60;204.60;204.50;204.50;204.50;204.60;204.70;204.80;204.80;204.80;209.50;208.40;207.40;205.30;204.60;205.70;206.00;206.40;207.00;207.40;208.00;209.00;208.10;210.20;210.30;211.10;213.10;213.50;213.70;214.00;214.40;214.80;215.60;216.40;216.90;217.60;218.20;218.90;219.60;220.20;220.90;221.20;221.80;222.40;223.00;224.00;224.60;224.90;225.30;225.80;226.50;227.20;227.70;228.50;228.80;229.20;229.90;230.70;231.30;232.60;232.90;233.20;233.70;234.30;235.30;236.10;237.00;237.10;237.60;238.00;238.60;239.00;239.60;240.50;241.00;241.80;242.40;243.00;243.60;245.20;246.80;246.70;246.90;247.40;247.80;248.50;249.00;249.90;250.30;251.10;251.80;252.50;253.20;254.30;255.00;255.30;256.29;256.90;257.50;258.00;258.70;259.10;260.00;260.40;261.10;262.40;262.90;263.50;264.20;264.90;265.70;266.40;268.20;268.40;269.50;270.29;271.20;272.00;272.60;273.40;275.40;275.50;276.20;276.70;277.20;277.70;278.79;281.90;281.90;282.60;283.50;286.00;285.50;285.60;285.79;285.79;286.00;286.10;286.10;286.20;286.29;286.40;286.40;286.29;286.20;286.20;286.20;286.20;286.10;286.10;286.10;286.10;286.10;286.10;286.00;286.00;286.00;285.90;285.90;285.90;286.00;286.10;286.20;286.20;286.20;286.20;286.20;286.20;286.20;286.20;286.10;286.10;286.10;286.10;286.10;286.10;286.10;286.10;286.10;286.10;286.20;286.20;286.10;286.10;286.10;286.10;286.20;286.29;286.29;286.29;286.20;286.20;286.20;286.10;286.10;286.00;286.00;286.00;286.00;286.00;286.10;286.00;286.10;286.10;286.10;286.10;286.10;285.90;285.90;286.00;286.10;286.00;285.90;285.90;286.10;286.10;286.20;286.20;286.20;286.20;286.20;286.10;286.20;286.20;286.20;286.10;286.10;286.10;286.20;286.20;286.20;286.20;286.20;286.20;286.10;286.10;286.10;286.10;286.10;286.10;286.10;286.10;286.10;286.10;286.10;286.00;286.00;286.00;286.00;286.00;286.00;286.00;285.79;285.79;285.79;285.79;285.79;285.79;285.90;286.00;286.00;285.90;285.90;286.00;285.90;285.90;286.00;286.10;286.10;286.10;286.20;286.20;286.20;286.20;286.20;286.20;286.20;286.10;286.10;286.10;286.00;286.00;286.00;286.00;286.00;286.00;286.00;286.00;286.00;286.00;286.00;286.00;285.90;285.90;285.90;285.90;285.90;285.79;285.79;285.90;286.00;286.00;285.90;285.90;285.70;285.90;286.00;286.10;286.00;286.00;285.90;285.90;285.90;286.29;286.90;288.20;289.29;290.29;291.90;294.00;294.20;296.00;296.40;298.00;298.40;298.70;299.10;299.70;300.20;300.79;301.50;302.50;304.29;304.60;304.90;305.40;305.90;306.60;307.29;308.29;309.70;309.79;310.10;310.60;311.10;311.60;312.10;312.79;313.79;314.40;314.70;314.90;315.29;315.70;316.20;316.40;317.00;317.50;318.00;318.00;318.20;318.40;318.79;319.29;320.00;320.50;321.60;321.70;321.79;322.10;322.60;323.40;324.79;325.10;325.40;325.79;326.50;326.70;327.60;329.20;329.30;329.30;329.70;330.30;331.00;332.30;332.70;333.90;334.30;335.10;335.70;336.10;336.40;336.60;337.00;337.20;337.80;338.20;338.50;338.90;339.50;339.70;340.10;340.50;340.90;341.20;341.70;341.80;342.20;342.50;342.50;342.60;342.70;342.70;342.70;342.70;342.70;342.70;342.70;342.70;342.70;342.80;342.90;343.00;343.10;343.00;342.90;342.90;342.90;342.90;342.90;342.90;342.80;342.90;342.90;342.90;342.90;342.90;342.90;342.90;342.90;342.90;342.90;342.90;342.90;342.90;342.80;342.80;342.80;342.80;342.70;342.70;342.70;342.70;342.70;342.80;342.80;342.90;342.90;342.80;342.80;342.70;342.70;342.70;342.70;342.60;342.60;342.60;342.60;342.60;342.60;342.60;342.60;342.60;342.60;342.60;342.50;342.50;342.50;342.50;342.50;342.50;342.60;342.60;342.60;342.50;342.50;342.50;342.40;342.40;342.40;342.30;342.30;342.30;342.30;342.40;342.40;342.50;342.50;342.50;342.40;342.40;342.30;342.30;342.30;342.50;342.50;342.40;342.40;342.30;342.30;342.40;342.40;342.40;342.40;342.40;342.40;342.30;342.30;342.30;342.30;342.30;342.30;342.30;342.30;342.20;342.20;342.50;342.50;342.50;342.60;342.60;342.60;342.50;342.50;342.50;342.50;342.50;342.50;342.60;342.60;342.50;342.50;342.50;342.40;342.30;342.30;342.30;342.50;342.50;342.50;342.50;342.40;342.30;342.30;342.30;342.30;342.30;342.30;342.30;342.30;342.30;342.30;342.30;342.30;342.30;342.30;</v>
      </c>
      <c r="L4" s="84">
        <f>IFERROR(__xludf.DUMMYFUNCTION("IF(A4="""","""", COUNT(SPLIT(K4,"";"")))"),1227.0)</f>
        <v>1227</v>
      </c>
      <c r="M4" s="84">
        <f t="shared" si="1"/>
        <v>5.008163265</v>
      </c>
      <c r="N4" s="84">
        <f>IFERROR(__xludf.DUMMYFUNCTION("IFERROR(AVERAGE(query(INDIRECT(""'FR Table'!"" &amp; vlookup(rows($A$1:$A3),Reference!$O:$P,2,false) &amp; ""3:"" &amp; vlookup(rows($A$1:$A3),Reference!$O:$P,2,false)), 
""SELECT "" &amp; vlookup(rows($A$1:$A3),Reference!$O:$P,2,false) 
&amp; "" WHERE "" &amp; vlookup(rows($A$1"&amp;":$A3),Reference!$O:$P,2,false) &amp;
"" &gt;= "" &amp; Reference!$R$2)) * M4,"""")"),4.357541353383457)</f>
        <v>4.357541353</v>
      </c>
      <c r="O4" s="84" t="str">
        <f t="shared" si="2"/>
        <v>43925-245</v>
      </c>
    </row>
    <row r="5">
      <c r="A5" s="84"/>
      <c r="B5" s="84"/>
      <c r="C5" s="85"/>
      <c r="D5" s="86"/>
      <c r="E5" s="87"/>
      <c r="F5" s="86"/>
      <c r="G5" s="87"/>
      <c r="H5" s="86"/>
      <c r="I5" s="86"/>
      <c r="J5" s="86"/>
      <c r="K5" s="84"/>
      <c r="L5" s="84" t="str">
        <f>IFERROR(__xludf.DUMMYFUNCTION("IF(A5="""","""", COUNT(SPLIT(K5,"";"")))"),"")</f>
        <v/>
      </c>
      <c r="M5" s="84" t="str">
        <f t="shared" si="1"/>
        <v/>
      </c>
      <c r="N5" s="84" t="str">
        <f>IFERROR(__xludf.DUMMYFUNCTION("IFERROR(AVERAGE(query(INDIRECT(""'FR Table'!"" &amp; vlookup(rows($A$1:$A4),Reference!$O:$P,2,false) &amp; ""3:"" &amp; vlookup(rows($A$1:$A4),Reference!$O:$P,2,false)), 
""SELECT "" &amp; vlookup(rows($A$1:$A4),Reference!$O:$P,2,false) 
&amp; "" WHERE "" &amp; vlookup(rows($A$1"&amp;":$A4),Reference!$O:$P,2,false) &amp;
"" &gt;= "" &amp; Reference!$R$2)) * M5,"""")"),"")</f>
        <v/>
      </c>
      <c r="O5" s="84" t="str">
        <f t="shared" si="2"/>
        <v/>
      </c>
    </row>
    <row r="6">
      <c r="A6" s="84"/>
      <c r="B6" s="84"/>
      <c r="C6" s="85"/>
      <c r="D6" s="86"/>
      <c r="E6" s="87"/>
      <c r="F6" s="86"/>
      <c r="G6" s="87"/>
      <c r="H6" s="86"/>
      <c r="I6" s="86"/>
      <c r="J6" s="86"/>
      <c r="K6" s="84"/>
      <c r="L6" s="84" t="str">
        <f>IFERROR(__xludf.DUMMYFUNCTION("IF(A6="""","""", COUNT(SPLIT(K6,"";"")))"),"")</f>
        <v/>
      </c>
      <c r="M6" s="84" t="str">
        <f t="shared" si="1"/>
        <v/>
      </c>
      <c r="N6" s="84" t="str">
        <f>IFERROR(__xludf.DUMMYFUNCTION("IFERROR(AVERAGE(query(INDIRECT(""'FR Table'!"" &amp; vlookup(rows($A$1:$A5),Reference!$O:$P,2,false) &amp; ""3:"" &amp; vlookup(rows($A$1:$A5),Reference!$O:$P,2,false)), 
""SELECT "" &amp; vlookup(rows($A$1:$A5),Reference!$O:$P,2,false) 
&amp; "" WHERE "" &amp; vlookup(rows($A$1"&amp;":$A5),Reference!$O:$P,2,false) &amp;
"" &gt;= "" &amp; Reference!$R$2)) * M6,"""")"),"")</f>
        <v/>
      </c>
      <c r="O6" s="84" t="str">
        <f t="shared" si="2"/>
        <v/>
      </c>
    </row>
    <row r="7">
      <c r="A7" s="84"/>
      <c r="B7" s="84"/>
      <c r="C7" s="85"/>
      <c r="D7" s="86"/>
      <c r="E7" s="87"/>
      <c r="F7" s="86"/>
      <c r="G7" s="87"/>
      <c r="H7" s="86"/>
      <c r="I7" s="86"/>
      <c r="J7" s="86"/>
      <c r="K7" s="84"/>
      <c r="L7" s="84" t="str">
        <f>IFERROR(__xludf.DUMMYFUNCTION("IF(A7="""","""", COUNT(SPLIT(K7,"";"")))"),"")</f>
        <v/>
      </c>
      <c r="M7" s="84" t="str">
        <f t="shared" si="1"/>
        <v/>
      </c>
      <c r="N7" s="84" t="str">
        <f>IFERROR(__xludf.DUMMYFUNCTION("IFERROR(AVERAGE(query(INDIRECT(""'FR Table'!"" &amp; vlookup(rows($A$1:$A6),Reference!$O:$P,2,false) &amp; ""3:"" &amp; vlookup(rows($A$1:$A6),Reference!$O:$P,2,false)), 
""SELECT "" &amp; vlookup(rows($A$1:$A6),Reference!$O:$P,2,false) 
&amp; "" WHERE "" &amp; vlookup(rows($A$1"&amp;":$A6),Reference!$O:$P,2,false) &amp;
"" &gt;= "" &amp; Reference!$R$2)) * M7,"""")"),"")</f>
        <v/>
      </c>
      <c r="O7" s="84" t="str">
        <f t="shared" si="2"/>
        <v/>
      </c>
    </row>
    <row r="8">
      <c r="A8" s="84"/>
      <c r="B8" s="84"/>
      <c r="C8" s="85"/>
      <c r="D8" s="86"/>
      <c r="E8" s="87"/>
      <c r="F8" s="86"/>
      <c r="G8" s="87"/>
      <c r="H8" s="86"/>
      <c r="I8" s="86"/>
      <c r="J8" s="86"/>
      <c r="K8" s="84"/>
      <c r="L8" s="84" t="str">
        <f>IFERROR(__xludf.DUMMYFUNCTION("IF(A8="""","""", COUNT(SPLIT(K8,"";"")))"),"")</f>
        <v/>
      </c>
      <c r="M8" s="84" t="str">
        <f t="shared" si="1"/>
        <v/>
      </c>
      <c r="N8" s="84" t="str">
        <f>IFERROR(__xludf.DUMMYFUNCTION("IFERROR(AVERAGE(query(INDIRECT(""'FR Table'!"" &amp; vlookup(rows($A$1:$A7),Reference!$O:$P,2,false) &amp; ""3:"" &amp; vlookup(rows($A$1:$A7),Reference!$O:$P,2,false)), 
""SELECT "" &amp; vlookup(rows($A$1:$A7),Reference!$O:$P,2,false) 
&amp; "" WHERE "" &amp; vlookup(rows($A$1"&amp;":$A7),Reference!$O:$P,2,false) &amp;
"" &gt;= "" &amp; Reference!$R$2)) * M8,"""")"),"")</f>
        <v/>
      </c>
      <c r="O8" s="84" t="str">
        <f t="shared" si="2"/>
        <v/>
      </c>
    </row>
    <row r="9">
      <c r="A9" s="84"/>
      <c r="B9" s="84"/>
      <c r="C9" s="85"/>
      <c r="D9" s="86"/>
      <c r="E9" s="87"/>
      <c r="F9" s="86"/>
      <c r="G9" s="87"/>
      <c r="H9" s="86"/>
      <c r="I9" s="86"/>
      <c r="J9" s="86"/>
      <c r="K9" s="84"/>
      <c r="L9" s="84" t="str">
        <f>IFERROR(__xludf.DUMMYFUNCTION("IF(A9="""","""", COUNT(SPLIT(K9,"";"")))"),"")</f>
        <v/>
      </c>
      <c r="M9" s="84" t="str">
        <f t="shared" si="1"/>
        <v/>
      </c>
      <c r="N9" s="84" t="str">
        <f>IFERROR(__xludf.DUMMYFUNCTION("IFERROR(AVERAGE(query(INDIRECT(""'FR Table'!"" &amp; vlookup(rows($A$1:$A8),Reference!$O:$P,2,false) &amp; ""3:"" &amp; vlookup(rows($A$1:$A8),Reference!$O:$P,2,false)), 
""SELECT "" &amp; vlookup(rows($A$1:$A8),Reference!$O:$P,2,false) 
&amp; "" WHERE "" &amp; vlookup(rows($A$1"&amp;":$A8),Reference!$O:$P,2,false) &amp;
"" &gt;= "" &amp; Reference!$R$2)) * M9,"""")"),"")</f>
        <v/>
      </c>
      <c r="O9" s="84" t="str">
        <f t="shared" si="2"/>
        <v/>
      </c>
    </row>
    <row r="10">
      <c r="A10" s="84"/>
      <c r="B10" s="84"/>
      <c r="C10" s="85"/>
      <c r="D10" s="86"/>
      <c r="E10" s="87"/>
      <c r="F10" s="86"/>
      <c r="G10" s="87"/>
      <c r="H10" s="86"/>
      <c r="I10" s="86"/>
      <c r="J10" s="86"/>
      <c r="K10" s="84"/>
      <c r="L10" s="84" t="str">
        <f>IFERROR(__xludf.DUMMYFUNCTION("IF(A10="""","""", COUNT(SPLIT(K10,"";"")))"),"")</f>
        <v/>
      </c>
      <c r="M10" s="84" t="str">
        <f t="shared" si="1"/>
        <v/>
      </c>
      <c r="N10" s="84" t="str">
        <f>IFERROR(__xludf.DUMMYFUNCTION("IFERROR(AVERAGE(query(INDIRECT(""'FR Table'!"" &amp; vlookup(rows($A$1:$A9),Reference!$O:$P,2,false) &amp; ""3:"" &amp; vlookup(rows($A$1:$A9),Reference!$O:$P,2,false)), 
""SELECT "" &amp; vlookup(rows($A$1:$A9),Reference!$O:$P,2,false) 
&amp; "" WHERE "" &amp; vlookup(rows($A$1"&amp;":$A9),Reference!$O:$P,2,false) &amp;
"" &gt;= "" &amp; Reference!$R$2)) * M10,"""")"),"")</f>
        <v/>
      </c>
      <c r="O10" s="84" t="str">
        <f t="shared" si="2"/>
        <v/>
      </c>
    </row>
    <row r="11">
      <c r="A11" s="84"/>
      <c r="B11" s="84"/>
      <c r="C11" s="85"/>
      <c r="D11" s="86"/>
      <c r="E11" s="87"/>
      <c r="F11" s="86"/>
      <c r="G11" s="87"/>
      <c r="H11" s="86"/>
      <c r="I11" s="86"/>
      <c r="J11" s="86"/>
      <c r="K11" s="84"/>
      <c r="L11" s="84" t="str">
        <f>IFERROR(__xludf.DUMMYFUNCTION("IF(A11="""","""", COUNT(SPLIT(K11,"";"")))"),"")</f>
        <v/>
      </c>
      <c r="M11" s="84" t="str">
        <f t="shared" si="1"/>
        <v/>
      </c>
      <c r="N11" s="84" t="str">
        <f>IFERROR(__xludf.DUMMYFUNCTION("IFERROR(AVERAGE(query(INDIRECT(""'FR Table'!"" &amp; vlookup(rows($A$1:$A10),Reference!$O:$P,2,false) &amp; ""3:"" &amp; vlookup(rows($A$1:$A10),Reference!$O:$P,2,false)), 
""SELECT "" &amp; vlookup(rows($A$1:$A10),Reference!$O:$P,2,false) 
&amp; "" WHERE "" &amp; vlookup(rows($"&amp;"A$1:$A10),Reference!$O:$P,2,false) &amp;
"" &gt;= "" &amp; Reference!$R$2)) * M11,"""")"),"")</f>
        <v/>
      </c>
      <c r="O11" s="84" t="str">
        <f t="shared" si="2"/>
        <v/>
      </c>
    </row>
    <row r="12">
      <c r="A12" s="84"/>
      <c r="B12" s="84"/>
      <c r="C12" s="85"/>
      <c r="D12" s="86"/>
      <c r="E12" s="87"/>
      <c r="F12" s="86"/>
      <c r="G12" s="87"/>
      <c r="H12" s="86"/>
      <c r="I12" s="86"/>
      <c r="J12" s="86"/>
      <c r="K12" s="84"/>
      <c r="L12" s="84" t="str">
        <f>IFERROR(__xludf.DUMMYFUNCTION("IF(A12="""","""", COUNT(SPLIT(K12,"";"")))"),"")</f>
        <v/>
      </c>
      <c r="M12" s="84" t="str">
        <f t="shared" si="1"/>
        <v/>
      </c>
      <c r="N12" s="84" t="str">
        <f>IFERROR(__xludf.DUMMYFUNCTION("IFERROR(AVERAGE(query(INDIRECT(""'FR Table'!"" &amp; vlookup(rows($A$1:$A11),Reference!$O:$P,2,false) &amp; ""3:"" &amp; vlookup(rows($A$1:$A11),Reference!$O:$P,2,false)), 
""SELECT "" &amp; vlookup(rows($A$1:$A11),Reference!$O:$P,2,false) 
&amp; "" WHERE "" &amp; vlookup(rows($"&amp;"A$1:$A11),Reference!$O:$P,2,false) &amp;
"" &gt;= "" &amp; Reference!$R$2)) * M12,"""")"),"")</f>
        <v/>
      </c>
      <c r="O12" s="84" t="str">
        <f t="shared" si="2"/>
        <v/>
      </c>
    </row>
    <row r="13">
      <c r="A13" s="84"/>
      <c r="B13" s="84"/>
      <c r="C13" s="85"/>
      <c r="D13" s="86"/>
      <c r="E13" s="87"/>
      <c r="F13" s="86"/>
      <c r="G13" s="87"/>
      <c r="H13" s="86"/>
      <c r="I13" s="86"/>
      <c r="J13" s="86"/>
      <c r="K13" s="84"/>
      <c r="L13" s="84" t="str">
        <f>IFERROR(__xludf.DUMMYFUNCTION("IF(A13="""","""", COUNT(SPLIT(K13,"";"")))"),"")</f>
        <v/>
      </c>
      <c r="M13" s="84" t="str">
        <f t="shared" si="1"/>
        <v/>
      </c>
      <c r="N13" s="84" t="str">
        <f>IFERROR(__xludf.DUMMYFUNCTION("IFERROR(AVERAGE(query(INDIRECT(""'FR Table'!"" &amp; vlookup(rows($A$1:$A12),Reference!$O:$P,2,false) &amp; ""3:"" &amp; vlookup(rows($A$1:$A12),Reference!$O:$P,2,false)), 
""SELECT "" &amp; vlookup(rows($A$1:$A12),Reference!$O:$P,2,false) 
&amp; "" WHERE "" &amp; vlookup(rows($"&amp;"A$1:$A12),Reference!$O:$P,2,false) &amp;
"" &gt;= "" &amp; Reference!$R$2)) * M13,"""")"),"")</f>
        <v/>
      </c>
      <c r="O13" s="84" t="str">
        <f t="shared" si="2"/>
        <v/>
      </c>
    </row>
    <row r="14">
      <c r="A14" s="84"/>
      <c r="B14" s="84"/>
      <c r="C14" s="85"/>
      <c r="D14" s="86"/>
      <c r="E14" s="87"/>
      <c r="F14" s="86"/>
      <c r="G14" s="87"/>
      <c r="H14" s="86"/>
      <c r="I14" s="86"/>
      <c r="J14" s="86"/>
      <c r="K14" s="84"/>
      <c r="L14" s="84" t="str">
        <f>IFERROR(__xludf.DUMMYFUNCTION("IF(A14="""","""", COUNT(SPLIT(K14,"";"")))"),"")</f>
        <v/>
      </c>
      <c r="M14" s="84" t="str">
        <f t="shared" si="1"/>
        <v/>
      </c>
      <c r="N14" s="84" t="str">
        <f>IFERROR(__xludf.DUMMYFUNCTION("IFERROR(AVERAGE(query(INDIRECT(""'FR Table'!"" &amp; vlookup(rows($A$1:$A13),Reference!$O:$P,2,false) &amp; ""3:"" &amp; vlookup(rows($A$1:$A13),Reference!$O:$P,2,false)), 
""SELECT "" &amp; vlookup(rows($A$1:$A13),Reference!$O:$P,2,false) 
&amp; "" WHERE "" &amp; vlookup(rows($"&amp;"A$1:$A13),Reference!$O:$P,2,false) &amp;
"" &gt;= "" &amp; Reference!$R$2)) * M14,"""")"),"")</f>
        <v/>
      </c>
      <c r="O14" s="84" t="str">
        <f t="shared" si="2"/>
        <v/>
      </c>
    </row>
    <row r="15">
      <c r="A15" s="84"/>
      <c r="B15" s="84"/>
      <c r="C15" s="85"/>
      <c r="D15" s="86"/>
      <c r="E15" s="87"/>
      <c r="F15" s="86"/>
      <c r="G15" s="87"/>
      <c r="H15" s="86"/>
      <c r="I15" s="86"/>
      <c r="J15" s="86"/>
      <c r="K15" s="84"/>
      <c r="L15" s="84" t="str">
        <f>IFERROR(__xludf.DUMMYFUNCTION("IF(A15="""","""", COUNT(SPLIT(K15,"";"")))"),"")</f>
        <v/>
      </c>
      <c r="M15" s="84" t="str">
        <f t="shared" si="1"/>
        <v/>
      </c>
      <c r="N15" s="84" t="str">
        <f>IFERROR(__xludf.DUMMYFUNCTION("IFERROR(AVERAGE(query(INDIRECT(""'FR Table'!"" &amp; vlookup(rows($A$1:$A14),Reference!$O:$P,2,false) &amp; ""3:"" &amp; vlookup(rows($A$1:$A14),Reference!$O:$P,2,false)), 
""SELECT "" &amp; vlookup(rows($A$1:$A14),Reference!$O:$P,2,false) 
&amp; "" WHERE "" &amp; vlookup(rows($"&amp;"A$1:$A14),Reference!$O:$P,2,false) &amp;
"" &gt;= "" &amp; Reference!$R$2)) * M15,"""")"),"")</f>
        <v/>
      </c>
      <c r="O15" s="84" t="str">
        <f t="shared" si="2"/>
        <v/>
      </c>
    </row>
    <row r="16">
      <c r="A16" s="84"/>
      <c r="B16" s="84"/>
      <c r="C16" s="85"/>
      <c r="D16" s="86"/>
      <c r="E16" s="87"/>
      <c r="F16" s="86"/>
      <c r="G16" s="87"/>
      <c r="H16" s="86"/>
      <c r="I16" s="86"/>
      <c r="J16" s="86"/>
      <c r="K16" s="84"/>
      <c r="L16" s="84" t="str">
        <f>IFERROR(__xludf.DUMMYFUNCTION("IF(A16="""","""", COUNT(SPLIT(K16,"";"")))"),"")</f>
        <v/>
      </c>
      <c r="M16" s="84" t="str">
        <f t="shared" si="1"/>
        <v/>
      </c>
      <c r="N16" s="84" t="str">
        <f>IFERROR(__xludf.DUMMYFUNCTION("IFERROR(AVERAGE(query(INDIRECT(""'FR Table'!"" &amp; vlookup(rows($A$1:$A15),Reference!$O:$P,2,false) &amp; ""3:"" &amp; vlookup(rows($A$1:$A15),Reference!$O:$P,2,false)), 
""SELECT "" &amp; vlookup(rows($A$1:$A15),Reference!$O:$P,2,false) 
&amp; "" WHERE "" &amp; vlookup(rows($"&amp;"A$1:$A15),Reference!$O:$P,2,false) &amp;
"" &gt;= "" &amp; Reference!$R$2)) * M16,"""")"),"")</f>
        <v/>
      </c>
      <c r="O16" s="84" t="str">
        <f t="shared" si="2"/>
        <v/>
      </c>
    </row>
    <row r="17">
      <c r="A17" s="84"/>
      <c r="B17" s="84"/>
      <c r="C17" s="85"/>
      <c r="D17" s="86"/>
      <c r="E17" s="87"/>
      <c r="F17" s="86"/>
      <c r="G17" s="87"/>
      <c r="H17" s="86"/>
      <c r="I17" s="86"/>
      <c r="J17" s="86"/>
      <c r="K17" s="84"/>
      <c r="L17" s="84" t="str">
        <f>IFERROR(__xludf.DUMMYFUNCTION("IF(A17="""","""", COUNT(SPLIT(K17,"";"")))"),"")</f>
        <v/>
      </c>
      <c r="M17" s="84" t="str">
        <f t="shared" si="1"/>
        <v/>
      </c>
      <c r="N17" s="84" t="str">
        <f>IFERROR(__xludf.DUMMYFUNCTION("IFERROR(AVERAGE(query(INDIRECT(""'FR Table'!"" &amp; vlookup(rows($A$1:$A16),Reference!$O:$P,2,false) &amp; ""3:"" &amp; vlookup(rows($A$1:$A16),Reference!$O:$P,2,false)), 
""SELECT "" &amp; vlookup(rows($A$1:$A16),Reference!$O:$P,2,false) 
&amp; "" WHERE "" &amp; vlookup(rows($"&amp;"A$1:$A16),Reference!$O:$P,2,false) &amp;
"" &gt;= "" &amp; Reference!$R$2)) * M17,"""")"),"")</f>
        <v/>
      </c>
      <c r="O17" s="84" t="str">
        <f t="shared" si="2"/>
        <v/>
      </c>
    </row>
    <row r="18">
      <c r="A18" s="84"/>
      <c r="B18" s="84"/>
      <c r="C18" s="85"/>
      <c r="D18" s="86"/>
      <c r="E18" s="87"/>
      <c r="F18" s="86"/>
      <c r="G18" s="87"/>
      <c r="H18" s="86"/>
      <c r="I18" s="86"/>
      <c r="J18" s="86"/>
      <c r="K18" s="84"/>
      <c r="L18" s="84" t="str">
        <f>IFERROR(__xludf.DUMMYFUNCTION("IF(A18="""","""", COUNT(SPLIT(K18,"";"")))"),"")</f>
        <v/>
      </c>
      <c r="M18" s="84" t="str">
        <f t="shared" si="1"/>
        <v/>
      </c>
      <c r="N18" s="84" t="str">
        <f>IFERROR(__xludf.DUMMYFUNCTION("IFERROR(AVERAGE(query(INDIRECT(""'FR Table'!"" &amp; vlookup(rows($A$1:$A17),Reference!$O:$P,2,false) &amp; ""3:"" &amp; vlookup(rows($A$1:$A17),Reference!$O:$P,2,false)), 
""SELECT "" &amp; vlookup(rows($A$1:$A17),Reference!$O:$P,2,false) 
&amp; "" WHERE "" &amp; vlookup(rows($"&amp;"A$1:$A17),Reference!$O:$P,2,false) &amp;
"" &gt;= "" &amp; Reference!$R$2)) * M18,"""")"),"")</f>
        <v/>
      </c>
      <c r="O18" s="84" t="str">
        <f t="shared" si="2"/>
        <v/>
      </c>
    </row>
    <row r="19">
      <c r="A19" s="84"/>
      <c r="B19" s="84"/>
      <c r="C19" s="85"/>
      <c r="D19" s="86"/>
      <c r="E19" s="87"/>
      <c r="F19" s="86"/>
      <c r="G19" s="87"/>
      <c r="H19" s="86"/>
      <c r="I19" s="86"/>
      <c r="J19" s="86"/>
      <c r="K19" s="84"/>
      <c r="L19" s="84" t="str">
        <f>IFERROR(__xludf.DUMMYFUNCTION("IF(A19="""","""", COUNT(SPLIT(K19,"";"")))"),"")</f>
        <v/>
      </c>
      <c r="M19" s="84" t="str">
        <f t="shared" si="1"/>
        <v/>
      </c>
      <c r="N19" s="84" t="str">
        <f>IFERROR(__xludf.DUMMYFUNCTION("IFERROR(AVERAGE(query(INDIRECT(""'FR Table'!"" &amp; vlookup(rows($A$1:$A18),Reference!$O:$P,2,false) &amp; ""3:"" &amp; vlookup(rows($A$1:$A18),Reference!$O:$P,2,false)), 
""SELECT "" &amp; vlookup(rows($A$1:$A18),Reference!$O:$P,2,false) 
&amp; "" WHERE "" &amp; vlookup(rows($"&amp;"A$1:$A18),Reference!$O:$P,2,false) &amp;
"" &gt;= "" &amp; Reference!$R$2)) * M19,"""")"),"")</f>
        <v/>
      </c>
      <c r="O19" s="84" t="str">
        <f t="shared" si="2"/>
        <v/>
      </c>
    </row>
    <row r="20">
      <c r="A20" s="84"/>
      <c r="B20" s="84"/>
      <c r="C20" s="85"/>
      <c r="D20" s="86"/>
      <c r="E20" s="87"/>
      <c r="F20" s="86"/>
      <c r="G20" s="87"/>
      <c r="H20" s="86"/>
      <c r="I20" s="86"/>
      <c r="J20" s="86"/>
      <c r="K20" s="84"/>
      <c r="L20" s="84" t="str">
        <f>IFERROR(__xludf.DUMMYFUNCTION("IF(A20="""","""", COUNT(SPLIT(K20,"";"")))"),"")</f>
        <v/>
      </c>
      <c r="M20" s="84" t="str">
        <f t="shared" si="1"/>
        <v/>
      </c>
      <c r="N20" s="84" t="str">
        <f>IFERROR(__xludf.DUMMYFUNCTION("IFERROR(AVERAGE(query(INDIRECT(""'FR Table'!"" &amp; vlookup(rows($A$1:$A19),Reference!$O:$P,2,false) &amp; ""3:"" &amp; vlookup(rows($A$1:$A19),Reference!$O:$P,2,false)), 
""SELECT "" &amp; vlookup(rows($A$1:$A19),Reference!$O:$P,2,false) 
&amp; "" WHERE "" &amp; vlookup(rows($"&amp;"A$1:$A19),Reference!$O:$P,2,false) &amp;
"" &gt;= "" &amp; Reference!$R$2)) * M20,"""")"),"")</f>
        <v/>
      </c>
      <c r="O20" s="84" t="str">
        <f t="shared" si="2"/>
        <v/>
      </c>
    </row>
    <row r="21">
      <c r="A21" s="84"/>
      <c r="B21" s="84"/>
      <c r="C21" s="85"/>
      <c r="D21" s="86"/>
      <c r="E21" s="87"/>
      <c r="F21" s="86"/>
      <c r="G21" s="87"/>
      <c r="H21" s="86"/>
      <c r="I21" s="86"/>
      <c r="J21" s="86"/>
      <c r="K21" s="84"/>
      <c r="L21" s="84" t="str">
        <f>IFERROR(__xludf.DUMMYFUNCTION("IF(A21="""","""", COUNT(SPLIT(K21,"";"")))"),"")</f>
        <v/>
      </c>
      <c r="M21" s="84" t="str">
        <f t="shared" si="1"/>
        <v/>
      </c>
      <c r="N21" s="84" t="str">
        <f>IFERROR(__xludf.DUMMYFUNCTION("IFERROR(AVERAGE(query(INDIRECT(""'FR Table'!"" &amp; vlookup(rows($A$1:$A20),Reference!$O:$P,2,false) &amp; ""3:"" &amp; vlookup(rows($A$1:$A20),Reference!$O:$P,2,false)), 
""SELECT "" &amp; vlookup(rows($A$1:$A20),Reference!$O:$P,2,false) 
&amp; "" WHERE "" &amp; vlookup(rows($"&amp;"A$1:$A20),Reference!$O:$P,2,false) &amp;
"" &gt;= "" &amp; Reference!$R$2)) * M21,"""")"),"")</f>
        <v/>
      </c>
      <c r="O21" s="84" t="str">
        <f t="shared" si="2"/>
        <v/>
      </c>
    </row>
    <row r="22">
      <c r="A22" s="84"/>
      <c r="B22" s="84"/>
      <c r="C22" s="85"/>
      <c r="D22" s="86"/>
      <c r="E22" s="87"/>
      <c r="F22" s="86"/>
      <c r="G22" s="87"/>
      <c r="H22" s="86"/>
      <c r="I22" s="86"/>
      <c r="J22" s="86"/>
      <c r="K22" s="84"/>
      <c r="L22" s="84" t="str">
        <f>IFERROR(__xludf.DUMMYFUNCTION("IF(A22="""","""", COUNT(SPLIT(K22,"";"")))"),"")</f>
        <v/>
      </c>
      <c r="M22" s="84" t="str">
        <f t="shared" si="1"/>
        <v/>
      </c>
      <c r="N22" s="84" t="str">
        <f>IFERROR(__xludf.DUMMYFUNCTION("IFERROR(AVERAGE(query(INDIRECT(""'FR Table'!"" &amp; vlookup(rows($A$1:$A21),Reference!$O:$P,2,false) &amp; ""3:"" &amp; vlookup(rows($A$1:$A21),Reference!$O:$P,2,false)), 
""SELECT "" &amp; vlookup(rows($A$1:$A21),Reference!$O:$P,2,false) 
&amp; "" WHERE "" &amp; vlookup(rows($"&amp;"A$1:$A21),Reference!$O:$P,2,false) &amp;
"" &gt;= "" &amp; Reference!$R$2)) * M22,"""")"),"")</f>
        <v/>
      </c>
      <c r="O22" s="84" t="str">
        <f t="shared" si="2"/>
        <v/>
      </c>
    </row>
    <row r="23">
      <c r="A23" s="84"/>
      <c r="B23" s="84"/>
      <c r="C23" s="85"/>
      <c r="D23" s="86"/>
      <c r="E23" s="87"/>
      <c r="F23" s="86"/>
      <c r="G23" s="87"/>
      <c r="H23" s="86"/>
      <c r="I23" s="86"/>
      <c r="J23" s="86"/>
      <c r="K23" s="84"/>
      <c r="L23" s="84" t="str">
        <f>IFERROR(__xludf.DUMMYFUNCTION("IF(A23="""","""", COUNT(SPLIT(K23,"";"")))"),"")</f>
        <v/>
      </c>
      <c r="M23" s="84" t="str">
        <f t="shared" si="1"/>
        <v/>
      </c>
      <c r="N23" s="84" t="str">
        <f>IFERROR(__xludf.DUMMYFUNCTION("IFERROR(AVERAGE(query(INDIRECT(""'FR Table'!"" &amp; vlookup(rows($A$1:$A22),Reference!$O:$P,2,false) &amp; ""3:"" &amp; vlookup(rows($A$1:$A22),Reference!$O:$P,2,false)), 
""SELECT "" &amp; vlookup(rows($A$1:$A22),Reference!$O:$P,2,false) 
&amp; "" WHERE "" &amp; vlookup(rows($"&amp;"A$1:$A22),Reference!$O:$P,2,false) &amp;
"" &gt;= "" &amp; Reference!$R$2)) * M23,"""")"),"")</f>
        <v/>
      </c>
      <c r="O23" s="84" t="str">
        <f t="shared" si="2"/>
        <v/>
      </c>
    </row>
    <row r="24">
      <c r="A24" s="84"/>
      <c r="B24" s="84"/>
      <c r="C24" s="85"/>
      <c r="D24" s="86"/>
      <c r="E24" s="87"/>
      <c r="F24" s="86"/>
      <c r="G24" s="87"/>
      <c r="H24" s="86"/>
      <c r="I24" s="86"/>
      <c r="J24" s="86"/>
      <c r="K24" s="84"/>
      <c r="L24" s="84" t="str">
        <f>IFERROR(__xludf.DUMMYFUNCTION("IF(A24="""","""", COUNT(SPLIT(K24,"";"")))"),"")</f>
        <v/>
      </c>
      <c r="M24" s="84" t="str">
        <f t="shared" si="1"/>
        <v/>
      </c>
      <c r="N24" s="84" t="str">
        <f>IFERROR(__xludf.DUMMYFUNCTION("IFERROR(AVERAGE(query(INDIRECT(""'FR Table'!"" &amp; vlookup(rows($A$1:$A23),Reference!$O:$P,2,false) &amp; ""3:"" &amp; vlookup(rows($A$1:$A23),Reference!$O:$P,2,false)), 
""SELECT "" &amp; vlookup(rows($A$1:$A23),Reference!$O:$P,2,false) 
&amp; "" WHERE "" &amp; vlookup(rows($"&amp;"A$1:$A23),Reference!$O:$P,2,false) &amp;
"" &gt;= "" &amp; Reference!$R$2)) * M24,"""")"),"")</f>
        <v/>
      </c>
      <c r="O24" s="84" t="str">
        <f t="shared" si="2"/>
        <v/>
      </c>
    </row>
    <row r="25">
      <c r="A25" s="84"/>
      <c r="B25" s="84"/>
      <c r="C25" s="85"/>
      <c r="D25" s="86"/>
      <c r="E25" s="87"/>
      <c r="F25" s="86"/>
      <c r="G25" s="87"/>
      <c r="H25" s="86"/>
      <c r="I25" s="86"/>
      <c r="J25" s="86"/>
      <c r="K25" s="84"/>
      <c r="L25" s="84" t="str">
        <f>IFERROR(__xludf.DUMMYFUNCTION("IF(A25="""","""", COUNT(SPLIT(K25,"";"")))"),"")</f>
        <v/>
      </c>
      <c r="M25" s="84" t="str">
        <f t="shared" si="1"/>
        <v/>
      </c>
      <c r="N25" s="84" t="str">
        <f>IFERROR(__xludf.DUMMYFUNCTION("IFERROR(AVERAGE(query(INDIRECT(""'FR Table'!"" &amp; vlookup(rows($A$1:$A24),Reference!$O:$P,2,false) &amp; ""3:"" &amp; vlookup(rows($A$1:$A24),Reference!$O:$P,2,false)), 
""SELECT "" &amp; vlookup(rows($A$1:$A24),Reference!$O:$P,2,false) 
&amp; "" WHERE "" &amp; vlookup(rows($"&amp;"A$1:$A24),Reference!$O:$P,2,false) &amp;
"" &gt;= "" &amp; Reference!$R$2)) * M25,"""")"),"")</f>
        <v/>
      </c>
      <c r="O25" s="84" t="str">
        <f t="shared" si="2"/>
        <v/>
      </c>
    </row>
    <row r="26">
      <c r="A26" s="84"/>
      <c r="B26" s="84"/>
      <c r="C26" s="85"/>
      <c r="D26" s="86"/>
      <c r="E26" s="87"/>
      <c r="F26" s="86"/>
      <c r="G26" s="87"/>
      <c r="H26" s="86"/>
      <c r="I26" s="86"/>
      <c r="J26" s="86"/>
      <c r="K26" s="84"/>
      <c r="L26" s="84" t="str">
        <f>IFERROR(__xludf.DUMMYFUNCTION("IF(A26="""","""", COUNT(SPLIT(K26,"";"")))"),"")</f>
        <v/>
      </c>
      <c r="M26" s="84" t="str">
        <f t="shared" si="1"/>
        <v/>
      </c>
      <c r="N26" s="84" t="str">
        <f>IFERROR(__xludf.DUMMYFUNCTION("IFERROR(AVERAGE(query(INDIRECT(""'FR Table'!"" &amp; vlookup(rows($A$1:$A25),Reference!$O:$P,2,false) &amp; ""3:"" &amp; vlookup(rows($A$1:$A25),Reference!$O:$P,2,false)), 
""SELECT "" &amp; vlookup(rows($A$1:$A25),Reference!$O:$P,2,false) 
&amp; "" WHERE "" &amp; vlookup(rows($"&amp;"A$1:$A25),Reference!$O:$P,2,false) &amp;
"" &gt;= "" &amp; Reference!$R$2)) * M26,"""")"),"")</f>
        <v/>
      </c>
      <c r="O26" s="84" t="str">
        <f t="shared" si="2"/>
        <v/>
      </c>
    </row>
    <row r="27">
      <c r="A27" s="84"/>
      <c r="B27" s="84"/>
      <c r="C27" s="85"/>
      <c r="D27" s="86"/>
      <c r="E27" s="87"/>
      <c r="F27" s="86"/>
      <c r="G27" s="87"/>
      <c r="H27" s="86"/>
      <c r="I27" s="86"/>
      <c r="J27" s="86"/>
      <c r="K27" s="84"/>
      <c r="L27" s="84" t="str">
        <f>IFERROR(__xludf.DUMMYFUNCTION("IF(A27="""","""", COUNT(SPLIT(K27,"";"")))"),"")</f>
        <v/>
      </c>
      <c r="M27" s="84" t="str">
        <f t="shared" si="1"/>
        <v/>
      </c>
      <c r="N27" s="84" t="str">
        <f>IFERROR(__xludf.DUMMYFUNCTION("IFERROR(AVERAGE(query(INDIRECT(""'FR Table'!"" &amp; vlookup(rows($A$1:$A26),Reference!$O:$P,2,false) &amp; ""3:"" &amp; vlookup(rows($A$1:$A26),Reference!$O:$P,2,false)), 
""SELECT "" &amp; vlookup(rows($A$1:$A26),Reference!$O:$P,2,false) 
&amp; "" WHERE "" &amp; vlookup(rows($"&amp;"A$1:$A26),Reference!$O:$P,2,false) &amp;
"" &gt;= "" &amp; Reference!$R$2)) * M27,"""")"),"")</f>
        <v/>
      </c>
      <c r="O27" s="84" t="str">
        <f t="shared" si="2"/>
        <v/>
      </c>
    </row>
    <row r="28">
      <c r="A28" s="84"/>
      <c r="B28" s="84"/>
      <c r="C28" s="85"/>
      <c r="D28" s="86"/>
      <c r="E28" s="87"/>
      <c r="F28" s="86"/>
      <c r="G28" s="87"/>
      <c r="H28" s="86"/>
      <c r="I28" s="86"/>
      <c r="J28" s="86"/>
      <c r="K28" s="84"/>
      <c r="L28" s="84" t="str">
        <f>IFERROR(__xludf.DUMMYFUNCTION("IF(A28="""","""", COUNT(SPLIT(K28,"";"")))"),"")</f>
        <v/>
      </c>
      <c r="M28" s="84" t="str">
        <f t="shared" si="1"/>
        <v/>
      </c>
      <c r="N28" s="84" t="str">
        <f>IFERROR(__xludf.DUMMYFUNCTION("IFERROR(AVERAGE(query(INDIRECT(""'FR Table'!"" &amp; vlookup(rows($A$1:$A27),Reference!$O:$P,2,false) &amp; ""3:"" &amp; vlookup(rows($A$1:$A27),Reference!$O:$P,2,false)), 
""SELECT "" &amp; vlookup(rows($A$1:$A27),Reference!$O:$P,2,false) 
&amp; "" WHERE "" &amp; vlookup(rows($"&amp;"A$1:$A27),Reference!$O:$P,2,false) &amp;
"" &gt;= "" &amp; Reference!$R$2)) * M28,"""")"),"")</f>
        <v/>
      </c>
      <c r="O28" s="84" t="str">
        <f t="shared" si="2"/>
        <v/>
      </c>
    </row>
    <row r="29">
      <c r="A29" s="84"/>
      <c r="B29" s="84"/>
      <c r="C29" s="85"/>
      <c r="D29" s="86"/>
      <c r="E29" s="87"/>
      <c r="F29" s="86"/>
      <c r="G29" s="87"/>
      <c r="H29" s="86"/>
      <c r="I29" s="86"/>
      <c r="J29" s="86"/>
      <c r="K29" s="84"/>
      <c r="L29" s="84" t="str">
        <f>IFERROR(__xludf.DUMMYFUNCTION("IF(A29="""","""", COUNT(SPLIT(K29,"";"")))"),"")</f>
        <v/>
      </c>
      <c r="M29" s="84" t="str">
        <f t="shared" si="1"/>
        <v/>
      </c>
      <c r="N29" s="84" t="str">
        <f>IFERROR(__xludf.DUMMYFUNCTION("IFERROR(AVERAGE(query(INDIRECT(""'FR Table'!"" &amp; vlookup(rows($A$1:$A28),Reference!$O:$P,2,false) &amp; ""3:"" &amp; vlookup(rows($A$1:$A28),Reference!$O:$P,2,false)), 
""SELECT "" &amp; vlookup(rows($A$1:$A28),Reference!$O:$P,2,false) 
&amp; "" WHERE "" &amp; vlookup(rows($"&amp;"A$1:$A28),Reference!$O:$P,2,false) &amp;
"" &gt;= "" &amp; Reference!$R$2)) * M29,"""")"),"")</f>
        <v/>
      </c>
      <c r="O29" s="84" t="str">
        <f t="shared" si="2"/>
        <v/>
      </c>
    </row>
    <row r="30">
      <c r="A30" s="84"/>
      <c r="B30" s="84"/>
      <c r="C30" s="85"/>
      <c r="D30" s="86"/>
      <c r="E30" s="87"/>
      <c r="F30" s="86"/>
      <c r="G30" s="87"/>
      <c r="H30" s="86"/>
      <c r="I30" s="86"/>
      <c r="J30" s="86"/>
      <c r="K30" s="84"/>
      <c r="L30" s="84" t="str">
        <f>IFERROR(__xludf.DUMMYFUNCTION("IF(A30="""","""", COUNT(SPLIT(K30,"";"")))"),"")</f>
        <v/>
      </c>
      <c r="M30" s="84" t="str">
        <f t="shared" si="1"/>
        <v/>
      </c>
      <c r="N30" s="84" t="str">
        <f>IFERROR(__xludf.DUMMYFUNCTION("IFERROR(AVERAGE(query(INDIRECT(""'FR Table'!"" &amp; vlookup(rows($A$1:$A29),Reference!$O:$P,2,false) &amp; ""3:"" &amp; vlookup(rows($A$1:$A29),Reference!$O:$P,2,false)), 
""SELECT "" &amp; vlookup(rows($A$1:$A29),Reference!$O:$P,2,false) 
&amp; "" WHERE "" &amp; vlookup(rows($"&amp;"A$1:$A29),Reference!$O:$P,2,false) &amp;
"" &gt;= "" &amp; Reference!$R$2)) * M30,"""")"),"")</f>
        <v/>
      </c>
      <c r="O30" s="84" t="str">
        <f t="shared" si="2"/>
        <v/>
      </c>
    </row>
    <row r="31">
      <c r="A31" s="84"/>
      <c r="B31" s="84"/>
      <c r="C31" s="85"/>
      <c r="D31" s="86"/>
      <c r="E31" s="87"/>
      <c r="F31" s="86"/>
      <c r="G31" s="87"/>
      <c r="H31" s="86"/>
      <c r="I31" s="86"/>
      <c r="J31" s="86"/>
      <c r="K31" s="84"/>
      <c r="L31" s="84" t="str">
        <f>IFERROR(__xludf.DUMMYFUNCTION("IF(A31="""","""", COUNT(SPLIT(K31,"";"")))"),"")</f>
        <v/>
      </c>
      <c r="M31" s="84" t="str">
        <f t="shared" si="1"/>
        <v/>
      </c>
      <c r="N31" s="84" t="str">
        <f>IFERROR(__xludf.DUMMYFUNCTION("IFERROR(AVERAGE(query(INDIRECT(""'FR Table'!"" &amp; vlookup(rows($A$1:$A30),Reference!$O:$P,2,false) &amp; ""3:"" &amp; vlookup(rows($A$1:$A30),Reference!$O:$P,2,false)), 
""SELECT "" &amp; vlookup(rows($A$1:$A30),Reference!$O:$P,2,false) 
&amp; "" WHERE "" &amp; vlookup(rows($"&amp;"A$1:$A30),Reference!$O:$P,2,false) &amp;
"" &gt;= "" &amp; Reference!$R$2)) * M31,"""")"),"")</f>
        <v/>
      </c>
      <c r="O31" s="84" t="str">
        <f t="shared" si="2"/>
        <v/>
      </c>
    </row>
    <row r="32">
      <c r="A32" s="84"/>
      <c r="B32" s="84"/>
      <c r="C32" s="85"/>
      <c r="D32" s="86"/>
      <c r="E32" s="87"/>
      <c r="F32" s="86"/>
      <c r="G32" s="87"/>
      <c r="H32" s="86"/>
      <c r="I32" s="86"/>
      <c r="J32" s="86"/>
      <c r="K32" s="84"/>
      <c r="L32" s="84" t="str">
        <f>IFERROR(__xludf.DUMMYFUNCTION("IF(A32="""","""", COUNT(SPLIT(K32,"";"")))"),"")</f>
        <v/>
      </c>
      <c r="M32" s="84" t="str">
        <f t="shared" si="1"/>
        <v/>
      </c>
      <c r="N32" s="84" t="str">
        <f>IFERROR(__xludf.DUMMYFUNCTION("IFERROR(AVERAGE(query(INDIRECT(""'FR Table'!"" &amp; vlookup(rows($A$1:$A31),Reference!$O:$P,2,false) &amp; ""3:"" &amp; vlookup(rows($A$1:$A31),Reference!$O:$P,2,false)), 
""SELECT "" &amp; vlookup(rows($A$1:$A31),Reference!$O:$P,2,false) 
&amp; "" WHERE "" &amp; vlookup(rows($"&amp;"A$1:$A31),Reference!$O:$P,2,false) &amp;
"" &gt;= "" &amp; Reference!$R$2)) * M32,"""")"),"")</f>
        <v/>
      </c>
      <c r="O32" s="84" t="str">
        <f t="shared" si="2"/>
        <v/>
      </c>
    </row>
    <row r="33">
      <c r="A33" s="84"/>
      <c r="B33" s="84"/>
      <c r="C33" s="85"/>
      <c r="D33" s="86"/>
      <c r="E33" s="87"/>
      <c r="F33" s="86"/>
      <c r="G33" s="87"/>
      <c r="H33" s="86"/>
      <c r="I33" s="86"/>
      <c r="J33" s="86"/>
      <c r="K33" s="84"/>
      <c r="L33" s="84" t="str">
        <f>IFERROR(__xludf.DUMMYFUNCTION("IF(A33="""","""", COUNT(SPLIT(K33,"";"")))"),"")</f>
        <v/>
      </c>
      <c r="M33" s="84" t="str">
        <f t="shared" si="1"/>
        <v/>
      </c>
      <c r="N33" s="84" t="str">
        <f>IFERROR(__xludf.DUMMYFUNCTION("IFERROR(AVERAGE(query(INDIRECT(""'FR Table'!"" &amp; vlookup(rows($A$1:$A32),Reference!$O:$P,2,false) &amp; ""3:"" &amp; vlookup(rows($A$1:$A32),Reference!$O:$P,2,false)), 
""SELECT "" &amp; vlookup(rows($A$1:$A32),Reference!$O:$P,2,false) 
&amp; "" WHERE "" &amp; vlookup(rows($"&amp;"A$1:$A32),Reference!$O:$P,2,false) &amp;
"" &gt;= "" &amp; Reference!$R$2)) * M33,"""")"),"")</f>
        <v/>
      </c>
      <c r="O33" s="84" t="str">
        <f t="shared" si="2"/>
        <v/>
      </c>
    </row>
    <row r="34">
      <c r="A34" s="84"/>
      <c r="B34" s="84"/>
      <c r="C34" s="85"/>
      <c r="D34" s="86"/>
      <c r="E34" s="87"/>
      <c r="F34" s="86"/>
      <c r="G34" s="87"/>
      <c r="H34" s="86"/>
      <c r="I34" s="86"/>
      <c r="J34" s="86"/>
      <c r="K34" s="84"/>
      <c r="L34" s="84" t="str">
        <f>IFERROR(__xludf.DUMMYFUNCTION("IF(A34="""","""", COUNT(SPLIT(K34,"";"")))"),"")</f>
        <v/>
      </c>
      <c r="M34" s="84" t="str">
        <f t="shared" si="1"/>
        <v/>
      </c>
      <c r="N34" s="84" t="str">
        <f>IFERROR(__xludf.DUMMYFUNCTION("IFERROR(AVERAGE(query(INDIRECT(""'FR Table'!"" &amp; vlookup(rows($A$1:$A33),Reference!$O:$P,2,false) &amp; ""3:"" &amp; vlookup(rows($A$1:$A33),Reference!$O:$P,2,false)), 
""SELECT "" &amp; vlookup(rows($A$1:$A33),Reference!$O:$P,2,false) 
&amp; "" WHERE "" &amp; vlookup(rows($"&amp;"A$1:$A33),Reference!$O:$P,2,false) &amp;
"" &gt;= "" &amp; Reference!$R$2)) * M34,"""")"),"")</f>
        <v/>
      </c>
      <c r="O34" s="84" t="str">
        <f t="shared" si="2"/>
        <v/>
      </c>
    </row>
    <row r="35">
      <c r="A35" s="84"/>
      <c r="B35" s="84"/>
      <c r="C35" s="85"/>
      <c r="D35" s="86"/>
      <c r="E35" s="87"/>
      <c r="F35" s="86"/>
      <c r="G35" s="87"/>
      <c r="H35" s="86"/>
      <c r="I35" s="86"/>
      <c r="J35" s="86"/>
      <c r="K35" s="84"/>
      <c r="L35" s="84" t="str">
        <f>IFERROR(__xludf.DUMMYFUNCTION("IF(A35="""","""", COUNT(SPLIT(K35,"";"")))"),"")</f>
        <v/>
      </c>
      <c r="M35" s="84" t="str">
        <f t="shared" si="1"/>
        <v/>
      </c>
      <c r="N35" s="84" t="str">
        <f>IFERROR(__xludf.DUMMYFUNCTION("IFERROR(AVERAGE(query(INDIRECT(""'FR Table'!"" &amp; vlookup(rows($A$1:$A34),Reference!$O:$P,2,false) &amp; ""3:"" &amp; vlookup(rows($A$1:$A34),Reference!$O:$P,2,false)), 
""SELECT "" &amp; vlookup(rows($A$1:$A34),Reference!$O:$P,2,false) 
&amp; "" WHERE "" &amp; vlookup(rows($"&amp;"A$1:$A34),Reference!$O:$P,2,false) &amp;
"" &gt;= "" &amp; Reference!$R$2)) * M35,"""")"),"")</f>
        <v/>
      </c>
      <c r="O35" s="84" t="str">
        <f t="shared" si="2"/>
        <v/>
      </c>
    </row>
    <row r="36">
      <c r="A36" s="84"/>
      <c r="B36" s="84"/>
      <c r="C36" s="85"/>
      <c r="D36" s="86"/>
      <c r="E36" s="87"/>
      <c r="F36" s="86"/>
      <c r="G36" s="87"/>
      <c r="H36" s="86"/>
      <c r="I36" s="86"/>
      <c r="J36" s="86"/>
      <c r="K36" s="84"/>
      <c r="L36" s="84" t="str">
        <f>IFERROR(__xludf.DUMMYFUNCTION("IF(A36="""","""", COUNT(SPLIT(K36,"";"")))"),"")</f>
        <v/>
      </c>
      <c r="M36" s="84" t="str">
        <f t="shared" si="1"/>
        <v/>
      </c>
      <c r="N36" s="84" t="str">
        <f>IFERROR(__xludf.DUMMYFUNCTION("IFERROR(AVERAGE(query(INDIRECT(""'FR Table'!"" &amp; vlookup(rows($A$1:$A35),Reference!$O:$P,2,false) &amp; ""3:"" &amp; vlookup(rows($A$1:$A35),Reference!$O:$P,2,false)), 
""SELECT "" &amp; vlookup(rows($A$1:$A35),Reference!$O:$P,2,false) 
&amp; "" WHERE "" &amp; vlookup(rows($"&amp;"A$1:$A35),Reference!$O:$P,2,false) &amp;
"" &gt;= "" &amp; Reference!$R$2)) * M36,"""")"),"")</f>
        <v/>
      </c>
      <c r="O36" s="84" t="str">
        <f t="shared" si="2"/>
        <v/>
      </c>
    </row>
    <row r="37">
      <c r="A37" s="84"/>
      <c r="B37" s="84"/>
      <c r="C37" s="85"/>
      <c r="D37" s="86"/>
      <c r="E37" s="87"/>
      <c r="F37" s="86"/>
      <c r="G37" s="87"/>
      <c r="H37" s="86"/>
      <c r="I37" s="86"/>
      <c r="J37" s="86"/>
      <c r="K37" s="84"/>
      <c r="L37" s="84" t="str">
        <f>IFERROR(__xludf.DUMMYFUNCTION("IF(A37="""","""", COUNT(SPLIT(K37,"";"")))"),"")</f>
        <v/>
      </c>
      <c r="M37" s="84" t="str">
        <f t="shared" si="1"/>
        <v/>
      </c>
      <c r="N37" s="84" t="str">
        <f>IFERROR(__xludf.DUMMYFUNCTION("IFERROR(AVERAGE(query(INDIRECT(""'FR Table'!"" &amp; vlookup(rows($A$1:$A36),Reference!$O:$P,2,false) &amp; ""3:"" &amp; vlookup(rows($A$1:$A36),Reference!$O:$P,2,false)), 
""SELECT "" &amp; vlookup(rows($A$1:$A36),Reference!$O:$P,2,false) 
&amp; "" WHERE "" &amp; vlookup(rows($"&amp;"A$1:$A36),Reference!$O:$P,2,false) &amp;
"" &gt;= "" &amp; Reference!$R$2)) * M37,"""")"),"")</f>
        <v/>
      </c>
      <c r="O37" s="84" t="str">
        <f t="shared" si="2"/>
        <v/>
      </c>
    </row>
    <row r="38">
      <c r="A38" s="84"/>
      <c r="B38" s="84"/>
      <c r="C38" s="85"/>
      <c r="D38" s="86"/>
      <c r="E38" s="87"/>
      <c r="F38" s="86"/>
      <c r="G38" s="87"/>
      <c r="H38" s="86"/>
      <c r="I38" s="86"/>
      <c r="J38" s="86"/>
      <c r="K38" s="84"/>
      <c r="L38" s="84" t="str">
        <f>IFERROR(__xludf.DUMMYFUNCTION("IF(A38="""","""", COUNT(SPLIT(K38,"";"")))"),"")</f>
        <v/>
      </c>
      <c r="M38" s="84" t="str">
        <f t="shared" si="1"/>
        <v/>
      </c>
      <c r="N38" s="84" t="str">
        <f>IFERROR(__xludf.DUMMYFUNCTION("IFERROR(AVERAGE(query(INDIRECT(""'FR Table'!"" &amp; vlookup(rows($A$1:$A37),Reference!$O:$P,2,false) &amp; ""3:"" &amp; vlookup(rows($A$1:$A37),Reference!$O:$P,2,false)), 
""SELECT "" &amp; vlookup(rows($A$1:$A37),Reference!$O:$P,2,false) 
&amp; "" WHERE "" &amp; vlookup(rows($"&amp;"A$1:$A37),Reference!$O:$P,2,false) &amp;
"" &gt;= "" &amp; Reference!$R$2)) * M38,"""")"),"")</f>
        <v/>
      </c>
      <c r="O38" s="84" t="str">
        <f t="shared" si="2"/>
        <v/>
      </c>
    </row>
    <row r="39">
      <c r="A39" s="84"/>
      <c r="B39" s="84"/>
      <c r="C39" s="85"/>
      <c r="D39" s="86"/>
      <c r="E39" s="87"/>
      <c r="F39" s="86"/>
      <c r="G39" s="87"/>
      <c r="H39" s="86"/>
      <c r="I39" s="86"/>
      <c r="J39" s="86"/>
      <c r="K39" s="84"/>
      <c r="L39" s="84" t="str">
        <f>IFERROR(__xludf.DUMMYFUNCTION("IF(A39="""","""", COUNT(SPLIT(K39,"";"")))"),"")</f>
        <v/>
      </c>
      <c r="M39" s="84" t="str">
        <f t="shared" si="1"/>
        <v/>
      </c>
      <c r="N39" s="84" t="str">
        <f>IFERROR(__xludf.DUMMYFUNCTION("IFERROR(AVERAGE(query(INDIRECT(""'FR Table'!"" &amp; vlookup(rows($A$1:$A38),Reference!$O:$P,2,false) &amp; ""3:"" &amp; vlookup(rows($A$1:$A38),Reference!$O:$P,2,false)), 
""SELECT "" &amp; vlookup(rows($A$1:$A38),Reference!$O:$P,2,false) 
&amp; "" WHERE "" &amp; vlookup(rows($"&amp;"A$1:$A38),Reference!$O:$P,2,false) &amp;
"" &gt;= "" &amp; Reference!$R$2)) * M39,"""")"),"")</f>
        <v/>
      </c>
      <c r="O39" s="84" t="str">
        <f t="shared" si="2"/>
        <v/>
      </c>
    </row>
    <row r="40">
      <c r="A40" s="84"/>
      <c r="B40" s="84"/>
      <c r="C40" s="85"/>
      <c r="D40" s="86"/>
      <c r="E40" s="87"/>
      <c r="F40" s="86"/>
      <c r="G40" s="87"/>
      <c r="H40" s="86"/>
      <c r="I40" s="86"/>
      <c r="J40" s="86"/>
      <c r="K40" s="84"/>
      <c r="L40" s="84" t="str">
        <f>IFERROR(__xludf.DUMMYFUNCTION("IF(A40="""","""", COUNT(SPLIT(K40,"";"")))"),"")</f>
        <v/>
      </c>
      <c r="M40" s="84" t="str">
        <f t="shared" si="1"/>
        <v/>
      </c>
      <c r="N40" s="84" t="str">
        <f>IFERROR(__xludf.DUMMYFUNCTION("IFERROR(AVERAGE(query(INDIRECT(""'FR Table'!"" &amp; vlookup(rows($A$1:$A39),Reference!$O:$P,2,false) &amp; ""3:"" &amp; vlookup(rows($A$1:$A39),Reference!$O:$P,2,false)), 
""SELECT "" &amp; vlookup(rows($A$1:$A39),Reference!$O:$P,2,false) 
&amp; "" WHERE "" &amp; vlookup(rows($"&amp;"A$1:$A39),Reference!$O:$P,2,false) &amp;
"" &gt;= "" &amp; Reference!$R$2)) * M40,"""")"),"")</f>
        <v/>
      </c>
      <c r="O40" s="84" t="str">
        <f t="shared" si="2"/>
        <v/>
      </c>
    </row>
    <row r="41">
      <c r="A41" s="84"/>
      <c r="B41" s="84"/>
      <c r="C41" s="85"/>
      <c r="D41" s="86"/>
      <c r="E41" s="87"/>
      <c r="F41" s="86"/>
      <c r="G41" s="87"/>
      <c r="H41" s="86"/>
      <c r="I41" s="86"/>
      <c r="J41" s="86"/>
      <c r="K41" s="84"/>
      <c r="L41" s="84" t="str">
        <f>IFERROR(__xludf.DUMMYFUNCTION("IF(A41="""","""", COUNT(SPLIT(K41,"";"")))"),"")</f>
        <v/>
      </c>
      <c r="M41" s="84" t="str">
        <f t="shared" si="1"/>
        <v/>
      </c>
      <c r="N41" s="84" t="str">
        <f>IFERROR(__xludf.DUMMYFUNCTION("IFERROR(AVERAGE(query(INDIRECT(""'FR Table'!"" &amp; vlookup(rows($A$1:$A40),Reference!$O:$P,2,false) &amp; ""3:"" &amp; vlookup(rows($A$1:$A40),Reference!$O:$P,2,false)), 
""SELECT "" &amp; vlookup(rows($A$1:$A40),Reference!$O:$P,2,false) 
&amp; "" WHERE "" &amp; vlookup(rows($"&amp;"A$1:$A40),Reference!$O:$P,2,false) &amp;
"" &gt;= "" &amp; Reference!$R$2)) * M41,"""")"),"")</f>
        <v/>
      </c>
      <c r="O41" s="84" t="str">
        <f t="shared" si="2"/>
        <v/>
      </c>
    </row>
    <row r="42">
      <c r="A42" s="84"/>
      <c r="B42" s="84"/>
      <c r="C42" s="85"/>
      <c r="D42" s="86"/>
      <c r="E42" s="87"/>
      <c r="F42" s="86"/>
      <c r="G42" s="87"/>
      <c r="H42" s="86"/>
      <c r="I42" s="86"/>
      <c r="J42" s="86"/>
      <c r="K42" s="84"/>
      <c r="L42" s="84" t="str">
        <f>IFERROR(__xludf.DUMMYFUNCTION("IF(A42="""","""", COUNT(SPLIT(K42,"";"")))"),"")</f>
        <v/>
      </c>
      <c r="M42" s="84" t="str">
        <f t="shared" si="1"/>
        <v/>
      </c>
      <c r="N42" s="84" t="str">
        <f>IFERROR(__xludf.DUMMYFUNCTION("IFERROR(AVERAGE(query(INDIRECT(""'FR Table'!"" &amp; vlookup(rows($A$1:$A41),Reference!$O:$P,2,false) &amp; ""3:"" &amp; vlookup(rows($A$1:$A41),Reference!$O:$P,2,false)), 
""SELECT "" &amp; vlookup(rows($A$1:$A41),Reference!$O:$P,2,false) 
&amp; "" WHERE "" &amp; vlookup(rows($"&amp;"A$1:$A41),Reference!$O:$P,2,false) &amp;
"" &gt;= "" &amp; Reference!$R$2)) * M42,"""")"),"")</f>
        <v/>
      </c>
      <c r="O42" s="84" t="str">
        <f t="shared" si="2"/>
        <v/>
      </c>
    </row>
    <row r="43">
      <c r="A43" s="84"/>
      <c r="B43" s="84"/>
      <c r="C43" s="85"/>
      <c r="D43" s="86"/>
      <c r="E43" s="87"/>
      <c r="F43" s="86"/>
      <c r="G43" s="87"/>
      <c r="H43" s="86"/>
      <c r="I43" s="86"/>
      <c r="J43" s="86"/>
      <c r="K43" s="84"/>
      <c r="L43" s="84" t="str">
        <f>IFERROR(__xludf.DUMMYFUNCTION("IF(A43="""","""", COUNT(SPLIT(K43,"";"")))"),"")</f>
        <v/>
      </c>
      <c r="M43" s="84" t="str">
        <f t="shared" si="1"/>
        <v/>
      </c>
      <c r="N43" s="84" t="str">
        <f>IFERROR(__xludf.DUMMYFUNCTION("IFERROR(AVERAGE(query(INDIRECT(""'FR Table'!"" &amp; vlookup(rows($A$1:$A42),Reference!$O:$P,2,false) &amp; ""3:"" &amp; vlookup(rows($A$1:$A42),Reference!$O:$P,2,false)), 
""SELECT "" &amp; vlookup(rows($A$1:$A42),Reference!$O:$P,2,false) 
&amp; "" WHERE "" &amp; vlookup(rows($"&amp;"A$1:$A42),Reference!$O:$P,2,false) &amp;
"" &gt;= "" &amp; Reference!$R$2)) * M43,"""")"),"")</f>
        <v/>
      </c>
      <c r="O43" s="84" t="str">
        <f t="shared" si="2"/>
        <v/>
      </c>
    </row>
    <row r="44">
      <c r="A44" s="84"/>
      <c r="B44" s="84"/>
      <c r="C44" s="85"/>
      <c r="D44" s="86"/>
      <c r="E44" s="87"/>
      <c r="F44" s="86"/>
      <c r="G44" s="87"/>
      <c r="H44" s="86"/>
      <c r="I44" s="86"/>
      <c r="J44" s="86"/>
      <c r="K44" s="84"/>
      <c r="L44" s="84" t="str">
        <f>IFERROR(__xludf.DUMMYFUNCTION("IF(A44="""","""", COUNT(SPLIT(K44,"";"")))"),"")</f>
        <v/>
      </c>
      <c r="M44" s="84" t="str">
        <f t="shared" si="1"/>
        <v/>
      </c>
      <c r="N44" s="84" t="str">
        <f>IFERROR(__xludf.DUMMYFUNCTION("IFERROR(AVERAGE(query(INDIRECT(""'FR Table'!"" &amp; vlookup(rows($A$1:$A43),Reference!$O:$P,2,false) &amp; ""3:"" &amp; vlookup(rows($A$1:$A43),Reference!$O:$P,2,false)), 
""SELECT "" &amp; vlookup(rows($A$1:$A43),Reference!$O:$P,2,false) 
&amp; "" WHERE "" &amp; vlookup(rows($"&amp;"A$1:$A43),Reference!$O:$P,2,false) &amp;
"" &gt;= "" &amp; Reference!$R$2)) * M44,"""")"),"")</f>
        <v/>
      </c>
      <c r="O44" s="84" t="str">
        <f t="shared" si="2"/>
        <v/>
      </c>
    </row>
    <row r="45">
      <c r="A45" s="84"/>
      <c r="B45" s="84"/>
      <c r="C45" s="85"/>
      <c r="D45" s="86"/>
      <c r="E45" s="87"/>
      <c r="F45" s="86"/>
      <c r="G45" s="87"/>
      <c r="H45" s="86"/>
      <c r="I45" s="86"/>
      <c r="J45" s="86"/>
      <c r="K45" s="84"/>
      <c r="L45" s="84" t="str">
        <f>IFERROR(__xludf.DUMMYFUNCTION("IF(A45="""","""", COUNT(SPLIT(K45,"";"")))"),"")</f>
        <v/>
      </c>
      <c r="M45" s="84" t="str">
        <f t="shared" si="1"/>
        <v/>
      </c>
      <c r="N45" s="84" t="str">
        <f>IFERROR(__xludf.DUMMYFUNCTION("IFERROR(AVERAGE(query(INDIRECT(""'FR Table'!"" &amp; vlookup(rows($A$1:$A44),Reference!$O:$P,2,false) &amp; ""3:"" &amp; vlookup(rows($A$1:$A44),Reference!$O:$P,2,false)), 
""SELECT "" &amp; vlookup(rows($A$1:$A44),Reference!$O:$P,2,false) 
&amp; "" WHERE "" &amp; vlookup(rows($"&amp;"A$1:$A44),Reference!$O:$P,2,false) &amp;
"" &gt;= "" &amp; Reference!$R$2)) * M45,"""")"),"")</f>
        <v/>
      </c>
      <c r="O45" s="84" t="str">
        <f t="shared" si="2"/>
        <v/>
      </c>
    </row>
    <row r="46">
      <c r="A46" s="84"/>
      <c r="B46" s="84"/>
      <c r="C46" s="85"/>
      <c r="D46" s="86"/>
      <c r="E46" s="87"/>
      <c r="F46" s="86"/>
      <c r="G46" s="87"/>
      <c r="H46" s="86"/>
      <c r="I46" s="86"/>
      <c r="J46" s="86"/>
      <c r="K46" s="84"/>
      <c r="L46" s="84" t="str">
        <f>IFERROR(__xludf.DUMMYFUNCTION("IF(A46="""","""", COUNT(SPLIT(K46,"";"")))"),"")</f>
        <v/>
      </c>
      <c r="M46" s="84" t="str">
        <f t="shared" si="1"/>
        <v/>
      </c>
      <c r="N46" s="84" t="str">
        <f>IFERROR(__xludf.DUMMYFUNCTION("IFERROR(AVERAGE(query(INDIRECT(""'FR Table'!"" &amp; vlookup(rows($A$1:$A45),Reference!$O:$P,2,false) &amp; ""3:"" &amp; vlookup(rows($A$1:$A45),Reference!$O:$P,2,false)), 
""SELECT "" &amp; vlookup(rows($A$1:$A45),Reference!$O:$P,2,false) 
&amp; "" WHERE "" &amp; vlookup(rows($"&amp;"A$1:$A45),Reference!$O:$P,2,false) &amp;
"" &gt;= "" &amp; Reference!$R$2)) * M46,"""")"),"")</f>
        <v/>
      </c>
      <c r="O46" s="84" t="str">
        <f t="shared" si="2"/>
        <v/>
      </c>
    </row>
    <row r="47">
      <c r="A47" s="84"/>
      <c r="B47" s="84"/>
      <c r="C47" s="85"/>
      <c r="D47" s="86"/>
      <c r="E47" s="87"/>
      <c r="F47" s="86"/>
      <c r="G47" s="87"/>
      <c r="H47" s="86"/>
      <c r="I47" s="86"/>
      <c r="J47" s="86"/>
      <c r="K47" s="84"/>
      <c r="L47" s="84" t="str">
        <f>IFERROR(__xludf.DUMMYFUNCTION("IF(A47="""","""", COUNT(SPLIT(K47,"";"")))"),"")</f>
        <v/>
      </c>
      <c r="M47" s="84" t="str">
        <f t="shared" si="1"/>
        <v/>
      </c>
      <c r="N47" s="84" t="str">
        <f>IFERROR(__xludf.DUMMYFUNCTION("IFERROR(AVERAGE(query(INDIRECT(""'FR Table'!"" &amp; vlookup(rows($A$1:$A46),Reference!$O:$P,2,false) &amp; ""3:"" &amp; vlookup(rows($A$1:$A46),Reference!$O:$P,2,false)), 
""SELECT "" &amp; vlookup(rows($A$1:$A46),Reference!$O:$P,2,false) 
&amp; "" WHERE "" &amp; vlookup(rows($"&amp;"A$1:$A46),Reference!$O:$P,2,false) &amp;
"" &gt;= "" &amp; Reference!$R$2)) * M47,"""")"),"")</f>
        <v/>
      </c>
      <c r="O47" s="84" t="str">
        <f t="shared" si="2"/>
        <v/>
      </c>
    </row>
    <row r="48">
      <c r="A48" s="84"/>
      <c r="B48" s="84"/>
      <c r="C48" s="85"/>
      <c r="D48" s="86"/>
      <c r="E48" s="87"/>
      <c r="F48" s="86"/>
      <c r="G48" s="87"/>
      <c r="H48" s="86"/>
      <c r="I48" s="86"/>
      <c r="J48" s="86"/>
      <c r="K48" s="84"/>
      <c r="L48" s="84" t="str">
        <f>IFERROR(__xludf.DUMMYFUNCTION("IF(A48="""","""", COUNT(SPLIT(K48,"";"")))"),"")</f>
        <v/>
      </c>
      <c r="M48" s="84" t="str">
        <f t="shared" si="1"/>
        <v/>
      </c>
      <c r="N48" s="84" t="str">
        <f>IFERROR(__xludf.DUMMYFUNCTION("IFERROR(AVERAGE(query(INDIRECT(""'FR Table'!"" &amp; vlookup(rows($A$1:$A47),Reference!$O:$P,2,false) &amp; ""3:"" &amp; vlookup(rows($A$1:$A47),Reference!$O:$P,2,false)), 
""SELECT "" &amp; vlookup(rows($A$1:$A47),Reference!$O:$P,2,false) 
&amp; "" WHERE "" &amp; vlookup(rows($"&amp;"A$1:$A47),Reference!$O:$P,2,false) &amp;
"" &gt;= "" &amp; Reference!$R$2)) * M48,"""")"),"")</f>
        <v/>
      </c>
      <c r="O48" s="84" t="str">
        <f t="shared" si="2"/>
        <v/>
      </c>
    </row>
    <row r="49">
      <c r="A49" s="84"/>
      <c r="B49" s="84"/>
      <c r="C49" s="85"/>
      <c r="D49" s="86"/>
      <c r="E49" s="87"/>
      <c r="F49" s="86"/>
      <c r="G49" s="87"/>
      <c r="H49" s="86"/>
      <c r="I49" s="86"/>
      <c r="J49" s="86"/>
      <c r="K49" s="84"/>
      <c r="L49" s="84" t="str">
        <f>IFERROR(__xludf.DUMMYFUNCTION("IF(A49="""","""", COUNT(SPLIT(K49,"";"")))"),"")</f>
        <v/>
      </c>
      <c r="M49" s="84" t="str">
        <f t="shared" si="1"/>
        <v/>
      </c>
      <c r="N49" s="84" t="str">
        <f>IFERROR(__xludf.DUMMYFUNCTION("IFERROR(AVERAGE(query(INDIRECT(""'FR Table'!"" &amp; vlookup(rows($A$1:$A48),Reference!$O:$P,2,false) &amp; ""3:"" &amp; vlookup(rows($A$1:$A48),Reference!$O:$P,2,false)), 
""SELECT "" &amp; vlookup(rows($A$1:$A48),Reference!$O:$P,2,false) 
&amp; "" WHERE "" &amp; vlookup(rows($"&amp;"A$1:$A48),Reference!$O:$P,2,false) &amp;
"" &gt;= "" &amp; Reference!$R$2)) * M49,"""")"),"")</f>
        <v/>
      </c>
      <c r="O49" s="84" t="str">
        <f t="shared" si="2"/>
        <v/>
      </c>
    </row>
    <row r="50">
      <c r="A50" s="84"/>
      <c r="B50" s="84"/>
      <c r="C50" s="85"/>
      <c r="D50" s="86"/>
      <c r="E50" s="87"/>
      <c r="F50" s="86"/>
      <c r="G50" s="87"/>
      <c r="H50" s="86"/>
      <c r="I50" s="86"/>
      <c r="J50" s="86"/>
      <c r="K50" s="84"/>
      <c r="L50" s="84" t="str">
        <f>IFERROR(__xludf.DUMMYFUNCTION("IF(A50="""","""", COUNT(SPLIT(K50,"";"")))"),"")</f>
        <v/>
      </c>
      <c r="M50" s="84" t="str">
        <f t="shared" si="1"/>
        <v/>
      </c>
      <c r="N50" s="84" t="str">
        <f>IFERROR(__xludf.DUMMYFUNCTION("IFERROR(AVERAGE(query(INDIRECT(""'FR Table'!"" &amp; vlookup(rows($A$1:$A49),Reference!$O:$P,2,false) &amp; ""3:"" &amp; vlookup(rows($A$1:$A49),Reference!$O:$P,2,false)), 
""SELECT "" &amp; vlookup(rows($A$1:$A49),Reference!$O:$P,2,false) 
&amp; "" WHERE "" &amp; vlookup(rows($"&amp;"A$1:$A49),Reference!$O:$P,2,false) &amp;
"" &gt;= "" &amp; Reference!$R$2)) * M50,"""")"),"")</f>
        <v/>
      </c>
      <c r="O50" s="84" t="str">
        <f t="shared" si="2"/>
        <v/>
      </c>
    </row>
    <row r="51">
      <c r="A51" s="84"/>
      <c r="B51" s="84"/>
      <c r="C51" s="85"/>
      <c r="D51" s="86"/>
      <c r="E51" s="87"/>
      <c r="F51" s="86"/>
      <c r="G51" s="87"/>
      <c r="H51" s="86"/>
      <c r="I51" s="86"/>
      <c r="J51" s="86"/>
      <c r="K51" s="84"/>
      <c r="L51" s="84" t="str">
        <f>IFERROR(__xludf.DUMMYFUNCTION("IF(A51="""","""", COUNT(SPLIT(K51,"";"")))"),"")</f>
        <v/>
      </c>
      <c r="M51" s="84" t="str">
        <f t="shared" si="1"/>
        <v/>
      </c>
      <c r="N51" s="84" t="str">
        <f>IFERROR(__xludf.DUMMYFUNCTION("IFERROR(AVERAGE(query(INDIRECT(""'FR Table'!"" &amp; vlookup(rows($A$1:$A50),Reference!$O:$P,2,false) &amp; ""3:"" &amp; vlookup(rows($A$1:$A50),Reference!$O:$P,2,false)), 
""SELECT "" &amp; vlookup(rows($A$1:$A50),Reference!$O:$P,2,false) 
&amp; "" WHERE "" &amp; vlookup(rows($"&amp;"A$1:$A50),Reference!$O:$P,2,false) &amp;
"" &gt;= "" &amp; Reference!$R$2)) * M51,"""")"),"")</f>
        <v/>
      </c>
      <c r="O51" s="84" t="str">
        <f t="shared" si="2"/>
        <v/>
      </c>
    </row>
    <row r="52">
      <c r="A52" s="84"/>
      <c r="B52" s="84"/>
      <c r="C52" s="85"/>
      <c r="D52" s="86"/>
      <c r="E52" s="87"/>
      <c r="F52" s="86"/>
      <c r="G52" s="87"/>
      <c r="H52" s="86"/>
      <c r="I52" s="86"/>
      <c r="J52" s="86"/>
      <c r="K52" s="84"/>
      <c r="L52" s="84" t="str">
        <f>IFERROR(__xludf.DUMMYFUNCTION("IF(A52="""","""", COUNT(SPLIT(K52,"";"")))"),"")</f>
        <v/>
      </c>
      <c r="M52" s="84" t="str">
        <f t="shared" si="1"/>
        <v/>
      </c>
      <c r="N52" s="84" t="str">
        <f>IFERROR(__xludf.DUMMYFUNCTION("IFERROR(AVERAGE(query(INDIRECT(""'FR Table'!"" &amp; vlookup(rows($A$1:$A51),Reference!$O:$P,2,false) &amp; ""3:"" &amp; vlookup(rows($A$1:$A51),Reference!$O:$P,2,false)), 
""SELECT "" &amp; vlookup(rows($A$1:$A51),Reference!$O:$P,2,false) 
&amp; "" WHERE "" &amp; vlookup(rows($"&amp;"A$1:$A51),Reference!$O:$P,2,false) &amp;
"" &gt;= "" &amp; Reference!$R$2)) * M52,"""")"),"")</f>
        <v/>
      </c>
      <c r="O52" s="84" t="str">
        <f t="shared" si="2"/>
        <v/>
      </c>
    </row>
    <row r="53">
      <c r="A53" s="84"/>
      <c r="B53" s="84"/>
      <c r="C53" s="85"/>
      <c r="D53" s="86"/>
      <c r="E53" s="87"/>
      <c r="F53" s="86"/>
      <c r="G53" s="87"/>
      <c r="H53" s="86"/>
      <c r="I53" s="86"/>
      <c r="J53" s="86"/>
      <c r="K53" s="84"/>
      <c r="L53" s="84" t="str">
        <f>IFERROR(__xludf.DUMMYFUNCTION("IF(A53="""","""", COUNT(SPLIT(K53,"";"")))"),"")</f>
        <v/>
      </c>
      <c r="M53" s="84" t="str">
        <f t="shared" si="1"/>
        <v/>
      </c>
      <c r="N53" s="84" t="str">
        <f>IFERROR(__xludf.DUMMYFUNCTION("IFERROR(AVERAGE(query(INDIRECT(""'FR Table'!"" &amp; vlookup(rows($A$1:$A52),Reference!$O:$P,2,false) &amp; ""3:"" &amp; vlookup(rows($A$1:$A52),Reference!$O:$P,2,false)), 
""SELECT "" &amp; vlookup(rows($A$1:$A52),Reference!$O:$P,2,false) 
&amp; "" WHERE "" &amp; vlookup(rows($"&amp;"A$1:$A52),Reference!$O:$P,2,false) &amp;
"" &gt;= "" &amp; Reference!$R$2)) * M53,"""")"),"")</f>
        <v/>
      </c>
      <c r="O53" s="84" t="str">
        <f t="shared" si="2"/>
        <v/>
      </c>
    </row>
    <row r="54">
      <c r="A54" s="84"/>
      <c r="B54" s="84"/>
      <c r="C54" s="85"/>
      <c r="D54" s="86"/>
      <c r="E54" s="87"/>
      <c r="F54" s="86"/>
      <c r="G54" s="87"/>
      <c r="H54" s="86"/>
      <c r="I54" s="86"/>
      <c r="J54" s="86"/>
      <c r="K54" s="84"/>
      <c r="L54" s="84" t="str">
        <f>IFERROR(__xludf.DUMMYFUNCTION("IF(A54="""","""", COUNT(SPLIT(K54,"";"")))"),"")</f>
        <v/>
      </c>
      <c r="M54" s="84" t="str">
        <f t="shared" si="1"/>
        <v/>
      </c>
      <c r="N54" s="84" t="str">
        <f>IFERROR(__xludf.DUMMYFUNCTION("IFERROR(AVERAGE(query(INDIRECT(""'FR Table'!"" &amp; vlookup(rows($A$1:$A53),Reference!$O:$P,2,false) &amp; ""3:"" &amp; vlookup(rows($A$1:$A53),Reference!$O:$P,2,false)), 
""SELECT "" &amp; vlookup(rows($A$1:$A53),Reference!$O:$P,2,false) 
&amp; "" WHERE "" &amp; vlookup(rows($"&amp;"A$1:$A53),Reference!$O:$P,2,false) &amp;
"" &gt;= "" &amp; Reference!$R$2)) * M54,"""")"),"")</f>
        <v/>
      </c>
      <c r="O54" s="84" t="str">
        <f t="shared" si="2"/>
        <v/>
      </c>
    </row>
    <row r="55">
      <c r="A55" s="84"/>
      <c r="B55" s="84"/>
      <c r="C55" s="85"/>
      <c r="D55" s="86"/>
      <c r="E55" s="87"/>
      <c r="F55" s="86"/>
      <c r="G55" s="87"/>
      <c r="H55" s="86"/>
      <c r="I55" s="86"/>
      <c r="J55" s="86"/>
      <c r="K55" s="84"/>
      <c r="L55" s="84" t="str">
        <f>IFERROR(__xludf.DUMMYFUNCTION("IF(A55="""","""", COUNT(SPLIT(K55,"";"")))"),"")</f>
        <v/>
      </c>
      <c r="M55" s="84" t="str">
        <f t="shared" si="1"/>
        <v/>
      </c>
      <c r="N55" s="84" t="str">
        <f>IFERROR(__xludf.DUMMYFUNCTION("IFERROR(AVERAGE(query(INDIRECT(""'FR Table'!"" &amp; vlookup(rows($A$1:$A54),Reference!$O:$P,2,false) &amp; ""3:"" &amp; vlookup(rows($A$1:$A54),Reference!$O:$P,2,false)), 
""SELECT "" &amp; vlookup(rows($A$1:$A54),Reference!$O:$P,2,false) 
&amp; "" WHERE "" &amp; vlookup(rows($"&amp;"A$1:$A54),Reference!$O:$P,2,false) &amp;
"" &gt;= "" &amp; Reference!$R$2)) * M55,"""")"),"")</f>
        <v/>
      </c>
      <c r="O55" s="84" t="str">
        <f t="shared" si="2"/>
        <v/>
      </c>
    </row>
    <row r="56">
      <c r="A56" s="84"/>
      <c r="B56" s="84"/>
      <c r="C56" s="85"/>
      <c r="D56" s="86"/>
      <c r="E56" s="87"/>
      <c r="F56" s="86"/>
      <c r="G56" s="87"/>
      <c r="H56" s="86"/>
      <c r="I56" s="86"/>
      <c r="J56" s="86"/>
      <c r="K56" s="84"/>
      <c r="L56" s="84" t="str">
        <f>IFERROR(__xludf.DUMMYFUNCTION("IF(A56="""","""", COUNT(SPLIT(K56,"";"")))"),"")</f>
        <v/>
      </c>
      <c r="M56" s="84" t="str">
        <f t="shared" si="1"/>
        <v/>
      </c>
      <c r="N56" s="84" t="str">
        <f>IFERROR(__xludf.DUMMYFUNCTION("IFERROR(AVERAGE(query(INDIRECT(""'FR Table'!"" &amp; vlookup(rows($A$1:$A55),Reference!$O:$P,2,false) &amp; ""3:"" &amp; vlookup(rows($A$1:$A55),Reference!$O:$P,2,false)), 
""SELECT "" &amp; vlookup(rows($A$1:$A55),Reference!$O:$P,2,false) 
&amp; "" WHERE "" &amp; vlookup(rows($"&amp;"A$1:$A55),Reference!$O:$P,2,false) &amp;
"" &gt;= "" &amp; Reference!$R$2)) * M56,"""")"),"")</f>
        <v/>
      </c>
      <c r="O56" s="84" t="str">
        <f t="shared" si="2"/>
        <v/>
      </c>
    </row>
    <row r="57">
      <c r="A57" s="84"/>
      <c r="B57" s="84"/>
      <c r="C57" s="85"/>
      <c r="D57" s="86"/>
      <c r="E57" s="87"/>
      <c r="F57" s="86"/>
      <c r="G57" s="87"/>
      <c r="H57" s="86"/>
      <c r="I57" s="86"/>
      <c r="J57" s="86"/>
      <c r="K57" s="84"/>
      <c r="L57" s="84" t="str">
        <f>IFERROR(__xludf.DUMMYFUNCTION("IF(A57="""","""", COUNT(SPLIT(K57,"";"")))"),"")</f>
        <v/>
      </c>
      <c r="M57" s="84" t="str">
        <f t="shared" si="1"/>
        <v/>
      </c>
      <c r="N57" s="84" t="str">
        <f>IFERROR(__xludf.DUMMYFUNCTION("IFERROR(AVERAGE(query(INDIRECT(""'FR Table'!"" &amp; vlookup(rows($A$1:$A56),Reference!$O:$P,2,false) &amp; ""3:"" &amp; vlookup(rows($A$1:$A56),Reference!$O:$P,2,false)), 
""SELECT "" &amp; vlookup(rows($A$1:$A56),Reference!$O:$P,2,false) 
&amp; "" WHERE "" &amp; vlookup(rows($"&amp;"A$1:$A56),Reference!$O:$P,2,false) &amp;
"" &gt;= "" &amp; Reference!$R$2)) * M57,"""")"),"")</f>
        <v/>
      </c>
      <c r="O57" s="84" t="str">
        <f t="shared" si="2"/>
        <v/>
      </c>
    </row>
    <row r="58">
      <c r="A58" s="84"/>
      <c r="B58" s="84"/>
      <c r="C58" s="85"/>
      <c r="D58" s="86"/>
      <c r="E58" s="87"/>
      <c r="F58" s="86"/>
      <c r="G58" s="87"/>
      <c r="H58" s="86"/>
      <c r="I58" s="86"/>
      <c r="J58" s="86"/>
      <c r="K58" s="84"/>
      <c r="L58" s="84" t="str">
        <f>IFERROR(__xludf.DUMMYFUNCTION("IF(A58="""","""", COUNT(SPLIT(K58,"";"")))"),"")</f>
        <v/>
      </c>
      <c r="M58" s="84" t="str">
        <f t="shared" si="1"/>
        <v/>
      </c>
      <c r="N58" s="84" t="str">
        <f>IFERROR(__xludf.DUMMYFUNCTION("IFERROR(AVERAGE(query(INDIRECT(""'FR Table'!"" &amp; vlookup(rows($A$1:$A57),Reference!$O:$P,2,false) &amp; ""3:"" &amp; vlookup(rows($A$1:$A57),Reference!$O:$P,2,false)), 
""SELECT "" &amp; vlookup(rows($A$1:$A57),Reference!$O:$P,2,false) 
&amp; "" WHERE "" &amp; vlookup(rows($"&amp;"A$1:$A57),Reference!$O:$P,2,false) &amp;
"" &gt;= "" &amp; Reference!$R$2)) * M58,"""")"),"")</f>
        <v/>
      </c>
      <c r="O58" s="84" t="str">
        <f t="shared" si="2"/>
        <v/>
      </c>
    </row>
    <row r="59">
      <c r="A59" s="84"/>
      <c r="B59" s="84"/>
      <c r="C59" s="85"/>
      <c r="D59" s="86"/>
      <c r="E59" s="87"/>
      <c r="F59" s="86"/>
      <c r="G59" s="87"/>
      <c r="H59" s="86"/>
      <c r="I59" s="86"/>
      <c r="J59" s="86"/>
      <c r="K59" s="84"/>
      <c r="L59" s="84" t="str">
        <f>IFERROR(__xludf.DUMMYFUNCTION("IF(A59="""","""", COUNT(SPLIT(K59,"";"")))"),"")</f>
        <v/>
      </c>
      <c r="M59" s="84" t="str">
        <f t="shared" si="1"/>
        <v/>
      </c>
      <c r="N59" s="84" t="str">
        <f>IFERROR(__xludf.DUMMYFUNCTION("IFERROR(AVERAGE(query(INDIRECT(""'FR Table'!"" &amp; vlookup(rows($A$1:$A58),Reference!$O:$P,2,false) &amp; ""3:"" &amp; vlookup(rows($A$1:$A58),Reference!$O:$P,2,false)), 
""SELECT "" &amp; vlookup(rows($A$1:$A58),Reference!$O:$P,2,false) 
&amp; "" WHERE "" &amp; vlookup(rows($"&amp;"A$1:$A58),Reference!$O:$P,2,false) &amp;
"" &gt;= "" &amp; Reference!$R$2)) * M59,"""")"),"")</f>
        <v/>
      </c>
      <c r="O59" s="84" t="str">
        <f t="shared" si="2"/>
        <v/>
      </c>
    </row>
    <row r="60">
      <c r="A60" s="84"/>
      <c r="B60" s="84"/>
      <c r="C60" s="85"/>
      <c r="D60" s="86"/>
      <c r="E60" s="87"/>
      <c r="F60" s="86"/>
      <c r="G60" s="87"/>
      <c r="H60" s="86"/>
      <c r="I60" s="86"/>
      <c r="J60" s="86"/>
      <c r="K60" s="84"/>
      <c r="L60" s="84" t="str">
        <f>IFERROR(__xludf.DUMMYFUNCTION("IF(A60="""","""", COUNT(SPLIT(K60,"";"")))"),"")</f>
        <v/>
      </c>
      <c r="M60" s="84" t="str">
        <f t="shared" si="1"/>
        <v/>
      </c>
      <c r="N60" s="84" t="str">
        <f>IFERROR(__xludf.DUMMYFUNCTION("IFERROR(AVERAGE(query(INDIRECT(""'FR Table'!"" &amp; vlookup(rows($A$1:$A59),Reference!$O:$P,2,false) &amp; ""3:"" &amp; vlookup(rows($A$1:$A59),Reference!$O:$P,2,false)), 
""SELECT "" &amp; vlookup(rows($A$1:$A59),Reference!$O:$P,2,false) 
&amp; "" WHERE "" &amp; vlookup(rows($"&amp;"A$1:$A59),Reference!$O:$P,2,false) &amp;
"" &gt;= "" &amp; Reference!$R$2)) * M60,"""")"),"")</f>
        <v/>
      </c>
      <c r="O60" s="84" t="str">
        <f t="shared" si="2"/>
        <v/>
      </c>
    </row>
    <row r="61">
      <c r="A61" s="84"/>
      <c r="B61" s="84"/>
      <c r="C61" s="85"/>
      <c r="D61" s="86"/>
      <c r="E61" s="87"/>
      <c r="F61" s="86"/>
      <c r="G61" s="87"/>
      <c r="H61" s="86"/>
      <c r="I61" s="86"/>
      <c r="J61" s="86"/>
      <c r="K61" s="84"/>
      <c r="L61" s="84" t="str">
        <f>IFERROR(__xludf.DUMMYFUNCTION("IF(A61="""","""", COUNT(SPLIT(K61,"";"")))"),"")</f>
        <v/>
      </c>
      <c r="M61" s="84" t="str">
        <f t="shared" si="1"/>
        <v/>
      </c>
      <c r="N61" s="84" t="str">
        <f>IFERROR(__xludf.DUMMYFUNCTION("IFERROR(AVERAGE(query(INDIRECT(""'FR Table'!"" &amp; vlookup(rows($A$1:$A60),Reference!$O:$P,2,false) &amp; ""3:"" &amp; vlookup(rows($A$1:$A60),Reference!$O:$P,2,false)), 
""SELECT "" &amp; vlookup(rows($A$1:$A60),Reference!$O:$P,2,false) 
&amp; "" WHERE "" &amp; vlookup(rows($"&amp;"A$1:$A60),Reference!$O:$P,2,false) &amp;
"" &gt;= "" &amp; Reference!$R$2)) * M61,"""")"),"")</f>
        <v/>
      </c>
      <c r="O61" s="84" t="str">
        <f t="shared" si="2"/>
        <v/>
      </c>
    </row>
    <row r="62">
      <c r="A62" s="84"/>
      <c r="B62" s="84"/>
      <c r="C62" s="85"/>
      <c r="D62" s="86"/>
      <c r="E62" s="87"/>
      <c r="F62" s="86"/>
      <c r="G62" s="87"/>
      <c r="H62" s="86"/>
      <c r="I62" s="86"/>
      <c r="J62" s="86"/>
      <c r="K62" s="84"/>
      <c r="L62" s="84" t="str">
        <f>IFERROR(__xludf.DUMMYFUNCTION("IF(A62="""","""", COUNT(SPLIT(K62,"";"")))"),"")</f>
        <v/>
      </c>
      <c r="M62" s="84" t="str">
        <f t="shared" si="1"/>
        <v/>
      </c>
      <c r="N62" s="84" t="str">
        <f>IFERROR(__xludf.DUMMYFUNCTION("IFERROR(AVERAGE(query(INDIRECT(""'FR Table'!"" &amp; vlookup(rows($A$1:$A61),Reference!$O:$P,2,false) &amp; ""3:"" &amp; vlookup(rows($A$1:$A61),Reference!$O:$P,2,false)), 
""SELECT "" &amp; vlookup(rows($A$1:$A61),Reference!$O:$P,2,false) 
&amp; "" WHERE "" &amp; vlookup(rows($"&amp;"A$1:$A61),Reference!$O:$P,2,false) &amp;
"" &gt;= "" &amp; Reference!$R$2)) * M62,"""")"),"")</f>
        <v/>
      </c>
      <c r="O62" s="84" t="str">
        <f t="shared" si="2"/>
        <v/>
      </c>
    </row>
    <row r="63">
      <c r="A63" s="84"/>
      <c r="B63" s="84"/>
      <c r="C63" s="85"/>
      <c r="D63" s="86"/>
      <c r="E63" s="87"/>
      <c r="F63" s="86"/>
      <c r="G63" s="87"/>
      <c r="H63" s="86"/>
      <c r="I63" s="86"/>
      <c r="J63" s="86"/>
      <c r="K63" s="84"/>
      <c r="L63" s="84" t="str">
        <f>IFERROR(__xludf.DUMMYFUNCTION("IF(A63="""","""", COUNT(SPLIT(K63,"";"")))"),"")</f>
        <v/>
      </c>
      <c r="M63" s="84" t="str">
        <f t="shared" si="1"/>
        <v/>
      </c>
      <c r="N63" s="84" t="str">
        <f>IFERROR(__xludf.DUMMYFUNCTION("IFERROR(AVERAGE(query(INDIRECT(""'FR Table'!"" &amp; vlookup(rows($A$1:$A62),Reference!$O:$P,2,false) &amp; ""3:"" &amp; vlookup(rows($A$1:$A62),Reference!$O:$P,2,false)), 
""SELECT "" &amp; vlookup(rows($A$1:$A62),Reference!$O:$P,2,false) 
&amp; "" WHERE "" &amp; vlookup(rows($"&amp;"A$1:$A62),Reference!$O:$P,2,false) &amp;
"" &gt;= "" &amp; Reference!$R$2)) * M63,"""")"),"")</f>
        <v/>
      </c>
      <c r="O63" s="84" t="str">
        <f t="shared" si="2"/>
        <v/>
      </c>
    </row>
    <row r="64">
      <c r="A64" s="84"/>
      <c r="B64" s="84"/>
      <c r="C64" s="85"/>
      <c r="D64" s="86"/>
      <c r="E64" s="87"/>
      <c r="F64" s="86"/>
      <c r="G64" s="87"/>
      <c r="H64" s="86"/>
      <c r="I64" s="86"/>
      <c r="J64" s="86"/>
      <c r="K64" s="84"/>
      <c r="L64" s="84" t="str">
        <f>IFERROR(__xludf.DUMMYFUNCTION("IF(A64="""","""", COUNT(SPLIT(K64,"";"")))"),"")</f>
        <v/>
      </c>
      <c r="M64" s="84" t="str">
        <f t="shared" si="1"/>
        <v/>
      </c>
      <c r="N64" s="84" t="str">
        <f>IFERROR(__xludf.DUMMYFUNCTION("IFERROR(AVERAGE(query(INDIRECT(""'FR Table'!"" &amp; vlookup(rows($A$1:$A63),Reference!$O:$P,2,false) &amp; ""3:"" &amp; vlookup(rows($A$1:$A63),Reference!$O:$P,2,false)), 
""SELECT "" &amp; vlookup(rows($A$1:$A63),Reference!$O:$P,2,false) 
&amp; "" WHERE "" &amp; vlookup(rows($"&amp;"A$1:$A63),Reference!$O:$P,2,false) &amp;
"" &gt;= "" &amp; Reference!$R$2)) * M64,"""")"),"")</f>
        <v/>
      </c>
      <c r="O64" s="84" t="str">
        <f t="shared" si="2"/>
        <v/>
      </c>
    </row>
    <row r="65">
      <c r="A65" s="84"/>
      <c r="B65" s="84"/>
      <c r="C65" s="85"/>
      <c r="D65" s="86"/>
      <c r="E65" s="87"/>
      <c r="F65" s="86"/>
      <c r="G65" s="87"/>
      <c r="H65" s="86"/>
      <c r="I65" s="86"/>
      <c r="J65" s="86"/>
      <c r="K65" s="84"/>
      <c r="L65" s="84" t="str">
        <f>IFERROR(__xludf.DUMMYFUNCTION("IF(A65="""","""", COUNT(SPLIT(K65,"";"")))"),"")</f>
        <v/>
      </c>
      <c r="M65" s="84" t="str">
        <f t="shared" si="1"/>
        <v/>
      </c>
      <c r="N65" s="84" t="str">
        <f>IFERROR(__xludf.DUMMYFUNCTION("IFERROR(AVERAGE(query(INDIRECT(""'FR Table'!"" &amp; vlookup(rows($A$1:$A64),Reference!$O:$P,2,false) &amp; ""3:"" &amp; vlookup(rows($A$1:$A64),Reference!$O:$P,2,false)), 
""SELECT "" &amp; vlookup(rows($A$1:$A64),Reference!$O:$P,2,false) 
&amp; "" WHERE "" &amp; vlookup(rows($"&amp;"A$1:$A64),Reference!$O:$P,2,false) &amp;
"" &gt;= "" &amp; Reference!$R$2)) * M65,"""")"),"")</f>
        <v/>
      </c>
      <c r="O65" s="84" t="str">
        <f t="shared" si="2"/>
        <v/>
      </c>
    </row>
    <row r="66">
      <c r="A66" s="84"/>
      <c r="B66" s="84"/>
      <c r="C66" s="85"/>
      <c r="D66" s="86"/>
      <c r="E66" s="87"/>
      <c r="F66" s="86"/>
      <c r="G66" s="87"/>
      <c r="H66" s="86"/>
      <c r="I66" s="86"/>
      <c r="J66" s="86"/>
      <c r="K66" s="84"/>
      <c r="L66" s="84" t="str">
        <f>IFERROR(__xludf.DUMMYFUNCTION("IF(A66="""","""", COUNT(SPLIT(K66,"";"")))"),"")</f>
        <v/>
      </c>
      <c r="M66" s="84" t="str">
        <f t="shared" si="1"/>
        <v/>
      </c>
      <c r="N66" s="84" t="str">
        <f>IFERROR(__xludf.DUMMYFUNCTION("IFERROR(AVERAGE(query(INDIRECT(""'FR Table'!"" &amp; vlookup(rows($A$1:$A65),Reference!$O:$P,2,false) &amp; ""3:"" &amp; vlookup(rows($A$1:$A65),Reference!$O:$P,2,false)), 
""SELECT "" &amp; vlookup(rows($A$1:$A65),Reference!$O:$P,2,false) 
&amp; "" WHERE "" &amp; vlookup(rows($"&amp;"A$1:$A65),Reference!$O:$P,2,false) &amp;
"" &gt;= "" &amp; Reference!$R$2)) * M66,"""")"),"")</f>
        <v/>
      </c>
      <c r="O66" s="84" t="str">
        <f t="shared" si="2"/>
        <v/>
      </c>
    </row>
    <row r="67">
      <c r="A67" s="84"/>
      <c r="B67" s="84"/>
      <c r="C67" s="85"/>
      <c r="D67" s="86"/>
      <c r="E67" s="87"/>
      <c r="F67" s="86"/>
      <c r="G67" s="87"/>
      <c r="H67" s="86"/>
      <c r="I67" s="86"/>
      <c r="J67" s="86"/>
      <c r="K67" s="84"/>
      <c r="L67" s="84" t="str">
        <f>IFERROR(__xludf.DUMMYFUNCTION("IF(A67="""","""", COUNT(SPLIT(K67,"";"")))"),"")</f>
        <v/>
      </c>
      <c r="M67" s="84" t="str">
        <f t="shared" si="1"/>
        <v/>
      </c>
      <c r="N67" s="84" t="str">
        <f>IFERROR(__xludf.DUMMYFUNCTION("IFERROR(AVERAGE(query(INDIRECT(""'FR Table'!"" &amp; vlookup(rows($A$1:$A66),Reference!$O:$P,2,false) &amp; ""3:"" &amp; vlookup(rows($A$1:$A66),Reference!$O:$P,2,false)), 
""SELECT "" &amp; vlookup(rows($A$1:$A66),Reference!$O:$P,2,false) 
&amp; "" WHERE "" &amp; vlookup(rows($"&amp;"A$1:$A66),Reference!$O:$P,2,false) &amp;
"" &gt;= "" &amp; Reference!$R$2)) * M67,"""")"),"")</f>
        <v/>
      </c>
      <c r="O67" s="84" t="str">
        <f t="shared" si="2"/>
        <v/>
      </c>
    </row>
    <row r="68">
      <c r="A68" s="84"/>
      <c r="B68" s="84"/>
      <c r="C68" s="85"/>
      <c r="D68" s="86"/>
      <c r="E68" s="87"/>
      <c r="F68" s="86"/>
      <c r="G68" s="87"/>
      <c r="H68" s="86"/>
      <c r="I68" s="86"/>
      <c r="J68" s="86"/>
      <c r="K68" s="84"/>
      <c r="L68" s="84" t="str">
        <f>IFERROR(__xludf.DUMMYFUNCTION("IF(A68="""","""", COUNT(SPLIT(K68,"";"")))"),"")</f>
        <v/>
      </c>
      <c r="M68" s="84" t="str">
        <f t="shared" si="1"/>
        <v/>
      </c>
      <c r="N68" s="84" t="str">
        <f>IFERROR(__xludf.DUMMYFUNCTION("IFERROR(AVERAGE(query(INDIRECT(""'FR Table'!"" &amp; vlookup(rows($A$1:$A67),Reference!$O:$P,2,false) &amp; ""3:"" &amp; vlookup(rows($A$1:$A67),Reference!$O:$P,2,false)), 
""SELECT "" &amp; vlookup(rows($A$1:$A67),Reference!$O:$P,2,false) 
&amp; "" WHERE "" &amp; vlookup(rows($"&amp;"A$1:$A67),Reference!$O:$P,2,false) &amp;
"" &gt;= "" &amp; Reference!$R$2)) * M68,"""")"),"")</f>
        <v/>
      </c>
      <c r="O68" s="84" t="str">
        <f t="shared" si="2"/>
        <v/>
      </c>
    </row>
    <row r="69">
      <c r="A69" s="84"/>
      <c r="B69" s="84"/>
      <c r="C69" s="85"/>
      <c r="D69" s="86"/>
      <c r="E69" s="87"/>
      <c r="F69" s="86"/>
      <c r="G69" s="87"/>
      <c r="H69" s="86"/>
      <c r="I69" s="86"/>
      <c r="J69" s="86"/>
      <c r="K69" s="84"/>
      <c r="L69" s="84" t="str">
        <f>IFERROR(__xludf.DUMMYFUNCTION("IF(A69="""","""", COUNT(SPLIT(K69,"";"")))"),"")</f>
        <v/>
      </c>
      <c r="M69" s="84" t="str">
        <f t="shared" si="1"/>
        <v/>
      </c>
      <c r="N69" s="84" t="str">
        <f>IFERROR(__xludf.DUMMYFUNCTION("IFERROR(AVERAGE(query(INDIRECT(""'FR Table'!"" &amp; vlookup(rows($A$1:$A68),Reference!$O:$P,2,false) &amp; ""3:"" &amp; vlookup(rows($A$1:$A68),Reference!$O:$P,2,false)), 
""SELECT "" &amp; vlookup(rows($A$1:$A68),Reference!$O:$P,2,false) 
&amp; "" WHERE "" &amp; vlookup(rows($"&amp;"A$1:$A68),Reference!$O:$P,2,false) &amp;
"" &gt;= "" &amp; Reference!$R$2)) * M69,"""")"),"")</f>
        <v/>
      </c>
      <c r="O69" s="84" t="str">
        <f t="shared" si="2"/>
        <v/>
      </c>
    </row>
    <row r="70">
      <c r="A70" s="84"/>
      <c r="B70" s="84"/>
      <c r="C70" s="85"/>
      <c r="D70" s="86"/>
      <c r="E70" s="87"/>
      <c r="F70" s="86"/>
      <c r="G70" s="87"/>
      <c r="H70" s="86"/>
      <c r="I70" s="86"/>
      <c r="J70" s="86"/>
      <c r="K70" s="84"/>
      <c r="L70" s="84" t="str">
        <f>IFERROR(__xludf.DUMMYFUNCTION("IF(A70="""","""", COUNT(SPLIT(K70,"";"")))"),"")</f>
        <v/>
      </c>
      <c r="M70" s="84" t="str">
        <f t="shared" si="1"/>
        <v/>
      </c>
      <c r="N70" s="84" t="str">
        <f>IFERROR(__xludf.DUMMYFUNCTION("IFERROR(AVERAGE(query(INDIRECT(""'FR Table'!"" &amp; vlookup(rows($A$1:$A69),Reference!$O:$P,2,false) &amp; ""3:"" &amp; vlookup(rows($A$1:$A69),Reference!$O:$P,2,false)), 
""SELECT "" &amp; vlookup(rows($A$1:$A69),Reference!$O:$P,2,false) 
&amp; "" WHERE "" &amp; vlookup(rows($"&amp;"A$1:$A69),Reference!$O:$P,2,false) &amp;
"" &gt;= "" &amp; Reference!$R$2)) * M70,"""")"),"")</f>
        <v/>
      </c>
      <c r="O70" s="84" t="str">
        <f t="shared" si="2"/>
        <v/>
      </c>
    </row>
    <row r="71">
      <c r="A71" s="84"/>
      <c r="B71" s="84"/>
      <c r="C71" s="85"/>
      <c r="D71" s="86"/>
      <c r="E71" s="87"/>
      <c r="F71" s="86"/>
      <c r="G71" s="87"/>
      <c r="H71" s="86"/>
      <c r="I71" s="86"/>
      <c r="J71" s="86"/>
      <c r="K71" s="84"/>
      <c r="L71" s="84" t="str">
        <f>IFERROR(__xludf.DUMMYFUNCTION("IF(A71="""","""", COUNT(SPLIT(K71,"";"")))"),"")</f>
        <v/>
      </c>
      <c r="M71" s="84" t="str">
        <f t="shared" si="1"/>
        <v/>
      </c>
      <c r="N71" s="84" t="str">
        <f>IFERROR(__xludf.DUMMYFUNCTION("IFERROR(AVERAGE(query(INDIRECT(""'FR Table'!"" &amp; vlookup(rows($A$1:$A70),Reference!$O:$P,2,false) &amp; ""3:"" &amp; vlookup(rows($A$1:$A70),Reference!$O:$P,2,false)), 
""SELECT "" &amp; vlookup(rows($A$1:$A70),Reference!$O:$P,2,false) 
&amp; "" WHERE "" &amp; vlookup(rows($"&amp;"A$1:$A70),Reference!$O:$P,2,false) &amp;
"" &gt;= "" &amp; Reference!$R$2)) * M71,"""")"),"")</f>
        <v/>
      </c>
      <c r="O71" s="84" t="str">
        <f t="shared" si="2"/>
        <v/>
      </c>
    </row>
    <row r="72">
      <c r="A72" s="84"/>
      <c r="B72" s="84"/>
      <c r="C72" s="85"/>
      <c r="D72" s="86"/>
      <c r="E72" s="87"/>
      <c r="F72" s="86"/>
      <c r="G72" s="87"/>
      <c r="H72" s="86"/>
      <c r="I72" s="86"/>
      <c r="J72" s="86"/>
      <c r="K72" s="84"/>
      <c r="L72" s="84" t="str">
        <f>IFERROR(__xludf.DUMMYFUNCTION("IF(A72="""","""", COUNT(SPLIT(K72,"";"")))"),"")</f>
        <v/>
      </c>
      <c r="M72" s="84" t="str">
        <f t="shared" si="1"/>
        <v/>
      </c>
      <c r="N72" s="84" t="str">
        <f>IFERROR(__xludf.DUMMYFUNCTION("IFERROR(AVERAGE(query(INDIRECT(""'FR Table'!"" &amp; vlookup(rows($A$1:$A71),Reference!$O:$P,2,false) &amp; ""3:"" &amp; vlookup(rows($A$1:$A71),Reference!$O:$P,2,false)), 
""SELECT "" &amp; vlookup(rows($A$1:$A71),Reference!$O:$P,2,false) 
&amp; "" WHERE "" &amp; vlookup(rows($"&amp;"A$1:$A71),Reference!$O:$P,2,false) &amp;
"" &gt;= "" &amp; Reference!$R$2)) * M72,"""")"),"")</f>
        <v/>
      </c>
      <c r="O72" s="84" t="str">
        <f t="shared" si="2"/>
        <v/>
      </c>
    </row>
    <row r="73">
      <c r="A73" s="84"/>
      <c r="B73" s="84"/>
      <c r="C73" s="85"/>
      <c r="D73" s="86"/>
      <c r="E73" s="87"/>
      <c r="F73" s="86"/>
      <c r="G73" s="87"/>
      <c r="H73" s="86"/>
      <c r="I73" s="86"/>
      <c r="J73" s="86"/>
      <c r="K73" s="84"/>
      <c r="L73" s="84" t="str">
        <f>IFERROR(__xludf.DUMMYFUNCTION("IF(A73="""","""", COUNT(SPLIT(K73,"";"")))"),"")</f>
        <v/>
      </c>
      <c r="M73" s="84" t="str">
        <f t="shared" si="1"/>
        <v/>
      </c>
      <c r="N73" s="84" t="str">
        <f>IFERROR(__xludf.DUMMYFUNCTION("IFERROR(AVERAGE(query(INDIRECT(""'FR Table'!"" &amp; vlookup(rows($A$1:$A72),Reference!$O:$P,2,false) &amp; ""3:"" &amp; vlookup(rows($A$1:$A72),Reference!$O:$P,2,false)), 
""SELECT "" &amp; vlookup(rows($A$1:$A72),Reference!$O:$P,2,false) 
&amp; "" WHERE "" &amp; vlookup(rows($"&amp;"A$1:$A72),Reference!$O:$P,2,false) &amp;
"" &gt;= "" &amp; Reference!$R$2)) * M73,"""")"),"")</f>
        <v/>
      </c>
      <c r="O73" s="84" t="str">
        <f t="shared" si="2"/>
        <v/>
      </c>
    </row>
    <row r="74">
      <c r="A74" s="84"/>
      <c r="B74" s="84"/>
      <c r="C74" s="85"/>
      <c r="D74" s="86"/>
      <c r="E74" s="87"/>
      <c r="F74" s="86"/>
      <c r="G74" s="87"/>
      <c r="H74" s="86"/>
      <c r="I74" s="86"/>
      <c r="J74" s="86"/>
      <c r="K74" s="84"/>
      <c r="L74" s="84" t="str">
        <f>IFERROR(__xludf.DUMMYFUNCTION("IF(A74="""","""", COUNT(SPLIT(K74,"";"")))"),"")</f>
        <v/>
      </c>
      <c r="M74" s="84" t="str">
        <f t="shared" si="1"/>
        <v/>
      </c>
      <c r="N74" s="84" t="str">
        <f>IFERROR(__xludf.DUMMYFUNCTION("IFERROR(AVERAGE(query(INDIRECT(""'FR Table'!"" &amp; vlookup(rows($A$1:$A73),Reference!$O:$P,2,false) &amp; ""3:"" &amp; vlookup(rows($A$1:$A73),Reference!$O:$P,2,false)), 
""SELECT "" &amp; vlookup(rows($A$1:$A73),Reference!$O:$P,2,false) 
&amp; "" WHERE "" &amp; vlookup(rows($"&amp;"A$1:$A73),Reference!$O:$P,2,false) &amp;
"" &gt;= "" &amp; Reference!$R$2)) * M74,"""")"),"")</f>
        <v/>
      </c>
      <c r="O74" s="84" t="str">
        <f t="shared" si="2"/>
        <v/>
      </c>
    </row>
    <row r="75">
      <c r="A75" s="84"/>
      <c r="B75" s="84"/>
      <c r="C75" s="85"/>
      <c r="D75" s="86"/>
      <c r="E75" s="87"/>
      <c r="F75" s="86"/>
      <c r="G75" s="87"/>
      <c r="H75" s="86"/>
      <c r="I75" s="86"/>
      <c r="J75" s="86"/>
      <c r="K75" s="84"/>
      <c r="L75" s="84" t="str">
        <f>IFERROR(__xludf.DUMMYFUNCTION("IF(A75="""","""", COUNT(SPLIT(K75,"";"")))"),"")</f>
        <v/>
      </c>
      <c r="M75" s="84" t="str">
        <f t="shared" si="1"/>
        <v/>
      </c>
      <c r="N75" s="84" t="str">
        <f>IFERROR(__xludf.DUMMYFUNCTION("IFERROR(AVERAGE(query(INDIRECT(""'FR Table'!"" &amp; vlookup(rows($A$1:$A74),Reference!$O:$P,2,false) &amp; ""3:"" &amp; vlookup(rows($A$1:$A74),Reference!$O:$P,2,false)), 
""SELECT "" &amp; vlookup(rows($A$1:$A74),Reference!$O:$P,2,false) 
&amp; "" WHERE "" &amp; vlookup(rows($"&amp;"A$1:$A74),Reference!$O:$P,2,false) &amp;
"" &gt;= "" &amp; Reference!$R$2)) * M75,"""")"),"")</f>
        <v/>
      </c>
      <c r="O75" s="84" t="str">
        <f t="shared" si="2"/>
        <v/>
      </c>
    </row>
    <row r="76">
      <c r="A76" s="84"/>
      <c r="B76" s="84"/>
      <c r="C76" s="85"/>
      <c r="D76" s="86"/>
      <c r="E76" s="87"/>
      <c r="F76" s="86"/>
      <c r="G76" s="87"/>
      <c r="H76" s="86"/>
      <c r="I76" s="86"/>
      <c r="J76" s="86"/>
      <c r="K76" s="84"/>
      <c r="L76" s="84" t="str">
        <f>IFERROR(__xludf.DUMMYFUNCTION("IF(A76="""","""", COUNT(SPLIT(K76,"";"")))"),"")</f>
        <v/>
      </c>
      <c r="M76" s="84" t="str">
        <f t="shared" si="1"/>
        <v/>
      </c>
      <c r="N76" s="84" t="str">
        <f>IFERROR(__xludf.DUMMYFUNCTION("IFERROR(AVERAGE(query(INDIRECT(""'FR Table'!"" &amp; vlookup(rows($A$1:$A75),Reference!$O:$P,2,false) &amp; ""3:"" &amp; vlookup(rows($A$1:$A75),Reference!$O:$P,2,false)), 
""SELECT "" &amp; vlookup(rows($A$1:$A75),Reference!$O:$P,2,false) 
&amp; "" WHERE "" &amp; vlookup(rows($"&amp;"A$1:$A75),Reference!$O:$P,2,false) &amp;
"" &gt;= "" &amp; Reference!$R$2)) * M76,"""")"),"")</f>
        <v/>
      </c>
      <c r="O76" s="84" t="str">
        <f t="shared" si="2"/>
        <v/>
      </c>
    </row>
    <row r="77">
      <c r="A77" s="84"/>
      <c r="B77" s="84"/>
      <c r="C77" s="85"/>
      <c r="D77" s="86"/>
      <c r="E77" s="87"/>
      <c r="F77" s="86"/>
      <c r="G77" s="87"/>
      <c r="H77" s="86"/>
      <c r="I77" s="86"/>
      <c r="J77" s="86"/>
      <c r="K77" s="84"/>
      <c r="L77" s="84" t="str">
        <f>IFERROR(__xludf.DUMMYFUNCTION("IF(A77="""","""", COUNT(SPLIT(K77,"";"")))"),"")</f>
        <v/>
      </c>
      <c r="M77" s="84" t="str">
        <f t="shared" si="1"/>
        <v/>
      </c>
      <c r="N77" s="84" t="str">
        <f>IFERROR(__xludf.DUMMYFUNCTION("IFERROR(AVERAGE(query(INDIRECT(""'FR Table'!"" &amp; vlookup(rows($A$1:$A76),Reference!$O:$P,2,false) &amp; ""3:"" &amp; vlookup(rows($A$1:$A76),Reference!$O:$P,2,false)), 
""SELECT "" &amp; vlookup(rows($A$1:$A76),Reference!$O:$P,2,false) 
&amp; "" WHERE "" &amp; vlookup(rows($"&amp;"A$1:$A76),Reference!$O:$P,2,false) &amp;
"" &gt;= "" &amp; Reference!$R$2)) * M77,"""")"),"")</f>
        <v/>
      </c>
      <c r="O77" s="84" t="str">
        <f t="shared" si="2"/>
        <v/>
      </c>
    </row>
    <row r="78">
      <c r="A78" s="84"/>
      <c r="B78" s="84"/>
      <c r="C78" s="85"/>
      <c r="D78" s="86"/>
      <c r="E78" s="87"/>
      <c r="F78" s="86"/>
      <c r="G78" s="87"/>
      <c r="H78" s="86"/>
      <c r="I78" s="86"/>
      <c r="J78" s="86"/>
      <c r="K78" s="84"/>
      <c r="L78" s="84" t="str">
        <f>IFERROR(__xludf.DUMMYFUNCTION("IF(A78="""","""", COUNT(SPLIT(K78,"";"")))"),"")</f>
        <v/>
      </c>
      <c r="M78" s="84" t="str">
        <f t="shared" si="1"/>
        <v/>
      </c>
      <c r="N78" s="84" t="str">
        <f>IFERROR(__xludf.DUMMYFUNCTION("IFERROR(AVERAGE(query(INDIRECT(""'FR Table'!"" &amp; vlookup(rows($A$1:$A77),Reference!$O:$P,2,false) &amp; ""3:"" &amp; vlookup(rows($A$1:$A77),Reference!$O:$P,2,false)), 
""SELECT "" &amp; vlookup(rows($A$1:$A77),Reference!$O:$P,2,false) 
&amp; "" WHERE "" &amp; vlookup(rows($"&amp;"A$1:$A77),Reference!$O:$P,2,false) &amp;
"" &gt;= "" &amp; Reference!$R$2)) * M78,"""")"),"")</f>
        <v/>
      </c>
      <c r="O78" s="84" t="str">
        <f t="shared" si="2"/>
        <v/>
      </c>
    </row>
    <row r="79">
      <c r="A79" s="84"/>
      <c r="B79" s="84"/>
      <c r="C79" s="85"/>
      <c r="D79" s="86"/>
      <c r="E79" s="87"/>
      <c r="F79" s="86"/>
      <c r="G79" s="87"/>
      <c r="H79" s="86"/>
      <c r="I79" s="86"/>
      <c r="J79" s="86"/>
      <c r="K79" s="84"/>
      <c r="L79" s="84" t="str">
        <f>IFERROR(__xludf.DUMMYFUNCTION("IF(A79="""","""", COUNT(SPLIT(K79,"";"")))"),"")</f>
        <v/>
      </c>
      <c r="M79" s="84" t="str">
        <f t="shared" si="1"/>
        <v/>
      </c>
      <c r="N79" s="84" t="str">
        <f>IFERROR(__xludf.DUMMYFUNCTION("IFERROR(AVERAGE(query(INDIRECT(""'FR Table'!"" &amp; vlookup(rows($A$1:$A78),Reference!$O:$P,2,false) &amp; ""3:"" &amp; vlookup(rows($A$1:$A78),Reference!$O:$P,2,false)), 
""SELECT "" &amp; vlookup(rows($A$1:$A78),Reference!$O:$P,2,false) 
&amp; "" WHERE "" &amp; vlookup(rows($"&amp;"A$1:$A78),Reference!$O:$P,2,false) &amp;
"" &gt;= "" &amp; Reference!$R$2)) * M79,"""")"),"")</f>
        <v/>
      </c>
      <c r="O79" s="84" t="str">
        <f t="shared" si="2"/>
        <v/>
      </c>
    </row>
    <row r="80">
      <c r="A80" s="84"/>
      <c r="B80" s="84"/>
      <c r="C80" s="85"/>
      <c r="D80" s="86"/>
      <c r="E80" s="87"/>
      <c r="F80" s="86"/>
      <c r="G80" s="87"/>
      <c r="H80" s="86"/>
      <c r="I80" s="86"/>
      <c r="J80" s="86"/>
      <c r="K80" s="84"/>
      <c r="L80" s="84" t="str">
        <f>IFERROR(__xludf.DUMMYFUNCTION("IF(A80="""","""", COUNT(SPLIT(K80,"";"")))"),"")</f>
        <v/>
      </c>
      <c r="M80" s="84" t="str">
        <f t="shared" si="1"/>
        <v/>
      </c>
      <c r="N80" s="84" t="str">
        <f>IFERROR(__xludf.DUMMYFUNCTION("IFERROR(AVERAGE(query(INDIRECT(""'FR Table'!"" &amp; vlookup(rows($A$1:$A79),Reference!$O:$P,2,false) &amp; ""3:"" &amp; vlookup(rows($A$1:$A79),Reference!$O:$P,2,false)), 
""SELECT "" &amp; vlookup(rows($A$1:$A79),Reference!$O:$P,2,false) 
&amp; "" WHERE "" &amp; vlookup(rows($"&amp;"A$1:$A79),Reference!$O:$P,2,false) &amp;
"" &gt;= "" &amp; Reference!$R$2)) * M80,"""")"),"")</f>
        <v/>
      </c>
      <c r="O80" s="84" t="str">
        <f t="shared" si="2"/>
        <v/>
      </c>
    </row>
    <row r="81">
      <c r="A81" s="84"/>
      <c r="B81" s="84"/>
      <c r="C81" s="85"/>
      <c r="D81" s="86"/>
      <c r="E81" s="87"/>
      <c r="F81" s="86"/>
      <c r="G81" s="87"/>
      <c r="H81" s="86"/>
      <c r="I81" s="86"/>
      <c r="J81" s="86"/>
      <c r="K81" s="84"/>
      <c r="L81" s="84" t="str">
        <f>IFERROR(__xludf.DUMMYFUNCTION("IF(A81="""","""", COUNT(SPLIT(K81,"";"")))"),"")</f>
        <v/>
      </c>
      <c r="M81" s="84" t="str">
        <f t="shared" si="1"/>
        <v/>
      </c>
      <c r="N81" s="84" t="str">
        <f>IFERROR(__xludf.DUMMYFUNCTION("IFERROR(AVERAGE(query(INDIRECT(""'FR Table'!"" &amp; vlookup(rows($A$1:$A80),Reference!$O:$P,2,false) &amp; ""3:"" &amp; vlookup(rows($A$1:$A80),Reference!$O:$P,2,false)), 
""SELECT "" &amp; vlookup(rows($A$1:$A80),Reference!$O:$P,2,false) 
&amp; "" WHERE "" &amp; vlookup(rows($"&amp;"A$1:$A80),Reference!$O:$P,2,false) &amp;
"" &gt;= "" &amp; Reference!$R$2)) * M81,"""")"),"")</f>
        <v/>
      </c>
      <c r="O81" s="84" t="str">
        <f t="shared" si="2"/>
        <v/>
      </c>
    </row>
    <row r="82">
      <c r="A82" s="84"/>
      <c r="B82" s="84"/>
      <c r="C82" s="85"/>
      <c r="D82" s="86"/>
      <c r="E82" s="87"/>
      <c r="F82" s="86"/>
      <c r="G82" s="87"/>
      <c r="H82" s="86"/>
      <c r="I82" s="86"/>
      <c r="J82" s="86"/>
      <c r="K82" s="84"/>
      <c r="L82" s="84" t="str">
        <f>IFERROR(__xludf.DUMMYFUNCTION("IF(A82="""","""", COUNT(SPLIT(K82,"";"")))"),"")</f>
        <v/>
      </c>
      <c r="M82" s="84" t="str">
        <f t="shared" si="1"/>
        <v/>
      </c>
      <c r="N82" s="84" t="str">
        <f>IFERROR(__xludf.DUMMYFUNCTION("IFERROR(AVERAGE(query(INDIRECT(""'FR Table'!"" &amp; vlookup(rows($A$1:$A81),Reference!$O:$P,2,false) &amp; ""3:"" &amp; vlookup(rows($A$1:$A81),Reference!$O:$P,2,false)), 
""SELECT "" &amp; vlookup(rows($A$1:$A81),Reference!$O:$P,2,false) 
&amp; "" WHERE "" &amp; vlookup(rows($"&amp;"A$1:$A81),Reference!$O:$P,2,false) &amp;
"" &gt;= "" &amp; Reference!$R$2)) * M82,"""")"),"")</f>
        <v/>
      </c>
      <c r="O82" s="84" t="str">
        <f t="shared" si="2"/>
        <v/>
      </c>
    </row>
    <row r="83">
      <c r="A83" s="84"/>
      <c r="B83" s="84"/>
      <c r="C83" s="85"/>
      <c r="D83" s="86"/>
      <c r="E83" s="87"/>
      <c r="F83" s="86"/>
      <c r="G83" s="87"/>
      <c r="H83" s="86"/>
      <c r="I83" s="86"/>
      <c r="J83" s="86"/>
      <c r="K83" s="84"/>
      <c r="L83" s="84" t="str">
        <f>IFERROR(__xludf.DUMMYFUNCTION("IF(A83="""","""", COUNT(SPLIT(K83,"";"")))"),"")</f>
        <v/>
      </c>
      <c r="M83" s="84" t="str">
        <f t="shared" si="1"/>
        <v/>
      </c>
      <c r="N83" s="84" t="str">
        <f>IFERROR(__xludf.DUMMYFUNCTION("IFERROR(AVERAGE(query(INDIRECT(""'FR Table'!"" &amp; vlookup(rows($A$1:$A82),Reference!$O:$P,2,false) &amp; ""3:"" &amp; vlookup(rows($A$1:$A82),Reference!$O:$P,2,false)), 
""SELECT "" &amp; vlookup(rows($A$1:$A82),Reference!$O:$P,2,false) 
&amp; "" WHERE "" &amp; vlookup(rows($"&amp;"A$1:$A82),Reference!$O:$P,2,false) &amp;
"" &gt;= "" &amp; Reference!$R$2)) * M83,"""")"),"")</f>
        <v/>
      </c>
      <c r="O83" s="84" t="str">
        <f t="shared" si="2"/>
        <v/>
      </c>
    </row>
    <row r="84">
      <c r="A84" s="84"/>
      <c r="B84" s="84"/>
      <c r="C84" s="85"/>
      <c r="D84" s="86"/>
      <c r="E84" s="87"/>
      <c r="F84" s="86"/>
      <c r="G84" s="87"/>
      <c r="H84" s="86"/>
      <c r="I84" s="86"/>
      <c r="J84" s="86"/>
      <c r="K84" s="84"/>
      <c r="L84" s="84" t="str">
        <f>IFERROR(__xludf.DUMMYFUNCTION("IF(A84="""","""", COUNT(SPLIT(K84,"";"")))"),"")</f>
        <v/>
      </c>
      <c r="M84" s="84" t="str">
        <f t="shared" si="1"/>
        <v/>
      </c>
      <c r="N84" s="84" t="str">
        <f>IFERROR(__xludf.DUMMYFUNCTION("IFERROR(AVERAGE(query(INDIRECT(""'FR Table'!"" &amp; vlookup(rows($A$1:$A83),Reference!$O:$P,2,false) &amp; ""3:"" &amp; vlookup(rows($A$1:$A83),Reference!$O:$P,2,false)), 
""SELECT "" &amp; vlookup(rows($A$1:$A83),Reference!$O:$P,2,false) 
&amp; "" WHERE "" &amp; vlookup(rows($"&amp;"A$1:$A83),Reference!$O:$P,2,false) &amp;
"" &gt;= "" &amp; Reference!$R$2)) * M84,"""")"),"")</f>
        <v/>
      </c>
      <c r="O84" s="84" t="str">
        <f t="shared" si="2"/>
        <v/>
      </c>
    </row>
    <row r="85">
      <c r="A85" s="84"/>
      <c r="B85" s="84"/>
      <c r="C85" s="85"/>
      <c r="D85" s="86"/>
      <c r="E85" s="87"/>
      <c r="F85" s="86"/>
      <c r="G85" s="87"/>
      <c r="H85" s="86"/>
      <c r="I85" s="86"/>
      <c r="J85" s="86"/>
      <c r="K85" s="84"/>
      <c r="L85" s="84" t="str">
        <f>IFERROR(__xludf.DUMMYFUNCTION("IF(A85="""","""", COUNT(SPLIT(K85,"";"")))"),"")</f>
        <v/>
      </c>
      <c r="M85" s="84" t="str">
        <f t="shared" si="1"/>
        <v/>
      </c>
      <c r="N85" s="84" t="str">
        <f>IFERROR(__xludf.DUMMYFUNCTION("IFERROR(AVERAGE(query(INDIRECT(""'FR Table'!"" &amp; vlookup(rows($A$1:$A84),Reference!$O:$P,2,false) &amp; ""3:"" &amp; vlookup(rows($A$1:$A84),Reference!$O:$P,2,false)), 
""SELECT "" &amp; vlookup(rows($A$1:$A84),Reference!$O:$P,2,false) 
&amp; "" WHERE "" &amp; vlookup(rows($"&amp;"A$1:$A84),Reference!$O:$P,2,false) &amp;
"" &gt;= "" &amp; Reference!$R$2)) * M85,"""")"),"")</f>
        <v/>
      </c>
      <c r="O85" s="84" t="str">
        <f t="shared" si="2"/>
        <v/>
      </c>
    </row>
    <row r="86">
      <c r="A86" s="84"/>
      <c r="B86" s="84"/>
      <c r="C86" s="85"/>
      <c r="D86" s="86"/>
      <c r="E86" s="87"/>
      <c r="F86" s="86"/>
      <c r="G86" s="87"/>
      <c r="H86" s="86"/>
      <c r="I86" s="86"/>
      <c r="J86" s="86"/>
      <c r="K86" s="84"/>
      <c r="L86" s="84" t="str">
        <f>IFERROR(__xludf.DUMMYFUNCTION("IF(A86="""","""", COUNT(SPLIT(K86,"";"")))"),"")</f>
        <v/>
      </c>
      <c r="M86" s="84" t="str">
        <f t="shared" si="1"/>
        <v/>
      </c>
      <c r="N86" s="84" t="str">
        <f>IFERROR(__xludf.DUMMYFUNCTION("IFERROR(AVERAGE(query(INDIRECT(""'FR Table'!"" &amp; vlookup(rows($A$1:$A85),Reference!$O:$P,2,false) &amp; ""3:"" &amp; vlookup(rows($A$1:$A85),Reference!$O:$P,2,false)), 
""SELECT "" &amp; vlookup(rows($A$1:$A85),Reference!$O:$P,2,false) 
&amp; "" WHERE "" &amp; vlookup(rows($"&amp;"A$1:$A85),Reference!$O:$P,2,false) &amp;
"" &gt;= "" &amp; Reference!$R$2)) * M86,"""")"),"")</f>
        <v/>
      </c>
      <c r="O86" s="84" t="str">
        <f t="shared" si="2"/>
        <v/>
      </c>
    </row>
    <row r="87">
      <c r="A87" s="84"/>
      <c r="B87" s="84"/>
      <c r="C87" s="85"/>
      <c r="D87" s="86"/>
      <c r="E87" s="87"/>
      <c r="F87" s="86"/>
      <c r="G87" s="87"/>
      <c r="H87" s="86"/>
      <c r="I87" s="86"/>
      <c r="J87" s="86"/>
      <c r="K87" s="84"/>
      <c r="L87" s="84" t="str">
        <f>IFERROR(__xludf.DUMMYFUNCTION("IF(A87="""","""", COUNT(SPLIT(K87,"";"")))"),"")</f>
        <v/>
      </c>
      <c r="M87" s="84" t="str">
        <f t="shared" si="1"/>
        <v/>
      </c>
      <c r="N87" s="84" t="str">
        <f>IFERROR(__xludf.DUMMYFUNCTION("IFERROR(AVERAGE(query(INDIRECT(""'FR Table'!"" &amp; vlookup(rows($A$1:$A86),Reference!$O:$P,2,false) &amp; ""3:"" &amp; vlookup(rows($A$1:$A86),Reference!$O:$P,2,false)), 
""SELECT "" &amp; vlookup(rows($A$1:$A86),Reference!$O:$P,2,false) 
&amp; "" WHERE "" &amp; vlookup(rows($"&amp;"A$1:$A86),Reference!$O:$P,2,false) &amp;
"" &gt;= "" &amp; Reference!$R$2)) * M87,"""")"),"")</f>
        <v/>
      </c>
      <c r="O87" s="84" t="str">
        <f t="shared" si="2"/>
        <v/>
      </c>
    </row>
    <row r="88">
      <c r="A88" s="84"/>
      <c r="B88" s="84"/>
      <c r="C88" s="85"/>
      <c r="D88" s="86"/>
      <c r="E88" s="87"/>
      <c r="F88" s="86"/>
      <c r="G88" s="87"/>
      <c r="H88" s="86"/>
      <c r="I88" s="86"/>
      <c r="J88" s="86"/>
      <c r="K88" s="84"/>
      <c r="L88" s="84" t="str">
        <f>IFERROR(__xludf.DUMMYFUNCTION("IF(A88="""","""", COUNT(SPLIT(K88,"";"")))"),"")</f>
        <v/>
      </c>
      <c r="M88" s="84" t="str">
        <f t="shared" si="1"/>
        <v/>
      </c>
      <c r="N88" s="84" t="str">
        <f>IFERROR(__xludf.DUMMYFUNCTION("IFERROR(AVERAGE(query(INDIRECT(""'FR Table'!"" &amp; vlookup(rows($A$1:$A87),Reference!$O:$P,2,false) &amp; ""3:"" &amp; vlookup(rows($A$1:$A87),Reference!$O:$P,2,false)), 
""SELECT "" &amp; vlookup(rows($A$1:$A87),Reference!$O:$P,2,false) 
&amp; "" WHERE "" &amp; vlookup(rows($"&amp;"A$1:$A87),Reference!$O:$P,2,false) &amp;
"" &gt;= "" &amp; Reference!$R$2)) * M88,"""")"),"")</f>
        <v/>
      </c>
      <c r="O88" s="84" t="str">
        <f t="shared" si="2"/>
        <v/>
      </c>
    </row>
    <row r="89">
      <c r="A89" s="84"/>
      <c r="B89" s="84"/>
      <c r="C89" s="85"/>
      <c r="D89" s="86"/>
      <c r="E89" s="87"/>
      <c r="F89" s="86"/>
      <c r="G89" s="87"/>
      <c r="H89" s="86"/>
      <c r="I89" s="86"/>
      <c r="J89" s="86"/>
      <c r="K89" s="84"/>
      <c r="L89" s="84" t="str">
        <f>IFERROR(__xludf.DUMMYFUNCTION("IF(A89="""","""", COUNT(SPLIT(K89,"";"")))"),"")</f>
        <v/>
      </c>
      <c r="M89" s="84" t="str">
        <f t="shared" si="1"/>
        <v/>
      </c>
      <c r="N89" s="84" t="str">
        <f>IFERROR(__xludf.DUMMYFUNCTION("IFERROR(AVERAGE(query(INDIRECT(""'FR Table'!"" &amp; vlookup(rows($A$1:$A88),Reference!$O:$P,2,false) &amp; ""3:"" &amp; vlookup(rows($A$1:$A88),Reference!$O:$P,2,false)), 
""SELECT "" &amp; vlookup(rows($A$1:$A88),Reference!$O:$P,2,false) 
&amp; "" WHERE "" &amp; vlookup(rows($"&amp;"A$1:$A88),Reference!$O:$P,2,false) &amp;
"" &gt;= "" &amp; Reference!$R$2)) * M89,"""")"),"")</f>
        <v/>
      </c>
      <c r="O89" s="84" t="str">
        <f t="shared" si="2"/>
        <v/>
      </c>
    </row>
    <row r="90">
      <c r="A90" s="84"/>
      <c r="B90" s="84"/>
      <c r="C90" s="85"/>
      <c r="D90" s="86"/>
      <c r="E90" s="87"/>
      <c r="F90" s="86"/>
      <c r="G90" s="87"/>
      <c r="H90" s="86"/>
      <c r="I90" s="86"/>
      <c r="J90" s="86"/>
      <c r="K90" s="84"/>
      <c r="L90" s="84" t="str">
        <f>IFERROR(__xludf.DUMMYFUNCTION("IF(A90="""","""", COUNT(SPLIT(K90,"";"")))"),"")</f>
        <v/>
      </c>
      <c r="M90" s="84" t="str">
        <f t="shared" si="1"/>
        <v/>
      </c>
      <c r="N90" s="84" t="str">
        <f>IFERROR(__xludf.DUMMYFUNCTION("IFERROR(AVERAGE(query(INDIRECT(""'FR Table'!"" &amp; vlookup(rows($A$1:$A89),Reference!$O:$P,2,false) &amp; ""3:"" &amp; vlookup(rows($A$1:$A89),Reference!$O:$P,2,false)), 
""SELECT "" &amp; vlookup(rows($A$1:$A89),Reference!$O:$P,2,false) 
&amp; "" WHERE "" &amp; vlookup(rows($"&amp;"A$1:$A89),Reference!$O:$P,2,false) &amp;
"" &gt;= "" &amp; Reference!$R$2)) * M90,"""")"),"")</f>
        <v/>
      </c>
      <c r="O90" s="84" t="str">
        <f t="shared" si="2"/>
        <v/>
      </c>
    </row>
    <row r="91">
      <c r="A91" s="84"/>
      <c r="B91" s="84"/>
      <c r="C91" s="85"/>
      <c r="D91" s="86"/>
      <c r="E91" s="87"/>
      <c r="F91" s="86"/>
      <c r="G91" s="87"/>
      <c r="H91" s="86"/>
      <c r="I91" s="86"/>
      <c r="J91" s="86"/>
      <c r="K91" s="84"/>
      <c r="L91" s="84" t="str">
        <f>IFERROR(__xludf.DUMMYFUNCTION("IF(A91="""","""", COUNT(SPLIT(K91,"";"")))"),"")</f>
        <v/>
      </c>
      <c r="M91" s="84" t="str">
        <f t="shared" si="1"/>
        <v/>
      </c>
      <c r="N91" s="84" t="str">
        <f>IFERROR(__xludf.DUMMYFUNCTION("IFERROR(AVERAGE(query(INDIRECT(""'FR Table'!"" &amp; vlookup(rows($A$1:$A90),Reference!$O:$P,2,false) &amp; ""3:"" &amp; vlookup(rows($A$1:$A90),Reference!$O:$P,2,false)), 
""SELECT "" &amp; vlookup(rows($A$1:$A90),Reference!$O:$P,2,false) 
&amp; "" WHERE "" &amp; vlookup(rows($"&amp;"A$1:$A90),Reference!$O:$P,2,false) &amp;
"" &gt;= "" &amp; Reference!$R$2)) * M91,"""")"),"")</f>
        <v/>
      </c>
      <c r="O91" s="84" t="str">
        <f t="shared" si="2"/>
        <v/>
      </c>
    </row>
    <row r="92">
      <c r="A92" s="84"/>
      <c r="B92" s="84"/>
      <c r="C92" s="85"/>
      <c r="D92" s="86"/>
      <c r="E92" s="87"/>
      <c r="F92" s="86"/>
      <c r="G92" s="87"/>
      <c r="H92" s="86"/>
      <c r="I92" s="86"/>
      <c r="J92" s="86"/>
      <c r="K92" s="84"/>
      <c r="L92" s="84" t="str">
        <f>IFERROR(__xludf.DUMMYFUNCTION("IF(A92="""","""", COUNT(SPLIT(K92,"";"")))"),"")</f>
        <v/>
      </c>
      <c r="M92" s="84" t="str">
        <f t="shared" si="1"/>
        <v/>
      </c>
      <c r="N92" s="84" t="str">
        <f>IFERROR(__xludf.DUMMYFUNCTION("IFERROR(AVERAGE(query(INDIRECT(""'FR Table'!"" &amp; vlookup(rows($A$1:$A91),Reference!$O:$P,2,false) &amp; ""3:"" &amp; vlookup(rows($A$1:$A91),Reference!$O:$P,2,false)), 
""SELECT "" &amp; vlookup(rows($A$1:$A91),Reference!$O:$P,2,false) 
&amp; "" WHERE "" &amp; vlookup(rows($"&amp;"A$1:$A91),Reference!$O:$P,2,false) &amp;
"" &gt;= "" &amp; Reference!$R$2)) * M92,"""")"),"")</f>
        <v/>
      </c>
      <c r="O92" s="84" t="str">
        <f t="shared" si="2"/>
        <v/>
      </c>
    </row>
    <row r="93">
      <c r="A93" s="84"/>
      <c r="B93" s="84"/>
      <c r="C93" s="85"/>
      <c r="D93" s="86"/>
      <c r="E93" s="87"/>
      <c r="F93" s="86"/>
      <c r="G93" s="87"/>
      <c r="H93" s="86"/>
      <c r="I93" s="86"/>
      <c r="J93" s="86"/>
      <c r="K93" s="84"/>
      <c r="L93" s="84" t="str">
        <f>IFERROR(__xludf.DUMMYFUNCTION("IF(A93="""","""", COUNT(SPLIT(K93,"";"")))"),"")</f>
        <v/>
      </c>
      <c r="M93" s="84" t="str">
        <f t="shared" si="1"/>
        <v/>
      </c>
      <c r="N93" s="84" t="str">
        <f>IFERROR(__xludf.DUMMYFUNCTION("IFERROR(AVERAGE(query(INDIRECT(""'FR Table'!"" &amp; vlookup(rows($A$1:$A92),Reference!$O:$P,2,false) &amp; ""3:"" &amp; vlookup(rows($A$1:$A92),Reference!$O:$P,2,false)), 
""SELECT "" &amp; vlookup(rows($A$1:$A92),Reference!$O:$P,2,false) 
&amp; "" WHERE "" &amp; vlookup(rows($"&amp;"A$1:$A92),Reference!$O:$P,2,false) &amp;
"" &gt;= "" &amp; Reference!$R$2)) * M93,"""")"),"")</f>
        <v/>
      </c>
      <c r="O93" s="84" t="str">
        <f t="shared" si="2"/>
        <v/>
      </c>
    </row>
    <row r="94">
      <c r="A94" s="84"/>
      <c r="B94" s="84"/>
      <c r="C94" s="85"/>
      <c r="D94" s="86"/>
      <c r="E94" s="87"/>
      <c r="F94" s="86"/>
      <c r="G94" s="87"/>
      <c r="H94" s="86"/>
      <c r="I94" s="86"/>
      <c r="J94" s="86"/>
      <c r="K94" s="84"/>
      <c r="L94" s="84" t="str">
        <f>IFERROR(__xludf.DUMMYFUNCTION("IF(A94="""","""", COUNT(SPLIT(K94,"";"")))"),"")</f>
        <v/>
      </c>
      <c r="M94" s="84" t="str">
        <f t="shared" si="1"/>
        <v/>
      </c>
      <c r="N94" s="84" t="str">
        <f>IFERROR(__xludf.DUMMYFUNCTION("IFERROR(AVERAGE(query(INDIRECT(""'FR Table'!"" &amp; vlookup(rows($A$1:$A93),Reference!$O:$P,2,false) &amp; ""3:"" &amp; vlookup(rows($A$1:$A93),Reference!$O:$P,2,false)), 
""SELECT "" &amp; vlookup(rows($A$1:$A93),Reference!$O:$P,2,false) 
&amp; "" WHERE "" &amp; vlookup(rows($"&amp;"A$1:$A93),Reference!$O:$P,2,false) &amp;
"" &gt;= "" &amp; Reference!$R$2)) * M94,"""")"),"")</f>
        <v/>
      </c>
      <c r="O94" s="84" t="str">
        <f t="shared" si="2"/>
        <v/>
      </c>
    </row>
    <row r="95">
      <c r="A95" s="84"/>
      <c r="B95" s="84"/>
      <c r="C95" s="85"/>
      <c r="D95" s="86"/>
      <c r="E95" s="87"/>
      <c r="F95" s="86"/>
      <c r="G95" s="87"/>
      <c r="H95" s="86"/>
      <c r="I95" s="86"/>
      <c r="J95" s="86"/>
      <c r="K95" s="84"/>
      <c r="L95" s="84" t="str">
        <f>IFERROR(__xludf.DUMMYFUNCTION("IF(A95="""","""", COUNT(SPLIT(K95,"";"")))"),"")</f>
        <v/>
      </c>
      <c r="M95" s="84" t="str">
        <f t="shared" si="1"/>
        <v/>
      </c>
      <c r="N95" s="84" t="str">
        <f>IFERROR(__xludf.DUMMYFUNCTION("IFERROR(AVERAGE(query(INDIRECT(""'FR Table'!"" &amp; vlookup(rows($A$1:$A94),Reference!$O:$P,2,false) &amp; ""3:"" &amp; vlookup(rows($A$1:$A94),Reference!$O:$P,2,false)), 
""SELECT "" &amp; vlookup(rows($A$1:$A94),Reference!$O:$P,2,false) 
&amp; "" WHERE "" &amp; vlookup(rows($"&amp;"A$1:$A94),Reference!$O:$P,2,false) &amp;
"" &gt;= "" &amp; Reference!$R$2)) * M95,"""")"),"")</f>
        <v/>
      </c>
      <c r="O95" s="84" t="str">
        <f t="shared" si="2"/>
        <v/>
      </c>
    </row>
    <row r="96">
      <c r="A96" s="84"/>
      <c r="B96" s="84"/>
      <c r="C96" s="85"/>
      <c r="D96" s="86"/>
      <c r="E96" s="87"/>
      <c r="F96" s="86"/>
      <c r="G96" s="87"/>
      <c r="H96" s="86"/>
      <c r="I96" s="86"/>
      <c r="J96" s="86"/>
      <c r="K96" s="84"/>
      <c r="L96" s="84" t="str">
        <f>IFERROR(__xludf.DUMMYFUNCTION("IF(A96="""","""", COUNT(SPLIT(K96,"";"")))"),"")</f>
        <v/>
      </c>
      <c r="M96" s="84" t="str">
        <f t="shared" si="1"/>
        <v/>
      </c>
      <c r="N96" s="84" t="str">
        <f>IFERROR(__xludf.DUMMYFUNCTION("IFERROR(AVERAGE(query(INDIRECT(""'FR Table'!"" &amp; vlookup(rows($A$1:$A95),Reference!$O:$P,2,false) &amp; ""3:"" &amp; vlookup(rows($A$1:$A95),Reference!$O:$P,2,false)), 
""SELECT "" &amp; vlookup(rows($A$1:$A95),Reference!$O:$P,2,false) 
&amp; "" WHERE "" &amp; vlookup(rows($"&amp;"A$1:$A95),Reference!$O:$P,2,false) &amp;
"" &gt;= "" &amp; Reference!$R$2)) * M96,"""")"),"")</f>
        <v/>
      </c>
      <c r="O96" s="84" t="str">
        <f t="shared" si="2"/>
        <v/>
      </c>
    </row>
    <row r="97">
      <c r="A97" s="84"/>
      <c r="B97" s="84"/>
      <c r="C97" s="85"/>
      <c r="D97" s="86"/>
      <c r="E97" s="87"/>
      <c r="F97" s="86"/>
      <c r="G97" s="87"/>
      <c r="H97" s="86"/>
      <c r="I97" s="86"/>
      <c r="J97" s="86"/>
      <c r="K97" s="84"/>
      <c r="L97" s="84" t="str">
        <f>IFERROR(__xludf.DUMMYFUNCTION("IF(A97="""","""", COUNT(SPLIT(K97,"";"")))"),"")</f>
        <v/>
      </c>
      <c r="M97" s="84" t="str">
        <f t="shared" si="1"/>
        <v/>
      </c>
      <c r="N97" s="84" t="str">
        <f>IFERROR(__xludf.DUMMYFUNCTION("IFERROR(AVERAGE(query(INDIRECT(""'FR Table'!"" &amp; vlookup(rows($A$1:$A96),Reference!$O:$P,2,false) &amp; ""3:"" &amp; vlookup(rows($A$1:$A96),Reference!$O:$P,2,false)), 
""SELECT "" &amp; vlookup(rows($A$1:$A96),Reference!$O:$P,2,false) 
&amp; "" WHERE "" &amp; vlookup(rows($"&amp;"A$1:$A96),Reference!$O:$P,2,false) &amp;
"" &gt;= "" &amp; Reference!$R$2)) * M97,"""")"),"")</f>
        <v/>
      </c>
      <c r="O97" s="84" t="str">
        <f t="shared" si="2"/>
        <v/>
      </c>
    </row>
    <row r="98">
      <c r="A98" s="84"/>
      <c r="B98" s="84"/>
      <c r="C98" s="85"/>
      <c r="D98" s="86"/>
      <c r="E98" s="87"/>
      <c r="F98" s="86"/>
      <c r="G98" s="87"/>
      <c r="H98" s="86"/>
      <c r="I98" s="86"/>
      <c r="J98" s="86"/>
      <c r="K98" s="84"/>
      <c r="L98" s="84" t="str">
        <f>IFERROR(__xludf.DUMMYFUNCTION("IF(A98="""","""", COUNT(SPLIT(K98,"";"")))"),"")</f>
        <v/>
      </c>
      <c r="M98" s="84" t="str">
        <f t="shared" si="1"/>
        <v/>
      </c>
      <c r="N98" s="84" t="str">
        <f>IFERROR(__xludf.DUMMYFUNCTION("IFERROR(AVERAGE(query(INDIRECT(""'FR Table'!"" &amp; vlookup(rows($A$1:$A97),Reference!$O:$P,2,false) &amp; ""3:"" &amp; vlookup(rows($A$1:$A97),Reference!$O:$P,2,false)), 
""SELECT "" &amp; vlookup(rows($A$1:$A97),Reference!$O:$P,2,false) 
&amp; "" WHERE "" &amp; vlookup(rows($"&amp;"A$1:$A97),Reference!$O:$P,2,false) &amp;
"" &gt;= "" &amp; Reference!$R$2)) * M98,"""")"),"")</f>
        <v/>
      </c>
      <c r="O98" s="84" t="str">
        <f t="shared" si="2"/>
        <v/>
      </c>
    </row>
    <row r="99">
      <c r="A99" s="84"/>
      <c r="B99" s="84"/>
      <c r="C99" s="85"/>
      <c r="D99" s="86"/>
      <c r="E99" s="87"/>
      <c r="F99" s="86"/>
      <c r="G99" s="87"/>
      <c r="H99" s="86"/>
      <c r="I99" s="86"/>
      <c r="J99" s="86"/>
      <c r="K99" s="84"/>
      <c r="L99" s="84" t="str">
        <f>IFERROR(__xludf.DUMMYFUNCTION("IF(A99="""","""", COUNT(SPLIT(K99,"";"")))"),"")</f>
        <v/>
      </c>
      <c r="M99" s="84" t="str">
        <f t="shared" si="1"/>
        <v/>
      </c>
      <c r="N99" s="84" t="str">
        <f>IFERROR(__xludf.DUMMYFUNCTION("IFERROR(AVERAGE(query(INDIRECT(""'FR Table'!"" &amp; vlookup(rows($A$1:$A98),Reference!$O:$P,2,false) &amp; ""3:"" &amp; vlookup(rows($A$1:$A98),Reference!$O:$P,2,false)), 
""SELECT "" &amp; vlookup(rows($A$1:$A98),Reference!$O:$P,2,false) 
&amp; "" WHERE "" &amp; vlookup(rows($"&amp;"A$1:$A98),Reference!$O:$P,2,false) &amp;
"" &gt;= "" &amp; Reference!$R$2)) * M99,"""")"),"")</f>
        <v/>
      </c>
      <c r="O99" s="84" t="str">
        <f t="shared" si="2"/>
        <v/>
      </c>
    </row>
    <row r="100">
      <c r="A100" s="84"/>
      <c r="B100" s="84"/>
      <c r="C100" s="85"/>
      <c r="D100" s="86"/>
      <c r="E100" s="87"/>
      <c r="F100" s="86"/>
      <c r="G100" s="87"/>
      <c r="H100" s="86"/>
      <c r="I100" s="86"/>
      <c r="J100" s="86"/>
      <c r="K100" s="84"/>
      <c r="L100" s="84" t="str">
        <f>IFERROR(__xludf.DUMMYFUNCTION("IF(A100="""","""", COUNT(SPLIT(K100,"";"")))"),"")</f>
        <v/>
      </c>
      <c r="M100" s="84" t="str">
        <f t="shared" si="1"/>
        <v/>
      </c>
      <c r="N100" s="84" t="str">
        <f>IFERROR(__xludf.DUMMYFUNCTION("IFERROR(AVERAGE(query(INDIRECT(""'FR Table'!"" &amp; vlookup(rows($A$1:$A99),Reference!$O:$P,2,false) &amp; ""3:"" &amp; vlookup(rows($A$1:$A99),Reference!$O:$P,2,false)), 
""SELECT "" &amp; vlookup(rows($A$1:$A99),Reference!$O:$P,2,false) 
&amp; "" WHERE "" &amp; vlookup(rows($"&amp;"A$1:$A99),Reference!$O:$P,2,false) &amp;
"" &gt;= "" &amp; Reference!$R$2)) * M100,"""")"),"")</f>
        <v/>
      </c>
      <c r="O100" s="84" t="str">
        <f t="shared" si="2"/>
        <v/>
      </c>
    </row>
    <row r="101">
      <c r="A101" s="84"/>
      <c r="B101" s="84"/>
      <c r="C101" s="85"/>
      <c r="D101" s="86"/>
      <c r="E101" s="87"/>
      <c r="F101" s="86"/>
      <c r="G101" s="87"/>
      <c r="H101" s="86"/>
      <c r="I101" s="86"/>
      <c r="J101" s="86"/>
      <c r="K101" s="84"/>
      <c r="L101" s="84" t="str">
        <f>IFERROR(__xludf.DUMMYFUNCTION("IF(A101="""","""", COUNT(SPLIT(K101,"";"")))"),"")</f>
        <v/>
      </c>
      <c r="M101" s="84" t="str">
        <f t="shared" si="1"/>
        <v/>
      </c>
      <c r="N101" s="84" t="str">
        <f>IFERROR(__xludf.DUMMYFUNCTION("IFERROR(AVERAGE(query(INDIRECT(""'FR Table'!"" &amp; vlookup(rows($A$1:$A100),Reference!$O:$P,2,false) &amp; ""3:"" &amp; vlookup(rows($A$1:$A100),Reference!$O:$P,2,false)), 
""SELECT "" &amp; vlookup(rows($A$1:$A100),Reference!$O:$P,2,false) 
&amp; "" WHERE "" &amp; vlookup(row"&amp;"s($A$1:$A100),Reference!$O:$P,2,false) &amp;
"" &gt;= "" &amp; Reference!$R$2)) * M101,"""")"),"")</f>
        <v/>
      </c>
      <c r="O101" s="84" t="str">
        <f t="shared" si="2"/>
        <v/>
      </c>
    </row>
    <row r="102">
      <c r="A102" s="84"/>
      <c r="B102" s="84"/>
      <c r="C102" s="85"/>
      <c r="D102" s="86"/>
      <c r="E102" s="87"/>
      <c r="F102" s="86"/>
      <c r="G102" s="87"/>
      <c r="H102" s="86"/>
      <c r="I102" s="86"/>
      <c r="J102" s="86"/>
      <c r="K102" s="84"/>
      <c r="L102" s="84" t="str">
        <f>IFERROR(__xludf.DUMMYFUNCTION("IF(A102="""","""", COUNT(SPLIT(K102,"";"")))"),"")</f>
        <v/>
      </c>
      <c r="M102" s="84" t="str">
        <f t="shared" si="1"/>
        <v/>
      </c>
      <c r="N102" s="84" t="str">
        <f>IFERROR(__xludf.DUMMYFUNCTION("IFERROR(AVERAGE(query(INDIRECT(""'FR Table'!"" &amp; vlookup(rows($A$1:$A101),Reference!$O:$P,2,false) &amp; ""3:"" &amp; vlookup(rows($A$1:$A101),Reference!$O:$P,2,false)), 
""SELECT "" &amp; vlookup(rows($A$1:$A101),Reference!$O:$P,2,false) 
&amp; "" WHERE "" &amp; vlookup(row"&amp;"s($A$1:$A101),Reference!$O:$P,2,false) &amp;
"" &gt;= "" &amp; Reference!$R$2)) * M102,"""")"),"")</f>
        <v/>
      </c>
      <c r="O102" s="84" t="str">
        <f t="shared" si="2"/>
        <v/>
      </c>
    </row>
    <row r="103">
      <c r="A103" s="84"/>
      <c r="B103" s="84"/>
      <c r="C103" s="85"/>
      <c r="D103" s="86"/>
      <c r="E103" s="87"/>
      <c r="F103" s="86"/>
      <c r="G103" s="87"/>
      <c r="H103" s="86"/>
      <c r="I103" s="86"/>
      <c r="J103" s="86"/>
      <c r="K103" s="84"/>
      <c r="L103" s="84" t="str">
        <f>IFERROR(__xludf.DUMMYFUNCTION("IF(A103="""","""", COUNT(SPLIT(K103,"";"")))"),"")</f>
        <v/>
      </c>
      <c r="M103" s="84" t="str">
        <f t="shared" si="1"/>
        <v/>
      </c>
      <c r="N103" s="84" t="str">
        <f>IFERROR(__xludf.DUMMYFUNCTION("IFERROR(AVERAGE(query(INDIRECT(""'FR Table'!"" &amp; vlookup(rows($A$1:$A102),Reference!$O:$P,2,false) &amp; ""3:"" &amp; vlookup(rows($A$1:$A102),Reference!$O:$P,2,false)), 
""SELECT "" &amp; vlookup(rows($A$1:$A102),Reference!$O:$P,2,false) 
&amp; "" WHERE "" &amp; vlookup(row"&amp;"s($A$1:$A102),Reference!$O:$P,2,false) &amp;
"" &gt;= "" &amp; Reference!$R$2)) * M103,"""")"),"")</f>
        <v/>
      </c>
      <c r="O103" s="84" t="str">
        <f t="shared" si="2"/>
        <v/>
      </c>
    </row>
    <row r="104">
      <c r="A104" s="84"/>
      <c r="B104" s="84"/>
      <c r="C104" s="85"/>
      <c r="D104" s="86"/>
      <c r="E104" s="87"/>
      <c r="F104" s="86"/>
      <c r="G104" s="87"/>
      <c r="H104" s="86"/>
      <c r="I104" s="86"/>
      <c r="J104" s="86"/>
      <c r="K104" s="84"/>
      <c r="L104" s="84" t="str">
        <f>IFERROR(__xludf.DUMMYFUNCTION("IF(A104="""","""", COUNT(SPLIT(K104,"";"")))"),"")</f>
        <v/>
      </c>
      <c r="M104" s="84" t="str">
        <f t="shared" si="1"/>
        <v/>
      </c>
      <c r="N104" s="84" t="str">
        <f>IFERROR(__xludf.DUMMYFUNCTION("IFERROR(AVERAGE(query(INDIRECT(""'FR Table'!"" &amp; vlookup(rows($A$1:$A103),Reference!$O:$P,2,false) &amp; ""3:"" &amp; vlookup(rows($A$1:$A103),Reference!$O:$P,2,false)), 
""SELECT "" &amp; vlookup(rows($A$1:$A103),Reference!$O:$P,2,false) 
&amp; "" WHERE "" &amp; vlookup(row"&amp;"s($A$1:$A103),Reference!$O:$P,2,false) &amp;
"" &gt;= "" &amp; Reference!$R$2)) * M104,"""")"),"")</f>
        <v/>
      </c>
      <c r="O104" s="84" t="str">
        <f t="shared" si="2"/>
        <v/>
      </c>
    </row>
    <row r="105">
      <c r="A105" s="84"/>
      <c r="B105" s="84"/>
      <c r="C105" s="85"/>
      <c r="D105" s="86"/>
      <c r="E105" s="87"/>
      <c r="F105" s="86"/>
      <c r="G105" s="87"/>
      <c r="H105" s="86"/>
      <c r="I105" s="86"/>
      <c r="J105" s="86"/>
      <c r="K105" s="84"/>
      <c r="L105" s="84" t="str">
        <f>IFERROR(__xludf.DUMMYFUNCTION("IF(A105="""","""", COUNT(SPLIT(K105,"";"")))"),"")</f>
        <v/>
      </c>
      <c r="M105" s="84" t="str">
        <f t="shared" si="1"/>
        <v/>
      </c>
      <c r="N105" s="84" t="str">
        <f>IFERROR(__xludf.DUMMYFUNCTION("IFERROR(AVERAGE(query(INDIRECT(""'FR Table'!"" &amp; vlookup(rows($A$1:$A104),Reference!$O:$P,2,false) &amp; ""3:"" &amp; vlookup(rows($A$1:$A104),Reference!$O:$P,2,false)), 
""SELECT "" &amp; vlookup(rows($A$1:$A104),Reference!$O:$P,2,false) 
&amp; "" WHERE "" &amp; vlookup(row"&amp;"s($A$1:$A104),Reference!$O:$P,2,false) &amp;
"" &gt;= "" &amp; Reference!$R$2)) * M105,"""")"),"")</f>
        <v/>
      </c>
      <c r="O105" s="84" t="str">
        <f t="shared" si="2"/>
        <v/>
      </c>
    </row>
    <row r="106">
      <c r="A106" s="84"/>
      <c r="B106" s="84"/>
      <c r="C106" s="85"/>
      <c r="D106" s="86"/>
      <c r="E106" s="87"/>
      <c r="F106" s="86"/>
      <c r="G106" s="87"/>
      <c r="H106" s="86"/>
      <c r="I106" s="86"/>
      <c r="J106" s="86"/>
      <c r="K106" s="84"/>
      <c r="L106" s="84" t="str">
        <f>IFERROR(__xludf.DUMMYFUNCTION("IF(A106="""","""", COUNT(SPLIT(K106,"";"")))"),"")</f>
        <v/>
      </c>
      <c r="M106" s="84" t="str">
        <f t="shared" si="1"/>
        <v/>
      </c>
      <c r="N106" s="84" t="str">
        <f>IFERROR(__xludf.DUMMYFUNCTION("IFERROR(AVERAGE(query(INDIRECT(""'FR Table'!"" &amp; vlookup(rows($A$1:$A105),Reference!$O:$P,2,false) &amp; ""3:"" &amp; vlookup(rows($A$1:$A105),Reference!$O:$P,2,false)), 
""SELECT "" &amp; vlookup(rows($A$1:$A105),Reference!$O:$P,2,false) 
&amp; "" WHERE "" &amp; vlookup(row"&amp;"s($A$1:$A105),Reference!$O:$P,2,false) &amp;
"" &gt;= "" &amp; Reference!$R$2)) * M106,"""")"),"")</f>
        <v/>
      </c>
      <c r="O106" s="84" t="str">
        <f t="shared" si="2"/>
        <v/>
      </c>
    </row>
    <row r="107">
      <c r="A107" s="84"/>
      <c r="B107" s="84"/>
      <c r="C107" s="85"/>
      <c r="D107" s="86"/>
      <c r="E107" s="87"/>
      <c r="F107" s="86"/>
      <c r="G107" s="87"/>
      <c r="H107" s="86"/>
      <c r="I107" s="86"/>
      <c r="J107" s="86"/>
      <c r="K107" s="84"/>
      <c r="L107" s="84" t="str">
        <f>IFERROR(__xludf.DUMMYFUNCTION("IF(A107="""","""", COUNT(SPLIT(K107,"";"")))"),"")</f>
        <v/>
      </c>
      <c r="M107" s="84" t="str">
        <f t="shared" si="1"/>
        <v/>
      </c>
      <c r="N107" s="84" t="str">
        <f>IFERROR(__xludf.DUMMYFUNCTION("IFERROR(AVERAGE(query(INDIRECT(""'FR Table'!"" &amp; vlookup(rows($A$1:$A106),Reference!$O:$P,2,false) &amp; ""3:"" &amp; vlookup(rows($A$1:$A106),Reference!$O:$P,2,false)), 
""SELECT "" &amp; vlookup(rows($A$1:$A106),Reference!$O:$P,2,false) 
&amp; "" WHERE "" &amp; vlookup(row"&amp;"s($A$1:$A106),Reference!$O:$P,2,false) &amp;
"" &gt;= "" &amp; Reference!$R$2)) * M107,"""")"),"")</f>
        <v/>
      </c>
      <c r="O107" s="84" t="str">
        <f t="shared" si="2"/>
        <v/>
      </c>
    </row>
    <row r="108">
      <c r="A108" s="84"/>
      <c r="B108" s="84"/>
      <c r="C108" s="85"/>
      <c r="D108" s="86"/>
      <c r="E108" s="87"/>
      <c r="F108" s="86"/>
      <c r="G108" s="87"/>
      <c r="H108" s="86"/>
      <c r="I108" s="86"/>
      <c r="J108" s="86"/>
      <c r="K108" s="84"/>
      <c r="L108" s="84" t="str">
        <f>IFERROR(__xludf.DUMMYFUNCTION("IF(A108="""","""", COUNT(SPLIT(K108,"";"")))"),"")</f>
        <v/>
      </c>
      <c r="M108" s="84" t="str">
        <f t="shared" si="1"/>
        <v/>
      </c>
      <c r="N108" s="84" t="str">
        <f>IFERROR(__xludf.DUMMYFUNCTION("IFERROR(AVERAGE(query(INDIRECT(""'FR Table'!"" &amp; vlookup(rows($A$1:$A107),Reference!$O:$P,2,false) &amp; ""3:"" &amp; vlookup(rows($A$1:$A107),Reference!$O:$P,2,false)), 
""SELECT "" &amp; vlookup(rows($A$1:$A107),Reference!$O:$P,2,false) 
&amp; "" WHERE "" &amp; vlookup(row"&amp;"s($A$1:$A107),Reference!$O:$P,2,false) &amp;
"" &gt;= "" &amp; Reference!$R$2)) * M108,"""")"),"")</f>
        <v/>
      </c>
      <c r="O108" s="84" t="str">
        <f t="shared" si="2"/>
        <v/>
      </c>
    </row>
    <row r="109">
      <c r="A109" s="84"/>
      <c r="B109" s="84"/>
      <c r="C109" s="85"/>
      <c r="D109" s="86"/>
      <c r="E109" s="87"/>
      <c r="F109" s="86"/>
      <c r="G109" s="87"/>
      <c r="H109" s="86"/>
      <c r="I109" s="86"/>
      <c r="J109" s="86"/>
      <c r="K109" s="84"/>
      <c r="L109" s="84" t="str">
        <f>IFERROR(__xludf.DUMMYFUNCTION("IF(A109="""","""", COUNT(SPLIT(K109,"";"")))"),"")</f>
        <v/>
      </c>
      <c r="M109" s="84" t="str">
        <f t="shared" si="1"/>
        <v/>
      </c>
      <c r="N109" s="84" t="str">
        <f>IFERROR(__xludf.DUMMYFUNCTION("IFERROR(AVERAGE(query(INDIRECT(""'FR Table'!"" &amp; vlookup(rows($A$1:$A108),Reference!$O:$P,2,false) &amp; ""3:"" &amp; vlookup(rows($A$1:$A108),Reference!$O:$P,2,false)), 
""SELECT "" &amp; vlookup(rows($A$1:$A108),Reference!$O:$P,2,false) 
&amp; "" WHERE "" &amp; vlookup(row"&amp;"s($A$1:$A108),Reference!$O:$P,2,false) &amp;
"" &gt;= "" &amp; Reference!$R$2)) * M109,"""")"),"")</f>
        <v/>
      </c>
      <c r="O109" s="84" t="str">
        <f t="shared" si="2"/>
        <v/>
      </c>
    </row>
    <row r="110">
      <c r="A110" s="84"/>
      <c r="B110" s="84"/>
      <c r="C110" s="85"/>
      <c r="D110" s="86"/>
      <c r="E110" s="87"/>
      <c r="F110" s="86"/>
      <c r="G110" s="87"/>
      <c r="H110" s="86"/>
      <c r="I110" s="86"/>
      <c r="J110" s="86"/>
      <c r="K110" s="84"/>
      <c r="L110" s="84" t="str">
        <f>IFERROR(__xludf.DUMMYFUNCTION("IF(A110="""","""", COUNT(SPLIT(K110,"";"")))"),"")</f>
        <v/>
      </c>
      <c r="M110" s="84" t="str">
        <f t="shared" si="1"/>
        <v/>
      </c>
      <c r="N110" s="84" t="str">
        <f>IFERROR(__xludf.DUMMYFUNCTION("IFERROR(AVERAGE(query(INDIRECT(""'FR Table'!"" &amp; vlookup(rows($A$1:$A109),Reference!$O:$P,2,false) &amp; ""3:"" &amp; vlookup(rows($A$1:$A109),Reference!$O:$P,2,false)), 
""SELECT "" &amp; vlookup(rows($A$1:$A109),Reference!$O:$P,2,false) 
&amp; "" WHERE "" &amp; vlookup(row"&amp;"s($A$1:$A109),Reference!$O:$P,2,false) &amp;
"" &gt;= "" &amp; Reference!$R$2)) * M110,"""")"),"")</f>
        <v/>
      </c>
      <c r="O110" s="84" t="str">
        <f t="shared" si="2"/>
        <v/>
      </c>
    </row>
    <row r="111">
      <c r="A111" s="84"/>
      <c r="B111" s="84"/>
      <c r="C111" s="85"/>
      <c r="D111" s="86"/>
      <c r="E111" s="87"/>
      <c r="F111" s="86"/>
      <c r="G111" s="87"/>
      <c r="H111" s="86"/>
      <c r="I111" s="86"/>
      <c r="J111" s="86"/>
      <c r="K111" s="84"/>
      <c r="L111" s="84" t="str">
        <f>IFERROR(__xludf.DUMMYFUNCTION("IF(A111="""","""", COUNT(SPLIT(K111,"";"")))"),"")</f>
        <v/>
      </c>
      <c r="M111" s="84" t="str">
        <f t="shared" si="1"/>
        <v/>
      </c>
      <c r="N111" s="84" t="str">
        <f>IFERROR(__xludf.DUMMYFUNCTION("IFERROR(AVERAGE(query(INDIRECT(""'FR Table'!"" &amp; vlookup(rows($A$1:$A110),Reference!$O:$P,2,false) &amp; ""3:"" &amp; vlookup(rows($A$1:$A110),Reference!$O:$P,2,false)), 
""SELECT "" &amp; vlookup(rows($A$1:$A110),Reference!$O:$P,2,false) 
&amp; "" WHERE "" &amp; vlookup(row"&amp;"s($A$1:$A110),Reference!$O:$P,2,false) &amp;
"" &gt;= "" &amp; Reference!$R$2)) * M111,"""")"),"")</f>
        <v/>
      </c>
      <c r="O111" s="84" t="str">
        <f t="shared" si="2"/>
        <v/>
      </c>
    </row>
    <row r="112">
      <c r="A112" s="84"/>
      <c r="B112" s="84"/>
      <c r="C112" s="85"/>
      <c r="D112" s="86"/>
      <c r="E112" s="87"/>
      <c r="F112" s="86"/>
      <c r="G112" s="87"/>
      <c r="H112" s="86"/>
      <c r="I112" s="86"/>
      <c r="J112" s="86"/>
      <c r="K112" s="84"/>
      <c r="L112" s="84" t="str">
        <f>IFERROR(__xludf.DUMMYFUNCTION("IF(A112="""","""", COUNT(SPLIT(K112,"";"")))"),"")</f>
        <v/>
      </c>
      <c r="M112" s="84" t="str">
        <f t="shared" si="1"/>
        <v/>
      </c>
      <c r="N112" s="84" t="str">
        <f>IFERROR(__xludf.DUMMYFUNCTION("IFERROR(AVERAGE(query(INDIRECT(""'FR Table'!"" &amp; vlookup(rows($A$1:$A111),Reference!$O:$P,2,false) &amp; ""3:"" &amp; vlookup(rows($A$1:$A111),Reference!$O:$P,2,false)), 
""SELECT "" &amp; vlookup(rows($A$1:$A111),Reference!$O:$P,2,false) 
&amp; "" WHERE "" &amp; vlookup(row"&amp;"s($A$1:$A111),Reference!$O:$P,2,false) &amp;
"" &gt;= "" &amp; Reference!$R$2)) * M112,"""")"),"")</f>
        <v/>
      </c>
      <c r="O112" s="84" t="str">
        <f t="shared" si="2"/>
        <v/>
      </c>
    </row>
    <row r="113">
      <c r="A113" s="84"/>
      <c r="B113" s="84"/>
      <c r="C113" s="85"/>
      <c r="D113" s="86"/>
      <c r="E113" s="87"/>
      <c r="F113" s="86"/>
      <c r="G113" s="87"/>
      <c r="H113" s="86"/>
      <c r="I113" s="86"/>
      <c r="J113" s="86"/>
      <c r="K113" s="84"/>
      <c r="L113" s="84" t="str">
        <f>IFERROR(__xludf.DUMMYFUNCTION("IF(A113="""","""", COUNT(SPLIT(K113,"";"")))"),"")</f>
        <v/>
      </c>
      <c r="M113" s="84" t="str">
        <f t="shared" si="1"/>
        <v/>
      </c>
      <c r="N113" s="84" t="str">
        <f>IFERROR(__xludf.DUMMYFUNCTION("IFERROR(AVERAGE(query(INDIRECT(""'FR Table'!"" &amp; vlookup(rows($A$1:$A112),Reference!$O:$P,2,false) &amp; ""3:"" &amp; vlookup(rows($A$1:$A112),Reference!$O:$P,2,false)), 
""SELECT "" &amp; vlookup(rows($A$1:$A112),Reference!$O:$P,2,false) 
&amp; "" WHERE "" &amp; vlookup(row"&amp;"s($A$1:$A112),Reference!$O:$P,2,false) &amp;
"" &gt;= "" &amp; Reference!$R$2)) * M113,"""")"),"")</f>
        <v/>
      </c>
      <c r="O113" s="84" t="str">
        <f t="shared" si="2"/>
        <v/>
      </c>
    </row>
    <row r="114">
      <c r="A114" s="84"/>
      <c r="B114" s="84"/>
      <c r="C114" s="85"/>
      <c r="D114" s="86"/>
      <c r="E114" s="87"/>
      <c r="F114" s="86"/>
      <c r="G114" s="87"/>
      <c r="H114" s="86"/>
      <c r="I114" s="86"/>
      <c r="J114" s="86"/>
      <c r="K114" s="84"/>
      <c r="L114" s="84" t="str">
        <f>IFERROR(__xludf.DUMMYFUNCTION("IF(A114="""","""", COUNT(SPLIT(K114,"";"")))"),"")</f>
        <v/>
      </c>
      <c r="M114" s="84" t="str">
        <f t="shared" si="1"/>
        <v/>
      </c>
      <c r="N114" s="84" t="str">
        <f>IFERROR(__xludf.DUMMYFUNCTION("IFERROR(AVERAGE(query(INDIRECT(""'FR Table'!"" &amp; vlookup(rows($A$1:$A113),Reference!$O:$P,2,false) &amp; ""3:"" &amp; vlookup(rows($A$1:$A113),Reference!$O:$P,2,false)), 
""SELECT "" &amp; vlookup(rows($A$1:$A113),Reference!$O:$P,2,false) 
&amp; "" WHERE "" &amp; vlookup(row"&amp;"s($A$1:$A113),Reference!$O:$P,2,false) &amp;
"" &gt;= "" &amp; Reference!$R$2)) * M114,"""")"),"")</f>
        <v/>
      </c>
      <c r="O114" s="84" t="str">
        <f t="shared" si="2"/>
        <v/>
      </c>
    </row>
    <row r="115">
      <c r="A115" s="84"/>
      <c r="B115" s="84"/>
      <c r="C115" s="85"/>
      <c r="D115" s="86"/>
      <c r="E115" s="87"/>
      <c r="F115" s="86"/>
      <c r="G115" s="87"/>
      <c r="H115" s="86"/>
      <c r="I115" s="86"/>
      <c r="J115" s="86"/>
      <c r="K115" s="84"/>
      <c r="L115" s="84" t="str">
        <f>IFERROR(__xludf.DUMMYFUNCTION("IF(A115="""","""", COUNT(SPLIT(K115,"";"")))"),"")</f>
        <v/>
      </c>
      <c r="M115" s="84" t="str">
        <f t="shared" si="1"/>
        <v/>
      </c>
      <c r="N115" s="84" t="str">
        <f>IFERROR(__xludf.DUMMYFUNCTION("IFERROR(AVERAGE(query(INDIRECT(""'FR Table'!"" &amp; vlookup(rows($A$1:$A114),Reference!$O:$P,2,false) &amp; ""3:"" &amp; vlookup(rows($A$1:$A114),Reference!$O:$P,2,false)), 
""SELECT "" &amp; vlookup(rows($A$1:$A114),Reference!$O:$P,2,false) 
&amp; "" WHERE "" &amp; vlookup(row"&amp;"s($A$1:$A114),Reference!$O:$P,2,false) &amp;
"" &gt;= "" &amp; Reference!$R$2)) * M115,"""")"),"")</f>
        <v/>
      </c>
      <c r="O115" s="84" t="str">
        <f t="shared" si="2"/>
        <v/>
      </c>
    </row>
    <row r="116">
      <c r="A116" s="84"/>
      <c r="B116" s="84"/>
      <c r="C116" s="85"/>
      <c r="D116" s="86"/>
      <c r="E116" s="87"/>
      <c r="F116" s="86"/>
      <c r="G116" s="87"/>
      <c r="H116" s="86"/>
      <c r="I116" s="86"/>
      <c r="J116" s="86"/>
      <c r="K116" s="84"/>
      <c r="L116" s="84" t="str">
        <f>IFERROR(__xludf.DUMMYFUNCTION("IF(A116="""","""", COUNT(SPLIT(K116,"";"")))"),"")</f>
        <v/>
      </c>
      <c r="M116" s="84" t="str">
        <f t="shared" si="1"/>
        <v/>
      </c>
      <c r="N116" s="84" t="str">
        <f>IFERROR(__xludf.DUMMYFUNCTION("IFERROR(AVERAGE(query(INDIRECT(""'FR Table'!"" &amp; vlookup(rows($A$1:$A115),Reference!$O:$P,2,false) &amp; ""3:"" &amp; vlookup(rows($A$1:$A115),Reference!$O:$P,2,false)), 
""SELECT "" &amp; vlookup(rows($A$1:$A115),Reference!$O:$P,2,false) 
&amp; "" WHERE "" &amp; vlookup(row"&amp;"s($A$1:$A115),Reference!$O:$P,2,false) &amp;
"" &gt;= "" &amp; Reference!$R$2)) * M116,"""")"),"")</f>
        <v/>
      </c>
      <c r="O116" s="84" t="str">
        <f t="shared" si="2"/>
        <v/>
      </c>
    </row>
    <row r="117">
      <c r="A117" s="84"/>
      <c r="B117" s="84"/>
      <c r="C117" s="85"/>
      <c r="D117" s="86"/>
      <c r="E117" s="87"/>
      <c r="F117" s="86"/>
      <c r="G117" s="87"/>
      <c r="H117" s="86"/>
      <c r="I117" s="86"/>
      <c r="J117" s="86"/>
      <c r="K117" s="84"/>
      <c r="L117" s="84" t="str">
        <f>IFERROR(__xludf.DUMMYFUNCTION("IF(A117="""","""", COUNT(SPLIT(K117,"";"")))"),"")</f>
        <v/>
      </c>
      <c r="M117" s="84" t="str">
        <f t="shared" si="1"/>
        <v/>
      </c>
      <c r="N117" s="84" t="str">
        <f>IFERROR(__xludf.DUMMYFUNCTION("IFERROR(AVERAGE(query(INDIRECT(""'FR Table'!"" &amp; vlookup(rows($A$1:$A116),Reference!$O:$P,2,false) &amp; ""3:"" &amp; vlookup(rows($A$1:$A116),Reference!$O:$P,2,false)), 
""SELECT "" &amp; vlookup(rows($A$1:$A116),Reference!$O:$P,2,false) 
&amp; "" WHERE "" &amp; vlookup(row"&amp;"s($A$1:$A116),Reference!$O:$P,2,false) &amp;
"" &gt;= "" &amp; Reference!$R$2)) * M117,"""")"),"")</f>
        <v/>
      </c>
      <c r="O117" s="84" t="str">
        <f t="shared" si="2"/>
        <v/>
      </c>
    </row>
    <row r="118">
      <c r="A118" s="84"/>
      <c r="B118" s="84"/>
      <c r="C118" s="85"/>
      <c r="D118" s="86"/>
      <c r="E118" s="87"/>
      <c r="F118" s="86"/>
      <c r="G118" s="87"/>
      <c r="H118" s="86"/>
      <c r="I118" s="86"/>
      <c r="J118" s="86"/>
      <c r="K118" s="84"/>
      <c r="L118" s="84" t="str">
        <f>IFERROR(__xludf.DUMMYFUNCTION("IF(A118="""","""", COUNT(SPLIT(K118,"";"")))"),"")</f>
        <v/>
      </c>
      <c r="M118" s="84" t="str">
        <f t="shared" si="1"/>
        <v/>
      </c>
      <c r="N118" s="84" t="str">
        <f>IFERROR(__xludf.DUMMYFUNCTION("IFERROR(AVERAGE(query(INDIRECT(""'FR Table'!"" &amp; vlookup(rows($A$1:$A117),Reference!$O:$P,2,false) &amp; ""3:"" &amp; vlookup(rows($A$1:$A117),Reference!$O:$P,2,false)), 
""SELECT "" &amp; vlookup(rows($A$1:$A117),Reference!$O:$P,2,false) 
&amp; "" WHERE "" &amp; vlookup(row"&amp;"s($A$1:$A117),Reference!$O:$P,2,false) &amp;
"" &gt;= "" &amp; Reference!$R$2)) * M118,"""")"),"")</f>
        <v/>
      </c>
      <c r="O118" s="84" t="str">
        <f t="shared" si="2"/>
        <v/>
      </c>
    </row>
    <row r="119">
      <c r="A119" s="84"/>
      <c r="B119" s="84"/>
      <c r="C119" s="85"/>
      <c r="D119" s="86"/>
      <c r="E119" s="87"/>
      <c r="F119" s="86"/>
      <c r="G119" s="87"/>
      <c r="H119" s="86"/>
      <c r="I119" s="86"/>
      <c r="J119" s="86"/>
      <c r="K119" s="84"/>
      <c r="L119" s="84" t="str">
        <f>IFERROR(__xludf.DUMMYFUNCTION("IF(A119="""","""", COUNT(SPLIT(K119,"";"")))"),"")</f>
        <v/>
      </c>
      <c r="M119" s="84" t="str">
        <f t="shared" si="1"/>
        <v/>
      </c>
      <c r="N119" s="84" t="str">
        <f>IFERROR(__xludf.DUMMYFUNCTION("IFERROR(AVERAGE(query(INDIRECT(""'FR Table'!"" &amp; vlookup(rows($A$1:$A118),Reference!$O:$P,2,false) &amp; ""3:"" &amp; vlookup(rows($A$1:$A118),Reference!$O:$P,2,false)), 
""SELECT "" &amp; vlookup(rows($A$1:$A118),Reference!$O:$P,2,false) 
&amp; "" WHERE "" &amp; vlookup(row"&amp;"s($A$1:$A118),Reference!$O:$P,2,false) &amp;
"" &gt;= "" &amp; Reference!$R$2)) * M119,"""")"),"")</f>
        <v/>
      </c>
      <c r="O119" s="84" t="str">
        <f t="shared" si="2"/>
        <v/>
      </c>
    </row>
    <row r="120">
      <c r="A120" s="84"/>
      <c r="B120" s="84"/>
      <c r="C120" s="85"/>
      <c r="D120" s="86"/>
      <c r="E120" s="87"/>
      <c r="F120" s="86"/>
      <c r="G120" s="87"/>
      <c r="H120" s="86"/>
      <c r="I120" s="86"/>
      <c r="J120" s="86"/>
      <c r="K120" s="84"/>
      <c r="L120" s="84" t="str">
        <f>IFERROR(__xludf.DUMMYFUNCTION("IF(A120="""","""", COUNT(SPLIT(K120,"";"")))"),"")</f>
        <v/>
      </c>
      <c r="M120" s="84" t="str">
        <f t="shared" si="1"/>
        <v/>
      </c>
      <c r="N120" s="84" t="str">
        <f>IFERROR(__xludf.DUMMYFUNCTION("IFERROR(AVERAGE(query(INDIRECT(""'FR Table'!"" &amp; vlookup(rows($A$1:$A119),Reference!$O:$P,2,false) &amp; ""3:"" &amp; vlookup(rows($A$1:$A119),Reference!$O:$P,2,false)), 
""SELECT "" &amp; vlookup(rows($A$1:$A119),Reference!$O:$P,2,false) 
&amp; "" WHERE "" &amp; vlookup(row"&amp;"s($A$1:$A119),Reference!$O:$P,2,false) &amp;
"" &gt;= "" &amp; Reference!$R$2)) * M120,"""")"),"")</f>
        <v/>
      </c>
      <c r="O120" s="84" t="str">
        <f t="shared" si="2"/>
        <v/>
      </c>
    </row>
    <row r="121">
      <c r="A121" s="84"/>
      <c r="B121" s="84"/>
      <c r="C121" s="85"/>
      <c r="D121" s="86"/>
      <c r="E121" s="87"/>
      <c r="F121" s="86"/>
      <c r="G121" s="87"/>
      <c r="H121" s="86"/>
      <c r="I121" s="86"/>
      <c r="J121" s="86"/>
      <c r="K121" s="84"/>
      <c r="L121" s="84" t="str">
        <f>IFERROR(__xludf.DUMMYFUNCTION("IF(A121="""","""", COUNT(SPLIT(K121,"";"")))"),"")</f>
        <v/>
      </c>
      <c r="M121" s="84" t="str">
        <f t="shared" si="1"/>
        <v/>
      </c>
      <c r="N121" s="84" t="str">
        <f>IFERROR(__xludf.DUMMYFUNCTION("IFERROR(AVERAGE(query(INDIRECT(""'FR Table'!"" &amp; vlookup(rows($A$1:$A120),Reference!$O:$P,2,false) &amp; ""3:"" &amp; vlookup(rows($A$1:$A120),Reference!$O:$P,2,false)), 
""SELECT "" &amp; vlookup(rows($A$1:$A120),Reference!$O:$P,2,false) 
&amp; "" WHERE "" &amp; vlookup(row"&amp;"s($A$1:$A120),Reference!$O:$P,2,false) &amp;
"" &gt;= "" &amp; Reference!$R$2)) * M121,"""")"),"")</f>
        <v/>
      </c>
      <c r="O121" s="84" t="str">
        <f t="shared" si="2"/>
        <v/>
      </c>
    </row>
    <row r="122">
      <c r="A122" s="84"/>
      <c r="B122" s="84"/>
      <c r="C122" s="85"/>
      <c r="D122" s="86"/>
      <c r="E122" s="87"/>
      <c r="F122" s="86"/>
      <c r="G122" s="87"/>
      <c r="H122" s="86"/>
      <c r="I122" s="86"/>
      <c r="J122" s="86"/>
      <c r="K122" s="84"/>
      <c r="L122" s="84" t="str">
        <f>IFERROR(__xludf.DUMMYFUNCTION("IF(A122="""","""", COUNT(SPLIT(K122,"";"")))"),"")</f>
        <v/>
      </c>
      <c r="M122" s="84" t="str">
        <f t="shared" si="1"/>
        <v/>
      </c>
      <c r="N122" s="84" t="str">
        <f>IFERROR(__xludf.DUMMYFUNCTION("IFERROR(AVERAGE(query(INDIRECT(""'FR Table'!"" &amp; vlookup(rows($A$1:$A121),Reference!$O:$P,2,false) &amp; ""3:"" &amp; vlookup(rows($A$1:$A121),Reference!$O:$P,2,false)), 
""SELECT "" &amp; vlookup(rows($A$1:$A121),Reference!$O:$P,2,false) 
&amp; "" WHERE "" &amp; vlookup(row"&amp;"s($A$1:$A121),Reference!$O:$P,2,false) &amp;
"" &gt;= "" &amp; Reference!$R$2)) * M122,"""")"),"")</f>
        <v/>
      </c>
      <c r="O122" s="84" t="str">
        <f t="shared" si="2"/>
        <v/>
      </c>
    </row>
    <row r="123">
      <c r="A123" s="84"/>
      <c r="B123" s="84"/>
      <c r="C123" s="85"/>
      <c r="D123" s="86"/>
      <c r="E123" s="87"/>
      <c r="F123" s="86"/>
      <c r="G123" s="87"/>
      <c r="H123" s="86"/>
      <c r="I123" s="86"/>
      <c r="J123" s="86"/>
      <c r="K123" s="84"/>
      <c r="L123" s="84" t="str">
        <f>IFERROR(__xludf.DUMMYFUNCTION("IF(A123="""","""", COUNT(SPLIT(K123,"";"")))"),"")</f>
        <v/>
      </c>
      <c r="M123" s="84" t="str">
        <f t="shared" si="1"/>
        <v/>
      </c>
      <c r="N123" s="84" t="str">
        <f>IFERROR(__xludf.DUMMYFUNCTION("IFERROR(AVERAGE(query(INDIRECT(""'FR Table'!"" &amp; vlookup(rows($A$1:$A122),Reference!$O:$P,2,false) &amp; ""3:"" &amp; vlookup(rows($A$1:$A122),Reference!$O:$P,2,false)), 
""SELECT "" &amp; vlookup(rows($A$1:$A122),Reference!$O:$P,2,false) 
&amp; "" WHERE "" &amp; vlookup(row"&amp;"s($A$1:$A122),Reference!$O:$P,2,false) &amp;
"" &gt;= "" &amp; Reference!$R$2)) * M123,"""")"),"")</f>
        <v/>
      </c>
      <c r="O123" s="84" t="str">
        <f t="shared" si="2"/>
        <v/>
      </c>
    </row>
    <row r="124">
      <c r="A124" s="84"/>
      <c r="B124" s="84"/>
      <c r="C124" s="85"/>
      <c r="D124" s="86"/>
      <c r="E124" s="87"/>
      <c r="F124" s="86"/>
      <c r="G124" s="87"/>
      <c r="H124" s="86"/>
      <c r="I124" s="86"/>
      <c r="J124" s="86"/>
      <c r="K124" s="84"/>
      <c r="L124" s="84" t="str">
        <f>IFERROR(__xludf.DUMMYFUNCTION("IF(A124="""","""", COUNT(SPLIT(K124,"";"")))"),"")</f>
        <v/>
      </c>
      <c r="M124" s="84" t="str">
        <f t="shared" si="1"/>
        <v/>
      </c>
      <c r="N124" s="84" t="str">
        <f>IFERROR(__xludf.DUMMYFUNCTION("IFERROR(AVERAGE(query(INDIRECT(""'FR Table'!"" &amp; vlookup(rows($A$1:$A123),Reference!$O:$P,2,false) &amp; ""3:"" &amp; vlookup(rows($A$1:$A123),Reference!$O:$P,2,false)), 
""SELECT "" &amp; vlookup(rows($A$1:$A123),Reference!$O:$P,2,false) 
&amp; "" WHERE "" &amp; vlookup(row"&amp;"s($A$1:$A123),Reference!$O:$P,2,false) &amp;
"" &gt;= "" &amp; Reference!$R$2)) * M124,"""")"),"")</f>
        <v/>
      </c>
      <c r="O124" s="84" t="str">
        <f t="shared" si="2"/>
        <v/>
      </c>
    </row>
    <row r="125">
      <c r="A125" s="84"/>
      <c r="B125" s="84"/>
      <c r="C125" s="85"/>
      <c r="D125" s="86"/>
      <c r="E125" s="87"/>
      <c r="F125" s="86"/>
      <c r="G125" s="87"/>
      <c r="H125" s="86"/>
      <c r="I125" s="86"/>
      <c r="J125" s="86"/>
      <c r="K125" s="84"/>
      <c r="L125" s="84" t="str">
        <f>IFERROR(__xludf.DUMMYFUNCTION("IF(A125="""","""", COUNT(SPLIT(K125,"";"")))"),"")</f>
        <v/>
      </c>
      <c r="M125" s="84" t="str">
        <f t="shared" si="1"/>
        <v/>
      </c>
      <c r="N125" s="84" t="str">
        <f>IFERROR(__xludf.DUMMYFUNCTION("IFERROR(AVERAGE(query(INDIRECT(""'FR Table'!"" &amp; vlookup(rows($A$1:$A124),Reference!$O:$P,2,false) &amp; ""3:"" &amp; vlookup(rows($A$1:$A124),Reference!$O:$P,2,false)), 
""SELECT "" &amp; vlookup(rows($A$1:$A124),Reference!$O:$P,2,false) 
&amp; "" WHERE "" &amp; vlookup(row"&amp;"s($A$1:$A124),Reference!$O:$P,2,false) &amp;
"" &gt;= "" &amp; Reference!$R$2)) * M125,"""")"),"")</f>
        <v/>
      </c>
      <c r="O125" s="84" t="str">
        <f t="shared" si="2"/>
        <v/>
      </c>
    </row>
    <row r="126">
      <c r="A126" s="84"/>
      <c r="B126" s="84"/>
      <c r="C126" s="85"/>
      <c r="D126" s="86"/>
      <c r="E126" s="87"/>
      <c r="F126" s="86"/>
      <c r="G126" s="87"/>
      <c r="H126" s="86"/>
      <c r="I126" s="86"/>
      <c r="J126" s="86"/>
      <c r="K126" s="84"/>
      <c r="L126" s="84" t="str">
        <f>IFERROR(__xludf.DUMMYFUNCTION("IF(A126="""","""", COUNT(SPLIT(K126,"";"")))"),"")</f>
        <v/>
      </c>
      <c r="M126" s="84" t="str">
        <f t="shared" si="1"/>
        <v/>
      </c>
      <c r="N126" s="84" t="str">
        <f>IFERROR(__xludf.DUMMYFUNCTION("IFERROR(AVERAGE(query(INDIRECT(""'FR Table'!"" &amp; vlookup(rows($A$1:$A125),Reference!$O:$P,2,false) &amp; ""3:"" &amp; vlookup(rows($A$1:$A125),Reference!$O:$P,2,false)), 
""SELECT "" &amp; vlookup(rows($A$1:$A125),Reference!$O:$P,2,false) 
&amp; "" WHERE "" &amp; vlookup(row"&amp;"s($A$1:$A125),Reference!$O:$P,2,false) &amp;
"" &gt;= "" &amp; Reference!$R$2)) * M126,"""")"),"")</f>
        <v/>
      </c>
      <c r="O126" s="84" t="str">
        <f t="shared" si="2"/>
        <v/>
      </c>
    </row>
    <row r="127">
      <c r="A127" s="84"/>
      <c r="B127" s="84"/>
      <c r="C127" s="85"/>
      <c r="D127" s="86"/>
      <c r="E127" s="87"/>
      <c r="F127" s="86"/>
      <c r="G127" s="87"/>
      <c r="H127" s="86"/>
      <c r="I127" s="86"/>
      <c r="J127" s="86"/>
      <c r="K127" s="84"/>
      <c r="L127" s="84" t="str">
        <f>IFERROR(__xludf.DUMMYFUNCTION("IF(A127="""","""", COUNT(SPLIT(K127,"";"")))"),"")</f>
        <v/>
      </c>
      <c r="M127" s="84" t="str">
        <f t="shared" si="1"/>
        <v/>
      </c>
      <c r="N127" s="84" t="str">
        <f>IFERROR(__xludf.DUMMYFUNCTION("IFERROR(AVERAGE(query(INDIRECT(""'FR Table'!"" &amp; vlookup(rows($A$1:$A126),Reference!$O:$P,2,false) &amp; ""3:"" &amp; vlookup(rows($A$1:$A126),Reference!$O:$P,2,false)), 
""SELECT "" &amp; vlookup(rows($A$1:$A126),Reference!$O:$P,2,false) 
&amp; "" WHERE "" &amp; vlookup(row"&amp;"s($A$1:$A126),Reference!$O:$P,2,false) &amp;
"" &gt;= "" &amp; Reference!$R$2)) * M127,"""")"),"")</f>
        <v/>
      </c>
      <c r="O127" s="84" t="str">
        <f t="shared" si="2"/>
        <v/>
      </c>
    </row>
    <row r="128">
      <c r="A128" s="84"/>
      <c r="B128" s="84"/>
      <c r="C128" s="85"/>
      <c r="D128" s="86"/>
      <c r="E128" s="87"/>
      <c r="F128" s="86"/>
      <c r="G128" s="87"/>
      <c r="H128" s="86"/>
      <c r="I128" s="86"/>
      <c r="J128" s="86"/>
      <c r="K128" s="84"/>
      <c r="L128" s="84" t="str">
        <f>IFERROR(__xludf.DUMMYFUNCTION("IF(A128="""","""", COUNT(SPLIT(K128,"";"")))"),"")</f>
        <v/>
      </c>
      <c r="M128" s="84" t="str">
        <f t="shared" si="1"/>
        <v/>
      </c>
      <c r="N128" s="84" t="str">
        <f>IFERROR(__xludf.DUMMYFUNCTION("IFERROR(AVERAGE(query(INDIRECT(""'FR Table'!"" &amp; vlookup(rows($A$1:$A127),Reference!$O:$P,2,false) &amp; ""3:"" &amp; vlookup(rows($A$1:$A127),Reference!$O:$P,2,false)), 
""SELECT "" &amp; vlookup(rows($A$1:$A127),Reference!$O:$P,2,false) 
&amp; "" WHERE "" &amp; vlookup(row"&amp;"s($A$1:$A127),Reference!$O:$P,2,false) &amp;
"" &gt;= "" &amp; Reference!$R$2)) * M128,"""")"),"")</f>
        <v/>
      </c>
      <c r="O128" s="84" t="str">
        <f t="shared" si="2"/>
        <v/>
      </c>
    </row>
    <row r="129">
      <c r="A129" s="84"/>
      <c r="B129" s="84"/>
      <c r="C129" s="85"/>
      <c r="D129" s="86"/>
      <c r="E129" s="87"/>
      <c r="F129" s="86"/>
      <c r="G129" s="87"/>
      <c r="H129" s="86"/>
      <c r="I129" s="86"/>
      <c r="J129" s="86"/>
      <c r="K129" s="84"/>
      <c r="L129" s="84" t="str">
        <f>IFERROR(__xludf.DUMMYFUNCTION("IF(A129="""","""", COUNT(SPLIT(K129,"";"")))"),"")</f>
        <v/>
      </c>
      <c r="M129" s="84" t="str">
        <f t="shared" si="1"/>
        <v/>
      </c>
      <c r="N129" s="84" t="str">
        <f>IFERROR(__xludf.DUMMYFUNCTION("IFERROR(AVERAGE(query(INDIRECT(""'FR Table'!"" &amp; vlookup(rows($A$1:$A128),Reference!$O:$P,2,false) &amp; ""3:"" &amp; vlookup(rows($A$1:$A128),Reference!$O:$P,2,false)), 
""SELECT "" &amp; vlookup(rows($A$1:$A128),Reference!$O:$P,2,false) 
&amp; "" WHERE "" &amp; vlookup(row"&amp;"s($A$1:$A128),Reference!$O:$P,2,false) &amp;
"" &gt;= "" &amp; Reference!$R$2)) * M129,"""")"),"")</f>
        <v/>
      </c>
      <c r="O129" s="84" t="str">
        <f t="shared" si="2"/>
        <v/>
      </c>
    </row>
    <row r="130">
      <c r="A130" s="84"/>
      <c r="B130" s="84"/>
      <c r="C130" s="85"/>
      <c r="D130" s="86"/>
      <c r="E130" s="87"/>
      <c r="F130" s="86"/>
      <c r="G130" s="87"/>
      <c r="H130" s="86"/>
      <c r="I130" s="86"/>
      <c r="J130" s="86"/>
      <c r="K130" s="84"/>
      <c r="L130" s="84" t="str">
        <f>IFERROR(__xludf.DUMMYFUNCTION("IF(A130="""","""", COUNT(SPLIT(K130,"";"")))"),"")</f>
        <v/>
      </c>
      <c r="M130" s="84" t="str">
        <f t="shared" si="1"/>
        <v/>
      </c>
      <c r="N130" s="84" t="str">
        <f>IFERROR(__xludf.DUMMYFUNCTION("IFERROR(AVERAGE(query(INDIRECT(""'FR Table'!"" &amp; vlookup(rows($A$1:$A129),Reference!$O:$P,2,false) &amp; ""3:"" &amp; vlookup(rows($A$1:$A129),Reference!$O:$P,2,false)), 
""SELECT "" &amp; vlookup(rows($A$1:$A129),Reference!$O:$P,2,false) 
&amp; "" WHERE "" &amp; vlookup(row"&amp;"s($A$1:$A129),Reference!$O:$P,2,false) &amp;
"" &gt;= "" &amp; Reference!$R$2)) * M130,"""")"),"")</f>
        <v/>
      </c>
      <c r="O130" s="84" t="str">
        <f t="shared" si="2"/>
        <v/>
      </c>
    </row>
    <row r="131">
      <c r="A131" s="84"/>
      <c r="B131" s="84"/>
      <c r="C131" s="85"/>
      <c r="D131" s="86"/>
      <c r="E131" s="87"/>
      <c r="F131" s="86"/>
      <c r="G131" s="87"/>
      <c r="H131" s="86"/>
      <c r="I131" s="86"/>
      <c r="J131" s="86"/>
      <c r="K131" s="84"/>
      <c r="L131" s="84" t="str">
        <f>IFERROR(__xludf.DUMMYFUNCTION("IF(A131="""","""", COUNT(SPLIT(K131,"";"")))"),"")</f>
        <v/>
      </c>
      <c r="M131" s="84" t="str">
        <f t="shared" si="1"/>
        <v/>
      </c>
      <c r="N131" s="84" t="str">
        <f>IFERROR(__xludf.DUMMYFUNCTION("IFERROR(AVERAGE(query(INDIRECT(""'FR Table'!"" &amp; vlookup(rows($A$1:$A130),Reference!$O:$P,2,false) &amp; ""3:"" &amp; vlookup(rows($A$1:$A130),Reference!$O:$P,2,false)), 
""SELECT "" &amp; vlookup(rows($A$1:$A130),Reference!$O:$P,2,false) 
&amp; "" WHERE "" &amp; vlookup(row"&amp;"s($A$1:$A130),Reference!$O:$P,2,false) &amp;
"" &gt;= "" &amp; Reference!$R$2)) * M131,"""")"),"")</f>
        <v/>
      </c>
      <c r="O131" s="84" t="str">
        <f t="shared" si="2"/>
        <v/>
      </c>
    </row>
    <row r="132">
      <c r="A132" s="84"/>
      <c r="B132" s="84"/>
      <c r="C132" s="85"/>
      <c r="D132" s="86"/>
      <c r="E132" s="87"/>
      <c r="F132" s="86"/>
      <c r="G132" s="87"/>
      <c r="H132" s="86"/>
      <c r="I132" s="86"/>
      <c r="J132" s="86"/>
      <c r="K132" s="84"/>
      <c r="L132" s="84" t="str">
        <f>IFERROR(__xludf.DUMMYFUNCTION("IF(A132="""","""", COUNT(SPLIT(K132,"";"")))"),"")</f>
        <v/>
      </c>
      <c r="M132" s="84" t="str">
        <f t="shared" si="1"/>
        <v/>
      </c>
      <c r="N132" s="84" t="str">
        <f>IFERROR(__xludf.DUMMYFUNCTION("IFERROR(AVERAGE(query(INDIRECT(""'FR Table'!"" &amp; vlookup(rows($A$1:$A131),Reference!$O:$P,2,false) &amp; ""3:"" &amp; vlookup(rows($A$1:$A131),Reference!$O:$P,2,false)), 
""SELECT "" &amp; vlookup(rows($A$1:$A131),Reference!$O:$P,2,false) 
&amp; "" WHERE "" &amp; vlookup(row"&amp;"s($A$1:$A131),Reference!$O:$P,2,false) &amp;
"" &gt;= "" &amp; Reference!$R$2)) * M132,"""")"),"")</f>
        <v/>
      </c>
      <c r="O132" s="84" t="str">
        <f t="shared" si="2"/>
        <v/>
      </c>
    </row>
    <row r="133">
      <c r="A133" s="84"/>
      <c r="B133" s="84"/>
      <c r="C133" s="85"/>
      <c r="D133" s="86"/>
      <c r="E133" s="87"/>
      <c r="F133" s="86"/>
      <c r="G133" s="87"/>
      <c r="H133" s="86"/>
      <c r="I133" s="86"/>
      <c r="J133" s="86"/>
      <c r="K133" s="84"/>
      <c r="L133" s="84" t="str">
        <f>IFERROR(__xludf.DUMMYFUNCTION("IF(A133="""","""", COUNT(SPLIT(K133,"";"")))"),"")</f>
        <v/>
      </c>
      <c r="M133" s="84" t="str">
        <f t="shared" si="1"/>
        <v/>
      </c>
      <c r="N133" s="84" t="str">
        <f>IFERROR(__xludf.DUMMYFUNCTION("IFERROR(AVERAGE(query(INDIRECT(""'FR Table'!"" &amp; vlookup(rows($A$1:$A132),Reference!$O:$P,2,false) &amp; ""3:"" &amp; vlookup(rows($A$1:$A132),Reference!$O:$P,2,false)), 
""SELECT "" &amp; vlookup(rows($A$1:$A132),Reference!$O:$P,2,false) 
&amp; "" WHERE "" &amp; vlookup(row"&amp;"s($A$1:$A132),Reference!$O:$P,2,false) &amp;
"" &gt;= "" &amp; Reference!$R$2)) * M133,"""")"),"")</f>
        <v/>
      </c>
      <c r="O133" s="84" t="str">
        <f t="shared" si="2"/>
        <v/>
      </c>
    </row>
    <row r="134">
      <c r="A134" s="84"/>
      <c r="B134" s="84"/>
      <c r="C134" s="85"/>
      <c r="D134" s="86"/>
      <c r="E134" s="87"/>
      <c r="F134" s="86"/>
      <c r="G134" s="87"/>
      <c r="H134" s="86"/>
      <c r="I134" s="86"/>
      <c r="J134" s="86"/>
      <c r="K134" s="84"/>
      <c r="L134" s="84" t="str">
        <f>IFERROR(__xludf.DUMMYFUNCTION("IF(A134="""","""", COUNT(SPLIT(K134,"";"")))"),"")</f>
        <v/>
      </c>
      <c r="M134" s="84" t="str">
        <f t="shared" si="1"/>
        <v/>
      </c>
      <c r="N134" s="84" t="str">
        <f>IFERROR(__xludf.DUMMYFUNCTION("IFERROR(AVERAGE(query(INDIRECT(""'FR Table'!"" &amp; vlookup(rows($A$1:$A133),Reference!$O:$P,2,false) &amp; ""3:"" &amp; vlookup(rows($A$1:$A133),Reference!$O:$P,2,false)), 
""SELECT "" &amp; vlookup(rows($A$1:$A133),Reference!$O:$P,2,false) 
&amp; "" WHERE "" &amp; vlookup(row"&amp;"s($A$1:$A133),Reference!$O:$P,2,false) &amp;
"" &gt;= "" &amp; Reference!$R$2)) * M134,"""")"),"")</f>
        <v/>
      </c>
      <c r="O134" s="84" t="str">
        <f t="shared" si="2"/>
        <v/>
      </c>
    </row>
    <row r="135">
      <c r="A135" s="84"/>
      <c r="B135" s="84"/>
      <c r="C135" s="85"/>
      <c r="D135" s="86"/>
      <c r="E135" s="87"/>
      <c r="F135" s="86"/>
      <c r="G135" s="87"/>
      <c r="H135" s="86"/>
      <c r="I135" s="86"/>
      <c r="J135" s="86"/>
      <c r="K135" s="84"/>
      <c r="L135" s="84" t="str">
        <f>IFERROR(__xludf.DUMMYFUNCTION("IF(A135="""","""", COUNT(SPLIT(K135,"";"")))"),"")</f>
        <v/>
      </c>
      <c r="M135" s="84" t="str">
        <f t="shared" si="1"/>
        <v/>
      </c>
      <c r="N135" s="84" t="str">
        <f>IFERROR(__xludf.DUMMYFUNCTION("IFERROR(AVERAGE(query(INDIRECT(""'FR Table'!"" &amp; vlookup(rows($A$1:$A134),Reference!$O:$P,2,false) &amp; ""3:"" &amp; vlookup(rows($A$1:$A134),Reference!$O:$P,2,false)), 
""SELECT "" &amp; vlookup(rows($A$1:$A134),Reference!$O:$P,2,false) 
&amp; "" WHERE "" &amp; vlookup(row"&amp;"s($A$1:$A134),Reference!$O:$P,2,false) &amp;
"" &gt;= "" &amp; Reference!$R$2)) * M135,"""")"),"")</f>
        <v/>
      </c>
      <c r="O135" s="84" t="str">
        <f t="shared" si="2"/>
        <v/>
      </c>
    </row>
    <row r="136">
      <c r="A136" s="84"/>
      <c r="B136" s="84"/>
      <c r="C136" s="85"/>
      <c r="D136" s="86"/>
      <c r="E136" s="87"/>
      <c r="F136" s="86"/>
      <c r="G136" s="87"/>
      <c r="H136" s="86"/>
      <c r="I136" s="86"/>
      <c r="J136" s="86"/>
      <c r="K136" s="84"/>
      <c r="L136" s="84" t="str">
        <f>IFERROR(__xludf.DUMMYFUNCTION("IF(A136="""","""", COUNT(SPLIT(K136,"";"")))"),"")</f>
        <v/>
      </c>
      <c r="M136" s="84" t="str">
        <f t="shared" si="1"/>
        <v/>
      </c>
      <c r="N136" s="84" t="str">
        <f>IFERROR(__xludf.DUMMYFUNCTION("IFERROR(AVERAGE(query(INDIRECT(""'FR Table'!"" &amp; vlookup(rows($A$1:$A135),Reference!$O:$P,2,false) &amp; ""3:"" &amp; vlookup(rows($A$1:$A135),Reference!$O:$P,2,false)), 
""SELECT "" &amp; vlookup(rows($A$1:$A135),Reference!$O:$P,2,false) 
&amp; "" WHERE "" &amp; vlookup(row"&amp;"s($A$1:$A135),Reference!$O:$P,2,false) &amp;
"" &gt;= "" &amp; Reference!$R$2)) * M136,"""")"),"")</f>
        <v/>
      </c>
      <c r="O136" s="84" t="str">
        <f t="shared" si="2"/>
        <v/>
      </c>
    </row>
    <row r="137">
      <c r="A137" s="84"/>
      <c r="B137" s="84"/>
      <c r="C137" s="85"/>
      <c r="D137" s="86"/>
      <c r="E137" s="87"/>
      <c r="F137" s="86"/>
      <c r="G137" s="87"/>
      <c r="H137" s="86"/>
      <c r="I137" s="86"/>
      <c r="J137" s="86"/>
      <c r="K137" s="84"/>
      <c r="L137" s="84" t="str">
        <f>IFERROR(__xludf.DUMMYFUNCTION("IF(A137="""","""", COUNT(SPLIT(K137,"";"")))"),"")</f>
        <v/>
      </c>
      <c r="M137" s="84" t="str">
        <f t="shared" si="1"/>
        <v/>
      </c>
      <c r="N137" s="84" t="str">
        <f>IFERROR(__xludf.DUMMYFUNCTION("IFERROR(AVERAGE(query(INDIRECT(""'FR Table'!"" &amp; vlookup(rows($A$1:$A136),Reference!$O:$P,2,false) &amp; ""3:"" &amp; vlookup(rows($A$1:$A136),Reference!$O:$P,2,false)), 
""SELECT "" &amp; vlookup(rows($A$1:$A136),Reference!$O:$P,2,false) 
&amp; "" WHERE "" &amp; vlookup(row"&amp;"s($A$1:$A136),Reference!$O:$P,2,false) &amp;
"" &gt;= "" &amp; Reference!$R$2)) * M137,"""")"),"")</f>
        <v/>
      </c>
      <c r="O137" s="84" t="str">
        <f t="shared" si="2"/>
        <v/>
      </c>
    </row>
    <row r="138">
      <c r="A138" s="84"/>
      <c r="B138" s="84"/>
      <c r="C138" s="85"/>
      <c r="D138" s="86"/>
      <c r="E138" s="87"/>
      <c r="F138" s="86"/>
      <c r="G138" s="87"/>
      <c r="H138" s="86"/>
      <c r="I138" s="86"/>
      <c r="J138" s="86"/>
      <c r="K138" s="84"/>
      <c r="L138" s="84" t="str">
        <f>IFERROR(__xludf.DUMMYFUNCTION("IF(A138="""","""", COUNT(SPLIT(K138,"";"")))"),"")</f>
        <v/>
      </c>
      <c r="M138" s="84" t="str">
        <f t="shared" si="1"/>
        <v/>
      </c>
      <c r="N138" s="84" t="str">
        <f>IFERROR(__xludf.DUMMYFUNCTION("IFERROR(AVERAGE(query(INDIRECT(""'FR Table'!"" &amp; vlookup(rows($A$1:$A137),Reference!$O:$P,2,false) &amp; ""3:"" &amp; vlookup(rows($A$1:$A137),Reference!$O:$P,2,false)), 
""SELECT "" &amp; vlookup(rows($A$1:$A137),Reference!$O:$P,2,false) 
&amp; "" WHERE "" &amp; vlookup(row"&amp;"s($A$1:$A137),Reference!$O:$P,2,false) &amp;
"" &gt;= "" &amp; Reference!$R$2)) * M138,"""")"),"")</f>
        <v/>
      </c>
      <c r="O138" s="84" t="str">
        <f t="shared" si="2"/>
        <v/>
      </c>
    </row>
    <row r="139">
      <c r="A139" s="84"/>
      <c r="B139" s="84"/>
      <c r="C139" s="85"/>
      <c r="D139" s="86"/>
      <c r="E139" s="87"/>
      <c r="F139" s="86"/>
      <c r="G139" s="87"/>
      <c r="H139" s="86"/>
      <c r="I139" s="86"/>
      <c r="J139" s="86"/>
      <c r="K139" s="84"/>
      <c r="L139" s="84" t="str">
        <f>IFERROR(__xludf.DUMMYFUNCTION("IF(A139="""","""", COUNT(SPLIT(K139,"";"")))"),"")</f>
        <v/>
      </c>
      <c r="M139" s="84" t="str">
        <f t="shared" si="1"/>
        <v/>
      </c>
      <c r="N139" s="84" t="str">
        <f>IFERROR(__xludf.DUMMYFUNCTION("IFERROR(AVERAGE(query(INDIRECT(""'FR Table'!"" &amp; vlookup(rows($A$1:$A138),Reference!$O:$P,2,false) &amp; ""3:"" &amp; vlookup(rows($A$1:$A138),Reference!$O:$P,2,false)), 
""SELECT "" &amp; vlookup(rows($A$1:$A138),Reference!$O:$P,2,false) 
&amp; "" WHERE "" &amp; vlookup(row"&amp;"s($A$1:$A138),Reference!$O:$P,2,false) &amp;
"" &gt;= "" &amp; Reference!$R$2)) * M139,"""")"),"")</f>
        <v/>
      </c>
      <c r="O139" s="84" t="str">
        <f t="shared" si="2"/>
        <v/>
      </c>
    </row>
    <row r="140">
      <c r="A140" s="84"/>
      <c r="B140" s="84"/>
      <c r="C140" s="85"/>
      <c r="D140" s="86"/>
      <c r="E140" s="87"/>
      <c r="F140" s="86"/>
      <c r="G140" s="87"/>
      <c r="H140" s="86"/>
      <c r="I140" s="86"/>
      <c r="J140" s="86"/>
      <c r="K140" s="84"/>
      <c r="L140" s="84" t="str">
        <f>IFERROR(__xludf.DUMMYFUNCTION("IF(A140="""","""", COUNT(SPLIT(K140,"";"")))"),"")</f>
        <v/>
      </c>
      <c r="M140" s="84" t="str">
        <f t="shared" si="1"/>
        <v/>
      </c>
      <c r="N140" s="84" t="str">
        <f>IFERROR(__xludf.DUMMYFUNCTION("IFERROR(AVERAGE(query(INDIRECT(""'FR Table'!"" &amp; vlookup(rows($A$1:$A139),Reference!$O:$P,2,false) &amp; ""3:"" &amp; vlookup(rows($A$1:$A139),Reference!$O:$P,2,false)), 
""SELECT "" &amp; vlookup(rows($A$1:$A139),Reference!$O:$P,2,false) 
&amp; "" WHERE "" &amp; vlookup(row"&amp;"s($A$1:$A139),Reference!$O:$P,2,false) &amp;
"" &gt;= "" &amp; Reference!$R$2)) * M140,"""")"),"")</f>
        <v/>
      </c>
      <c r="O140" s="84" t="str">
        <f t="shared" si="2"/>
        <v/>
      </c>
    </row>
    <row r="141">
      <c r="A141" s="84"/>
      <c r="B141" s="84"/>
      <c r="C141" s="85"/>
      <c r="D141" s="86"/>
      <c r="E141" s="87"/>
      <c r="F141" s="86"/>
      <c r="G141" s="87"/>
      <c r="H141" s="86"/>
      <c r="I141" s="86"/>
      <c r="J141" s="86"/>
      <c r="K141" s="84"/>
      <c r="L141" s="84" t="str">
        <f>IFERROR(__xludf.DUMMYFUNCTION("IF(A141="""","""", COUNT(SPLIT(K141,"";"")))"),"")</f>
        <v/>
      </c>
      <c r="M141" s="84" t="str">
        <f t="shared" si="1"/>
        <v/>
      </c>
      <c r="N141" s="84" t="str">
        <f>IFERROR(__xludf.DUMMYFUNCTION("IFERROR(AVERAGE(query(INDIRECT(""'FR Table'!"" &amp; vlookup(rows($A$1:$A140),Reference!$O:$P,2,false) &amp; ""3:"" &amp; vlookup(rows($A$1:$A140),Reference!$O:$P,2,false)), 
""SELECT "" &amp; vlookup(rows($A$1:$A140),Reference!$O:$P,2,false) 
&amp; "" WHERE "" &amp; vlookup(row"&amp;"s($A$1:$A140),Reference!$O:$P,2,false) &amp;
"" &gt;= "" &amp; Reference!$R$2)) * M141,"""")"),"")</f>
        <v/>
      </c>
      <c r="O141" s="84" t="str">
        <f t="shared" si="2"/>
        <v/>
      </c>
    </row>
    <row r="142">
      <c r="A142" s="84"/>
      <c r="B142" s="84"/>
      <c r="C142" s="85"/>
      <c r="D142" s="86"/>
      <c r="E142" s="87"/>
      <c r="F142" s="86"/>
      <c r="G142" s="87"/>
      <c r="H142" s="86"/>
      <c r="I142" s="86"/>
      <c r="J142" s="86"/>
      <c r="K142" s="84"/>
      <c r="L142" s="84" t="str">
        <f>IFERROR(__xludf.DUMMYFUNCTION("IF(A142="""","""", COUNT(SPLIT(K142,"";"")))"),"")</f>
        <v/>
      </c>
      <c r="M142" s="84" t="str">
        <f t="shared" si="1"/>
        <v/>
      </c>
      <c r="N142" s="84" t="str">
        <f>IFERROR(__xludf.DUMMYFUNCTION("IFERROR(AVERAGE(query(INDIRECT(""'FR Table'!"" &amp; vlookup(rows($A$1:$A141),Reference!$O:$P,2,false) &amp; ""3:"" &amp; vlookup(rows($A$1:$A141),Reference!$O:$P,2,false)), 
""SELECT "" &amp; vlookup(rows($A$1:$A141),Reference!$O:$P,2,false) 
&amp; "" WHERE "" &amp; vlookup(row"&amp;"s($A$1:$A141),Reference!$O:$P,2,false) &amp;
"" &gt;= "" &amp; Reference!$R$2)) * M142,"""")"),"")</f>
        <v/>
      </c>
      <c r="O142" s="84" t="str">
        <f t="shared" si="2"/>
        <v/>
      </c>
    </row>
    <row r="143">
      <c r="A143" s="84"/>
      <c r="B143" s="84"/>
      <c r="C143" s="85"/>
      <c r="D143" s="86"/>
      <c r="E143" s="87"/>
      <c r="F143" s="86"/>
      <c r="G143" s="87"/>
      <c r="H143" s="86"/>
      <c r="I143" s="86"/>
      <c r="J143" s="86"/>
      <c r="K143" s="84"/>
      <c r="L143" s="84" t="str">
        <f>IFERROR(__xludf.DUMMYFUNCTION("IF(A143="""","""", COUNT(SPLIT(K143,"";"")))"),"")</f>
        <v/>
      </c>
      <c r="M143" s="84" t="str">
        <f t="shared" si="1"/>
        <v/>
      </c>
      <c r="N143" s="84" t="str">
        <f>IFERROR(__xludf.DUMMYFUNCTION("IFERROR(AVERAGE(query(INDIRECT(""'FR Table'!"" &amp; vlookup(rows($A$1:$A142),Reference!$O:$P,2,false) &amp; ""3:"" &amp; vlookup(rows($A$1:$A142),Reference!$O:$P,2,false)), 
""SELECT "" &amp; vlookup(rows($A$1:$A142),Reference!$O:$P,2,false) 
&amp; "" WHERE "" &amp; vlookup(row"&amp;"s($A$1:$A142),Reference!$O:$P,2,false) &amp;
"" &gt;= "" &amp; Reference!$R$2)) * M143,"""")"),"")</f>
        <v/>
      </c>
      <c r="O143" s="84" t="str">
        <f t="shared" si="2"/>
        <v/>
      </c>
    </row>
    <row r="144">
      <c r="A144" s="84"/>
      <c r="B144" s="84"/>
      <c r="C144" s="85"/>
      <c r="D144" s="86"/>
      <c r="E144" s="87"/>
      <c r="F144" s="86"/>
      <c r="G144" s="87"/>
      <c r="H144" s="86"/>
      <c r="I144" s="86"/>
      <c r="J144" s="86"/>
      <c r="K144" s="84"/>
      <c r="L144" s="84" t="str">
        <f>IFERROR(__xludf.DUMMYFUNCTION("IF(A144="""","""", COUNT(SPLIT(K144,"";"")))"),"")</f>
        <v/>
      </c>
      <c r="M144" s="84" t="str">
        <f t="shared" si="1"/>
        <v/>
      </c>
      <c r="N144" s="84" t="str">
        <f>IFERROR(__xludf.DUMMYFUNCTION("IFERROR(AVERAGE(query(INDIRECT(""'FR Table'!"" &amp; vlookup(rows($A$1:$A143),Reference!$O:$P,2,false) &amp; ""3:"" &amp; vlookup(rows($A$1:$A143),Reference!$O:$P,2,false)), 
""SELECT "" &amp; vlookup(rows($A$1:$A143),Reference!$O:$P,2,false) 
&amp; "" WHERE "" &amp; vlookup(row"&amp;"s($A$1:$A143),Reference!$O:$P,2,false) &amp;
"" &gt;= "" &amp; Reference!$R$2)) * M144,"""")"),"")</f>
        <v/>
      </c>
      <c r="O144" s="84" t="str">
        <f t="shared" si="2"/>
        <v/>
      </c>
    </row>
    <row r="145">
      <c r="A145" s="84"/>
      <c r="B145" s="84"/>
      <c r="C145" s="85"/>
      <c r="D145" s="86"/>
      <c r="E145" s="87"/>
      <c r="F145" s="86"/>
      <c r="G145" s="87"/>
      <c r="H145" s="86"/>
      <c r="I145" s="86"/>
      <c r="J145" s="86"/>
      <c r="K145" s="84"/>
      <c r="L145" s="84" t="str">
        <f>IFERROR(__xludf.DUMMYFUNCTION("IF(A145="""","""", COUNT(SPLIT(K145,"";"")))"),"")</f>
        <v/>
      </c>
      <c r="M145" s="84" t="str">
        <f t="shared" si="1"/>
        <v/>
      </c>
      <c r="N145" s="84" t="str">
        <f>IFERROR(__xludf.DUMMYFUNCTION("IFERROR(AVERAGE(query(INDIRECT(""'FR Table'!"" &amp; vlookup(rows($A$1:$A144),Reference!$O:$P,2,false) &amp; ""3:"" &amp; vlookup(rows($A$1:$A144),Reference!$O:$P,2,false)), 
""SELECT "" &amp; vlookup(rows($A$1:$A144),Reference!$O:$P,2,false) 
&amp; "" WHERE "" &amp; vlookup(row"&amp;"s($A$1:$A144),Reference!$O:$P,2,false) &amp;
"" &gt;= "" &amp; Reference!$R$2)) * M145,"""")"),"")</f>
        <v/>
      </c>
      <c r="O145" s="84" t="str">
        <f t="shared" si="2"/>
        <v/>
      </c>
    </row>
    <row r="146">
      <c r="A146" s="84"/>
      <c r="B146" s="84"/>
      <c r="C146" s="85"/>
      <c r="D146" s="86"/>
      <c r="E146" s="87"/>
      <c r="F146" s="86"/>
      <c r="G146" s="87"/>
      <c r="H146" s="86"/>
      <c r="I146" s="86"/>
      <c r="J146" s="86"/>
      <c r="K146" s="84"/>
      <c r="L146" s="84" t="str">
        <f>IFERROR(__xludf.DUMMYFUNCTION("IF(A146="""","""", COUNT(SPLIT(K146,"";"")))"),"")</f>
        <v/>
      </c>
      <c r="M146" s="84" t="str">
        <f t="shared" si="1"/>
        <v/>
      </c>
      <c r="N146" s="84" t="str">
        <f>IFERROR(__xludf.DUMMYFUNCTION("IFERROR(AVERAGE(query(INDIRECT(""'FR Table'!"" &amp; vlookup(rows($A$1:$A145),Reference!$O:$P,2,false) &amp; ""3:"" &amp; vlookup(rows($A$1:$A145),Reference!$O:$P,2,false)), 
""SELECT "" &amp; vlookup(rows($A$1:$A145),Reference!$O:$P,2,false) 
&amp; "" WHERE "" &amp; vlookup(row"&amp;"s($A$1:$A145),Reference!$O:$P,2,false) &amp;
"" &gt;= "" &amp; Reference!$R$2)) * M146,"""")"),"")</f>
        <v/>
      </c>
      <c r="O146" s="84" t="str">
        <f t="shared" si="2"/>
        <v/>
      </c>
    </row>
    <row r="147">
      <c r="A147" s="84"/>
      <c r="B147" s="84"/>
      <c r="C147" s="85"/>
      <c r="D147" s="86"/>
      <c r="E147" s="87"/>
      <c r="F147" s="86"/>
      <c r="G147" s="87"/>
      <c r="H147" s="86"/>
      <c r="I147" s="86"/>
      <c r="J147" s="86"/>
      <c r="K147" s="84"/>
      <c r="L147" s="84" t="str">
        <f>IFERROR(__xludf.DUMMYFUNCTION("IF(A147="""","""", COUNT(SPLIT(K147,"";"")))"),"")</f>
        <v/>
      </c>
      <c r="M147" s="84" t="str">
        <f t="shared" si="1"/>
        <v/>
      </c>
      <c r="N147" s="84" t="str">
        <f>IFERROR(__xludf.DUMMYFUNCTION("IFERROR(AVERAGE(query(INDIRECT(""'FR Table'!"" &amp; vlookup(rows($A$1:$A146),Reference!$O:$P,2,false) &amp; ""3:"" &amp; vlookup(rows($A$1:$A146),Reference!$O:$P,2,false)), 
""SELECT "" &amp; vlookup(rows($A$1:$A146),Reference!$O:$P,2,false) 
&amp; "" WHERE "" &amp; vlookup(row"&amp;"s($A$1:$A146),Reference!$O:$P,2,false) &amp;
"" &gt;= "" &amp; Reference!$R$2)) * M147,"""")"),"")</f>
        <v/>
      </c>
      <c r="O147" s="84" t="str">
        <f t="shared" si="2"/>
        <v/>
      </c>
    </row>
    <row r="148">
      <c r="A148" s="84"/>
      <c r="B148" s="84"/>
      <c r="C148" s="85"/>
      <c r="D148" s="86"/>
      <c r="E148" s="87"/>
      <c r="F148" s="86"/>
      <c r="G148" s="87"/>
      <c r="H148" s="86"/>
      <c r="I148" s="86"/>
      <c r="J148" s="86"/>
      <c r="K148" s="84"/>
      <c r="L148" s="84" t="str">
        <f>IFERROR(__xludf.DUMMYFUNCTION("IF(A148="""","""", COUNT(SPLIT(K148,"";"")))"),"")</f>
        <v/>
      </c>
      <c r="M148" s="84" t="str">
        <f t="shared" si="1"/>
        <v/>
      </c>
      <c r="N148" s="84" t="str">
        <f>IFERROR(__xludf.DUMMYFUNCTION("IFERROR(AVERAGE(query(INDIRECT(""'FR Table'!"" &amp; vlookup(rows($A$1:$A147),Reference!$O:$P,2,false) &amp; ""3:"" &amp; vlookup(rows($A$1:$A147),Reference!$O:$P,2,false)), 
""SELECT "" &amp; vlookup(rows($A$1:$A147),Reference!$O:$P,2,false) 
&amp; "" WHERE "" &amp; vlookup(row"&amp;"s($A$1:$A147),Reference!$O:$P,2,false) &amp;
"" &gt;= "" &amp; Reference!$R$2)) * M148,"""")"),"")</f>
        <v/>
      </c>
      <c r="O148" s="84" t="str">
        <f t="shared" si="2"/>
        <v/>
      </c>
    </row>
    <row r="149">
      <c r="A149" s="84"/>
      <c r="B149" s="84"/>
      <c r="C149" s="85"/>
      <c r="D149" s="86"/>
      <c r="E149" s="87"/>
      <c r="F149" s="86"/>
      <c r="G149" s="87"/>
      <c r="H149" s="86"/>
      <c r="I149" s="86"/>
      <c r="J149" s="86"/>
      <c r="K149" s="84"/>
      <c r="L149" s="84" t="str">
        <f>IFERROR(__xludf.DUMMYFUNCTION("IF(A149="""","""", COUNT(SPLIT(K149,"";"")))"),"")</f>
        <v/>
      </c>
      <c r="M149" s="84" t="str">
        <f t="shared" si="1"/>
        <v/>
      </c>
      <c r="N149" s="84" t="str">
        <f>IFERROR(__xludf.DUMMYFUNCTION("IFERROR(AVERAGE(query(INDIRECT(""'FR Table'!"" &amp; vlookup(rows($A$1:$A148),Reference!$O:$P,2,false) &amp; ""3:"" &amp; vlookup(rows($A$1:$A148),Reference!$O:$P,2,false)), 
""SELECT "" &amp; vlookup(rows($A$1:$A148),Reference!$O:$P,2,false) 
&amp; "" WHERE "" &amp; vlookup(row"&amp;"s($A$1:$A148),Reference!$O:$P,2,false) &amp;
"" &gt;= "" &amp; Reference!$R$2)) * M149,"""")"),"")</f>
        <v/>
      </c>
      <c r="O149" s="84" t="str">
        <f t="shared" si="2"/>
        <v/>
      </c>
    </row>
    <row r="150">
      <c r="A150" s="84"/>
      <c r="B150" s="84"/>
      <c r="C150" s="85"/>
      <c r="D150" s="86"/>
      <c r="E150" s="87"/>
      <c r="F150" s="86"/>
      <c r="G150" s="87"/>
      <c r="H150" s="86"/>
      <c r="I150" s="86"/>
      <c r="J150" s="86"/>
      <c r="K150" s="84"/>
      <c r="L150" s="84" t="str">
        <f>IFERROR(__xludf.DUMMYFUNCTION("IF(A150="""","""", COUNT(SPLIT(K150,"";"")))"),"")</f>
        <v/>
      </c>
      <c r="M150" s="84" t="str">
        <f t="shared" si="1"/>
        <v/>
      </c>
      <c r="N150" s="84" t="str">
        <f>IFERROR(__xludf.DUMMYFUNCTION("IFERROR(AVERAGE(query(INDIRECT(""'FR Table'!"" &amp; vlookup(rows($A$1:$A149),Reference!$O:$P,2,false) &amp; ""3:"" &amp; vlookup(rows($A$1:$A149),Reference!$O:$P,2,false)), 
""SELECT "" &amp; vlookup(rows($A$1:$A149),Reference!$O:$P,2,false) 
&amp; "" WHERE "" &amp; vlookup(row"&amp;"s($A$1:$A149),Reference!$O:$P,2,false) &amp;
"" &gt;= "" &amp; Reference!$R$2)) * M150,"""")"),"")</f>
        <v/>
      </c>
      <c r="O150" s="84" t="str">
        <f t="shared" si="2"/>
        <v/>
      </c>
    </row>
    <row r="151">
      <c r="A151" s="84"/>
      <c r="B151" s="84"/>
      <c r="C151" s="85"/>
      <c r="D151" s="86"/>
      <c r="E151" s="87"/>
      <c r="F151" s="86"/>
      <c r="G151" s="87"/>
      <c r="H151" s="86"/>
      <c r="I151" s="86"/>
      <c r="J151" s="86"/>
      <c r="K151" s="84"/>
      <c r="L151" s="84" t="str">
        <f>IFERROR(__xludf.DUMMYFUNCTION("IF(A151="""","""", COUNT(SPLIT(K151,"";"")))"),"")</f>
        <v/>
      </c>
      <c r="M151" s="84" t="str">
        <f t="shared" si="1"/>
        <v/>
      </c>
      <c r="N151" s="84" t="str">
        <f>IFERROR(__xludf.DUMMYFUNCTION("IFERROR(AVERAGE(query(INDIRECT(""'FR Table'!"" &amp; vlookup(rows($A$1:$A150),Reference!$O:$P,2,false) &amp; ""3:"" &amp; vlookup(rows($A$1:$A150),Reference!$O:$P,2,false)), 
""SELECT "" &amp; vlookup(rows($A$1:$A150),Reference!$O:$P,2,false) 
&amp; "" WHERE "" &amp; vlookup(row"&amp;"s($A$1:$A150),Reference!$O:$P,2,false) &amp;
"" &gt;= "" &amp; Reference!$R$2)) * M151,"""")"),"")</f>
        <v/>
      </c>
      <c r="O151" s="84" t="str">
        <f t="shared" si="2"/>
        <v/>
      </c>
    </row>
    <row r="152">
      <c r="A152" s="84"/>
      <c r="B152" s="84"/>
      <c r="C152" s="85"/>
      <c r="D152" s="86"/>
      <c r="E152" s="87"/>
      <c r="F152" s="86"/>
      <c r="G152" s="87"/>
      <c r="H152" s="86"/>
      <c r="I152" s="86"/>
      <c r="J152" s="86"/>
      <c r="K152" s="84"/>
      <c r="L152" s="84" t="str">
        <f>IFERROR(__xludf.DUMMYFUNCTION("IF(A152="""","""", COUNT(SPLIT(K152,"";"")))"),"")</f>
        <v/>
      </c>
      <c r="M152" s="84" t="str">
        <f t="shared" si="1"/>
        <v/>
      </c>
      <c r="N152" s="84" t="str">
        <f>IFERROR(__xludf.DUMMYFUNCTION("IFERROR(AVERAGE(query(INDIRECT(""'FR Table'!"" &amp; vlookup(rows($A$1:$A151),Reference!$O:$P,2,false) &amp; ""3:"" &amp; vlookup(rows($A$1:$A151),Reference!$O:$P,2,false)), 
""SELECT "" &amp; vlookup(rows($A$1:$A151),Reference!$O:$P,2,false) 
&amp; "" WHERE "" &amp; vlookup(row"&amp;"s($A$1:$A151),Reference!$O:$P,2,false) &amp;
"" &gt;= "" &amp; Reference!$R$2)) * M152,"""")"),"")</f>
        <v/>
      </c>
      <c r="O152" s="84" t="str">
        <f t="shared" si="2"/>
        <v/>
      </c>
    </row>
    <row r="153">
      <c r="A153" s="84"/>
      <c r="B153" s="84"/>
      <c r="C153" s="85"/>
      <c r="D153" s="86"/>
      <c r="E153" s="87"/>
      <c r="F153" s="86"/>
      <c r="G153" s="87"/>
      <c r="H153" s="86"/>
      <c r="I153" s="86"/>
      <c r="J153" s="86"/>
      <c r="K153" s="84"/>
      <c r="L153" s="84" t="str">
        <f>IFERROR(__xludf.DUMMYFUNCTION("IF(A153="""","""", COUNT(SPLIT(K153,"";"")))"),"")</f>
        <v/>
      </c>
      <c r="M153" s="84" t="str">
        <f t="shared" si="1"/>
        <v/>
      </c>
      <c r="N153" s="84" t="str">
        <f>IFERROR(__xludf.DUMMYFUNCTION("IFERROR(AVERAGE(query(INDIRECT(""'FR Table'!"" &amp; vlookup(rows($A$1:$A152),Reference!$O:$P,2,false) &amp; ""3:"" &amp; vlookup(rows($A$1:$A152),Reference!$O:$P,2,false)), 
""SELECT "" &amp; vlookup(rows($A$1:$A152),Reference!$O:$P,2,false) 
&amp; "" WHERE "" &amp; vlookup(row"&amp;"s($A$1:$A152),Reference!$O:$P,2,false) &amp;
"" &gt;= "" &amp; Reference!$R$2)) * M153,"""")"),"")</f>
        <v/>
      </c>
      <c r="O153" s="84" t="str">
        <f t="shared" si="2"/>
        <v/>
      </c>
    </row>
    <row r="154">
      <c r="A154" s="84"/>
      <c r="B154" s="84"/>
      <c r="C154" s="85"/>
      <c r="D154" s="86"/>
      <c r="E154" s="87"/>
      <c r="F154" s="86"/>
      <c r="G154" s="87"/>
      <c r="H154" s="86"/>
      <c r="I154" s="86"/>
      <c r="J154" s="86"/>
      <c r="K154" s="84"/>
      <c r="L154" s="84" t="str">
        <f>IFERROR(__xludf.DUMMYFUNCTION("IF(A154="""","""", COUNT(SPLIT(K154,"";"")))"),"")</f>
        <v/>
      </c>
      <c r="M154" s="84" t="str">
        <f t="shared" si="1"/>
        <v/>
      </c>
      <c r="N154" s="84" t="str">
        <f>IFERROR(__xludf.DUMMYFUNCTION("IFERROR(AVERAGE(query(INDIRECT(""'FR Table'!"" &amp; vlookup(rows($A$1:$A153),Reference!$O:$P,2,false) &amp; ""3:"" &amp; vlookup(rows($A$1:$A153),Reference!$O:$P,2,false)), 
""SELECT "" &amp; vlookup(rows($A$1:$A153),Reference!$O:$P,2,false) 
&amp; "" WHERE "" &amp; vlookup(row"&amp;"s($A$1:$A153),Reference!$O:$P,2,false) &amp;
"" &gt;= "" &amp; Reference!$R$2)) * M154,"""")"),"")</f>
        <v/>
      </c>
      <c r="O154" s="84" t="str">
        <f t="shared" si="2"/>
        <v/>
      </c>
    </row>
    <row r="155">
      <c r="A155" s="84"/>
      <c r="B155" s="84"/>
      <c r="C155" s="85"/>
      <c r="D155" s="86"/>
      <c r="E155" s="87"/>
      <c r="F155" s="86"/>
      <c r="G155" s="87"/>
      <c r="H155" s="86"/>
      <c r="I155" s="86"/>
      <c r="J155" s="86"/>
      <c r="K155" s="84"/>
      <c r="L155" s="84" t="str">
        <f>IFERROR(__xludf.DUMMYFUNCTION("IF(A155="""","""", COUNT(SPLIT(K155,"";"")))"),"")</f>
        <v/>
      </c>
      <c r="M155" s="84" t="str">
        <f t="shared" si="1"/>
        <v/>
      </c>
      <c r="N155" s="84" t="str">
        <f>IFERROR(__xludf.DUMMYFUNCTION("IFERROR(AVERAGE(query(INDIRECT(""'FR Table'!"" &amp; vlookup(rows($A$1:$A154),Reference!$O:$P,2,false) &amp; ""3:"" &amp; vlookup(rows($A$1:$A154),Reference!$O:$P,2,false)), 
""SELECT "" &amp; vlookup(rows($A$1:$A154),Reference!$O:$P,2,false) 
&amp; "" WHERE "" &amp; vlookup(row"&amp;"s($A$1:$A154),Reference!$O:$P,2,false) &amp;
"" &gt;= "" &amp; Reference!$R$2)) * M155,"""")"),"")</f>
        <v/>
      </c>
      <c r="O155" s="84" t="str">
        <f t="shared" si="2"/>
        <v/>
      </c>
    </row>
    <row r="156">
      <c r="A156" s="84"/>
      <c r="B156" s="84"/>
      <c r="C156" s="85"/>
      <c r="D156" s="86"/>
      <c r="E156" s="87"/>
      <c r="F156" s="86"/>
      <c r="G156" s="87"/>
      <c r="H156" s="86"/>
      <c r="I156" s="86"/>
      <c r="J156" s="86"/>
      <c r="K156" s="84"/>
      <c r="L156" s="84" t="str">
        <f>IFERROR(__xludf.DUMMYFUNCTION("IF(A156="""","""", COUNT(SPLIT(K156,"";"")))"),"")</f>
        <v/>
      </c>
      <c r="M156" s="84" t="str">
        <f t="shared" si="1"/>
        <v/>
      </c>
      <c r="N156" s="84" t="str">
        <f>IFERROR(__xludf.DUMMYFUNCTION("IFERROR(AVERAGE(query(INDIRECT(""'FR Table'!"" &amp; vlookup(rows($A$1:$A155),Reference!$O:$P,2,false) &amp; ""3:"" &amp; vlookup(rows($A$1:$A155),Reference!$O:$P,2,false)), 
""SELECT "" &amp; vlookup(rows($A$1:$A155),Reference!$O:$P,2,false) 
&amp; "" WHERE "" &amp; vlookup(row"&amp;"s($A$1:$A155),Reference!$O:$P,2,false) &amp;
"" &gt;= "" &amp; Reference!$R$2)) * M156,"""")"),"")</f>
        <v/>
      </c>
      <c r="O156" s="84" t="str">
        <f t="shared" si="2"/>
        <v/>
      </c>
    </row>
    <row r="157">
      <c r="A157" s="84"/>
      <c r="B157" s="84"/>
      <c r="C157" s="85"/>
      <c r="D157" s="86"/>
      <c r="E157" s="87"/>
      <c r="F157" s="86"/>
      <c r="G157" s="87"/>
      <c r="H157" s="86"/>
      <c r="I157" s="86"/>
      <c r="J157" s="86"/>
      <c r="K157" s="84"/>
      <c r="L157" s="84" t="str">
        <f>IFERROR(__xludf.DUMMYFUNCTION("IF(A157="""","""", COUNT(SPLIT(K157,"";"")))"),"")</f>
        <v/>
      </c>
      <c r="M157" s="84" t="str">
        <f t="shared" si="1"/>
        <v/>
      </c>
      <c r="N157" s="84" t="str">
        <f>IFERROR(__xludf.DUMMYFUNCTION("IFERROR(AVERAGE(query(INDIRECT(""'FR Table'!"" &amp; vlookup(rows($A$1:$A156),Reference!$O:$P,2,false) &amp; ""3:"" &amp; vlookup(rows($A$1:$A156),Reference!$O:$P,2,false)), 
""SELECT "" &amp; vlookup(rows($A$1:$A156),Reference!$O:$P,2,false) 
&amp; "" WHERE "" &amp; vlookup(row"&amp;"s($A$1:$A156),Reference!$O:$P,2,false) &amp;
"" &gt;= "" &amp; Reference!$R$2)) * M157,"""")"),"")</f>
        <v/>
      </c>
      <c r="O157" s="84" t="str">
        <f t="shared" si="2"/>
        <v/>
      </c>
    </row>
    <row r="158">
      <c r="A158" s="84"/>
      <c r="B158" s="84"/>
      <c r="C158" s="85"/>
      <c r="D158" s="86"/>
      <c r="E158" s="87"/>
      <c r="F158" s="86"/>
      <c r="G158" s="87"/>
      <c r="H158" s="86"/>
      <c r="I158" s="86"/>
      <c r="J158" s="86"/>
      <c r="K158" s="84"/>
      <c r="L158" s="84" t="str">
        <f>IFERROR(__xludf.DUMMYFUNCTION("IF(A158="""","""", COUNT(SPLIT(K158,"";"")))"),"")</f>
        <v/>
      </c>
      <c r="M158" s="84" t="str">
        <f t="shared" si="1"/>
        <v/>
      </c>
      <c r="N158" s="84" t="str">
        <f>IFERROR(__xludf.DUMMYFUNCTION("IFERROR(AVERAGE(query(INDIRECT(""'FR Table'!"" &amp; vlookup(rows($A$1:$A157),Reference!$O:$P,2,false) &amp; ""3:"" &amp; vlookup(rows($A$1:$A157),Reference!$O:$P,2,false)), 
""SELECT "" &amp; vlookup(rows($A$1:$A157),Reference!$O:$P,2,false) 
&amp; "" WHERE "" &amp; vlookup(row"&amp;"s($A$1:$A157),Reference!$O:$P,2,false) &amp;
"" &gt;= "" &amp; Reference!$R$2)) * M158,"""")"),"")</f>
        <v/>
      </c>
      <c r="O158" s="84" t="str">
        <f t="shared" si="2"/>
        <v/>
      </c>
    </row>
    <row r="159">
      <c r="A159" s="84"/>
      <c r="B159" s="84"/>
      <c r="C159" s="85"/>
      <c r="D159" s="86"/>
      <c r="E159" s="87"/>
      <c r="F159" s="86"/>
      <c r="G159" s="87"/>
      <c r="H159" s="86"/>
      <c r="I159" s="86"/>
      <c r="J159" s="86"/>
      <c r="K159" s="84"/>
      <c r="L159" s="84" t="str">
        <f>IFERROR(__xludf.DUMMYFUNCTION("IF(A159="""","""", COUNT(SPLIT(K159,"";"")))"),"")</f>
        <v/>
      </c>
      <c r="M159" s="84" t="str">
        <f t="shared" si="1"/>
        <v/>
      </c>
      <c r="N159" s="84" t="str">
        <f>IFERROR(__xludf.DUMMYFUNCTION("IFERROR(AVERAGE(query(INDIRECT(""'FR Table'!"" &amp; vlookup(rows($A$1:$A158),Reference!$O:$P,2,false) &amp; ""3:"" &amp; vlookup(rows($A$1:$A158),Reference!$O:$P,2,false)), 
""SELECT "" &amp; vlookup(rows($A$1:$A158),Reference!$O:$P,2,false) 
&amp; "" WHERE "" &amp; vlookup(row"&amp;"s($A$1:$A158),Reference!$O:$P,2,false) &amp;
"" &gt;= "" &amp; Reference!$R$2)) * M159,"""")"),"")</f>
        <v/>
      </c>
      <c r="O159" s="84" t="str">
        <f t="shared" si="2"/>
        <v/>
      </c>
    </row>
    <row r="160">
      <c r="A160" s="84"/>
      <c r="B160" s="84"/>
      <c r="C160" s="85"/>
      <c r="D160" s="86"/>
      <c r="E160" s="87"/>
      <c r="F160" s="86"/>
      <c r="G160" s="87"/>
      <c r="H160" s="86"/>
      <c r="I160" s="86"/>
      <c r="J160" s="86"/>
      <c r="K160" s="84"/>
      <c r="L160" s="84" t="str">
        <f>IFERROR(__xludf.DUMMYFUNCTION("IF(A160="""","""", COUNT(SPLIT(K160,"";"")))"),"")</f>
        <v/>
      </c>
      <c r="M160" s="84" t="str">
        <f t="shared" si="1"/>
        <v/>
      </c>
      <c r="N160" s="84" t="str">
        <f>IFERROR(__xludf.DUMMYFUNCTION("IFERROR(AVERAGE(query(INDIRECT(""'FR Table'!"" &amp; vlookup(rows($A$1:$A159),Reference!$O:$P,2,false) &amp; ""3:"" &amp; vlookup(rows($A$1:$A159),Reference!$O:$P,2,false)), 
""SELECT "" &amp; vlookup(rows($A$1:$A159),Reference!$O:$P,2,false) 
&amp; "" WHERE "" &amp; vlookup(row"&amp;"s($A$1:$A159),Reference!$O:$P,2,false) &amp;
"" &gt;= "" &amp; Reference!$R$2)) * M160,"""")"),"")</f>
        <v/>
      </c>
      <c r="O160" s="84" t="str">
        <f t="shared" si="2"/>
        <v/>
      </c>
    </row>
    <row r="161">
      <c r="A161" s="84"/>
      <c r="B161" s="84"/>
      <c r="C161" s="85"/>
      <c r="D161" s="86"/>
      <c r="E161" s="87"/>
      <c r="F161" s="86"/>
      <c r="G161" s="87"/>
      <c r="H161" s="86"/>
      <c r="I161" s="86"/>
      <c r="J161" s="86"/>
      <c r="K161" s="84"/>
      <c r="L161" s="84" t="str">
        <f>IFERROR(__xludf.DUMMYFUNCTION("IF(A161="""","""", COUNT(SPLIT(K161,"";"")))"),"")</f>
        <v/>
      </c>
      <c r="M161" s="84" t="str">
        <f t="shared" si="1"/>
        <v/>
      </c>
      <c r="N161" s="84" t="str">
        <f>IFERROR(__xludf.DUMMYFUNCTION("IFERROR(AVERAGE(query(INDIRECT(""'FR Table'!"" &amp; vlookup(rows($A$1:$A160),Reference!$O:$P,2,false) &amp; ""3:"" &amp; vlookup(rows($A$1:$A160),Reference!$O:$P,2,false)), 
""SELECT "" &amp; vlookup(rows($A$1:$A160),Reference!$O:$P,2,false) 
&amp; "" WHERE "" &amp; vlookup(row"&amp;"s($A$1:$A160),Reference!$O:$P,2,false) &amp;
"" &gt;= "" &amp; Reference!$R$2)) * M161,"""")"),"")</f>
        <v/>
      </c>
      <c r="O161" s="84" t="str">
        <f t="shared" si="2"/>
        <v/>
      </c>
    </row>
    <row r="162">
      <c r="A162" s="84"/>
      <c r="B162" s="84"/>
      <c r="C162" s="85"/>
      <c r="D162" s="86"/>
      <c r="E162" s="87"/>
      <c r="F162" s="86"/>
      <c r="G162" s="87"/>
      <c r="H162" s="86"/>
      <c r="I162" s="86"/>
      <c r="J162" s="86"/>
      <c r="K162" s="84"/>
      <c r="L162" s="84" t="str">
        <f>IFERROR(__xludf.DUMMYFUNCTION("IF(A162="""","""", COUNT(SPLIT(K162,"";"")))"),"")</f>
        <v/>
      </c>
      <c r="M162" s="84" t="str">
        <f t="shared" si="1"/>
        <v/>
      </c>
      <c r="N162" s="84" t="str">
        <f>IFERROR(__xludf.DUMMYFUNCTION("IFERROR(AVERAGE(query(INDIRECT(""'FR Table'!"" &amp; vlookup(rows($A$1:$A161),Reference!$O:$P,2,false) &amp; ""3:"" &amp; vlookup(rows($A$1:$A161),Reference!$O:$P,2,false)), 
""SELECT "" &amp; vlookup(rows($A$1:$A161),Reference!$O:$P,2,false) 
&amp; "" WHERE "" &amp; vlookup(row"&amp;"s($A$1:$A161),Reference!$O:$P,2,false) &amp;
"" &gt;= "" &amp; Reference!$R$2)) * M162,"""")"),"")</f>
        <v/>
      </c>
      <c r="O162" s="84" t="str">
        <f t="shared" si="2"/>
        <v/>
      </c>
    </row>
    <row r="163">
      <c r="A163" s="84"/>
      <c r="B163" s="84"/>
      <c r="C163" s="85"/>
      <c r="D163" s="86"/>
      <c r="E163" s="87"/>
      <c r="F163" s="86"/>
      <c r="G163" s="87"/>
      <c r="H163" s="86"/>
      <c r="I163" s="86"/>
      <c r="J163" s="86"/>
      <c r="K163" s="84"/>
      <c r="L163" s="84" t="str">
        <f>IFERROR(__xludf.DUMMYFUNCTION("IF(A163="""","""", COUNT(SPLIT(K163,"";"")))"),"")</f>
        <v/>
      </c>
      <c r="M163" s="84" t="str">
        <f t="shared" si="1"/>
        <v/>
      </c>
      <c r="N163" s="84" t="str">
        <f>IFERROR(__xludf.DUMMYFUNCTION("IFERROR(AVERAGE(query(INDIRECT(""'FR Table'!"" &amp; vlookup(rows($A$1:$A162),Reference!$O:$P,2,false) &amp; ""3:"" &amp; vlookup(rows($A$1:$A162),Reference!$O:$P,2,false)), 
""SELECT "" &amp; vlookup(rows($A$1:$A162),Reference!$O:$P,2,false) 
&amp; "" WHERE "" &amp; vlookup(row"&amp;"s($A$1:$A162),Reference!$O:$P,2,false) &amp;
"" &gt;= "" &amp; Reference!$R$2)) * M163,"""")"),"")</f>
        <v/>
      </c>
      <c r="O163" s="84" t="str">
        <f t="shared" si="2"/>
        <v/>
      </c>
    </row>
    <row r="164">
      <c r="A164" s="84"/>
      <c r="B164" s="84"/>
      <c r="C164" s="85"/>
      <c r="D164" s="86"/>
      <c r="E164" s="87"/>
      <c r="F164" s="86"/>
      <c r="G164" s="87"/>
      <c r="H164" s="86"/>
      <c r="I164" s="86"/>
      <c r="J164" s="86"/>
      <c r="K164" s="84"/>
      <c r="L164" s="84" t="str">
        <f>IFERROR(__xludf.DUMMYFUNCTION("IF(A164="""","""", COUNT(SPLIT(K164,"";"")))"),"")</f>
        <v/>
      </c>
      <c r="M164" s="84" t="str">
        <f t="shared" si="1"/>
        <v/>
      </c>
      <c r="N164" s="84" t="str">
        <f>IFERROR(__xludf.DUMMYFUNCTION("IFERROR(AVERAGE(query(INDIRECT(""'FR Table'!"" &amp; vlookup(rows($A$1:$A163),Reference!$O:$P,2,false) &amp; ""3:"" &amp; vlookup(rows($A$1:$A163),Reference!$O:$P,2,false)), 
""SELECT "" &amp; vlookup(rows($A$1:$A163),Reference!$O:$P,2,false) 
&amp; "" WHERE "" &amp; vlookup(row"&amp;"s($A$1:$A163),Reference!$O:$P,2,false) &amp;
"" &gt;= "" &amp; Reference!$R$2)) * M164,"""")"),"")</f>
        <v/>
      </c>
      <c r="O164" s="84" t="str">
        <f t="shared" si="2"/>
        <v/>
      </c>
    </row>
    <row r="165">
      <c r="A165" s="84"/>
      <c r="B165" s="84"/>
      <c r="C165" s="85"/>
      <c r="D165" s="86"/>
      <c r="E165" s="87"/>
      <c r="F165" s="86"/>
      <c r="G165" s="87"/>
      <c r="H165" s="86"/>
      <c r="I165" s="86"/>
      <c r="J165" s="86"/>
      <c r="K165" s="84"/>
      <c r="L165" s="84" t="str">
        <f>IFERROR(__xludf.DUMMYFUNCTION("IF(A165="""","""", COUNT(SPLIT(K165,"";"")))"),"")</f>
        <v/>
      </c>
      <c r="M165" s="84" t="str">
        <f t="shared" si="1"/>
        <v/>
      </c>
      <c r="N165" s="84" t="str">
        <f>IFERROR(__xludf.DUMMYFUNCTION("IFERROR(AVERAGE(query(INDIRECT(""'FR Table'!"" &amp; vlookup(rows($A$1:$A164),Reference!$O:$P,2,false) &amp; ""3:"" &amp; vlookup(rows($A$1:$A164),Reference!$O:$P,2,false)), 
""SELECT "" &amp; vlookup(rows($A$1:$A164),Reference!$O:$P,2,false) 
&amp; "" WHERE "" &amp; vlookup(row"&amp;"s($A$1:$A164),Reference!$O:$P,2,false) &amp;
"" &gt;= "" &amp; Reference!$R$2)) * M165,"""")"),"")</f>
        <v/>
      </c>
      <c r="O165" s="84" t="str">
        <f t="shared" si="2"/>
        <v/>
      </c>
    </row>
    <row r="166">
      <c r="A166" s="84"/>
      <c r="B166" s="84"/>
      <c r="C166" s="85"/>
      <c r="D166" s="86"/>
      <c r="E166" s="87"/>
      <c r="F166" s="86"/>
      <c r="G166" s="87"/>
      <c r="H166" s="86"/>
      <c r="I166" s="86"/>
      <c r="J166" s="86"/>
      <c r="K166" s="84"/>
      <c r="L166" s="84" t="str">
        <f>IFERROR(__xludf.DUMMYFUNCTION("IF(A166="""","""", COUNT(SPLIT(K166,"";"")))"),"")</f>
        <v/>
      </c>
      <c r="M166" s="84" t="str">
        <f t="shared" si="1"/>
        <v/>
      </c>
      <c r="N166" s="84" t="str">
        <f>IFERROR(__xludf.DUMMYFUNCTION("IFERROR(AVERAGE(query(INDIRECT(""'FR Table'!"" &amp; vlookup(rows($A$1:$A165),Reference!$O:$P,2,false) &amp; ""3:"" &amp; vlookup(rows($A$1:$A165),Reference!$O:$P,2,false)), 
""SELECT "" &amp; vlookup(rows($A$1:$A165),Reference!$O:$P,2,false) 
&amp; "" WHERE "" &amp; vlookup(row"&amp;"s($A$1:$A165),Reference!$O:$P,2,false) &amp;
"" &gt;= "" &amp; Reference!$R$2)) * M166,"""")"),"")</f>
        <v/>
      </c>
      <c r="O166" s="84" t="str">
        <f t="shared" si="2"/>
        <v/>
      </c>
    </row>
    <row r="167">
      <c r="A167" s="84"/>
      <c r="B167" s="84"/>
      <c r="C167" s="85"/>
      <c r="D167" s="86"/>
      <c r="E167" s="87"/>
      <c r="F167" s="86"/>
      <c r="G167" s="87"/>
      <c r="H167" s="86"/>
      <c r="I167" s="86"/>
      <c r="J167" s="86"/>
      <c r="K167" s="84"/>
      <c r="L167" s="84" t="str">
        <f>IFERROR(__xludf.DUMMYFUNCTION("IF(A167="""","""", COUNT(SPLIT(K167,"";"")))"),"")</f>
        <v/>
      </c>
      <c r="M167" s="84" t="str">
        <f t="shared" si="1"/>
        <v/>
      </c>
      <c r="N167" s="84" t="str">
        <f>IFERROR(__xludf.DUMMYFUNCTION("IFERROR(AVERAGE(query(INDIRECT(""'FR Table'!"" &amp; vlookup(rows($A$1:$A166),Reference!$O:$P,2,false) &amp; ""3:"" &amp; vlookup(rows($A$1:$A166),Reference!$O:$P,2,false)), 
""SELECT "" &amp; vlookup(rows($A$1:$A166),Reference!$O:$P,2,false) 
&amp; "" WHERE "" &amp; vlookup(row"&amp;"s($A$1:$A166),Reference!$O:$P,2,false) &amp;
"" &gt;= "" &amp; Reference!$R$2)) * M167,"""")"),"")</f>
        <v/>
      </c>
      <c r="O167" s="84" t="str">
        <f t="shared" si="2"/>
        <v/>
      </c>
    </row>
    <row r="168">
      <c r="A168" s="84"/>
      <c r="B168" s="84"/>
      <c r="C168" s="85"/>
      <c r="D168" s="86"/>
      <c r="E168" s="87"/>
      <c r="F168" s="86"/>
      <c r="G168" s="87"/>
      <c r="H168" s="86"/>
      <c r="I168" s="86"/>
      <c r="J168" s="86"/>
      <c r="K168" s="84"/>
      <c r="L168" s="84" t="str">
        <f>IFERROR(__xludf.DUMMYFUNCTION("IF(A168="""","""", COUNT(SPLIT(K168,"";"")))"),"")</f>
        <v/>
      </c>
      <c r="M168" s="84" t="str">
        <f t="shared" si="1"/>
        <v/>
      </c>
      <c r="N168" s="84" t="str">
        <f>IFERROR(__xludf.DUMMYFUNCTION("IFERROR(AVERAGE(query(INDIRECT(""'FR Table'!"" &amp; vlookup(rows($A$1:$A167),Reference!$O:$P,2,false) &amp; ""3:"" &amp; vlookup(rows($A$1:$A167),Reference!$O:$P,2,false)), 
""SELECT "" &amp; vlookup(rows($A$1:$A167),Reference!$O:$P,2,false) 
&amp; "" WHERE "" &amp; vlookup(row"&amp;"s($A$1:$A167),Reference!$O:$P,2,false) &amp;
"" &gt;= "" &amp; Reference!$R$2)) * M168,"""")"),"")</f>
        <v/>
      </c>
      <c r="O168" s="84" t="str">
        <f t="shared" si="2"/>
        <v/>
      </c>
    </row>
    <row r="169">
      <c r="A169" s="84"/>
      <c r="B169" s="84"/>
      <c r="C169" s="85"/>
      <c r="D169" s="86"/>
      <c r="E169" s="87"/>
      <c r="F169" s="86"/>
      <c r="G169" s="87"/>
      <c r="H169" s="86"/>
      <c r="I169" s="86"/>
      <c r="J169" s="86"/>
      <c r="K169" s="84"/>
      <c r="L169" s="84" t="str">
        <f>IFERROR(__xludf.DUMMYFUNCTION("IF(A169="""","""", COUNT(SPLIT(K169,"";"")))"),"")</f>
        <v/>
      </c>
      <c r="M169" s="84" t="str">
        <f t="shared" si="1"/>
        <v/>
      </c>
      <c r="N169" s="84" t="str">
        <f>IFERROR(__xludf.DUMMYFUNCTION("IFERROR(AVERAGE(query(INDIRECT(""'FR Table'!"" &amp; vlookup(rows($A$1:$A168),Reference!$O:$P,2,false) &amp; ""3:"" &amp; vlookup(rows($A$1:$A168),Reference!$O:$P,2,false)), 
""SELECT "" &amp; vlookup(rows($A$1:$A168),Reference!$O:$P,2,false) 
&amp; "" WHERE "" &amp; vlookup(row"&amp;"s($A$1:$A168),Reference!$O:$P,2,false) &amp;
"" &gt;= "" &amp; Reference!$R$2)) * M169,"""")"),"")</f>
        <v/>
      </c>
      <c r="O169" s="84" t="str">
        <f t="shared" si="2"/>
        <v/>
      </c>
    </row>
    <row r="170">
      <c r="A170" s="84"/>
      <c r="B170" s="84"/>
      <c r="C170" s="85"/>
      <c r="D170" s="86"/>
      <c r="E170" s="87"/>
      <c r="F170" s="86"/>
      <c r="G170" s="87"/>
      <c r="H170" s="86"/>
      <c r="I170" s="86"/>
      <c r="J170" s="86"/>
      <c r="K170" s="84"/>
      <c r="L170" s="84" t="str">
        <f>IFERROR(__xludf.DUMMYFUNCTION("IF(A170="""","""", COUNT(SPLIT(K170,"";"")))"),"")</f>
        <v/>
      </c>
      <c r="M170" s="84" t="str">
        <f t="shared" si="1"/>
        <v/>
      </c>
      <c r="N170" s="84" t="str">
        <f>IFERROR(__xludf.DUMMYFUNCTION("IFERROR(AVERAGE(query(INDIRECT(""'FR Table'!"" &amp; vlookup(rows($A$1:$A169),Reference!$O:$P,2,false) &amp; ""3:"" &amp; vlookup(rows($A$1:$A169),Reference!$O:$P,2,false)), 
""SELECT "" &amp; vlookup(rows($A$1:$A169),Reference!$O:$P,2,false) 
&amp; "" WHERE "" &amp; vlookup(row"&amp;"s($A$1:$A169),Reference!$O:$P,2,false) &amp;
"" &gt;= "" &amp; Reference!$R$2)) * M170,"""")"),"")</f>
        <v/>
      </c>
      <c r="O170" s="84" t="str">
        <f t="shared" si="2"/>
        <v/>
      </c>
    </row>
    <row r="171">
      <c r="A171" s="84"/>
      <c r="B171" s="84"/>
      <c r="C171" s="85"/>
      <c r="D171" s="86"/>
      <c r="E171" s="87"/>
      <c r="F171" s="86"/>
      <c r="G171" s="87"/>
      <c r="H171" s="86"/>
      <c r="I171" s="86"/>
      <c r="J171" s="86"/>
      <c r="K171" s="84"/>
      <c r="L171" s="84" t="str">
        <f>IFERROR(__xludf.DUMMYFUNCTION("IF(A171="""","""", COUNT(SPLIT(K171,"";"")))"),"")</f>
        <v/>
      </c>
      <c r="M171" s="84" t="str">
        <f t="shared" si="1"/>
        <v/>
      </c>
      <c r="N171" s="84" t="str">
        <f>IFERROR(__xludf.DUMMYFUNCTION("IFERROR(AVERAGE(query(INDIRECT(""'FR Table'!"" &amp; vlookup(rows($A$1:$A170),Reference!$O:$P,2,false) &amp; ""3:"" &amp; vlookup(rows($A$1:$A170),Reference!$O:$P,2,false)), 
""SELECT "" &amp; vlookup(rows($A$1:$A170),Reference!$O:$P,2,false) 
&amp; "" WHERE "" &amp; vlookup(row"&amp;"s($A$1:$A170),Reference!$O:$P,2,false) &amp;
"" &gt;= "" &amp; Reference!$R$2)) * M171,"""")"),"")</f>
        <v/>
      </c>
      <c r="O171" s="84" t="str">
        <f t="shared" si="2"/>
        <v/>
      </c>
    </row>
    <row r="172">
      <c r="A172" s="84"/>
      <c r="B172" s="84"/>
      <c r="C172" s="85"/>
      <c r="D172" s="86"/>
      <c r="E172" s="87"/>
      <c r="F172" s="86"/>
      <c r="G172" s="87"/>
      <c r="H172" s="86"/>
      <c r="I172" s="86"/>
      <c r="J172" s="86"/>
      <c r="K172" s="84"/>
      <c r="L172" s="84" t="str">
        <f>IFERROR(__xludf.DUMMYFUNCTION("IF(A172="""","""", COUNT(SPLIT(K172,"";"")))"),"")</f>
        <v/>
      </c>
      <c r="M172" s="84" t="str">
        <f t="shared" si="1"/>
        <v/>
      </c>
      <c r="N172" s="84" t="str">
        <f>IFERROR(__xludf.DUMMYFUNCTION("IFERROR(AVERAGE(query(INDIRECT(""'FR Table'!"" &amp; vlookup(rows($A$1:$A171),Reference!$O:$P,2,false) &amp; ""3:"" &amp; vlookup(rows($A$1:$A171),Reference!$O:$P,2,false)), 
""SELECT "" &amp; vlookup(rows($A$1:$A171),Reference!$O:$P,2,false) 
&amp; "" WHERE "" &amp; vlookup(row"&amp;"s($A$1:$A171),Reference!$O:$P,2,false) &amp;
"" &gt;= "" &amp; Reference!$R$2)) * M172,"""")"),"")</f>
        <v/>
      </c>
      <c r="O172" s="84" t="str">
        <f t="shared" si="2"/>
        <v/>
      </c>
    </row>
    <row r="173">
      <c r="A173" s="84"/>
      <c r="B173" s="84"/>
      <c r="C173" s="85"/>
      <c r="D173" s="86"/>
      <c r="E173" s="87"/>
      <c r="F173" s="86"/>
      <c r="G173" s="87"/>
      <c r="H173" s="86"/>
      <c r="I173" s="86"/>
      <c r="J173" s="86"/>
      <c r="K173" s="84"/>
      <c r="L173" s="84" t="str">
        <f>IFERROR(__xludf.DUMMYFUNCTION("IF(A173="""","""", COUNT(SPLIT(K173,"";"")))"),"")</f>
        <v/>
      </c>
      <c r="M173" s="84" t="str">
        <f t="shared" si="1"/>
        <v/>
      </c>
      <c r="N173" s="84" t="str">
        <f>IFERROR(__xludf.DUMMYFUNCTION("IFERROR(AVERAGE(query(INDIRECT(""'FR Table'!"" &amp; vlookup(rows($A$1:$A172),Reference!$O:$P,2,false) &amp; ""3:"" &amp; vlookup(rows($A$1:$A172),Reference!$O:$P,2,false)), 
""SELECT "" &amp; vlookup(rows($A$1:$A172),Reference!$O:$P,2,false) 
&amp; "" WHERE "" &amp; vlookup(row"&amp;"s($A$1:$A172),Reference!$O:$P,2,false) &amp;
"" &gt;= "" &amp; Reference!$R$2)) * M173,"""")"),"")</f>
        <v/>
      </c>
      <c r="O173" s="84" t="str">
        <f t="shared" si="2"/>
        <v/>
      </c>
    </row>
    <row r="174">
      <c r="A174" s="84"/>
      <c r="B174" s="84"/>
      <c r="C174" s="85"/>
      <c r="D174" s="86"/>
      <c r="E174" s="87"/>
      <c r="F174" s="86"/>
      <c r="G174" s="87"/>
      <c r="H174" s="86"/>
      <c r="I174" s="86"/>
      <c r="J174" s="86"/>
      <c r="K174" s="84"/>
      <c r="L174" s="84" t="str">
        <f>IFERROR(__xludf.DUMMYFUNCTION("IF(A174="""","""", COUNT(SPLIT(K174,"";"")))"),"")</f>
        <v/>
      </c>
      <c r="M174" s="84" t="str">
        <f t="shared" si="1"/>
        <v/>
      </c>
      <c r="N174" s="84" t="str">
        <f>IFERROR(__xludf.DUMMYFUNCTION("IFERROR(AVERAGE(query(INDIRECT(""'FR Table'!"" &amp; vlookup(rows($A$1:$A173),Reference!$O:$P,2,false) &amp; ""3:"" &amp; vlookup(rows($A$1:$A173),Reference!$O:$P,2,false)), 
""SELECT "" &amp; vlookup(rows($A$1:$A173),Reference!$O:$P,2,false) 
&amp; "" WHERE "" &amp; vlookup(row"&amp;"s($A$1:$A173),Reference!$O:$P,2,false) &amp;
"" &gt;= "" &amp; Reference!$R$2)) * M174,"""")"),"")</f>
        <v/>
      </c>
      <c r="O174" s="84" t="str">
        <f t="shared" si="2"/>
        <v/>
      </c>
    </row>
    <row r="175">
      <c r="A175" s="84"/>
      <c r="B175" s="84"/>
      <c r="C175" s="85"/>
      <c r="D175" s="86"/>
      <c r="E175" s="87"/>
      <c r="F175" s="86"/>
      <c r="G175" s="87"/>
      <c r="H175" s="86"/>
      <c r="I175" s="86"/>
      <c r="J175" s="86"/>
      <c r="K175" s="84"/>
      <c r="L175" s="84" t="str">
        <f>IFERROR(__xludf.DUMMYFUNCTION("IF(A175="""","""", COUNT(SPLIT(K175,"";"")))"),"")</f>
        <v/>
      </c>
      <c r="M175" s="84" t="str">
        <f t="shared" si="1"/>
        <v/>
      </c>
      <c r="N175" s="84" t="str">
        <f>IFERROR(__xludf.DUMMYFUNCTION("IFERROR(AVERAGE(query(INDIRECT(""'FR Table'!"" &amp; vlookup(rows($A$1:$A174),Reference!$O:$P,2,false) &amp; ""3:"" &amp; vlookup(rows($A$1:$A174),Reference!$O:$P,2,false)), 
""SELECT "" &amp; vlookup(rows($A$1:$A174),Reference!$O:$P,2,false) 
&amp; "" WHERE "" &amp; vlookup(row"&amp;"s($A$1:$A174),Reference!$O:$P,2,false) &amp;
"" &gt;= "" &amp; Reference!$R$2)) * M175,"""")"),"")</f>
        <v/>
      </c>
      <c r="O175" s="84" t="str">
        <f t="shared" si="2"/>
        <v/>
      </c>
    </row>
    <row r="176">
      <c r="A176" s="84"/>
      <c r="B176" s="84"/>
      <c r="C176" s="85"/>
      <c r="D176" s="86"/>
      <c r="E176" s="87"/>
      <c r="F176" s="86"/>
      <c r="G176" s="87"/>
      <c r="H176" s="86"/>
      <c r="I176" s="86"/>
      <c r="J176" s="86"/>
      <c r="K176" s="84"/>
      <c r="L176" s="84" t="str">
        <f>IFERROR(__xludf.DUMMYFUNCTION("IF(A176="""","""", COUNT(SPLIT(K176,"";"")))"),"")</f>
        <v/>
      </c>
      <c r="M176" s="84" t="str">
        <f t="shared" si="1"/>
        <v/>
      </c>
      <c r="N176" s="84" t="str">
        <f>IFERROR(__xludf.DUMMYFUNCTION("IFERROR(AVERAGE(query(INDIRECT(""'FR Table'!"" &amp; vlookup(rows($A$1:$A175),Reference!$O:$P,2,false) &amp; ""3:"" &amp; vlookup(rows($A$1:$A175),Reference!$O:$P,2,false)), 
""SELECT "" &amp; vlookup(rows($A$1:$A175),Reference!$O:$P,2,false) 
&amp; "" WHERE "" &amp; vlookup(row"&amp;"s($A$1:$A175),Reference!$O:$P,2,false) &amp;
"" &gt;= "" &amp; Reference!$R$2)) * M176,"""")"),"")</f>
        <v/>
      </c>
      <c r="O176" s="84" t="str">
        <f t="shared" si="2"/>
        <v/>
      </c>
    </row>
    <row r="177">
      <c r="A177" s="84"/>
      <c r="B177" s="84"/>
      <c r="C177" s="85"/>
      <c r="D177" s="86"/>
      <c r="E177" s="87"/>
      <c r="F177" s="86"/>
      <c r="G177" s="87"/>
      <c r="H177" s="86"/>
      <c r="I177" s="86"/>
      <c r="J177" s="86"/>
      <c r="K177" s="84"/>
      <c r="L177" s="84" t="str">
        <f>IFERROR(__xludf.DUMMYFUNCTION("IF(A177="""","""", COUNT(SPLIT(K177,"";"")))"),"")</f>
        <v/>
      </c>
      <c r="M177" s="84" t="str">
        <f t="shared" si="1"/>
        <v/>
      </c>
      <c r="N177" s="84" t="str">
        <f>IFERROR(__xludf.DUMMYFUNCTION("IFERROR(AVERAGE(query(INDIRECT(""'FR Table'!"" &amp; vlookup(rows($A$1:$A176),Reference!$O:$P,2,false) &amp; ""3:"" &amp; vlookup(rows($A$1:$A176),Reference!$O:$P,2,false)), 
""SELECT "" &amp; vlookup(rows($A$1:$A176),Reference!$O:$P,2,false) 
&amp; "" WHERE "" &amp; vlookup(row"&amp;"s($A$1:$A176),Reference!$O:$P,2,false) &amp;
"" &gt;= "" &amp; Reference!$R$2)) * M177,"""")"),"")</f>
        <v/>
      </c>
      <c r="O177" s="84" t="str">
        <f t="shared" si="2"/>
        <v/>
      </c>
    </row>
    <row r="178">
      <c r="A178" s="84"/>
      <c r="B178" s="84"/>
      <c r="C178" s="85"/>
      <c r="D178" s="86"/>
      <c r="E178" s="87"/>
      <c r="F178" s="86"/>
      <c r="G178" s="87"/>
      <c r="H178" s="86"/>
      <c r="I178" s="86"/>
      <c r="J178" s="86"/>
      <c r="K178" s="84"/>
      <c r="L178" s="84" t="str">
        <f>IFERROR(__xludf.DUMMYFUNCTION("IF(A178="""","""", COUNT(SPLIT(K178,"";"")))"),"")</f>
        <v/>
      </c>
      <c r="M178" s="84" t="str">
        <f t="shared" si="1"/>
        <v/>
      </c>
      <c r="N178" s="84" t="str">
        <f>IFERROR(__xludf.DUMMYFUNCTION("IFERROR(AVERAGE(query(INDIRECT(""'FR Table'!"" &amp; vlookup(rows($A$1:$A177),Reference!$O:$P,2,false) &amp; ""3:"" &amp; vlookup(rows($A$1:$A177),Reference!$O:$P,2,false)), 
""SELECT "" &amp; vlookup(rows($A$1:$A177),Reference!$O:$P,2,false) 
&amp; "" WHERE "" &amp; vlookup(row"&amp;"s($A$1:$A177),Reference!$O:$P,2,false) &amp;
"" &gt;= "" &amp; Reference!$R$2)) * M178,"""")"),"")</f>
        <v/>
      </c>
      <c r="O178" s="84" t="str">
        <f t="shared" si="2"/>
        <v/>
      </c>
    </row>
    <row r="179">
      <c r="A179" s="84"/>
      <c r="B179" s="84"/>
      <c r="C179" s="85"/>
      <c r="D179" s="86"/>
      <c r="E179" s="87"/>
      <c r="F179" s="86"/>
      <c r="G179" s="87"/>
      <c r="H179" s="86"/>
      <c r="I179" s="86"/>
      <c r="J179" s="86"/>
      <c r="K179" s="84"/>
      <c r="L179" s="84" t="str">
        <f>IFERROR(__xludf.DUMMYFUNCTION("IF(A179="""","""", COUNT(SPLIT(K179,"";"")))"),"")</f>
        <v/>
      </c>
      <c r="M179" s="84" t="str">
        <f t="shared" si="1"/>
        <v/>
      </c>
      <c r="N179" s="84" t="str">
        <f>IFERROR(__xludf.DUMMYFUNCTION("IFERROR(AVERAGE(query(INDIRECT(""'FR Table'!"" &amp; vlookup(rows($A$1:$A178),Reference!$O:$P,2,false) &amp; ""3:"" &amp; vlookup(rows($A$1:$A178),Reference!$O:$P,2,false)), 
""SELECT "" &amp; vlookup(rows($A$1:$A178),Reference!$O:$P,2,false) 
&amp; "" WHERE "" &amp; vlookup(row"&amp;"s($A$1:$A178),Reference!$O:$P,2,false) &amp;
"" &gt;= "" &amp; Reference!$R$2)) * M179,"""")"),"")</f>
        <v/>
      </c>
      <c r="O179" s="84" t="str">
        <f t="shared" si="2"/>
        <v/>
      </c>
    </row>
    <row r="180">
      <c r="A180" s="84"/>
      <c r="B180" s="84"/>
      <c r="C180" s="85"/>
      <c r="D180" s="86"/>
      <c r="E180" s="87"/>
      <c r="F180" s="86"/>
      <c r="G180" s="87"/>
      <c r="H180" s="86"/>
      <c r="I180" s="86"/>
      <c r="J180" s="86"/>
      <c r="K180" s="84"/>
      <c r="L180" s="84" t="str">
        <f>IFERROR(__xludf.DUMMYFUNCTION("IF(A180="""","""", COUNT(SPLIT(K180,"";"")))"),"")</f>
        <v/>
      </c>
      <c r="M180" s="84" t="str">
        <f t="shared" si="1"/>
        <v/>
      </c>
      <c r="N180" s="84" t="str">
        <f>IFERROR(__xludf.DUMMYFUNCTION("IFERROR(AVERAGE(query(INDIRECT(""'FR Table'!"" &amp; vlookup(rows($A$1:$A179),Reference!$O:$P,2,false) &amp; ""3:"" &amp; vlookup(rows($A$1:$A179),Reference!$O:$P,2,false)), 
""SELECT "" &amp; vlookup(rows($A$1:$A179),Reference!$O:$P,2,false) 
&amp; "" WHERE "" &amp; vlookup(row"&amp;"s($A$1:$A179),Reference!$O:$P,2,false) &amp;
"" &gt;= "" &amp; Reference!$R$2)) * M180,"""")"),"")</f>
        <v/>
      </c>
      <c r="O180" s="84" t="str">
        <f t="shared" si="2"/>
        <v/>
      </c>
    </row>
    <row r="181">
      <c r="A181" s="84"/>
      <c r="B181" s="84"/>
      <c r="C181" s="85"/>
      <c r="D181" s="86"/>
      <c r="E181" s="87"/>
      <c r="F181" s="86"/>
      <c r="G181" s="87"/>
      <c r="H181" s="86"/>
      <c r="I181" s="86"/>
      <c r="J181" s="86"/>
      <c r="K181" s="84"/>
      <c r="L181" s="84" t="str">
        <f>IFERROR(__xludf.DUMMYFUNCTION("IF(A181="""","""", COUNT(SPLIT(K181,"";"")))"),"")</f>
        <v/>
      </c>
      <c r="M181" s="84" t="str">
        <f t="shared" si="1"/>
        <v/>
      </c>
      <c r="N181" s="84" t="str">
        <f>IFERROR(__xludf.DUMMYFUNCTION("IFERROR(AVERAGE(query(INDIRECT(""'FR Table'!"" &amp; vlookup(rows($A$1:$A180),Reference!$O:$P,2,false) &amp; ""3:"" &amp; vlookup(rows($A$1:$A180),Reference!$O:$P,2,false)), 
""SELECT "" &amp; vlookup(rows($A$1:$A180),Reference!$O:$P,2,false) 
&amp; "" WHERE "" &amp; vlookup(row"&amp;"s($A$1:$A180),Reference!$O:$P,2,false) &amp;
"" &gt;= "" &amp; Reference!$R$2)) * M181,"""")"),"")</f>
        <v/>
      </c>
      <c r="O181" s="84" t="str">
        <f t="shared" si="2"/>
        <v/>
      </c>
    </row>
    <row r="182">
      <c r="A182" s="84"/>
      <c r="B182" s="84"/>
      <c r="C182" s="85"/>
      <c r="D182" s="86"/>
      <c r="E182" s="87"/>
      <c r="F182" s="86"/>
      <c r="G182" s="87"/>
      <c r="H182" s="86"/>
      <c r="I182" s="86"/>
      <c r="J182" s="86"/>
      <c r="K182" s="84"/>
      <c r="L182" s="84" t="str">
        <f>IFERROR(__xludf.DUMMYFUNCTION("IF(A182="""","""", COUNT(SPLIT(K182,"";"")))"),"")</f>
        <v/>
      </c>
      <c r="M182" s="84" t="str">
        <f t="shared" si="1"/>
        <v/>
      </c>
      <c r="N182" s="84" t="str">
        <f>IFERROR(__xludf.DUMMYFUNCTION("IFERROR(AVERAGE(query(INDIRECT(""'FR Table'!"" &amp; vlookup(rows($A$1:$A181),Reference!$O:$P,2,false) &amp; ""3:"" &amp; vlookup(rows($A$1:$A181),Reference!$O:$P,2,false)), 
""SELECT "" &amp; vlookup(rows($A$1:$A181),Reference!$O:$P,2,false) 
&amp; "" WHERE "" &amp; vlookup(row"&amp;"s($A$1:$A181),Reference!$O:$P,2,false) &amp;
"" &gt;= "" &amp; Reference!$R$2)) * M182,"""")"),"")</f>
        <v/>
      </c>
      <c r="O182" s="84" t="str">
        <f t="shared" si="2"/>
        <v/>
      </c>
    </row>
    <row r="183">
      <c r="A183" s="84"/>
      <c r="B183" s="84"/>
      <c r="C183" s="85"/>
      <c r="D183" s="86"/>
      <c r="E183" s="87"/>
      <c r="F183" s="86"/>
      <c r="G183" s="87"/>
      <c r="H183" s="86"/>
      <c r="I183" s="86"/>
      <c r="J183" s="86"/>
      <c r="K183" s="84"/>
      <c r="L183" s="84" t="str">
        <f>IFERROR(__xludf.DUMMYFUNCTION("IF(A183="""","""", COUNT(SPLIT(K183,"";"")))"),"")</f>
        <v/>
      </c>
      <c r="M183" s="84" t="str">
        <f t="shared" si="1"/>
        <v/>
      </c>
      <c r="N183" s="84" t="str">
        <f>IFERROR(__xludf.DUMMYFUNCTION("IFERROR(AVERAGE(query(INDIRECT(""'FR Table'!"" &amp; vlookup(rows($A$1:$A182),Reference!$O:$P,2,false) &amp; ""3:"" &amp; vlookup(rows($A$1:$A182),Reference!$O:$P,2,false)), 
""SELECT "" &amp; vlookup(rows($A$1:$A182),Reference!$O:$P,2,false) 
&amp; "" WHERE "" &amp; vlookup(row"&amp;"s($A$1:$A182),Reference!$O:$P,2,false) &amp;
"" &gt;= "" &amp; Reference!$R$2)) * M183,"""")"),"")</f>
        <v/>
      </c>
      <c r="O183" s="84" t="str">
        <f t="shared" si="2"/>
        <v/>
      </c>
    </row>
    <row r="184">
      <c r="A184" s="84"/>
      <c r="B184" s="84"/>
      <c r="C184" s="85"/>
      <c r="D184" s="86"/>
      <c r="E184" s="87"/>
      <c r="F184" s="86"/>
      <c r="G184" s="87"/>
      <c r="H184" s="86"/>
      <c r="I184" s="86"/>
      <c r="J184" s="86"/>
      <c r="K184" s="84"/>
      <c r="L184" s="84" t="str">
        <f>IFERROR(__xludf.DUMMYFUNCTION("IF(A184="""","""", COUNT(SPLIT(K184,"";"")))"),"")</f>
        <v/>
      </c>
      <c r="M184" s="84" t="str">
        <f t="shared" si="1"/>
        <v/>
      </c>
      <c r="N184" s="84" t="str">
        <f>IFERROR(__xludf.DUMMYFUNCTION("IFERROR(AVERAGE(query(INDIRECT(""'FR Table'!"" &amp; vlookup(rows($A$1:$A183),Reference!$O:$P,2,false) &amp; ""3:"" &amp; vlookup(rows($A$1:$A183),Reference!$O:$P,2,false)), 
""SELECT "" &amp; vlookup(rows($A$1:$A183),Reference!$O:$P,2,false) 
&amp; "" WHERE "" &amp; vlookup(row"&amp;"s($A$1:$A183),Reference!$O:$P,2,false) &amp;
"" &gt;= "" &amp; Reference!$R$2)) * M184,"""")"),"")</f>
        <v/>
      </c>
      <c r="O184" s="84" t="str">
        <f t="shared" si="2"/>
        <v/>
      </c>
    </row>
    <row r="185">
      <c r="A185" s="84"/>
      <c r="B185" s="84"/>
      <c r="C185" s="85"/>
      <c r="D185" s="86"/>
      <c r="E185" s="87"/>
      <c r="F185" s="86"/>
      <c r="G185" s="87"/>
      <c r="H185" s="86"/>
      <c r="I185" s="86"/>
      <c r="J185" s="86"/>
      <c r="K185" s="84"/>
      <c r="L185" s="84" t="str">
        <f>IFERROR(__xludf.DUMMYFUNCTION("IF(A185="""","""", COUNT(SPLIT(K185,"";"")))"),"")</f>
        <v/>
      </c>
      <c r="M185" s="84" t="str">
        <f t="shared" si="1"/>
        <v/>
      </c>
      <c r="N185" s="84" t="str">
        <f>IFERROR(__xludf.DUMMYFUNCTION("IFERROR(AVERAGE(query(INDIRECT(""'FR Table'!"" &amp; vlookup(rows($A$1:$A184),Reference!$O:$P,2,false) &amp; ""3:"" &amp; vlookup(rows($A$1:$A184),Reference!$O:$P,2,false)), 
""SELECT "" &amp; vlookup(rows($A$1:$A184),Reference!$O:$P,2,false) 
&amp; "" WHERE "" &amp; vlookup(row"&amp;"s($A$1:$A184),Reference!$O:$P,2,false) &amp;
"" &gt;= "" &amp; Reference!$R$2)) * M185,"""")"),"")</f>
        <v/>
      </c>
      <c r="O185" s="84" t="str">
        <f t="shared" si="2"/>
        <v/>
      </c>
    </row>
    <row r="186">
      <c r="A186" s="84"/>
      <c r="B186" s="84"/>
      <c r="C186" s="85"/>
      <c r="D186" s="86"/>
      <c r="E186" s="87"/>
      <c r="F186" s="86"/>
      <c r="G186" s="87"/>
      <c r="H186" s="86"/>
      <c r="I186" s="86"/>
      <c r="J186" s="86"/>
      <c r="K186" s="84"/>
      <c r="L186" s="84" t="str">
        <f>IFERROR(__xludf.DUMMYFUNCTION("IF(A186="""","""", COUNT(SPLIT(K186,"";"")))"),"")</f>
        <v/>
      </c>
      <c r="M186" s="84" t="str">
        <f t="shared" si="1"/>
        <v/>
      </c>
      <c r="N186" s="84" t="str">
        <f>IFERROR(__xludf.DUMMYFUNCTION("IFERROR(AVERAGE(query(INDIRECT(""'FR Table'!"" &amp; vlookup(rows($A$1:$A185),Reference!$O:$P,2,false) &amp; ""3:"" &amp; vlookup(rows($A$1:$A185),Reference!$O:$P,2,false)), 
""SELECT "" &amp; vlookup(rows($A$1:$A185),Reference!$O:$P,2,false) 
&amp; "" WHERE "" &amp; vlookup(row"&amp;"s($A$1:$A185),Reference!$O:$P,2,false) &amp;
"" &gt;= "" &amp; Reference!$R$2)) * M186,"""")"),"")</f>
        <v/>
      </c>
      <c r="O186" s="84" t="str">
        <f t="shared" si="2"/>
        <v/>
      </c>
    </row>
    <row r="187">
      <c r="A187" s="84"/>
      <c r="B187" s="84"/>
      <c r="C187" s="85"/>
      <c r="D187" s="86"/>
      <c r="E187" s="87"/>
      <c r="F187" s="86"/>
      <c r="G187" s="87"/>
      <c r="H187" s="86"/>
      <c r="I187" s="86"/>
      <c r="J187" s="86"/>
      <c r="K187" s="84"/>
      <c r="L187" s="84" t="str">
        <f>IFERROR(__xludf.DUMMYFUNCTION("IF(A187="""","""", COUNT(SPLIT(K187,"";"")))"),"")</f>
        <v/>
      </c>
      <c r="M187" s="84" t="str">
        <f t="shared" si="1"/>
        <v/>
      </c>
      <c r="N187" s="84" t="str">
        <f>IFERROR(__xludf.DUMMYFUNCTION("IFERROR(AVERAGE(query(INDIRECT(""'FR Table'!"" &amp; vlookup(rows($A$1:$A186),Reference!$O:$P,2,false) &amp; ""3:"" &amp; vlookup(rows($A$1:$A186),Reference!$O:$P,2,false)), 
""SELECT "" &amp; vlookup(rows($A$1:$A186),Reference!$O:$P,2,false) 
&amp; "" WHERE "" &amp; vlookup(row"&amp;"s($A$1:$A186),Reference!$O:$P,2,false) &amp;
"" &gt;= "" &amp; Reference!$R$2)) * M187,"""")"),"")</f>
        <v/>
      </c>
      <c r="O187" s="84" t="str">
        <f t="shared" si="2"/>
        <v/>
      </c>
    </row>
    <row r="188">
      <c r="A188" s="84"/>
      <c r="B188" s="84"/>
      <c r="C188" s="85"/>
      <c r="D188" s="86"/>
      <c r="E188" s="87"/>
      <c r="F188" s="86"/>
      <c r="G188" s="87"/>
      <c r="H188" s="86"/>
      <c r="I188" s="86"/>
      <c r="J188" s="86"/>
      <c r="K188" s="84"/>
      <c r="L188" s="84" t="str">
        <f>IFERROR(__xludf.DUMMYFUNCTION("IF(A188="""","""", COUNT(SPLIT(K188,"";"")))"),"")</f>
        <v/>
      </c>
      <c r="M188" s="84" t="str">
        <f t="shared" si="1"/>
        <v/>
      </c>
      <c r="N188" s="84" t="str">
        <f>IFERROR(__xludf.DUMMYFUNCTION("IFERROR(AVERAGE(query(INDIRECT(""'FR Table'!"" &amp; vlookup(rows($A$1:$A187),Reference!$O:$P,2,false) &amp; ""3:"" &amp; vlookup(rows($A$1:$A187),Reference!$O:$P,2,false)), 
""SELECT "" &amp; vlookup(rows($A$1:$A187),Reference!$O:$P,2,false) 
&amp; "" WHERE "" &amp; vlookup(row"&amp;"s($A$1:$A187),Reference!$O:$P,2,false) &amp;
"" &gt;= "" &amp; Reference!$R$2)) * M188,"""")"),"")</f>
        <v/>
      </c>
      <c r="O188" s="84" t="str">
        <f t="shared" si="2"/>
        <v/>
      </c>
    </row>
    <row r="189">
      <c r="A189" s="84"/>
      <c r="B189" s="84"/>
      <c r="C189" s="85"/>
      <c r="D189" s="86"/>
      <c r="E189" s="87"/>
      <c r="F189" s="86"/>
      <c r="G189" s="87"/>
      <c r="H189" s="86"/>
      <c r="I189" s="86"/>
      <c r="J189" s="86"/>
      <c r="K189" s="84"/>
      <c r="L189" s="84" t="str">
        <f>IFERROR(__xludf.DUMMYFUNCTION("IF(A189="""","""", COUNT(SPLIT(K189,"";"")))"),"")</f>
        <v/>
      </c>
      <c r="M189" s="84" t="str">
        <f t="shared" si="1"/>
        <v/>
      </c>
      <c r="N189" s="84" t="str">
        <f>IFERROR(__xludf.DUMMYFUNCTION("IFERROR(AVERAGE(query(INDIRECT(""'FR Table'!"" &amp; vlookup(rows($A$1:$A188),Reference!$O:$P,2,false) &amp; ""3:"" &amp; vlookup(rows($A$1:$A188),Reference!$O:$P,2,false)), 
""SELECT "" &amp; vlookup(rows($A$1:$A188),Reference!$O:$P,2,false) 
&amp; "" WHERE "" &amp; vlookup(row"&amp;"s($A$1:$A188),Reference!$O:$P,2,false) &amp;
"" &gt;= "" &amp; Reference!$R$2)) * M189,"""")"),"")</f>
        <v/>
      </c>
      <c r="O189" s="84" t="str">
        <f t="shared" si="2"/>
        <v/>
      </c>
    </row>
    <row r="190">
      <c r="A190" s="84"/>
      <c r="B190" s="84"/>
      <c r="C190" s="85"/>
      <c r="D190" s="86"/>
      <c r="E190" s="87"/>
      <c r="F190" s="86"/>
      <c r="G190" s="87"/>
      <c r="H190" s="86"/>
      <c r="I190" s="86"/>
      <c r="J190" s="86"/>
      <c r="K190" s="84"/>
      <c r="L190" s="84" t="str">
        <f>IFERROR(__xludf.DUMMYFUNCTION("IF(A190="""","""", COUNT(SPLIT(K190,"";"")))"),"")</f>
        <v/>
      </c>
      <c r="M190" s="84" t="str">
        <f t="shared" si="1"/>
        <v/>
      </c>
      <c r="N190" s="84" t="str">
        <f>IFERROR(__xludf.DUMMYFUNCTION("IFERROR(AVERAGE(query(INDIRECT(""'FR Table'!"" &amp; vlookup(rows($A$1:$A189),Reference!$O:$P,2,false) &amp; ""3:"" &amp; vlookup(rows($A$1:$A189),Reference!$O:$P,2,false)), 
""SELECT "" &amp; vlookup(rows($A$1:$A189),Reference!$O:$P,2,false) 
&amp; "" WHERE "" &amp; vlookup(row"&amp;"s($A$1:$A189),Reference!$O:$P,2,false) &amp;
"" &gt;= "" &amp; Reference!$R$2)) * M190,"""")"),"")</f>
        <v/>
      </c>
      <c r="O190" s="84" t="str">
        <f t="shared" si="2"/>
        <v/>
      </c>
    </row>
    <row r="191">
      <c r="A191" s="84"/>
      <c r="B191" s="84"/>
      <c r="C191" s="85"/>
      <c r="D191" s="86"/>
      <c r="E191" s="87"/>
      <c r="F191" s="86"/>
      <c r="G191" s="87"/>
      <c r="H191" s="86"/>
      <c r="I191" s="86"/>
      <c r="J191" s="86"/>
      <c r="K191" s="84"/>
      <c r="L191" s="84" t="str">
        <f>IFERROR(__xludf.DUMMYFUNCTION("IF(A191="""","""", COUNT(SPLIT(K191,"";"")))"),"")</f>
        <v/>
      </c>
      <c r="M191" s="84" t="str">
        <f t="shared" si="1"/>
        <v/>
      </c>
      <c r="N191" s="84" t="str">
        <f>IFERROR(__xludf.DUMMYFUNCTION("IFERROR(AVERAGE(query(INDIRECT(""'FR Table'!"" &amp; vlookup(rows($A$1:$A190),Reference!$O:$P,2,false) &amp; ""3:"" &amp; vlookup(rows($A$1:$A190),Reference!$O:$P,2,false)), 
""SELECT "" &amp; vlookup(rows($A$1:$A190),Reference!$O:$P,2,false) 
&amp; "" WHERE "" &amp; vlookup(row"&amp;"s($A$1:$A190),Reference!$O:$P,2,false) &amp;
"" &gt;= "" &amp; Reference!$R$2)) * M191,"""")"),"")</f>
        <v/>
      </c>
      <c r="O191" s="84" t="str">
        <f t="shared" si="2"/>
        <v/>
      </c>
    </row>
    <row r="192">
      <c r="A192" s="84"/>
      <c r="B192" s="84"/>
      <c r="C192" s="85"/>
      <c r="D192" s="86"/>
      <c r="E192" s="87"/>
      <c r="F192" s="86"/>
      <c r="G192" s="87"/>
      <c r="H192" s="86"/>
      <c r="I192" s="86"/>
      <c r="J192" s="86"/>
      <c r="K192" s="84"/>
      <c r="L192" s="84" t="str">
        <f>IFERROR(__xludf.DUMMYFUNCTION("IF(A192="""","""", COUNT(SPLIT(K192,"";"")))"),"")</f>
        <v/>
      </c>
      <c r="M192" s="84" t="str">
        <f t="shared" si="1"/>
        <v/>
      </c>
      <c r="N192" s="84" t="str">
        <f>IFERROR(__xludf.DUMMYFUNCTION("IFERROR(AVERAGE(query(INDIRECT(""'FR Table'!"" &amp; vlookup(rows($A$1:$A191),Reference!$O:$P,2,false) &amp; ""3:"" &amp; vlookup(rows($A$1:$A191),Reference!$O:$P,2,false)), 
""SELECT "" &amp; vlookup(rows($A$1:$A191),Reference!$O:$P,2,false) 
&amp; "" WHERE "" &amp; vlookup(row"&amp;"s($A$1:$A191),Reference!$O:$P,2,false) &amp;
"" &gt;= "" &amp; Reference!$R$2)) * M192,"""")"),"")</f>
        <v/>
      </c>
      <c r="O192" s="84" t="str">
        <f t="shared" si="2"/>
        <v/>
      </c>
    </row>
    <row r="193">
      <c r="A193" s="84"/>
      <c r="B193" s="84"/>
      <c r="C193" s="85"/>
      <c r="D193" s="86"/>
      <c r="E193" s="87"/>
      <c r="F193" s="86"/>
      <c r="G193" s="87"/>
      <c r="H193" s="86"/>
      <c r="I193" s="86"/>
      <c r="J193" s="86"/>
      <c r="K193" s="84"/>
      <c r="L193" s="84" t="str">
        <f>IFERROR(__xludf.DUMMYFUNCTION("IF(A193="""","""", COUNT(SPLIT(K193,"";"")))"),"")</f>
        <v/>
      </c>
      <c r="M193" s="84" t="str">
        <f t="shared" si="1"/>
        <v/>
      </c>
      <c r="N193" s="84" t="str">
        <f>IFERROR(__xludf.DUMMYFUNCTION("IFERROR(AVERAGE(query(INDIRECT(""'FR Table'!"" &amp; vlookup(rows($A$1:$A192),Reference!$O:$P,2,false) &amp; ""3:"" &amp; vlookup(rows($A$1:$A192),Reference!$O:$P,2,false)), 
""SELECT "" &amp; vlookup(rows($A$1:$A192),Reference!$O:$P,2,false) 
&amp; "" WHERE "" &amp; vlookup(row"&amp;"s($A$1:$A192),Reference!$O:$P,2,false) &amp;
"" &gt;= "" &amp; Reference!$R$2)) * M193,"""")"),"")</f>
        <v/>
      </c>
      <c r="O193" s="84" t="str">
        <f t="shared" si="2"/>
        <v/>
      </c>
    </row>
    <row r="194">
      <c r="A194" s="84"/>
      <c r="B194" s="84"/>
      <c r="C194" s="85"/>
      <c r="D194" s="86"/>
      <c r="E194" s="87"/>
      <c r="F194" s="86"/>
      <c r="G194" s="87"/>
      <c r="H194" s="86"/>
      <c r="I194" s="86"/>
      <c r="J194" s="86"/>
      <c r="K194" s="84"/>
      <c r="L194" s="84" t="str">
        <f>IFERROR(__xludf.DUMMYFUNCTION("IF(A194="""","""", COUNT(SPLIT(K194,"";"")))"),"")</f>
        <v/>
      </c>
      <c r="M194" s="84" t="str">
        <f t="shared" si="1"/>
        <v/>
      </c>
      <c r="N194" s="84" t="str">
        <f>IFERROR(__xludf.DUMMYFUNCTION("IFERROR(AVERAGE(query(INDIRECT(""'FR Table'!"" &amp; vlookup(rows($A$1:$A193),Reference!$O:$P,2,false) &amp; ""3:"" &amp; vlookup(rows($A$1:$A193),Reference!$O:$P,2,false)), 
""SELECT "" &amp; vlookup(rows($A$1:$A193),Reference!$O:$P,2,false) 
&amp; "" WHERE "" &amp; vlookup(row"&amp;"s($A$1:$A193),Reference!$O:$P,2,false) &amp;
"" &gt;= "" &amp; Reference!$R$2)) * M194,"""")"),"")</f>
        <v/>
      </c>
      <c r="O194" s="84" t="str">
        <f t="shared" si="2"/>
        <v/>
      </c>
    </row>
    <row r="195">
      <c r="A195" s="84"/>
      <c r="B195" s="84"/>
      <c r="C195" s="85"/>
      <c r="D195" s="86"/>
      <c r="E195" s="87"/>
      <c r="F195" s="86"/>
      <c r="G195" s="87"/>
      <c r="H195" s="86"/>
      <c r="I195" s="86"/>
      <c r="J195" s="86"/>
      <c r="K195" s="84"/>
      <c r="L195" s="84" t="str">
        <f>IFERROR(__xludf.DUMMYFUNCTION("IF(A195="""","""", COUNT(SPLIT(K195,"";"")))"),"")</f>
        <v/>
      </c>
      <c r="M195" s="84" t="str">
        <f t="shared" si="1"/>
        <v/>
      </c>
      <c r="N195" s="84" t="str">
        <f>IFERROR(__xludf.DUMMYFUNCTION("IFERROR(AVERAGE(query(INDIRECT(""'FR Table'!"" &amp; vlookup(rows($A$1:$A194),Reference!$O:$P,2,false) &amp; ""3:"" &amp; vlookup(rows($A$1:$A194),Reference!$O:$P,2,false)), 
""SELECT "" &amp; vlookup(rows($A$1:$A194),Reference!$O:$P,2,false) 
&amp; "" WHERE "" &amp; vlookup(row"&amp;"s($A$1:$A194),Reference!$O:$P,2,false) &amp;
"" &gt;= "" &amp; Reference!$R$2)) * M195,"""")"),"")</f>
        <v/>
      </c>
      <c r="O195" s="84" t="str">
        <f t="shared" si="2"/>
        <v/>
      </c>
    </row>
    <row r="196">
      <c r="A196" s="84"/>
      <c r="B196" s="84"/>
      <c r="C196" s="85"/>
      <c r="D196" s="86"/>
      <c r="E196" s="87"/>
      <c r="F196" s="86"/>
      <c r="G196" s="87"/>
      <c r="H196" s="86"/>
      <c r="I196" s="86"/>
      <c r="J196" s="86"/>
      <c r="K196" s="84"/>
      <c r="L196" s="84" t="str">
        <f>IFERROR(__xludf.DUMMYFUNCTION("IF(A196="""","""", COUNT(SPLIT(K196,"";"")))"),"")</f>
        <v/>
      </c>
      <c r="M196" s="84" t="str">
        <f t="shared" si="1"/>
        <v/>
      </c>
      <c r="N196" s="84" t="str">
        <f>IFERROR(__xludf.DUMMYFUNCTION("IFERROR(AVERAGE(query(INDIRECT(""'FR Table'!"" &amp; vlookup(rows($A$1:$A195),Reference!$O:$P,2,false) &amp; ""3:"" &amp; vlookup(rows($A$1:$A195),Reference!$O:$P,2,false)), 
""SELECT "" &amp; vlookup(rows($A$1:$A195),Reference!$O:$P,2,false) 
&amp; "" WHERE "" &amp; vlookup(row"&amp;"s($A$1:$A195),Reference!$O:$P,2,false) &amp;
"" &gt;= "" &amp; Reference!$R$2)) * M196,"""")"),"")</f>
        <v/>
      </c>
      <c r="O196" s="84" t="str">
        <f t="shared" si="2"/>
        <v/>
      </c>
    </row>
    <row r="197">
      <c r="A197" s="84"/>
      <c r="B197" s="84"/>
      <c r="C197" s="85"/>
      <c r="D197" s="86"/>
      <c r="E197" s="87"/>
      <c r="F197" s="86"/>
      <c r="G197" s="87"/>
      <c r="H197" s="86"/>
      <c r="I197" s="86"/>
      <c r="J197" s="86"/>
      <c r="K197" s="84"/>
      <c r="L197" s="84" t="str">
        <f>IFERROR(__xludf.DUMMYFUNCTION("IF(A197="""","""", COUNT(SPLIT(K197,"";"")))"),"")</f>
        <v/>
      </c>
      <c r="M197" s="84" t="str">
        <f t="shared" si="1"/>
        <v/>
      </c>
      <c r="N197" s="84" t="str">
        <f>IFERROR(__xludf.DUMMYFUNCTION("IFERROR(AVERAGE(query(INDIRECT(""'FR Table'!"" &amp; vlookup(rows($A$1:$A196),Reference!$O:$P,2,false) &amp; ""3:"" &amp; vlookup(rows($A$1:$A196),Reference!$O:$P,2,false)), 
""SELECT "" &amp; vlookup(rows($A$1:$A196),Reference!$O:$P,2,false) 
&amp; "" WHERE "" &amp; vlookup(row"&amp;"s($A$1:$A196),Reference!$O:$P,2,false) &amp;
"" &gt;= "" &amp; Reference!$R$2)) * M197,"""")"),"")</f>
        <v/>
      </c>
      <c r="O197" s="84" t="str">
        <f t="shared" si="2"/>
        <v/>
      </c>
    </row>
    <row r="198">
      <c r="A198" s="84"/>
      <c r="B198" s="84"/>
      <c r="C198" s="85"/>
      <c r="D198" s="86"/>
      <c r="E198" s="87"/>
      <c r="F198" s="86"/>
      <c r="G198" s="87"/>
      <c r="H198" s="86"/>
      <c r="I198" s="86"/>
      <c r="J198" s="86"/>
      <c r="K198" s="84"/>
      <c r="L198" s="84" t="str">
        <f>IFERROR(__xludf.DUMMYFUNCTION("IF(A198="""","""", COUNT(SPLIT(K198,"";"")))"),"")</f>
        <v/>
      </c>
      <c r="M198" s="84" t="str">
        <f t="shared" si="1"/>
        <v/>
      </c>
      <c r="N198" s="84" t="str">
        <f>IFERROR(__xludf.DUMMYFUNCTION("IFERROR(AVERAGE(query(INDIRECT(""'FR Table'!"" &amp; vlookup(rows($A$1:$A197),Reference!$O:$P,2,false) &amp; ""3:"" &amp; vlookup(rows($A$1:$A197),Reference!$O:$P,2,false)), 
""SELECT "" &amp; vlookup(rows($A$1:$A197),Reference!$O:$P,2,false) 
&amp; "" WHERE "" &amp; vlookup(row"&amp;"s($A$1:$A197),Reference!$O:$P,2,false) &amp;
"" &gt;= "" &amp; Reference!$R$2)) * M198,"""")"),"")</f>
        <v/>
      </c>
      <c r="O198" s="84" t="str">
        <f t="shared" si="2"/>
        <v/>
      </c>
    </row>
    <row r="199">
      <c r="A199" s="84"/>
      <c r="B199" s="84"/>
      <c r="C199" s="85"/>
      <c r="D199" s="86"/>
      <c r="E199" s="87"/>
      <c r="F199" s="86"/>
      <c r="G199" s="87"/>
      <c r="H199" s="86"/>
      <c r="I199" s="86"/>
      <c r="J199" s="86"/>
      <c r="K199" s="84"/>
      <c r="L199" s="84" t="str">
        <f>IFERROR(__xludf.DUMMYFUNCTION("IF(A199="""","""", COUNT(SPLIT(K199,"";"")))"),"")</f>
        <v/>
      </c>
      <c r="M199" s="84" t="str">
        <f t="shared" si="1"/>
        <v/>
      </c>
      <c r="N199" s="84" t="str">
        <f>IFERROR(__xludf.DUMMYFUNCTION("IFERROR(AVERAGE(query(INDIRECT(""'FR Table'!"" &amp; vlookup(rows($A$1:$A198),Reference!$O:$P,2,false) &amp; ""3:"" &amp; vlookup(rows($A$1:$A198),Reference!$O:$P,2,false)), 
""SELECT "" &amp; vlookup(rows($A$1:$A198),Reference!$O:$P,2,false) 
&amp; "" WHERE "" &amp; vlookup(row"&amp;"s($A$1:$A198),Reference!$O:$P,2,false) &amp;
"" &gt;= "" &amp; Reference!$R$2)) * M199,"""")"),"")</f>
        <v/>
      </c>
      <c r="O199" s="84" t="str">
        <f t="shared" si="2"/>
        <v/>
      </c>
    </row>
    <row r="200">
      <c r="A200" s="84"/>
      <c r="B200" s="84"/>
      <c r="C200" s="85"/>
      <c r="D200" s="86"/>
      <c r="E200" s="87"/>
      <c r="F200" s="86"/>
      <c r="G200" s="87"/>
      <c r="H200" s="86"/>
      <c r="I200" s="86"/>
      <c r="J200" s="86"/>
      <c r="K200" s="84"/>
      <c r="L200" s="84" t="str">
        <f>IFERROR(__xludf.DUMMYFUNCTION("IF(A200="""","""", COUNT(SPLIT(K200,"";"")))"),"")</f>
        <v/>
      </c>
      <c r="M200" s="84" t="str">
        <f t="shared" si="1"/>
        <v/>
      </c>
      <c r="N200" s="84" t="str">
        <f>IFERROR(__xludf.DUMMYFUNCTION("IFERROR(AVERAGE(query(INDIRECT(""'FR Table'!"" &amp; vlookup(rows($A$1:$A199),Reference!$O:$P,2,false) &amp; ""3:"" &amp; vlookup(rows($A$1:$A199),Reference!$O:$P,2,false)), 
""SELECT "" &amp; vlookup(rows($A$1:$A199),Reference!$O:$P,2,false) 
&amp; "" WHERE "" &amp; vlookup(row"&amp;"s($A$1:$A199),Reference!$O:$P,2,false) &amp;
"" &gt;= "" &amp; Reference!$R$2)) * M200,"""")"),"")</f>
        <v/>
      </c>
      <c r="O200" s="84" t="str">
        <f t="shared" si="2"/>
        <v/>
      </c>
    </row>
    <row r="201">
      <c r="A201" s="84"/>
      <c r="B201" s="84"/>
      <c r="C201" s="85"/>
      <c r="D201" s="86"/>
      <c r="E201" s="87"/>
      <c r="F201" s="86"/>
      <c r="G201" s="87"/>
      <c r="H201" s="86"/>
      <c r="I201" s="86"/>
      <c r="J201" s="86"/>
      <c r="K201" s="84"/>
      <c r="L201" s="84" t="str">
        <f>IFERROR(__xludf.DUMMYFUNCTION("IF(A201="""","""", COUNT(SPLIT(K201,"";"")))"),"")</f>
        <v/>
      </c>
      <c r="M201" s="84" t="str">
        <f t="shared" si="1"/>
        <v/>
      </c>
      <c r="N201" s="84" t="str">
        <f>IFERROR(__xludf.DUMMYFUNCTION("IFERROR(AVERAGE(query(INDIRECT(""'FR Table'!"" &amp; vlookup(rows($A$1:$A200),Reference!$O:$P,2,false) &amp; ""3:"" &amp; vlookup(rows($A$1:$A200),Reference!$O:$P,2,false)), 
""SELECT "" &amp; vlookup(rows($A$1:$A200),Reference!$O:$P,2,false) 
&amp; "" WHERE "" &amp; vlookup(row"&amp;"s($A$1:$A200),Reference!$O:$P,2,false) &amp;
"" &gt;= "" &amp; Reference!$R$2)) * M201,"""")"),"")</f>
        <v/>
      </c>
      <c r="O201" s="84" t="str">
        <f t="shared" si="2"/>
        <v/>
      </c>
    </row>
    <row r="202">
      <c r="A202" s="84"/>
      <c r="B202" s="84"/>
      <c r="C202" s="85"/>
      <c r="D202" s="86"/>
      <c r="E202" s="87"/>
      <c r="F202" s="86"/>
      <c r="G202" s="87"/>
      <c r="H202" s="86"/>
      <c r="I202" s="86"/>
      <c r="J202" s="86"/>
      <c r="K202" s="84"/>
      <c r="L202" s="84" t="str">
        <f>IFERROR(__xludf.DUMMYFUNCTION("IF(A202="""","""", COUNT(SPLIT(K202,"";"")))"),"")</f>
        <v/>
      </c>
      <c r="M202" s="84" t="str">
        <f t="shared" si="1"/>
        <v/>
      </c>
      <c r="N202" s="84" t="str">
        <f>IFERROR(__xludf.DUMMYFUNCTION("IFERROR(AVERAGE(query(INDIRECT(""'FR Table'!"" &amp; vlookup(rows($A$1:$A201),Reference!$O:$P,2,false) &amp; ""3:"" &amp; vlookup(rows($A$1:$A201),Reference!$O:$P,2,false)), 
""SELECT "" &amp; vlookup(rows($A$1:$A201),Reference!$O:$P,2,false) 
&amp; "" WHERE "" &amp; vlookup(row"&amp;"s($A$1:$A201),Reference!$O:$P,2,false) &amp;
"" &gt;= "" &amp; Reference!$R$2)) * M202,"""")"),"")</f>
        <v/>
      </c>
      <c r="O202" s="84" t="str">
        <f t="shared" si="2"/>
        <v/>
      </c>
    </row>
    <row r="203">
      <c r="A203" s="84"/>
      <c r="B203" s="84"/>
      <c r="C203" s="85"/>
      <c r="D203" s="86"/>
      <c r="E203" s="87"/>
      <c r="F203" s="86"/>
      <c r="G203" s="87"/>
      <c r="H203" s="86"/>
      <c r="I203" s="86"/>
      <c r="J203" s="86"/>
      <c r="K203" s="84"/>
      <c r="L203" s="84" t="str">
        <f>IFERROR(__xludf.DUMMYFUNCTION("IF(A203="""","""", COUNT(SPLIT(K203,"";"")))"),"")</f>
        <v/>
      </c>
      <c r="M203" s="84" t="str">
        <f t="shared" si="1"/>
        <v/>
      </c>
      <c r="N203" s="84" t="str">
        <f>IFERROR(__xludf.DUMMYFUNCTION("IFERROR(AVERAGE(query(INDIRECT(""'FR Table'!"" &amp; vlookup(rows($A$1:$A202),Reference!$O:$P,2,false) &amp; ""3:"" &amp; vlookup(rows($A$1:$A202),Reference!$O:$P,2,false)), 
""SELECT "" &amp; vlookup(rows($A$1:$A202),Reference!$O:$P,2,false) 
&amp; "" WHERE "" &amp; vlookup(row"&amp;"s($A$1:$A202),Reference!$O:$P,2,false) &amp;
"" &gt;= "" &amp; Reference!$R$2)) * M203,"""")"),"")</f>
        <v/>
      </c>
      <c r="O203" s="84" t="str">
        <f t="shared" si="2"/>
        <v/>
      </c>
    </row>
    <row r="204">
      <c r="A204" s="84"/>
      <c r="B204" s="84"/>
      <c r="C204" s="85"/>
      <c r="D204" s="86"/>
      <c r="E204" s="87"/>
      <c r="F204" s="86"/>
      <c r="G204" s="87"/>
      <c r="H204" s="86"/>
      <c r="I204" s="86"/>
      <c r="J204" s="86"/>
      <c r="K204" s="84"/>
      <c r="L204" s="84" t="str">
        <f>IFERROR(__xludf.DUMMYFUNCTION("IF(A204="""","""", COUNT(SPLIT(K204,"";"")))"),"")</f>
        <v/>
      </c>
      <c r="M204" s="84" t="str">
        <f t="shared" si="1"/>
        <v/>
      </c>
      <c r="N204" s="84" t="str">
        <f>IFERROR(__xludf.DUMMYFUNCTION("IFERROR(AVERAGE(query(INDIRECT(""'FR Table'!"" &amp; vlookup(rows($A$1:$A203),Reference!$O:$P,2,false) &amp; ""3:"" &amp; vlookup(rows($A$1:$A203),Reference!$O:$P,2,false)), 
""SELECT "" &amp; vlookup(rows($A$1:$A203),Reference!$O:$P,2,false) 
&amp; "" WHERE "" &amp; vlookup(row"&amp;"s($A$1:$A203),Reference!$O:$P,2,false) &amp;
"" &gt;= "" &amp; Reference!$R$2)) * M204,"""")"),"")</f>
        <v/>
      </c>
      <c r="O204" s="84" t="str">
        <f t="shared" si="2"/>
        <v/>
      </c>
    </row>
    <row r="205">
      <c r="A205" s="84"/>
      <c r="B205" s="84"/>
      <c r="C205" s="85"/>
      <c r="D205" s="86"/>
      <c r="E205" s="87"/>
      <c r="F205" s="86"/>
      <c r="G205" s="87"/>
      <c r="H205" s="86"/>
      <c r="I205" s="86"/>
      <c r="J205" s="86"/>
      <c r="K205" s="84"/>
      <c r="L205" s="84" t="str">
        <f>IFERROR(__xludf.DUMMYFUNCTION("IF(A205="""","""", COUNT(SPLIT(K205,"";"")))"),"")</f>
        <v/>
      </c>
      <c r="M205" s="84" t="str">
        <f t="shared" si="1"/>
        <v/>
      </c>
      <c r="N205" s="84" t="str">
        <f>IFERROR(__xludf.DUMMYFUNCTION("IFERROR(AVERAGE(query(INDIRECT(""'FR Table'!"" &amp; vlookup(rows($A$1:$A204),Reference!$O:$P,2,false) &amp; ""3:"" &amp; vlookup(rows($A$1:$A204),Reference!$O:$P,2,false)), 
""SELECT "" &amp; vlookup(rows($A$1:$A204),Reference!$O:$P,2,false) 
&amp; "" WHERE "" &amp; vlookup(row"&amp;"s($A$1:$A204),Reference!$O:$P,2,false) &amp;
"" &gt;= "" &amp; Reference!$R$2)) * M205,"""")"),"")</f>
        <v/>
      </c>
      <c r="O205" s="84" t="str">
        <f t="shared" si="2"/>
        <v/>
      </c>
    </row>
    <row r="206">
      <c r="A206" s="84"/>
      <c r="B206" s="84"/>
      <c r="C206" s="85"/>
      <c r="D206" s="86"/>
      <c r="E206" s="87"/>
      <c r="F206" s="86"/>
      <c r="G206" s="87"/>
      <c r="H206" s="86"/>
      <c r="I206" s="86"/>
      <c r="J206" s="86"/>
      <c r="K206" s="84"/>
      <c r="L206" s="84" t="str">
        <f>IFERROR(__xludf.DUMMYFUNCTION("IF(A206="""","""", COUNT(SPLIT(K206,"";"")))"),"")</f>
        <v/>
      </c>
      <c r="M206" s="84" t="str">
        <f t="shared" si="1"/>
        <v/>
      </c>
      <c r="N206" s="84" t="str">
        <f>IFERROR(__xludf.DUMMYFUNCTION("IFERROR(AVERAGE(query(INDIRECT(""'FR Table'!"" &amp; vlookup(rows($A$1:$A205),Reference!$O:$P,2,false) &amp; ""3:"" &amp; vlookup(rows($A$1:$A205),Reference!$O:$P,2,false)), 
""SELECT "" &amp; vlookup(rows($A$1:$A205),Reference!$O:$P,2,false) 
&amp; "" WHERE "" &amp; vlookup(row"&amp;"s($A$1:$A205),Reference!$O:$P,2,false) &amp;
"" &gt;= "" &amp; Reference!$R$2)) * M206,"""")"),"")</f>
        <v/>
      </c>
      <c r="O206" s="84" t="str">
        <f t="shared" si="2"/>
        <v/>
      </c>
    </row>
    <row r="207">
      <c r="A207" s="84"/>
      <c r="B207" s="84"/>
      <c r="C207" s="85"/>
      <c r="D207" s="86"/>
      <c r="E207" s="87"/>
      <c r="F207" s="86"/>
      <c r="G207" s="87"/>
      <c r="H207" s="86"/>
      <c r="I207" s="86"/>
      <c r="J207" s="86"/>
      <c r="K207" s="84"/>
      <c r="L207" s="84" t="str">
        <f>IFERROR(__xludf.DUMMYFUNCTION("IF(A207="""","""", COUNT(SPLIT(K207,"";"")))"),"")</f>
        <v/>
      </c>
      <c r="M207" s="84" t="str">
        <f t="shared" si="1"/>
        <v/>
      </c>
      <c r="N207" s="84" t="str">
        <f>IFERROR(__xludf.DUMMYFUNCTION("IFERROR(AVERAGE(query(INDIRECT(""'FR Table'!"" &amp; vlookup(rows($A$1:$A206),Reference!$O:$P,2,false) &amp; ""3:"" &amp; vlookup(rows($A$1:$A206),Reference!$O:$P,2,false)), 
""SELECT "" &amp; vlookup(rows($A$1:$A206),Reference!$O:$P,2,false) 
&amp; "" WHERE "" &amp; vlookup(row"&amp;"s($A$1:$A206),Reference!$O:$P,2,false) &amp;
"" &gt;= "" &amp; Reference!$R$2)) * M207,"""")"),"")</f>
        <v/>
      </c>
      <c r="O207" s="84" t="str">
        <f t="shared" si="2"/>
        <v/>
      </c>
    </row>
    <row r="208">
      <c r="A208" s="84"/>
      <c r="B208" s="84"/>
      <c r="C208" s="85"/>
      <c r="D208" s="86"/>
      <c r="E208" s="87"/>
      <c r="F208" s="86"/>
      <c r="G208" s="87"/>
      <c r="H208" s="86"/>
      <c r="I208" s="86"/>
      <c r="J208" s="86"/>
      <c r="K208" s="84"/>
      <c r="L208" s="84" t="str">
        <f>IFERROR(__xludf.DUMMYFUNCTION("IF(A208="""","""", COUNT(SPLIT(K208,"";"")))"),"")</f>
        <v/>
      </c>
      <c r="M208" s="84" t="str">
        <f t="shared" si="1"/>
        <v/>
      </c>
      <c r="N208" s="84" t="str">
        <f>IFERROR(__xludf.DUMMYFUNCTION("IFERROR(AVERAGE(query(INDIRECT(""'FR Table'!"" &amp; vlookup(rows($A$1:$A207),Reference!$O:$P,2,false) &amp; ""3:"" &amp; vlookup(rows($A$1:$A207),Reference!$O:$P,2,false)), 
""SELECT "" &amp; vlookup(rows($A$1:$A207),Reference!$O:$P,2,false) 
&amp; "" WHERE "" &amp; vlookup(row"&amp;"s($A$1:$A207),Reference!$O:$P,2,false) &amp;
"" &gt;= "" &amp; Reference!$R$2)) * M208,"""")"),"")</f>
        <v/>
      </c>
      <c r="O208" s="84" t="str">
        <f t="shared" si="2"/>
        <v/>
      </c>
    </row>
    <row r="209">
      <c r="A209" s="84"/>
      <c r="B209" s="84"/>
      <c r="C209" s="85"/>
      <c r="D209" s="86"/>
      <c r="E209" s="87"/>
      <c r="F209" s="86"/>
      <c r="G209" s="87"/>
      <c r="H209" s="86"/>
      <c r="I209" s="86"/>
      <c r="J209" s="86"/>
      <c r="K209" s="84"/>
      <c r="L209" s="84" t="str">
        <f>IFERROR(__xludf.DUMMYFUNCTION("IF(A209="""","""", COUNT(SPLIT(K209,"";"")))"),"")</f>
        <v/>
      </c>
      <c r="M209" s="84" t="str">
        <f t="shared" si="1"/>
        <v/>
      </c>
      <c r="N209" s="84" t="str">
        <f>IFERROR(__xludf.DUMMYFUNCTION("IFERROR(AVERAGE(query(INDIRECT(""'FR Table'!"" &amp; vlookup(rows($A$1:$A208),Reference!$O:$P,2,false) &amp; ""3:"" &amp; vlookup(rows($A$1:$A208),Reference!$O:$P,2,false)), 
""SELECT "" &amp; vlookup(rows($A$1:$A208),Reference!$O:$P,2,false) 
&amp; "" WHERE "" &amp; vlookup(row"&amp;"s($A$1:$A208),Reference!$O:$P,2,false) &amp;
"" &gt;= "" &amp; Reference!$R$2)) * M209,"""")"),"")</f>
        <v/>
      </c>
      <c r="O209" s="84" t="str">
        <f t="shared" si="2"/>
        <v/>
      </c>
    </row>
    <row r="210">
      <c r="A210" s="84"/>
      <c r="B210" s="84"/>
      <c r="C210" s="85"/>
      <c r="D210" s="86"/>
      <c r="E210" s="87"/>
      <c r="F210" s="86"/>
      <c r="G210" s="87"/>
      <c r="H210" s="86"/>
      <c r="I210" s="86"/>
      <c r="J210" s="86"/>
      <c r="K210" s="84"/>
      <c r="L210" s="84" t="str">
        <f>IFERROR(__xludf.DUMMYFUNCTION("IF(A210="""","""", COUNT(SPLIT(K210,"";"")))"),"")</f>
        <v/>
      </c>
      <c r="M210" s="84" t="str">
        <f t="shared" si="1"/>
        <v/>
      </c>
      <c r="N210" s="84" t="str">
        <f>IFERROR(__xludf.DUMMYFUNCTION("IFERROR(AVERAGE(query(INDIRECT(""'FR Table'!"" &amp; vlookup(rows($A$1:$A209),Reference!$O:$P,2,false) &amp; ""3:"" &amp; vlookup(rows($A$1:$A209),Reference!$O:$P,2,false)), 
""SELECT "" &amp; vlookup(rows($A$1:$A209),Reference!$O:$P,2,false) 
&amp; "" WHERE "" &amp; vlookup(row"&amp;"s($A$1:$A209),Reference!$O:$P,2,false) &amp;
"" &gt;= "" &amp; Reference!$R$2)) * M210,"""")"),"")</f>
        <v/>
      </c>
      <c r="O210" s="84" t="str">
        <f t="shared" si="2"/>
        <v/>
      </c>
    </row>
    <row r="211">
      <c r="A211" s="84"/>
      <c r="B211" s="84"/>
      <c r="C211" s="85"/>
      <c r="D211" s="86"/>
      <c r="E211" s="87"/>
      <c r="F211" s="86"/>
      <c r="G211" s="87"/>
      <c r="H211" s="86"/>
      <c r="I211" s="86"/>
      <c r="J211" s="86"/>
      <c r="K211" s="84"/>
      <c r="L211" s="84" t="str">
        <f>IFERROR(__xludf.DUMMYFUNCTION("IF(A211="""","""", COUNT(SPLIT(K211,"";"")))"),"")</f>
        <v/>
      </c>
      <c r="M211" s="84" t="str">
        <f t="shared" si="1"/>
        <v/>
      </c>
      <c r="N211" s="84" t="str">
        <f>IFERROR(__xludf.DUMMYFUNCTION("IFERROR(AVERAGE(query(INDIRECT(""'FR Table'!"" &amp; vlookup(rows($A$1:$A210),Reference!$O:$P,2,false) &amp; ""3:"" &amp; vlookup(rows($A$1:$A210),Reference!$O:$P,2,false)), 
""SELECT "" &amp; vlookup(rows($A$1:$A210),Reference!$O:$P,2,false) 
&amp; "" WHERE "" &amp; vlookup(row"&amp;"s($A$1:$A210),Reference!$O:$P,2,false) &amp;
"" &gt;= "" &amp; Reference!$R$2)) * M211,"""")"),"")</f>
        <v/>
      </c>
      <c r="O211" s="84" t="str">
        <f t="shared" si="2"/>
        <v/>
      </c>
    </row>
    <row r="212">
      <c r="A212" s="84"/>
      <c r="B212" s="84"/>
      <c r="C212" s="85"/>
      <c r="D212" s="86"/>
      <c r="E212" s="87"/>
      <c r="F212" s="86"/>
      <c r="G212" s="87"/>
      <c r="H212" s="86"/>
      <c r="I212" s="86"/>
      <c r="J212" s="86"/>
      <c r="K212" s="84"/>
      <c r="L212" s="84" t="str">
        <f>IFERROR(__xludf.DUMMYFUNCTION("IF(A212="""","""", COUNT(SPLIT(K212,"";"")))"),"")</f>
        <v/>
      </c>
      <c r="M212" s="84" t="str">
        <f t="shared" si="1"/>
        <v/>
      </c>
      <c r="N212" s="84" t="str">
        <f>IFERROR(__xludf.DUMMYFUNCTION("IFERROR(AVERAGE(query(INDIRECT(""'FR Table'!"" &amp; vlookup(rows($A$1:$A211),Reference!$O:$P,2,false) &amp; ""3:"" &amp; vlookup(rows($A$1:$A211),Reference!$O:$P,2,false)), 
""SELECT "" &amp; vlookup(rows($A$1:$A211),Reference!$O:$P,2,false) 
&amp; "" WHERE "" &amp; vlookup(row"&amp;"s($A$1:$A211),Reference!$O:$P,2,false) &amp;
"" &gt;= "" &amp; Reference!$R$2)) * M212,"""")"),"")</f>
        <v/>
      </c>
      <c r="O212" s="84" t="str">
        <f t="shared" si="2"/>
        <v/>
      </c>
    </row>
    <row r="213">
      <c r="A213" s="84"/>
      <c r="B213" s="84"/>
      <c r="C213" s="85"/>
      <c r="D213" s="86"/>
      <c r="E213" s="87"/>
      <c r="F213" s="86"/>
      <c r="G213" s="87"/>
      <c r="H213" s="86"/>
      <c r="I213" s="86"/>
      <c r="J213" s="86"/>
      <c r="K213" s="84"/>
      <c r="L213" s="84" t="str">
        <f>IFERROR(__xludf.DUMMYFUNCTION("IF(A213="""","""", COUNT(SPLIT(K213,"";"")))"),"")</f>
        <v/>
      </c>
      <c r="M213" s="84" t="str">
        <f t="shared" si="1"/>
        <v/>
      </c>
      <c r="N213" s="84" t="str">
        <f>IFERROR(__xludf.DUMMYFUNCTION("IFERROR(AVERAGE(query(INDIRECT(""'FR Table'!"" &amp; vlookup(rows($A$1:$A212),Reference!$O:$P,2,false) &amp; ""3:"" &amp; vlookup(rows($A$1:$A212),Reference!$O:$P,2,false)), 
""SELECT "" &amp; vlookup(rows($A$1:$A212),Reference!$O:$P,2,false) 
&amp; "" WHERE "" &amp; vlookup(row"&amp;"s($A$1:$A212),Reference!$O:$P,2,false) &amp;
"" &gt;= "" &amp; Reference!$R$2)) * M213,"""")"),"")</f>
        <v/>
      </c>
      <c r="O213" s="84" t="str">
        <f t="shared" si="2"/>
        <v/>
      </c>
    </row>
    <row r="214">
      <c r="A214" s="84"/>
      <c r="B214" s="84"/>
      <c r="C214" s="85"/>
      <c r="D214" s="86"/>
      <c r="E214" s="87"/>
      <c r="F214" s="86"/>
      <c r="G214" s="87"/>
      <c r="H214" s="86"/>
      <c r="I214" s="86"/>
      <c r="J214" s="86"/>
      <c r="K214" s="84"/>
      <c r="L214" s="84" t="str">
        <f>IFERROR(__xludf.DUMMYFUNCTION("IF(A214="""","""", COUNT(SPLIT(K214,"";"")))"),"")</f>
        <v/>
      </c>
      <c r="M214" s="84" t="str">
        <f t="shared" si="1"/>
        <v/>
      </c>
      <c r="N214" s="84" t="str">
        <f>IFERROR(__xludf.DUMMYFUNCTION("IFERROR(AVERAGE(query(INDIRECT(""'FR Table'!"" &amp; vlookup(rows($A$1:$A213),Reference!$O:$P,2,false) &amp; ""3:"" &amp; vlookup(rows($A$1:$A213),Reference!$O:$P,2,false)), 
""SELECT "" &amp; vlookup(rows($A$1:$A213),Reference!$O:$P,2,false) 
&amp; "" WHERE "" &amp; vlookup(row"&amp;"s($A$1:$A213),Reference!$O:$P,2,false) &amp;
"" &gt;= "" &amp; Reference!$R$2)) * M214,"""")"),"")</f>
        <v/>
      </c>
      <c r="O214" s="84" t="str">
        <f t="shared" si="2"/>
        <v/>
      </c>
    </row>
    <row r="215">
      <c r="A215" s="84"/>
      <c r="B215" s="84"/>
      <c r="C215" s="85"/>
      <c r="D215" s="86"/>
      <c r="E215" s="87"/>
      <c r="F215" s="86"/>
      <c r="G215" s="87"/>
      <c r="H215" s="86"/>
      <c r="I215" s="86"/>
      <c r="J215" s="86"/>
      <c r="K215" s="84"/>
      <c r="L215" s="84" t="str">
        <f>IFERROR(__xludf.DUMMYFUNCTION("IF(A215="""","""", COUNT(SPLIT(K215,"";"")))"),"")</f>
        <v/>
      </c>
      <c r="M215" s="84" t="str">
        <f t="shared" si="1"/>
        <v/>
      </c>
      <c r="N215" s="84" t="str">
        <f>IFERROR(__xludf.DUMMYFUNCTION("IFERROR(AVERAGE(query(INDIRECT(""'FR Table'!"" &amp; vlookup(rows($A$1:$A214),Reference!$O:$P,2,false) &amp; ""3:"" &amp; vlookup(rows($A$1:$A214),Reference!$O:$P,2,false)), 
""SELECT "" &amp; vlookup(rows($A$1:$A214),Reference!$O:$P,2,false) 
&amp; "" WHERE "" &amp; vlookup(row"&amp;"s($A$1:$A214),Reference!$O:$P,2,false) &amp;
"" &gt;= "" &amp; Reference!$R$2)) * M215,"""")"),"")</f>
        <v/>
      </c>
      <c r="O215" s="84" t="str">
        <f t="shared" si="2"/>
        <v/>
      </c>
    </row>
    <row r="216">
      <c r="A216" s="84"/>
      <c r="B216" s="84"/>
      <c r="C216" s="85"/>
      <c r="D216" s="86"/>
      <c r="E216" s="87"/>
      <c r="F216" s="86"/>
      <c r="G216" s="87"/>
      <c r="H216" s="86"/>
      <c r="I216" s="86"/>
      <c r="J216" s="86"/>
      <c r="K216" s="84"/>
      <c r="L216" s="84" t="str">
        <f>IFERROR(__xludf.DUMMYFUNCTION("IF(A216="""","""", COUNT(SPLIT(K216,"";"")))"),"")</f>
        <v/>
      </c>
      <c r="M216" s="84" t="str">
        <f t="shared" si="1"/>
        <v/>
      </c>
      <c r="N216" s="84" t="str">
        <f>IFERROR(__xludf.DUMMYFUNCTION("IFERROR(AVERAGE(query(INDIRECT(""'FR Table'!"" &amp; vlookup(rows($A$1:$A215),Reference!$O:$P,2,false) &amp; ""3:"" &amp; vlookup(rows($A$1:$A215),Reference!$O:$P,2,false)), 
""SELECT "" &amp; vlookup(rows($A$1:$A215),Reference!$O:$P,2,false) 
&amp; "" WHERE "" &amp; vlookup(row"&amp;"s($A$1:$A215),Reference!$O:$P,2,false) &amp;
"" &gt;= "" &amp; Reference!$R$2)) * M216,"""")"),"")</f>
        <v/>
      </c>
      <c r="O216" s="84" t="str">
        <f t="shared" si="2"/>
        <v/>
      </c>
    </row>
    <row r="217">
      <c r="A217" s="84"/>
      <c r="B217" s="84"/>
      <c r="C217" s="85"/>
      <c r="D217" s="86"/>
      <c r="E217" s="87"/>
      <c r="F217" s="86"/>
      <c r="G217" s="87"/>
      <c r="H217" s="86"/>
      <c r="I217" s="86"/>
      <c r="J217" s="86"/>
      <c r="K217" s="84"/>
      <c r="L217" s="84" t="str">
        <f>IFERROR(__xludf.DUMMYFUNCTION("IF(A217="""","""", COUNT(SPLIT(K217,"";"")))"),"")</f>
        <v/>
      </c>
      <c r="M217" s="84" t="str">
        <f t="shared" si="1"/>
        <v/>
      </c>
      <c r="N217" s="84" t="str">
        <f>IFERROR(__xludf.DUMMYFUNCTION("IFERROR(AVERAGE(query(INDIRECT(""'FR Table'!"" &amp; vlookup(rows($A$1:$A216),Reference!$O:$P,2,false) &amp; ""3:"" &amp; vlookup(rows($A$1:$A216),Reference!$O:$P,2,false)), 
""SELECT "" &amp; vlookup(rows($A$1:$A216),Reference!$O:$P,2,false) 
&amp; "" WHERE "" &amp; vlookup(row"&amp;"s($A$1:$A216),Reference!$O:$P,2,false) &amp;
"" &gt;= "" &amp; Reference!$R$2)) * M217,"""")"),"")</f>
        <v/>
      </c>
      <c r="O217" s="84" t="str">
        <f t="shared" si="2"/>
        <v/>
      </c>
    </row>
    <row r="218">
      <c r="A218" s="84"/>
      <c r="B218" s="84"/>
      <c r="C218" s="85"/>
      <c r="D218" s="86"/>
      <c r="E218" s="87"/>
      <c r="F218" s="86"/>
      <c r="G218" s="87"/>
      <c r="H218" s="86"/>
      <c r="I218" s="86"/>
      <c r="J218" s="86"/>
      <c r="K218" s="84"/>
      <c r="L218" s="84" t="str">
        <f>IFERROR(__xludf.DUMMYFUNCTION("IF(A218="""","""", COUNT(SPLIT(K218,"";"")))"),"")</f>
        <v/>
      </c>
      <c r="M218" s="84" t="str">
        <f t="shared" si="1"/>
        <v/>
      </c>
      <c r="N218" s="84" t="str">
        <f>IFERROR(__xludf.DUMMYFUNCTION("IFERROR(AVERAGE(query(INDIRECT(""'FR Table'!"" &amp; vlookup(rows($A$1:$A217),Reference!$O:$P,2,false) &amp; ""3:"" &amp; vlookup(rows($A$1:$A217),Reference!$O:$P,2,false)), 
""SELECT "" &amp; vlookup(rows($A$1:$A217),Reference!$O:$P,2,false) 
&amp; "" WHERE "" &amp; vlookup(row"&amp;"s($A$1:$A217),Reference!$O:$P,2,false) &amp;
"" &gt;= "" &amp; Reference!$R$2)) * M218,"""")"),"")</f>
        <v/>
      </c>
      <c r="O218" s="84" t="str">
        <f t="shared" si="2"/>
        <v/>
      </c>
    </row>
    <row r="219">
      <c r="A219" s="84"/>
      <c r="B219" s="84"/>
      <c r="C219" s="85"/>
      <c r="D219" s="86"/>
      <c r="E219" s="87"/>
      <c r="F219" s="86"/>
      <c r="G219" s="87"/>
      <c r="H219" s="86"/>
      <c r="I219" s="86"/>
      <c r="J219" s="86"/>
      <c r="K219" s="84"/>
      <c r="L219" s="84" t="str">
        <f>IFERROR(__xludf.DUMMYFUNCTION("IF(A219="""","""", COUNT(SPLIT(K219,"";"")))"),"")</f>
        <v/>
      </c>
      <c r="M219" s="84" t="str">
        <f t="shared" si="1"/>
        <v/>
      </c>
      <c r="N219" s="84" t="str">
        <f>IFERROR(__xludf.DUMMYFUNCTION("IFERROR(AVERAGE(query(INDIRECT(""'FR Table'!"" &amp; vlookup(rows($A$1:$A218),Reference!$O:$P,2,false) &amp; ""3:"" &amp; vlookup(rows($A$1:$A218),Reference!$O:$P,2,false)), 
""SELECT "" &amp; vlookup(rows($A$1:$A218),Reference!$O:$P,2,false) 
&amp; "" WHERE "" &amp; vlookup(row"&amp;"s($A$1:$A218),Reference!$O:$P,2,false) &amp;
"" &gt;= "" &amp; Reference!$R$2)) * M219,"""")"),"")</f>
        <v/>
      </c>
      <c r="O219" s="84" t="str">
        <f t="shared" si="2"/>
        <v/>
      </c>
    </row>
    <row r="220">
      <c r="A220" s="84"/>
      <c r="B220" s="84"/>
      <c r="C220" s="85"/>
      <c r="D220" s="86"/>
      <c r="E220" s="87"/>
      <c r="F220" s="86"/>
      <c r="G220" s="87"/>
      <c r="H220" s="86"/>
      <c r="I220" s="86"/>
      <c r="J220" s="86"/>
      <c r="K220" s="84"/>
      <c r="L220" s="84" t="str">
        <f>IFERROR(__xludf.DUMMYFUNCTION("IF(A220="""","""", COUNT(SPLIT(K220,"";"")))"),"")</f>
        <v/>
      </c>
      <c r="M220" s="84" t="str">
        <f t="shared" si="1"/>
        <v/>
      </c>
      <c r="N220" s="84" t="str">
        <f>IFERROR(__xludf.DUMMYFUNCTION("IFERROR(AVERAGE(query(INDIRECT(""'FR Table'!"" &amp; vlookup(rows($A$1:$A219),Reference!$O:$P,2,false) &amp; ""3:"" &amp; vlookup(rows($A$1:$A219),Reference!$O:$P,2,false)), 
""SELECT "" &amp; vlookup(rows($A$1:$A219),Reference!$O:$P,2,false) 
&amp; "" WHERE "" &amp; vlookup(row"&amp;"s($A$1:$A219),Reference!$O:$P,2,false) &amp;
"" &gt;= "" &amp; Reference!$R$2)) * M220,"""")"),"")</f>
        <v/>
      </c>
      <c r="O220" s="84" t="str">
        <f t="shared" si="2"/>
        <v/>
      </c>
    </row>
    <row r="221">
      <c r="A221" s="84"/>
      <c r="B221" s="84"/>
      <c r="C221" s="85"/>
      <c r="D221" s="86"/>
      <c r="E221" s="87"/>
      <c r="F221" s="86"/>
      <c r="G221" s="87"/>
      <c r="H221" s="86"/>
      <c r="I221" s="86"/>
      <c r="J221" s="86"/>
      <c r="K221" s="84"/>
      <c r="L221" s="84" t="str">
        <f>IFERROR(__xludf.DUMMYFUNCTION("IF(A221="""","""", COUNT(SPLIT(K221,"";"")))"),"")</f>
        <v/>
      </c>
      <c r="M221" s="84" t="str">
        <f t="shared" si="1"/>
        <v/>
      </c>
      <c r="N221" s="84" t="str">
        <f>IFERROR(__xludf.DUMMYFUNCTION("IFERROR(AVERAGE(query(INDIRECT(""'FR Table'!"" &amp; vlookup(rows($A$1:$A220),Reference!$O:$P,2,false) &amp; ""3:"" &amp; vlookup(rows($A$1:$A220),Reference!$O:$P,2,false)), 
""SELECT "" &amp; vlookup(rows($A$1:$A220),Reference!$O:$P,2,false) 
&amp; "" WHERE "" &amp; vlookup(row"&amp;"s($A$1:$A220),Reference!$O:$P,2,false) &amp;
"" &gt;= "" &amp; Reference!$R$2)) * M221,"""")"),"")</f>
        <v/>
      </c>
      <c r="O221" s="84" t="str">
        <f t="shared" si="2"/>
        <v/>
      </c>
    </row>
    <row r="222">
      <c r="A222" s="84"/>
      <c r="B222" s="84"/>
      <c r="C222" s="85"/>
      <c r="D222" s="86"/>
      <c r="E222" s="87"/>
      <c r="F222" s="86"/>
      <c r="G222" s="87"/>
      <c r="H222" s="86"/>
      <c r="I222" s="86"/>
      <c r="J222" s="86"/>
      <c r="K222" s="84"/>
      <c r="L222" s="84" t="str">
        <f>IFERROR(__xludf.DUMMYFUNCTION("IF(A222="""","""", COUNT(SPLIT(K222,"";"")))"),"")</f>
        <v/>
      </c>
      <c r="M222" s="84" t="str">
        <f t="shared" si="1"/>
        <v/>
      </c>
      <c r="N222" s="84" t="str">
        <f>IFERROR(__xludf.DUMMYFUNCTION("IFERROR(AVERAGE(query(INDIRECT(""'FR Table'!"" &amp; vlookup(rows($A$1:$A221),Reference!$O:$P,2,false) &amp; ""3:"" &amp; vlookup(rows($A$1:$A221),Reference!$O:$P,2,false)), 
""SELECT "" &amp; vlookup(rows($A$1:$A221),Reference!$O:$P,2,false) 
&amp; "" WHERE "" &amp; vlookup(row"&amp;"s($A$1:$A221),Reference!$O:$P,2,false) &amp;
"" &gt;= "" &amp; Reference!$R$2)) * M222,"""")"),"")</f>
        <v/>
      </c>
      <c r="O222" s="84" t="str">
        <f t="shared" si="2"/>
        <v/>
      </c>
    </row>
    <row r="223">
      <c r="A223" s="84"/>
      <c r="B223" s="84"/>
      <c r="C223" s="85"/>
      <c r="D223" s="86"/>
      <c r="E223" s="87"/>
      <c r="F223" s="86"/>
      <c r="G223" s="87"/>
      <c r="H223" s="86"/>
      <c r="I223" s="86"/>
      <c r="J223" s="86"/>
      <c r="K223" s="84"/>
      <c r="L223" s="84" t="str">
        <f>IFERROR(__xludf.DUMMYFUNCTION("IF(A223="""","""", COUNT(SPLIT(K223,"";"")))"),"")</f>
        <v/>
      </c>
      <c r="M223" s="84" t="str">
        <f t="shared" si="1"/>
        <v/>
      </c>
      <c r="N223" s="84" t="str">
        <f>IFERROR(__xludf.DUMMYFUNCTION("IFERROR(AVERAGE(query(INDIRECT(""'FR Table'!"" &amp; vlookup(rows($A$1:$A222),Reference!$O:$P,2,false) &amp; ""3:"" &amp; vlookup(rows($A$1:$A222),Reference!$O:$P,2,false)), 
""SELECT "" &amp; vlookup(rows($A$1:$A222),Reference!$O:$P,2,false) 
&amp; "" WHERE "" &amp; vlookup(row"&amp;"s($A$1:$A222),Reference!$O:$P,2,false) &amp;
"" &gt;= "" &amp; Reference!$R$2)) * M223,"""")"),"")</f>
        <v/>
      </c>
      <c r="O223" s="84" t="str">
        <f t="shared" si="2"/>
        <v/>
      </c>
    </row>
    <row r="224">
      <c r="A224" s="84"/>
      <c r="B224" s="84"/>
      <c r="C224" s="85"/>
      <c r="D224" s="86"/>
      <c r="E224" s="87"/>
      <c r="F224" s="86"/>
      <c r="G224" s="87"/>
      <c r="H224" s="86"/>
      <c r="I224" s="86"/>
      <c r="J224" s="86"/>
      <c r="K224" s="84"/>
      <c r="L224" s="84" t="str">
        <f>IFERROR(__xludf.DUMMYFUNCTION("IF(A224="""","""", COUNT(SPLIT(K224,"";"")))"),"")</f>
        <v/>
      </c>
      <c r="M224" s="84" t="str">
        <f t="shared" si="1"/>
        <v/>
      </c>
      <c r="N224" s="84" t="str">
        <f>IFERROR(__xludf.DUMMYFUNCTION("IFERROR(AVERAGE(query(INDIRECT(""'FR Table'!"" &amp; vlookup(rows($A$1:$A223),Reference!$O:$P,2,false) &amp; ""3:"" &amp; vlookup(rows($A$1:$A223),Reference!$O:$P,2,false)), 
""SELECT "" &amp; vlookup(rows($A$1:$A223),Reference!$O:$P,2,false) 
&amp; "" WHERE "" &amp; vlookup(row"&amp;"s($A$1:$A223),Reference!$O:$P,2,false) &amp;
"" &gt;= "" &amp; Reference!$R$2)) * M224,"""")"),"")</f>
        <v/>
      </c>
      <c r="O224" s="84" t="str">
        <f t="shared" si="2"/>
        <v/>
      </c>
    </row>
    <row r="225">
      <c r="A225" s="84"/>
      <c r="B225" s="84"/>
      <c r="C225" s="85"/>
      <c r="D225" s="86"/>
      <c r="E225" s="87"/>
      <c r="F225" s="86"/>
      <c r="G225" s="87"/>
      <c r="H225" s="86"/>
      <c r="I225" s="86"/>
      <c r="J225" s="86"/>
      <c r="K225" s="84"/>
      <c r="L225" s="84" t="str">
        <f>IFERROR(__xludf.DUMMYFUNCTION("IF(A225="""","""", COUNT(SPLIT(K225,"";"")))"),"")</f>
        <v/>
      </c>
      <c r="M225" s="84" t="str">
        <f t="shared" si="1"/>
        <v/>
      </c>
      <c r="N225" s="84" t="str">
        <f>IFERROR(__xludf.DUMMYFUNCTION("IFERROR(AVERAGE(query(INDIRECT(""'FR Table'!"" &amp; vlookup(rows($A$1:$A224),Reference!$O:$P,2,false) &amp; ""3:"" &amp; vlookup(rows($A$1:$A224),Reference!$O:$P,2,false)), 
""SELECT "" &amp; vlookup(rows($A$1:$A224),Reference!$O:$P,2,false) 
&amp; "" WHERE "" &amp; vlookup(row"&amp;"s($A$1:$A224),Reference!$O:$P,2,false) &amp;
"" &gt;= "" &amp; Reference!$R$2)) * M225,"""")"),"")</f>
        <v/>
      </c>
      <c r="O225" s="84" t="str">
        <f t="shared" si="2"/>
        <v/>
      </c>
    </row>
    <row r="226">
      <c r="A226" s="84"/>
      <c r="B226" s="84"/>
      <c r="C226" s="85"/>
      <c r="D226" s="86"/>
      <c r="E226" s="87"/>
      <c r="F226" s="86"/>
      <c r="G226" s="87"/>
      <c r="H226" s="86"/>
      <c r="I226" s="86"/>
      <c r="J226" s="86"/>
      <c r="K226" s="84"/>
      <c r="L226" s="84" t="str">
        <f>IFERROR(__xludf.DUMMYFUNCTION("IF(A226="""","""", COUNT(SPLIT(K226,"";"")))"),"")</f>
        <v/>
      </c>
      <c r="M226" s="84" t="str">
        <f t="shared" si="1"/>
        <v/>
      </c>
      <c r="N226" s="84" t="str">
        <f>IFERROR(__xludf.DUMMYFUNCTION("IFERROR(AVERAGE(query(INDIRECT(""'FR Table'!"" &amp; vlookup(rows($A$1:$A225),Reference!$O:$P,2,false) &amp; ""3:"" &amp; vlookup(rows($A$1:$A225),Reference!$O:$P,2,false)), 
""SELECT "" &amp; vlookup(rows($A$1:$A225),Reference!$O:$P,2,false) 
&amp; "" WHERE "" &amp; vlookup(row"&amp;"s($A$1:$A225),Reference!$O:$P,2,false) &amp;
"" &gt;= "" &amp; Reference!$R$2)) * M226,"""")"),"")</f>
        <v/>
      </c>
      <c r="O226" s="84" t="str">
        <f t="shared" si="2"/>
        <v/>
      </c>
    </row>
    <row r="227">
      <c r="A227" s="84"/>
      <c r="B227" s="84"/>
      <c r="C227" s="85"/>
      <c r="D227" s="86"/>
      <c r="E227" s="87"/>
      <c r="F227" s="86"/>
      <c r="G227" s="87"/>
      <c r="H227" s="86"/>
      <c r="I227" s="86"/>
      <c r="J227" s="86"/>
      <c r="K227" s="84"/>
      <c r="L227" s="84" t="str">
        <f>IFERROR(__xludf.DUMMYFUNCTION("IF(A227="""","""", COUNT(SPLIT(K227,"";"")))"),"")</f>
        <v/>
      </c>
      <c r="M227" s="84" t="str">
        <f t="shared" si="1"/>
        <v/>
      </c>
      <c r="N227" s="84" t="str">
        <f>IFERROR(__xludf.DUMMYFUNCTION("IFERROR(AVERAGE(query(INDIRECT(""'FR Table'!"" &amp; vlookup(rows($A$1:$A226),Reference!$O:$P,2,false) &amp; ""3:"" &amp; vlookup(rows($A$1:$A226),Reference!$O:$P,2,false)), 
""SELECT "" &amp; vlookup(rows($A$1:$A226),Reference!$O:$P,2,false) 
&amp; "" WHERE "" &amp; vlookup(row"&amp;"s($A$1:$A226),Reference!$O:$P,2,false) &amp;
"" &gt;= "" &amp; Reference!$R$2)) * M227,"""")"),"")</f>
        <v/>
      </c>
      <c r="O227" s="84" t="str">
        <f t="shared" si="2"/>
        <v/>
      </c>
    </row>
    <row r="228">
      <c r="A228" s="84"/>
      <c r="B228" s="84"/>
      <c r="C228" s="85"/>
      <c r="D228" s="86"/>
      <c r="E228" s="87"/>
      <c r="F228" s="86"/>
      <c r="G228" s="87"/>
      <c r="H228" s="86"/>
      <c r="I228" s="86"/>
      <c r="J228" s="86"/>
      <c r="K228" s="84"/>
      <c r="L228" s="84" t="str">
        <f>IFERROR(__xludf.DUMMYFUNCTION("IF(A228="""","""", COUNT(SPLIT(K228,"";"")))"),"")</f>
        <v/>
      </c>
      <c r="M228" s="84" t="str">
        <f t="shared" si="1"/>
        <v/>
      </c>
      <c r="N228" s="84" t="str">
        <f>IFERROR(__xludf.DUMMYFUNCTION("IFERROR(AVERAGE(query(INDIRECT(""'FR Table'!"" &amp; vlookup(rows($A$1:$A227),Reference!$O:$P,2,false) &amp; ""3:"" &amp; vlookup(rows($A$1:$A227),Reference!$O:$P,2,false)), 
""SELECT "" &amp; vlookup(rows($A$1:$A227),Reference!$O:$P,2,false) 
&amp; "" WHERE "" &amp; vlookup(row"&amp;"s($A$1:$A227),Reference!$O:$P,2,false) &amp;
"" &gt;= "" &amp; Reference!$R$2)) * M228,"""")"),"")</f>
        <v/>
      </c>
      <c r="O228" s="84" t="str">
        <f t="shared" si="2"/>
        <v/>
      </c>
    </row>
    <row r="229">
      <c r="A229" s="84"/>
      <c r="B229" s="84"/>
      <c r="C229" s="85"/>
      <c r="D229" s="86"/>
      <c r="E229" s="87"/>
      <c r="F229" s="86"/>
      <c r="G229" s="87"/>
      <c r="H229" s="86"/>
      <c r="I229" s="86"/>
      <c r="J229" s="86"/>
      <c r="K229" s="84"/>
      <c r="L229" s="84" t="str">
        <f>IFERROR(__xludf.DUMMYFUNCTION("IF(A229="""","""", COUNT(SPLIT(K229,"";"")))"),"")</f>
        <v/>
      </c>
      <c r="M229" s="84" t="str">
        <f t="shared" si="1"/>
        <v/>
      </c>
      <c r="N229" s="84" t="str">
        <f>IFERROR(__xludf.DUMMYFUNCTION("IFERROR(AVERAGE(query(INDIRECT(""'FR Table'!"" &amp; vlookup(rows($A$1:$A228),Reference!$O:$P,2,false) &amp; ""3:"" &amp; vlookup(rows($A$1:$A228),Reference!$O:$P,2,false)), 
""SELECT "" &amp; vlookup(rows($A$1:$A228),Reference!$O:$P,2,false) 
&amp; "" WHERE "" &amp; vlookup(row"&amp;"s($A$1:$A228),Reference!$O:$P,2,false) &amp;
"" &gt;= "" &amp; Reference!$R$2)) * M229,"""")"),"")</f>
        <v/>
      </c>
      <c r="O229" s="84" t="str">
        <f t="shared" si="2"/>
        <v/>
      </c>
    </row>
    <row r="230">
      <c r="A230" s="84"/>
      <c r="B230" s="84"/>
      <c r="C230" s="85"/>
      <c r="D230" s="86"/>
      <c r="E230" s="87"/>
      <c r="F230" s="86"/>
      <c r="G230" s="87"/>
      <c r="H230" s="86"/>
      <c r="I230" s="86"/>
      <c r="J230" s="86"/>
      <c r="K230" s="84"/>
      <c r="L230" s="84" t="str">
        <f>IFERROR(__xludf.DUMMYFUNCTION("IF(A230="""","""", COUNT(SPLIT(K230,"";"")))"),"")</f>
        <v/>
      </c>
      <c r="M230" s="84" t="str">
        <f t="shared" si="1"/>
        <v/>
      </c>
      <c r="N230" s="84" t="str">
        <f>IFERROR(__xludf.DUMMYFUNCTION("IFERROR(AVERAGE(query(INDIRECT(""'FR Table'!"" &amp; vlookup(rows($A$1:$A229),Reference!$O:$P,2,false) &amp; ""3:"" &amp; vlookup(rows($A$1:$A229),Reference!$O:$P,2,false)), 
""SELECT "" &amp; vlookup(rows($A$1:$A229),Reference!$O:$P,2,false) 
&amp; "" WHERE "" &amp; vlookup(row"&amp;"s($A$1:$A229),Reference!$O:$P,2,false) &amp;
"" &gt;= "" &amp; Reference!$R$2)) * M230,"""")"),"")</f>
        <v/>
      </c>
      <c r="O230" s="84" t="str">
        <f t="shared" si="2"/>
        <v/>
      </c>
    </row>
    <row r="231">
      <c r="A231" s="84"/>
      <c r="B231" s="84"/>
      <c r="C231" s="85"/>
      <c r="D231" s="86"/>
      <c r="E231" s="87"/>
      <c r="F231" s="86"/>
      <c r="G231" s="87"/>
      <c r="H231" s="86"/>
      <c r="I231" s="86"/>
      <c r="J231" s="86"/>
      <c r="K231" s="84"/>
      <c r="L231" s="84" t="str">
        <f>IFERROR(__xludf.DUMMYFUNCTION("IF(A231="""","""", COUNT(SPLIT(K231,"";"")))"),"")</f>
        <v/>
      </c>
      <c r="M231" s="84" t="str">
        <f t="shared" si="1"/>
        <v/>
      </c>
      <c r="N231" s="84" t="str">
        <f>IFERROR(__xludf.DUMMYFUNCTION("IFERROR(AVERAGE(query(INDIRECT(""'FR Table'!"" &amp; vlookup(rows($A$1:$A230),Reference!$O:$P,2,false) &amp; ""3:"" &amp; vlookup(rows($A$1:$A230),Reference!$O:$P,2,false)), 
""SELECT "" &amp; vlookup(rows($A$1:$A230),Reference!$O:$P,2,false) 
&amp; "" WHERE "" &amp; vlookup(row"&amp;"s($A$1:$A230),Reference!$O:$P,2,false) &amp;
"" &gt;= "" &amp; Reference!$R$2)) * M231,"""")"),"")</f>
        <v/>
      </c>
      <c r="O231" s="84" t="str">
        <f t="shared" si="2"/>
        <v/>
      </c>
    </row>
    <row r="232">
      <c r="A232" s="84"/>
      <c r="B232" s="84"/>
      <c r="C232" s="85"/>
      <c r="D232" s="86"/>
      <c r="E232" s="87"/>
      <c r="F232" s="86"/>
      <c r="G232" s="87"/>
      <c r="H232" s="86"/>
      <c r="I232" s="86"/>
      <c r="J232" s="86"/>
      <c r="K232" s="84"/>
      <c r="L232" s="84" t="str">
        <f>IFERROR(__xludf.DUMMYFUNCTION("IF(A232="""","""", COUNT(SPLIT(K232,"";"")))"),"")</f>
        <v/>
      </c>
      <c r="M232" s="84" t="str">
        <f t="shared" si="1"/>
        <v/>
      </c>
      <c r="N232" s="84" t="str">
        <f>IFERROR(__xludf.DUMMYFUNCTION("IFERROR(AVERAGE(query(INDIRECT(""'FR Table'!"" &amp; vlookup(rows($A$1:$A231),Reference!$O:$P,2,false) &amp; ""3:"" &amp; vlookup(rows($A$1:$A231),Reference!$O:$P,2,false)), 
""SELECT "" &amp; vlookup(rows($A$1:$A231),Reference!$O:$P,2,false) 
&amp; "" WHERE "" &amp; vlookup(row"&amp;"s($A$1:$A231),Reference!$O:$P,2,false) &amp;
"" &gt;= "" &amp; Reference!$R$2)) * M232,"""")"),"")</f>
        <v/>
      </c>
      <c r="O232" s="84" t="str">
        <f t="shared" si="2"/>
        <v/>
      </c>
    </row>
    <row r="233">
      <c r="A233" s="84"/>
      <c r="B233" s="84"/>
      <c r="C233" s="85"/>
      <c r="D233" s="86"/>
      <c r="E233" s="87"/>
      <c r="F233" s="86"/>
      <c r="G233" s="87"/>
      <c r="H233" s="86"/>
      <c r="I233" s="86"/>
      <c r="J233" s="86"/>
      <c r="K233" s="84"/>
      <c r="L233" s="84" t="str">
        <f>IFERROR(__xludf.DUMMYFUNCTION("IF(A233="""","""", COUNT(SPLIT(K233,"";"")))"),"")</f>
        <v/>
      </c>
      <c r="M233" s="84" t="str">
        <f t="shared" si="1"/>
        <v/>
      </c>
      <c r="N233" s="84" t="str">
        <f>IFERROR(__xludf.DUMMYFUNCTION("IFERROR(AVERAGE(query(INDIRECT(""'FR Table'!"" &amp; vlookup(rows($A$1:$A232),Reference!$O:$P,2,false) &amp; ""3:"" &amp; vlookup(rows($A$1:$A232),Reference!$O:$P,2,false)), 
""SELECT "" &amp; vlookup(rows($A$1:$A232),Reference!$O:$P,2,false) 
&amp; "" WHERE "" &amp; vlookup(row"&amp;"s($A$1:$A232),Reference!$O:$P,2,false) &amp;
"" &gt;= "" &amp; Reference!$R$2)) * M233,"""")"),"")</f>
        <v/>
      </c>
      <c r="O233" s="84" t="str">
        <f t="shared" si="2"/>
        <v/>
      </c>
    </row>
    <row r="234">
      <c r="A234" s="84"/>
      <c r="B234" s="84"/>
      <c r="C234" s="85"/>
      <c r="D234" s="86"/>
      <c r="E234" s="87"/>
      <c r="F234" s="86"/>
      <c r="G234" s="87"/>
      <c r="H234" s="86"/>
      <c r="I234" s="86"/>
      <c r="J234" s="86"/>
      <c r="K234" s="84"/>
      <c r="L234" s="84" t="str">
        <f>IFERROR(__xludf.DUMMYFUNCTION("IF(A234="""","""", COUNT(SPLIT(K234,"";"")))"),"")</f>
        <v/>
      </c>
      <c r="M234" s="84" t="str">
        <f t="shared" si="1"/>
        <v/>
      </c>
      <c r="N234" s="84" t="str">
        <f>IFERROR(__xludf.DUMMYFUNCTION("IFERROR(AVERAGE(query(INDIRECT(""'FR Table'!"" &amp; vlookup(rows($A$1:$A233),Reference!$O:$P,2,false) &amp; ""3:"" &amp; vlookup(rows($A$1:$A233),Reference!$O:$P,2,false)), 
""SELECT "" &amp; vlookup(rows($A$1:$A233),Reference!$O:$P,2,false) 
&amp; "" WHERE "" &amp; vlookup(row"&amp;"s($A$1:$A233),Reference!$O:$P,2,false) &amp;
"" &gt;= "" &amp; Reference!$R$2)) * M234,"""")"),"")</f>
        <v/>
      </c>
      <c r="O234" s="84" t="str">
        <f t="shared" si="2"/>
        <v/>
      </c>
    </row>
    <row r="235">
      <c r="A235" s="84"/>
      <c r="B235" s="84"/>
      <c r="C235" s="85"/>
      <c r="D235" s="86"/>
      <c r="E235" s="87"/>
      <c r="F235" s="86"/>
      <c r="G235" s="87"/>
      <c r="H235" s="86"/>
      <c r="I235" s="86"/>
      <c r="J235" s="86"/>
      <c r="K235" s="84"/>
      <c r="L235" s="84" t="str">
        <f>IFERROR(__xludf.DUMMYFUNCTION("IF(A235="""","""", COUNT(SPLIT(K235,"";"")))"),"")</f>
        <v/>
      </c>
      <c r="M235" s="84" t="str">
        <f t="shared" si="1"/>
        <v/>
      </c>
      <c r="N235" s="84" t="str">
        <f>IFERROR(__xludf.DUMMYFUNCTION("IFERROR(AVERAGE(query(INDIRECT(""'FR Table'!"" &amp; vlookup(rows($A$1:$A234),Reference!$O:$P,2,false) &amp; ""3:"" &amp; vlookup(rows($A$1:$A234),Reference!$O:$P,2,false)), 
""SELECT "" &amp; vlookup(rows($A$1:$A234),Reference!$O:$P,2,false) 
&amp; "" WHERE "" &amp; vlookup(row"&amp;"s($A$1:$A234),Reference!$O:$P,2,false) &amp;
"" &gt;= "" &amp; Reference!$R$2)) * M235,"""")"),"")</f>
        <v/>
      </c>
      <c r="O235" s="84" t="str">
        <f t="shared" si="2"/>
        <v/>
      </c>
    </row>
    <row r="236">
      <c r="A236" s="84"/>
      <c r="B236" s="84"/>
      <c r="C236" s="85"/>
      <c r="D236" s="86"/>
      <c r="E236" s="87"/>
      <c r="F236" s="86"/>
      <c r="G236" s="87"/>
      <c r="H236" s="86"/>
      <c r="I236" s="86"/>
      <c r="J236" s="86"/>
      <c r="K236" s="84"/>
      <c r="L236" s="84" t="str">
        <f>IFERROR(__xludf.DUMMYFUNCTION("IF(A236="""","""", COUNT(SPLIT(K236,"";"")))"),"")</f>
        <v/>
      </c>
      <c r="M236" s="84" t="str">
        <f t="shared" si="1"/>
        <v/>
      </c>
      <c r="N236" s="84" t="str">
        <f>IFERROR(__xludf.DUMMYFUNCTION("IFERROR(AVERAGE(query(INDIRECT(""'FR Table'!"" &amp; vlookup(rows($A$1:$A235),Reference!$O:$P,2,false) &amp; ""3:"" &amp; vlookup(rows($A$1:$A235),Reference!$O:$P,2,false)), 
""SELECT "" &amp; vlookup(rows($A$1:$A235),Reference!$O:$P,2,false) 
&amp; "" WHERE "" &amp; vlookup(row"&amp;"s($A$1:$A235),Reference!$O:$P,2,false) &amp;
"" &gt;= "" &amp; Reference!$R$2)) * M236,"""")"),"")</f>
        <v/>
      </c>
      <c r="O236" s="84" t="str">
        <f t="shared" si="2"/>
        <v/>
      </c>
    </row>
    <row r="237">
      <c r="A237" s="84"/>
      <c r="B237" s="84"/>
      <c r="C237" s="85"/>
      <c r="D237" s="86"/>
      <c r="E237" s="87"/>
      <c r="F237" s="86"/>
      <c r="G237" s="87"/>
      <c r="H237" s="86"/>
      <c r="I237" s="86"/>
      <c r="J237" s="86"/>
      <c r="K237" s="84"/>
      <c r="L237" s="84" t="str">
        <f>IFERROR(__xludf.DUMMYFUNCTION("IF(A237="""","""", COUNT(SPLIT(K237,"";"")))"),"")</f>
        <v/>
      </c>
      <c r="M237" s="84" t="str">
        <f t="shared" si="1"/>
        <v/>
      </c>
      <c r="N237" s="84" t="str">
        <f>IFERROR(__xludf.DUMMYFUNCTION("IFERROR(AVERAGE(query(INDIRECT(""'FR Table'!"" &amp; vlookup(rows($A$1:$A236),Reference!$O:$P,2,false) &amp; ""3:"" &amp; vlookup(rows($A$1:$A236),Reference!$O:$P,2,false)), 
""SELECT "" &amp; vlookup(rows($A$1:$A236),Reference!$O:$P,2,false) 
&amp; "" WHERE "" &amp; vlookup(row"&amp;"s($A$1:$A236),Reference!$O:$P,2,false) &amp;
"" &gt;= "" &amp; Reference!$R$2)) * M237,"""")"),"")</f>
        <v/>
      </c>
      <c r="O237" s="84" t="str">
        <f t="shared" si="2"/>
        <v/>
      </c>
    </row>
    <row r="238">
      <c r="A238" s="84"/>
      <c r="B238" s="84"/>
      <c r="C238" s="85"/>
      <c r="D238" s="86"/>
      <c r="E238" s="87"/>
      <c r="F238" s="86"/>
      <c r="G238" s="87"/>
      <c r="H238" s="86"/>
      <c r="I238" s="86"/>
      <c r="J238" s="86"/>
      <c r="K238" s="84"/>
      <c r="L238" s="84" t="str">
        <f>IFERROR(__xludf.DUMMYFUNCTION("IF(A238="""","""", COUNT(SPLIT(K238,"";"")))"),"")</f>
        <v/>
      </c>
      <c r="M238" s="84" t="str">
        <f t="shared" si="1"/>
        <v/>
      </c>
      <c r="N238" s="84" t="str">
        <f>IFERROR(__xludf.DUMMYFUNCTION("IFERROR(AVERAGE(query(INDIRECT(""'FR Table'!"" &amp; vlookup(rows($A$1:$A237),Reference!$O:$P,2,false) &amp; ""3:"" &amp; vlookup(rows($A$1:$A237),Reference!$O:$P,2,false)), 
""SELECT "" &amp; vlookup(rows($A$1:$A237),Reference!$O:$P,2,false) 
&amp; "" WHERE "" &amp; vlookup(row"&amp;"s($A$1:$A237),Reference!$O:$P,2,false) &amp;
"" &gt;= "" &amp; Reference!$R$2)) * M238,"""")"),"")</f>
        <v/>
      </c>
      <c r="O238" s="84" t="str">
        <f t="shared" si="2"/>
        <v/>
      </c>
    </row>
    <row r="239">
      <c r="A239" s="84"/>
      <c r="B239" s="84"/>
      <c r="C239" s="85"/>
      <c r="D239" s="86"/>
      <c r="E239" s="87"/>
      <c r="F239" s="86"/>
      <c r="G239" s="87"/>
      <c r="H239" s="86"/>
      <c r="I239" s="86"/>
      <c r="J239" s="86"/>
      <c r="K239" s="84"/>
      <c r="L239" s="84" t="str">
        <f>IFERROR(__xludf.DUMMYFUNCTION("IF(A239="""","""", COUNT(SPLIT(K239,"";"")))"),"")</f>
        <v/>
      </c>
      <c r="M239" s="84" t="str">
        <f t="shared" si="1"/>
        <v/>
      </c>
      <c r="N239" s="84" t="str">
        <f>IFERROR(__xludf.DUMMYFUNCTION("IFERROR(AVERAGE(query(INDIRECT(""'FR Table'!"" &amp; vlookup(rows($A$1:$A238),Reference!$O:$P,2,false) &amp; ""3:"" &amp; vlookup(rows($A$1:$A238),Reference!$O:$P,2,false)), 
""SELECT "" &amp; vlookup(rows($A$1:$A238),Reference!$O:$P,2,false) 
&amp; "" WHERE "" &amp; vlookup(row"&amp;"s($A$1:$A238),Reference!$O:$P,2,false) &amp;
"" &gt;= "" &amp; Reference!$R$2)) * M239,"""")"),"")</f>
        <v/>
      </c>
      <c r="O239" s="84" t="str">
        <f t="shared" si="2"/>
        <v/>
      </c>
    </row>
    <row r="240">
      <c r="A240" s="84"/>
      <c r="B240" s="84"/>
      <c r="C240" s="85"/>
      <c r="D240" s="86"/>
      <c r="E240" s="87"/>
      <c r="F240" s="86"/>
      <c r="G240" s="87"/>
      <c r="H240" s="86"/>
      <c r="I240" s="86"/>
      <c r="J240" s="86"/>
      <c r="K240" s="84"/>
      <c r="L240" s="84" t="str">
        <f>IFERROR(__xludf.DUMMYFUNCTION("IF(A240="""","""", COUNT(SPLIT(K240,"";"")))"),"")</f>
        <v/>
      </c>
      <c r="M240" s="84" t="str">
        <f t="shared" si="1"/>
        <v/>
      </c>
      <c r="N240" s="84" t="str">
        <f>IFERROR(__xludf.DUMMYFUNCTION("IFERROR(AVERAGE(query(INDIRECT(""'FR Table'!"" &amp; vlookup(rows($A$1:$A239),Reference!$O:$P,2,false) &amp; ""3:"" &amp; vlookup(rows($A$1:$A239),Reference!$O:$P,2,false)), 
""SELECT "" &amp; vlookup(rows($A$1:$A239),Reference!$O:$P,2,false) 
&amp; "" WHERE "" &amp; vlookup(row"&amp;"s($A$1:$A239),Reference!$O:$P,2,false) &amp;
"" &gt;= "" &amp; Reference!$R$2)) * M240,"""")"),"")</f>
        <v/>
      </c>
      <c r="O240" s="84" t="str">
        <f t="shared" si="2"/>
        <v/>
      </c>
    </row>
    <row r="241">
      <c r="A241" s="84"/>
      <c r="B241" s="84"/>
      <c r="C241" s="85"/>
      <c r="D241" s="86"/>
      <c r="E241" s="87"/>
      <c r="F241" s="86"/>
      <c r="G241" s="87"/>
      <c r="H241" s="86"/>
      <c r="I241" s="86"/>
      <c r="J241" s="86"/>
      <c r="K241" s="84"/>
      <c r="L241" s="84" t="str">
        <f>IFERROR(__xludf.DUMMYFUNCTION("IF(A241="""","""", COUNT(SPLIT(K241,"";"")))"),"")</f>
        <v/>
      </c>
      <c r="M241" s="84" t="str">
        <f t="shared" si="1"/>
        <v/>
      </c>
      <c r="N241" s="84" t="str">
        <f>IFERROR(__xludf.DUMMYFUNCTION("IFERROR(AVERAGE(query(INDIRECT(""'FR Table'!"" &amp; vlookup(rows($A$1:$A240),Reference!$O:$P,2,false) &amp; ""3:"" &amp; vlookup(rows($A$1:$A240),Reference!$O:$P,2,false)), 
""SELECT "" &amp; vlookup(rows($A$1:$A240),Reference!$O:$P,2,false) 
&amp; "" WHERE "" &amp; vlookup(row"&amp;"s($A$1:$A240),Reference!$O:$P,2,false) &amp;
"" &gt;= "" &amp; Reference!$R$2)) * M241,"""")"),"")</f>
        <v/>
      </c>
      <c r="O241" s="84" t="str">
        <f t="shared" si="2"/>
        <v/>
      </c>
    </row>
    <row r="242">
      <c r="A242" s="84"/>
      <c r="B242" s="84"/>
      <c r="C242" s="85"/>
      <c r="D242" s="86"/>
      <c r="E242" s="87"/>
      <c r="F242" s="86"/>
      <c r="G242" s="87"/>
      <c r="H242" s="86"/>
      <c r="I242" s="86"/>
      <c r="J242" s="86"/>
      <c r="K242" s="84"/>
      <c r="L242" s="84" t="str">
        <f>IFERROR(__xludf.DUMMYFUNCTION("IF(A242="""","""", COUNT(SPLIT(K242,"";"")))"),"")</f>
        <v/>
      </c>
      <c r="M242" s="84" t="str">
        <f t="shared" si="1"/>
        <v/>
      </c>
      <c r="N242" s="84" t="str">
        <f>IFERROR(__xludf.DUMMYFUNCTION("IFERROR(AVERAGE(query(INDIRECT(""'FR Table'!"" &amp; vlookup(rows($A$1:$A241),Reference!$O:$P,2,false) &amp; ""3:"" &amp; vlookup(rows($A$1:$A241),Reference!$O:$P,2,false)), 
""SELECT "" &amp; vlookup(rows($A$1:$A241),Reference!$O:$P,2,false) 
&amp; "" WHERE "" &amp; vlookup(row"&amp;"s($A$1:$A241),Reference!$O:$P,2,false) &amp;
"" &gt;= "" &amp; Reference!$R$2)) * M242,"""")"),"")</f>
        <v/>
      </c>
      <c r="O242" s="84" t="str">
        <f t="shared" si="2"/>
        <v/>
      </c>
    </row>
    <row r="243">
      <c r="A243" s="84"/>
      <c r="B243" s="84"/>
      <c r="C243" s="85"/>
      <c r="D243" s="86"/>
      <c r="E243" s="87"/>
      <c r="F243" s="86"/>
      <c r="G243" s="87"/>
      <c r="H243" s="86"/>
      <c r="I243" s="86"/>
      <c r="J243" s="86"/>
      <c r="K243" s="84"/>
      <c r="L243" s="84" t="str">
        <f>IFERROR(__xludf.DUMMYFUNCTION("IF(A243="""","""", COUNT(SPLIT(K243,"";"")))"),"")</f>
        <v/>
      </c>
      <c r="M243" s="84" t="str">
        <f t="shared" si="1"/>
        <v/>
      </c>
      <c r="N243" s="84" t="str">
        <f>IFERROR(__xludf.DUMMYFUNCTION("IFERROR(AVERAGE(query(INDIRECT(""'FR Table'!"" &amp; vlookup(rows($A$1:$A242),Reference!$O:$P,2,false) &amp; ""3:"" &amp; vlookup(rows($A$1:$A242),Reference!$O:$P,2,false)), 
""SELECT "" &amp; vlookup(rows($A$1:$A242),Reference!$O:$P,2,false) 
&amp; "" WHERE "" &amp; vlookup(row"&amp;"s($A$1:$A242),Reference!$O:$P,2,false) &amp;
"" &gt;= "" &amp; Reference!$R$2)) * M243,"""")"),"")</f>
        <v/>
      </c>
      <c r="O243" s="84" t="str">
        <f t="shared" si="2"/>
        <v/>
      </c>
    </row>
    <row r="244">
      <c r="A244" s="84"/>
      <c r="B244" s="84"/>
      <c r="C244" s="85"/>
      <c r="D244" s="86"/>
      <c r="E244" s="87"/>
      <c r="F244" s="86"/>
      <c r="G244" s="87"/>
      <c r="H244" s="86"/>
      <c r="I244" s="86"/>
      <c r="J244" s="86"/>
      <c r="K244" s="84"/>
      <c r="L244" s="84" t="str">
        <f>IFERROR(__xludf.DUMMYFUNCTION("IF(A244="""","""", COUNT(SPLIT(K244,"";"")))"),"")</f>
        <v/>
      </c>
      <c r="M244" s="84" t="str">
        <f t="shared" si="1"/>
        <v/>
      </c>
      <c r="N244" s="84" t="str">
        <f>IFERROR(__xludf.DUMMYFUNCTION("IFERROR(AVERAGE(query(INDIRECT(""'FR Table'!"" &amp; vlookup(rows($A$1:$A243),Reference!$O:$P,2,false) &amp; ""3:"" &amp; vlookup(rows($A$1:$A243),Reference!$O:$P,2,false)), 
""SELECT "" &amp; vlookup(rows($A$1:$A243),Reference!$O:$P,2,false) 
&amp; "" WHERE "" &amp; vlookup(row"&amp;"s($A$1:$A243),Reference!$O:$P,2,false) &amp;
"" &gt;= "" &amp; Reference!$R$2)) * M244,"""")"),"")</f>
        <v/>
      </c>
      <c r="O244" s="84" t="str">
        <f t="shared" si="2"/>
        <v/>
      </c>
    </row>
    <row r="245">
      <c r="A245" s="84"/>
      <c r="B245" s="84"/>
      <c r="C245" s="85"/>
      <c r="D245" s="86"/>
      <c r="E245" s="87"/>
      <c r="F245" s="86"/>
      <c r="G245" s="87"/>
      <c r="H245" s="86"/>
      <c r="I245" s="86"/>
      <c r="J245" s="86"/>
      <c r="K245" s="84"/>
      <c r="L245" s="84" t="str">
        <f>IFERROR(__xludf.DUMMYFUNCTION("IF(A245="""","""", COUNT(SPLIT(K245,"";"")))"),"")</f>
        <v/>
      </c>
      <c r="M245" s="84" t="str">
        <f t="shared" si="1"/>
        <v/>
      </c>
      <c r="N245" s="84" t="str">
        <f>IFERROR(__xludf.DUMMYFUNCTION("IFERROR(AVERAGE(query(INDIRECT(""'FR Table'!"" &amp; vlookup(rows($A$1:$A244),Reference!$O:$P,2,false) &amp; ""3:"" &amp; vlookup(rows($A$1:$A244),Reference!$O:$P,2,false)), 
""SELECT "" &amp; vlookup(rows($A$1:$A244),Reference!$O:$P,2,false) 
&amp; "" WHERE "" &amp; vlookup(row"&amp;"s($A$1:$A244),Reference!$O:$P,2,false) &amp;
"" &gt;= "" &amp; Reference!$R$2)) * M245,"""")"),"")</f>
        <v/>
      </c>
      <c r="O245" s="84" t="str">
        <f t="shared" si="2"/>
        <v/>
      </c>
    </row>
    <row r="246">
      <c r="A246" s="84"/>
      <c r="B246" s="84"/>
      <c r="C246" s="85"/>
      <c r="D246" s="86"/>
      <c r="E246" s="87"/>
      <c r="F246" s="86"/>
      <c r="G246" s="87"/>
      <c r="H246" s="86"/>
      <c r="I246" s="86"/>
      <c r="J246" s="86"/>
      <c r="K246" s="84"/>
      <c r="L246" s="84" t="str">
        <f>IFERROR(__xludf.DUMMYFUNCTION("IF(A246="""","""", COUNT(SPLIT(K246,"";"")))"),"")</f>
        <v/>
      </c>
      <c r="M246" s="84" t="str">
        <f t="shared" si="1"/>
        <v/>
      </c>
      <c r="N246" s="84" t="str">
        <f>IFERROR(__xludf.DUMMYFUNCTION("IFERROR(AVERAGE(query(INDIRECT(""'FR Table'!"" &amp; vlookup(rows($A$1:$A245),Reference!$O:$P,2,false) &amp; ""3:"" &amp; vlookup(rows($A$1:$A245),Reference!$O:$P,2,false)), 
""SELECT "" &amp; vlookup(rows($A$1:$A245),Reference!$O:$P,2,false) 
&amp; "" WHERE "" &amp; vlookup(row"&amp;"s($A$1:$A245),Reference!$O:$P,2,false) &amp;
"" &gt;= "" &amp; Reference!$R$2)) * M246,"""")"),"")</f>
        <v/>
      </c>
      <c r="O246" s="84" t="str">
        <f t="shared" si="2"/>
        <v/>
      </c>
    </row>
    <row r="247">
      <c r="A247" s="84"/>
      <c r="B247" s="84"/>
      <c r="C247" s="85"/>
      <c r="D247" s="86"/>
      <c r="E247" s="87"/>
      <c r="F247" s="86"/>
      <c r="G247" s="87"/>
      <c r="H247" s="86"/>
      <c r="I247" s="86"/>
      <c r="J247" s="86"/>
      <c r="K247" s="84"/>
      <c r="L247" s="84" t="str">
        <f>IFERROR(__xludf.DUMMYFUNCTION("IF(A247="""","""", COUNT(SPLIT(K247,"";"")))"),"")</f>
        <v/>
      </c>
      <c r="M247" s="84" t="str">
        <f t="shared" si="1"/>
        <v/>
      </c>
      <c r="N247" s="84" t="str">
        <f>IFERROR(__xludf.DUMMYFUNCTION("IFERROR(AVERAGE(query(INDIRECT(""'FR Table'!"" &amp; vlookup(rows($A$1:$A246),Reference!$O:$P,2,false) &amp; ""3:"" &amp; vlookup(rows($A$1:$A246),Reference!$O:$P,2,false)), 
""SELECT "" &amp; vlookup(rows($A$1:$A246),Reference!$O:$P,2,false) 
&amp; "" WHERE "" &amp; vlookup(row"&amp;"s($A$1:$A246),Reference!$O:$P,2,false) &amp;
"" &gt;= "" &amp; Reference!$R$2)) * M247,"""")"),"")</f>
        <v/>
      </c>
      <c r="O247" s="84" t="str">
        <f t="shared" si="2"/>
        <v/>
      </c>
    </row>
    <row r="248">
      <c r="A248" s="84"/>
      <c r="B248" s="84"/>
      <c r="C248" s="85"/>
      <c r="D248" s="86"/>
      <c r="E248" s="87"/>
      <c r="F248" s="86"/>
      <c r="G248" s="87"/>
      <c r="H248" s="86"/>
      <c r="I248" s="86"/>
      <c r="J248" s="86"/>
      <c r="K248" s="84"/>
      <c r="L248" s="84" t="str">
        <f>IFERROR(__xludf.DUMMYFUNCTION("IF(A248="""","""", COUNT(SPLIT(K248,"";"")))"),"")</f>
        <v/>
      </c>
      <c r="M248" s="84" t="str">
        <f t="shared" si="1"/>
        <v/>
      </c>
      <c r="N248" s="84" t="str">
        <f>IFERROR(__xludf.DUMMYFUNCTION("IFERROR(AVERAGE(query(INDIRECT(""'FR Table'!"" &amp; vlookup(rows($A$1:$A247),Reference!$O:$P,2,false) &amp; ""3:"" &amp; vlookup(rows($A$1:$A247),Reference!$O:$P,2,false)), 
""SELECT "" &amp; vlookup(rows($A$1:$A247),Reference!$O:$P,2,false) 
&amp; "" WHERE "" &amp; vlookup(row"&amp;"s($A$1:$A247),Reference!$O:$P,2,false) &amp;
"" &gt;= "" &amp; Reference!$R$2)) * M248,"""")"),"")</f>
        <v/>
      </c>
      <c r="O248" s="84" t="str">
        <f t="shared" si="2"/>
        <v/>
      </c>
    </row>
    <row r="249">
      <c r="A249" s="84"/>
      <c r="B249" s="84"/>
      <c r="C249" s="85"/>
      <c r="D249" s="86"/>
      <c r="E249" s="87"/>
      <c r="F249" s="86"/>
      <c r="G249" s="87"/>
      <c r="H249" s="86"/>
      <c r="I249" s="86"/>
      <c r="J249" s="86"/>
      <c r="K249" s="84"/>
      <c r="L249" s="84" t="str">
        <f>IFERROR(__xludf.DUMMYFUNCTION("IF(A249="""","""", COUNT(SPLIT(K249,"";"")))"),"")</f>
        <v/>
      </c>
      <c r="M249" s="84" t="str">
        <f t="shared" si="1"/>
        <v/>
      </c>
      <c r="N249" s="84" t="str">
        <f>IFERROR(__xludf.DUMMYFUNCTION("IFERROR(AVERAGE(query(INDIRECT(""'FR Table'!"" &amp; vlookup(rows($A$1:$A248),Reference!$O:$P,2,false) &amp; ""3:"" &amp; vlookup(rows($A$1:$A248),Reference!$O:$P,2,false)), 
""SELECT "" &amp; vlookup(rows($A$1:$A248),Reference!$O:$P,2,false) 
&amp; "" WHERE "" &amp; vlookup(row"&amp;"s($A$1:$A248),Reference!$O:$P,2,false) &amp;
"" &gt;= "" &amp; Reference!$R$2)) * M249,"""")"),"")</f>
        <v/>
      </c>
      <c r="O249" s="84" t="str">
        <f t="shared" si="2"/>
        <v/>
      </c>
    </row>
    <row r="250">
      <c r="A250" s="84"/>
      <c r="B250" s="84"/>
      <c r="C250" s="85"/>
      <c r="D250" s="86"/>
      <c r="E250" s="87"/>
      <c r="F250" s="86"/>
      <c r="G250" s="87"/>
      <c r="H250" s="86"/>
      <c r="I250" s="86"/>
      <c r="J250" s="86"/>
      <c r="K250" s="84"/>
      <c r="L250" s="84" t="str">
        <f>IFERROR(__xludf.DUMMYFUNCTION("IF(A250="""","""", COUNT(SPLIT(K250,"";"")))"),"")</f>
        <v/>
      </c>
      <c r="M250" s="84" t="str">
        <f t="shared" si="1"/>
        <v/>
      </c>
      <c r="N250" s="84" t="str">
        <f>IFERROR(__xludf.DUMMYFUNCTION("IFERROR(AVERAGE(query(INDIRECT(""'FR Table'!"" &amp; vlookup(rows($A$1:$A249),Reference!$O:$P,2,false) &amp; ""3:"" &amp; vlookup(rows($A$1:$A249),Reference!$O:$P,2,false)), 
""SELECT "" &amp; vlookup(rows($A$1:$A249),Reference!$O:$P,2,false) 
&amp; "" WHERE "" &amp; vlookup(row"&amp;"s($A$1:$A249),Reference!$O:$P,2,false) &amp;
"" &gt;= "" &amp; Reference!$R$2)) * M250,"""")"),"")</f>
        <v/>
      </c>
      <c r="O250" s="84" t="str">
        <f t="shared" si="2"/>
        <v/>
      </c>
    </row>
    <row r="251">
      <c r="A251" s="84"/>
      <c r="B251" s="84"/>
      <c r="C251" s="85"/>
      <c r="D251" s="86"/>
      <c r="E251" s="87"/>
      <c r="F251" s="86"/>
      <c r="G251" s="87"/>
      <c r="H251" s="86"/>
      <c r="I251" s="86"/>
      <c r="J251" s="86"/>
      <c r="K251" s="84"/>
      <c r="L251" s="84" t="str">
        <f>IFERROR(__xludf.DUMMYFUNCTION("IF(A251="""","""", COUNT(SPLIT(K251,"";"")))"),"")</f>
        <v/>
      </c>
      <c r="M251" s="84" t="str">
        <f t="shared" si="1"/>
        <v/>
      </c>
      <c r="N251" s="84" t="str">
        <f>IFERROR(__xludf.DUMMYFUNCTION("IFERROR(AVERAGE(query(INDIRECT(""'FR Table'!"" &amp; vlookup(rows($A$1:$A250),Reference!$O:$P,2,false) &amp; ""3:"" &amp; vlookup(rows($A$1:$A250),Reference!$O:$P,2,false)), 
""SELECT "" &amp; vlookup(rows($A$1:$A250),Reference!$O:$P,2,false) 
&amp; "" WHERE "" &amp; vlookup(row"&amp;"s($A$1:$A250),Reference!$O:$P,2,false) &amp;
"" &gt;= "" &amp; Reference!$R$2)) * M251,"""")"),"")</f>
        <v/>
      </c>
      <c r="O251" s="84" t="str">
        <f t="shared" si="2"/>
        <v/>
      </c>
    </row>
    <row r="252">
      <c r="A252" s="84"/>
      <c r="B252" s="84"/>
      <c r="C252" s="85"/>
      <c r="D252" s="86"/>
      <c r="E252" s="87"/>
      <c r="F252" s="86"/>
      <c r="G252" s="87"/>
      <c r="H252" s="86"/>
      <c r="I252" s="86"/>
      <c r="J252" s="86"/>
      <c r="K252" s="84"/>
      <c r="L252" s="84" t="str">
        <f>IFERROR(__xludf.DUMMYFUNCTION("IF(A252="""","""", COUNT(SPLIT(K252,"";"")))"),"")</f>
        <v/>
      </c>
      <c r="M252" s="84" t="str">
        <f t="shared" si="1"/>
        <v/>
      </c>
      <c r="N252" s="84" t="str">
        <f>IFERROR(__xludf.DUMMYFUNCTION("IFERROR(AVERAGE(query(INDIRECT(""'FR Table'!"" &amp; vlookup(rows($A$1:$A251),Reference!$O:$P,2,false) &amp; ""3:"" &amp; vlookup(rows($A$1:$A251),Reference!$O:$P,2,false)), 
""SELECT "" &amp; vlookup(rows($A$1:$A251),Reference!$O:$P,2,false) 
&amp; "" WHERE "" &amp; vlookup(row"&amp;"s($A$1:$A251),Reference!$O:$P,2,false) &amp;
"" &gt;= "" &amp; Reference!$R$2)) * M252,"""")"),"")</f>
        <v/>
      </c>
      <c r="O252" s="84" t="str">
        <f t="shared" si="2"/>
        <v/>
      </c>
    </row>
    <row r="253">
      <c r="A253" s="84"/>
      <c r="B253" s="84"/>
      <c r="C253" s="85"/>
      <c r="D253" s="86"/>
      <c r="E253" s="87"/>
      <c r="F253" s="86"/>
      <c r="G253" s="87"/>
      <c r="H253" s="86"/>
      <c r="I253" s="86"/>
      <c r="J253" s="86"/>
      <c r="K253" s="84"/>
      <c r="L253" s="84" t="str">
        <f>IFERROR(__xludf.DUMMYFUNCTION("IF(A253="""","""", COUNT(SPLIT(K253,"";"")))"),"")</f>
        <v/>
      </c>
      <c r="M253" s="84" t="str">
        <f t="shared" si="1"/>
        <v/>
      </c>
      <c r="N253" s="84" t="str">
        <f>IFERROR(__xludf.DUMMYFUNCTION("IFERROR(AVERAGE(query(INDIRECT(""'FR Table'!"" &amp; vlookup(rows($A$1:$A252),Reference!$O:$P,2,false) &amp; ""3:"" &amp; vlookup(rows($A$1:$A252),Reference!$O:$P,2,false)), 
""SELECT "" &amp; vlookup(rows($A$1:$A252),Reference!$O:$P,2,false) 
&amp; "" WHERE "" &amp; vlookup(row"&amp;"s($A$1:$A252),Reference!$O:$P,2,false) &amp;
"" &gt;= "" &amp; Reference!$R$2)) * M253,"""")"),"")</f>
        <v/>
      </c>
      <c r="O253" s="84" t="str">
        <f t="shared" si="2"/>
        <v/>
      </c>
    </row>
    <row r="254">
      <c r="A254" s="84"/>
      <c r="B254" s="84"/>
      <c r="C254" s="85"/>
      <c r="D254" s="86"/>
      <c r="E254" s="87"/>
      <c r="F254" s="86"/>
      <c r="G254" s="87"/>
      <c r="H254" s="86"/>
      <c r="I254" s="86"/>
      <c r="J254" s="86"/>
      <c r="K254" s="84"/>
      <c r="L254" s="84" t="str">
        <f>IFERROR(__xludf.DUMMYFUNCTION("IF(A254="""","""", COUNT(SPLIT(K254,"";"")))"),"")</f>
        <v/>
      </c>
      <c r="M254" s="84" t="str">
        <f t="shared" si="1"/>
        <v/>
      </c>
      <c r="N254" s="84" t="str">
        <f>IFERROR(__xludf.DUMMYFUNCTION("IFERROR(AVERAGE(query(INDIRECT(""'FR Table'!"" &amp; vlookup(rows($A$1:$A253),Reference!$O:$P,2,false) &amp; ""3:"" &amp; vlookup(rows($A$1:$A253),Reference!$O:$P,2,false)), 
""SELECT "" &amp; vlookup(rows($A$1:$A253),Reference!$O:$P,2,false) 
&amp; "" WHERE "" &amp; vlookup(row"&amp;"s($A$1:$A253),Reference!$O:$P,2,false) &amp;
"" &gt;= "" &amp; Reference!$R$2)) * M254,"""")"),"")</f>
        <v/>
      </c>
      <c r="O254" s="84" t="str">
        <f t="shared" si="2"/>
        <v/>
      </c>
    </row>
    <row r="255">
      <c r="A255" s="84"/>
      <c r="B255" s="84"/>
      <c r="C255" s="85"/>
      <c r="D255" s="86"/>
      <c r="E255" s="87"/>
      <c r="F255" s="86"/>
      <c r="G255" s="87"/>
      <c r="H255" s="86"/>
      <c r="I255" s="86"/>
      <c r="J255" s="86"/>
      <c r="K255" s="84"/>
      <c r="L255" s="84" t="str">
        <f>IFERROR(__xludf.DUMMYFUNCTION("IF(A255="""","""", COUNT(SPLIT(K255,"";"")))"),"")</f>
        <v/>
      </c>
      <c r="M255" s="84" t="str">
        <f t="shared" si="1"/>
        <v/>
      </c>
      <c r="N255" s="84" t="str">
        <f>IFERROR(__xludf.DUMMYFUNCTION("IFERROR(AVERAGE(query(INDIRECT(""'FR Table'!"" &amp; vlookup(rows($A$1:$A254),Reference!$O:$P,2,false) &amp; ""3:"" &amp; vlookup(rows($A$1:$A254),Reference!$O:$P,2,false)), 
""SELECT "" &amp; vlookup(rows($A$1:$A254),Reference!$O:$P,2,false) 
&amp; "" WHERE "" &amp; vlookup(row"&amp;"s($A$1:$A254),Reference!$O:$P,2,false) &amp;
"" &gt;= "" &amp; Reference!$R$2)) * M255,"""")"),"")</f>
        <v/>
      </c>
      <c r="O255" s="84" t="str">
        <f t="shared" si="2"/>
        <v/>
      </c>
    </row>
    <row r="256">
      <c r="A256" s="84"/>
      <c r="B256" s="84"/>
      <c r="C256" s="85"/>
      <c r="D256" s="86"/>
      <c r="E256" s="87"/>
      <c r="F256" s="86"/>
      <c r="G256" s="87"/>
      <c r="H256" s="86"/>
      <c r="I256" s="86"/>
      <c r="J256" s="86"/>
      <c r="K256" s="84"/>
      <c r="L256" s="84" t="str">
        <f>IFERROR(__xludf.DUMMYFUNCTION("IF(A256="""","""", COUNT(SPLIT(K256,"";"")))"),"")</f>
        <v/>
      </c>
      <c r="M256" s="84" t="str">
        <f t="shared" si="1"/>
        <v/>
      </c>
      <c r="N256" s="84" t="str">
        <f>IFERROR(__xludf.DUMMYFUNCTION("IFERROR(AVERAGE(query(INDIRECT(""'FR Table'!"" &amp; vlookup(rows($A$1:$A255),Reference!$O:$P,2,false) &amp; ""3:"" &amp; vlookup(rows($A$1:$A255),Reference!$O:$P,2,false)), 
""SELECT "" &amp; vlookup(rows($A$1:$A255),Reference!$O:$P,2,false) 
&amp; "" WHERE "" &amp; vlookup(row"&amp;"s($A$1:$A255),Reference!$O:$P,2,false) &amp;
"" &gt;= "" &amp; Reference!$R$2)) * M256,"""")"),"")</f>
        <v/>
      </c>
      <c r="O256" s="84" t="str">
        <f t="shared" si="2"/>
        <v/>
      </c>
    </row>
    <row r="257">
      <c r="A257" s="84"/>
      <c r="B257" s="84"/>
      <c r="C257" s="85"/>
      <c r="D257" s="86"/>
      <c r="E257" s="87"/>
      <c r="F257" s="86"/>
      <c r="G257" s="87"/>
      <c r="H257" s="86"/>
      <c r="I257" s="86"/>
      <c r="J257" s="86"/>
      <c r="K257" s="84"/>
      <c r="L257" s="84" t="str">
        <f>IFERROR(__xludf.DUMMYFUNCTION("IF(A257="""","""", COUNT(SPLIT(K257,"";"")))"),"")</f>
        <v/>
      </c>
      <c r="M257" s="84" t="str">
        <f t="shared" si="1"/>
        <v/>
      </c>
      <c r="N257" s="84" t="str">
        <f>IFERROR(__xludf.DUMMYFUNCTION("IFERROR(AVERAGE(query(INDIRECT(""'FR Table'!"" &amp; vlookup(rows($A$1:$A256),Reference!$O:$P,2,false) &amp; ""3:"" &amp; vlookup(rows($A$1:$A256),Reference!$O:$P,2,false)), 
""SELECT "" &amp; vlookup(rows($A$1:$A256),Reference!$O:$P,2,false) 
&amp; "" WHERE "" &amp; vlookup(row"&amp;"s($A$1:$A256),Reference!$O:$P,2,false) &amp;
"" &gt;= "" &amp; Reference!$R$2)) * M257,"""")"),"")</f>
        <v/>
      </c>
      <c r="O257" s="84" t="str">
        <f t="shared" si="2"/>
        <v/>
      </c>
    </row>
    <row r="258">
      <c r="A258" s="84"/>
      <c r="B258" s="84"/>
      <c r="C258" s="85"/>
      <c r="D258" s="86"/>
      <c r="E258" s="87"/>
      <c r="F258" s="86"/>
      <c r="G258" s="87"/>
      <c r="H258" s="86"/>
      <c r="I258" s="86"/>
      <c r="J258" s="86"/>
      <c r="K258" s="84"/>
      <c r="L258" s="84" t="str">
        <f>IFERROR(__xludf.DUMMYFUNCTION("IF(A258="""","""", COUNT(SPLIT(K258,"";"")))"),"")</f>
        <v/>
      </c>
      <c r="M258" s="84" t="str">
        <f t="shared" si="1"/>
        <v/>
      </c>
      <c r="N258" s="84" t="str">
        <f>IFERROR(__xludf.DUMMYFUNCTION("IFERROR(AVERAGE(query(INDIRECT(""'FR Table'!"" &amp; vlookup(rows($A$1:$A257),Reference!$O:$P,2,false) &amp; ""3:"" &amp; vlookup(rows($A$1:$A257),Reference!$O:$P,2,false)), 
""SELECT "" &amp; vlookup(rows($A$1:$A257),Reference!$O:$P,2,false) 
&amp; "" WHERE "" &amp; vlookup(row"&amp;"s($A$1:$A257),Reference!$O:$P,2,false) &amp;
"" &gt;= "" &amp; Reference!$R$2)) * M258,"""")"),"")</f>
        <v/>
      </c>
      <c r="O258" s="84" t="str">
        <f t="shared" si="2"/>
        <v/>
      </c>
    </row>
    <row r="259">
      <c r="A259" s="84"/>
      <c r="B259" s="84"/>
      <c r="C259" s="85"/>
      <c r="D259" s="86"/>
      <c r="E259" s="87"/>
      <c r="F259" s="86"/>
      <c r="G259" s="87"/>
      <c r="H259" s="86"/>
      <c r="I259" s="86"/>
      <c r="J259" s="86"/>
      <c r="K259" s="84"/>
      <c r="L259" s="84" t="str">
        <f>IFERROR(__xludf.DUMMYFUNCTION("IF(A259="""","""", COUNT(SPLIT(K259,"";"")))"),"")</f>
        <v/>
      </c>
      <c r="M259" s="84" t="str">
        <f t="shared" si="1"/>
        <v/>
      </c>
      <c r="N259" s="84" t="str">
        <f>IFERROR(__xludf.DUMMYFUNCTION("IFERROR(AVERAGE(query(INDIRECT(""'FR Table'!"" &amp; vlookup(rows($A$1:$A258),Reference!$O:$P,2,false) &amp; ""3:"" &amp; vlookup(rows($A$1:$A258),Reference!$O:$P,2,false)), 
""SELECT "" &amp; vlookup(rows($A$1:$A258),Reference!$O:$P,2,false) 
&amp; "" WHERE "" &amp; vlookup(row"&amp;"s($A$1:$A258),Reference!$O:$P,2,false) &amp;
"" &gt;= "" &amp; Reference!$R$2)) * M259,"""")"),"")</f>
        <v/>
      </c>
      <c r="O259" s="84" t="str">
        <f t="shared" si="2"/>
        <v/>
      </c>
    </row>
    <row r="260">
      <c r="A260" s="84"/>
      <c r="B260" s="84"/>
      <c r="C260" s="85"/>
      <c r="D260" s="86"/>
      <c r="E260" s="87"/>
      <c r="F260" s="86"/>
      <c r="G260" s="87"/>
      <c r="H260" s="86"/>
      <c r="I260" s="86"/>
      <c r="J260" s="86"/>
      <c r="K260" s="84"/>
      <c r="L260" s="84" t="str">
        <f>IFERROR(__xludf.DUMMYFUNCTION("IF(A260="""","""", COUNT(SPLIT(K260,"";"")))"),"")</f>
        <v/>
      </c>
      <c r="M260" s="84" t="str">
        <f t="shared" si="1"/>
        <v/>
      </c>
      <c r="N260" s="84" t="str">
        <f>IFERROR(__xludf.DUMMYFUNCTION("IFERROR(AVERAGE(query(INDIRECT(""'FR Table'!"" &amp; vlookup(rows($A$1:$A259),Reference!$O:$P,2,false) &amp; ""3:"" &amp; vlookup(rows($A$1:$A259),Reference!$O:$P,2,false)), 
""SELECT "" &amp; vlookup(rows($A$1:$A259),Reference!$O:$P,2,false) 
&amp; "" WHERE "" &amp; vlookup(row"&amp;"s($A$1:$A259),Reference!$O:$P,2,false) &amp;
"" &gt;= "" &amp; Reference!$R$2)) * M260,"""")"),"")</f>
        <v/>
      </c>
      <c r="O260" s="84" t="str">
        <f t="shared" si="2"/>
        <v/>
      </c>
    </row>
    <row r="261">
      <c r="A261" s="84"/>
      <c r="B261" s="84"/>
      <c r="C261" s="85"/>
      <c r="D261" s="86"/>
      <c r="E261" s="87"/>
      <c r="F261" s="86"/>
      <c r="G261" s="87"/>
      <c r="H261" s="86"/>
      <c r="I261" s="86"/>
      <c r="J261" s="86"/>
      <c r="K261" s="84"/>
      <c r="L261" s="84" t="str">
        <f>IFERROR(__xludf.DUMMYFUNCTION("IF(A261="""","""", COUNT(SPLIT(K261,"";"")))"),"")</f>
        <v/>
      </c>
      <c r="M261" s="84" t="str">
        <f t="shared" si="1"/>
        <v/>
      </c>
      <c r="N261" s="84" t="str">
        <f>IFERROR(__xludf.DUMMYFUNCTION("IFERROR(AVERAGE(query(INDIRECT(""'FR Table'!"" &amp; vlookup(rows($A$1:$A260),Reference!$O:$P,2,false) &amp; ""3:"" &amp; vlookup(rows($A$1:$A260),Reference!$O:$P,2,false)), 
""SELECT "" &amp; vlookup(rows($A$1:$A260),Reference!$O:$P,2,false) 
&amp; "" WHERE "" &amp; vlookup(row"&amp;"s($A$1:$A260),Reference!$O:$P,2,false) &amp;
"" &gt;= "" &amp; Reference!$R$2)) * M261,"""")"),"")</f>
        <v/>
      </c>
      <c r="O261" s="84" t="str">
        <f t="shared" si="2"/>
        <v/>
      </c>
    </row>
    <row r="262">
      <c r="A262" s="84"/>
      <c r="B262" s="84"/>
      <c r="C262" s="85"/>
      <c r="D262" s="86"/>
      <c r="E262" s="87"/>
      <c r="F262" s="86"/>
      <c r="G262" s="87"/>
      <c r="H262" s="86"/>
      <c r="I262" s="86"/>
      <c r="J262" s="86"/>
      <c r="K262" s="84"/>
      <c r="L262" s="84" t="str">
        <f>IFERROR(__xludf.DUMMYFUNCTION("IF(A262="""","""", COUNT(SPLIT(K262,"";"")))"),"")</f>
        <v/>
      </c>
      <c r="M262" s="84" t="str">
        <f t="shared" si="1"/>
        <v/>
      </c>
      <c r="N262" s="84" t="str">
        <f>IFERROR(__xludf.DUMMYFUNCTION("IFERROR(AVERAGE(query(INDIRECT(""'FR Table'!"" &amp; vlookup(rows($A$1:$A261),Reference!$O:$P,2,false) &amp; ""3:"" &amp; vlookup(rows($A$1:$A261),Reference!$O:$P,2,false)), 
""SELECT "" &amp; vlookup(rows($A$1:$A261),Reference!$O:$P,2,false) 
&amp; "" WHERE "" &amp; vlookup(row"&amp;"s($A$1:$A261),Reference!$O:$P,2,false) &amp;
"" &gt;= "" &amp; Reference!$R$2)) * M262,"""")"),"")</f>
        <v/>
      </c>
      <c r="O262" s="84" t="str">
        <f t="shared" si="2"/>
        <v/>
      </c>
    </row>
    <row r="263">
      <c r="A263" s="84"/>
      <c r="B263" s="84"/>
      <c r="C263" s="85"/>
      <c r="D263" s="86"/>
      <c r="E263" s="87"/>
      <c r="F263" s="86"/>
      <c r="G263" s="87"/>
      <c r="H263" s="86"/>
      <c r="I263" s="86"/>
      <c r="J263" s="86"/>
      <c r="K263" s="84"/>
      <c r="L263" s="84" t="str">
        <f>IFERROR(__xludf.DUMMYFUNCTION("IF(A263="""","""", COUNT(SPLIT(K263,"";"")))"),"")</f>
        <v/>
      </c>
      <c r="M263" s="84" t="str">
        <f t="shared" si="1"/>
        <v/>
      </c>
      <c r="N263" s="84" t="str">
        <f>IFERROR(__xludf.DUMMYFUNCTION("IFERROR(AVERAGE(query(INDIRECT(""'FR Table'!"" &amp; vlookup(rows($A$1:$A262),Reference!$O:$P,2,false) &amp; ""3:"" &amp; vlookup(rows($A$1:$A262),Reference!$O:$P,2,false)), 
""SELECT "" &amp; vlookup(rows($A$1:$A262),Reference!$O:$P,2,false) 
&amp; "" WHERE "" &amp; vlookup(row"&amp;"s($A$1:$A262),Reference!$O:$P,2,false) &amp;
"" &gt;= "" &amp; Reference!$R$2)) * M263,"""")"),"")</f>
        <v/>
      </c>
      <c r="O263" s="84" t="str">
        <f t="shared" si="2"/>
        <v/>
      </c>
    </row>
    <row r="264">
      <c r="A264" s="84"/>
      <c r="B264" s="84"/>
      <c r="C264" s="85"/>
      <c r="D264" s="86"/>
      <c r="E264" s="87"/>
      <c r="F264" s="86"/>
      <c r="G264" s="87"/>
      <c r="H264" s="86"/>
      <c r="I264" s="86"/>
      <c r="J264" s="86"/>
      <c r="K264" s="84"/>
      <c r="L264" s="84" t="str">
        <f>IFERROR(__xludf.DUMMYFUNCTION("IF(A264="""","""", COUNT(SPLIT(K264,"";"")))"),"")</f>
        <v/>
      </c>
      <c r="M264" s="84" t="str">
        <f t="shared" si="1"/>
        <v/>
      </c>
      <c r="N264" s="84" t="str">
        <f>IFERROR(__xludf.DUMMYFUNCTION("IFERROR(AVERAGE(query(INDIRECT(""'FR Table'!"" &amp; vlookup(rows($A$1:$A263),Reference!$O:$P,2,false) &amp; ""3:"" &amp; vlookup(rows($A$1:$A263),Reference!$O:$P,2,false)), 
""SELECT "" &amp; vlookup(rows($A$1:$A263),Reference!$O:$P,2,false) 
&amp; "" WHERE "" &amp; vlookup(row"&amp;"s($A$1:$A263),Reference!$O:$P,2,false) &amp;
"" &gt;= "" &amp; Reference!$R$2)) * M264,"""")"),"")</f>
        <v/>
      </c>
      <c r="O264" s="84" t="str">
        <f t="shared" si="2"/>
        <v/>
      </c>
    </row>
    <row r="265">
      <c r="A265" s="84"/>
      <c r="B265" s="84"/>
      <c r="C265" s="85"/>
      <c r="D265" s="86"/>
      <c r="E265" s="87"/>
      <c r="F265" s="86"/>
      <c r="G265" s="87"/>
      <c r="H265" s="86"/>
      <c r="I265" s="86"/>
      <c r="J265" s="86"/>
      <c r="K265" s="84"/>
      <c r="L265" s="84" t="str">
        <f>IFERROR(__xludf.DUMMYFUNCTION("IF(A265="""","""", COUNT(SPLIT(K265,"";"")))"),"")</f>
        <v/>
      </c>
      <c r="M265" s="84" t="str">
        <f t="shared" si="1"/>
        <v/>
      </c>
      <c r="N265" s="84" t="str">
        <f>IFERROR(__xludf.DUMMYFUNCTION("IFERROR(AVERAGE(query(INDIRECT(""'FR Table'!"" &amp; vlookup(rows($A$1:$A264),Reference!$O:$P,2,false) &amp; ""3:"" &amp; vlookup(rows($A$1:$A264),Reference!$O:$P,2,false)), 
""SELECT "" &amp; vlookup(rows($A$1:$A264),Reference!$O:$P,2,false) 
&amp; "" WHERE "" &amp; vlookup(row"&amp;"s($A$1:$A264),Reference!$O:$P,2,false) &amp;
"" &gt;= "" &amp; Reference!$R$2)) * M265,"""")"),"")</f>
        <v/>
      </c>
      <c r="O265" s="84" t="str">
        <f t="shared" si="2"/>
        <v/>
      </c>
    </row>
    <row r="266">
      <c r="A266" s="84"/>
      <c r="B266" s="84"/>
      <c r="C266" s="85"/>
      <c r="D266" s="86"/>
      <c r="E266" s="87"/>
      <c r="F266" s="86"/>
      <c r="G266" s="87"/>
      <c r="H266" s="86"/>
      <c r="I266" s="86"/>
      <c r="J266" s="86"/>
      <c r="K266" s="84"/>
      <c r="L266" s="84" t="str">
        <f>IFERROR(__xludf.DUMMYFUNCTION("IF(A266="""","""", COUNT(SPLIT(K266,"";"")))"),"")</f>
        <v/>
      </c>
      <c r="M266" s="84" t="str">
        <f t="shared" si="1"/>
        <v/>
      </c>
      <c r="N266" s="84" t="str">
        <f>IFERROR(__xludf.DUMMYFUNCTION("IFERROR(AVERAGE(query(INDIRECT(""'FR Table'!"" &amp; vlookup(rows($A$1:$A265),Reference!$O:$P,2,false) &amp; ""3:"" &amp; vlookup(rows($A$1:$A265),Reference!$O:$P,2,false)), 
""SELECT "" &amp; vlookup(rows($A$1:$A265),Reference!$O:$P,2,false) 
&amp; "" WHERE "" &amp; vlookup(row"&amp;"s($A$1:$A265),Reference!$O:$P,2,false) &amp;
"" &gt;= "" &amp; Reference!$R$2)) * M266,"""")"),"")</f>
        <v/>
      </c>
      <c r="O266" s="84" t="str">
        <f t="shared" si="2"/>
        <v/>
      </c>
    </row>
    <row r="267">
      <c r="A267" s="84"/>
      <c r="B267" s="84"/>
      <c r="C267" s="85"/>
      <c r="D267" s="86"/>
      <c r="E267" s="87"/>
      <c r="F267" s="86"/>
      <c r="G267" s="87"/>
      <c r="H267" s="86"/>
      <c r="I267" s="86"/>
      <c r="J267" s="86"/>
      <c r="K267" s="84"/>
      <c r="L267" s="84" t="str">
        <f>IFERROR(__xludf.DUMMYFUNCTION("IF(A267="""","""", COUNT(SPLIT(K267,"";"")))"),"")</f>
        <v/>
      </c>
      <c r="M267" s="84" t="str">
        <f t="shared" si="1"/>
        <v/>
      </c>
      <c r="N267" s="84" t="str">
        <f>IFERROR(__xludf.DUMMYFUNCTION("IFERROR(AVERAGE(query(INDIRECT(""'FR Table'!"" &amp; vlookup(rows($A$1:$A266),Reference!$O:$P,2,false) &amp; ""3:"" &amp; vlookup(rows($A$1:$A266),Reference!$O:$P,2,false)), 
""SELECT "" &amp; vlookup(rows($A$1:$A266),Reference!$O:$P,2,false) 
&amp; "" WHERE "" &amp; vlookup(row"&amp;"s($A$1:$A266),Reference!$O:$P,2,false) &amp;
"" &gt;= "" &amp; Reference!$R$2)) * M267,"""")"),"")</f>
        <v/>
      </c>
      <c r="O267" s="84" t="str">
        <f t="shared" si="2"/>
        <v/>
      </c>
    </row>
    <row r="268">
      <c r="A268" s="84"/>
      <c r="B268" s="84"/>
      <c r="C268" s="85"/>
      <c r="D268" s="86"/>
      <c r="E268" s="87"/>
      <c r="F268" s="86"/>
      <c r="G268" s="87"/>
      <c r="H268" s="86"/>
      <c r="I268" s="86"/>
      <c r="J268" s="86"/>
      <c r="K268" s="84"/>
      <c r="L268" s="84" t="str">
        <f>IFERROR(__xludf.DUMMYFUNCTION("IF(A268="""","""", COUNT(SPLIT(K268,"";"")))"),"")</f>
        <v/>
      </c>
      <c r="M268" s="84" t="str">
        <f t="shared" si="1"/>
        <v/>
      </c>
      <c r="N268" s="84" t="str">
        <f>IFERROR(__xludf.DUMMYFUNCTION("IFERROR(AVERAGE(query(INDIRECT(""'FR Table'!"" &amp; vlookup(rows($A$1:$A267),Reference!$O:$P,2,false) &amp; ""3:"" &amp; vlookup(rows($A$1:$A267),Reference!$O:$P,2,false)), 
""SELECT "" &amp; vlookup(rows($A$1:$A267),Reference!$O:$P,2,false) 
&amp; "" WHERE "" &amp; vlookup(row"&amp;"s($A$1:$A267),Reference!$O:$P,2,false) &amp;
"" &gt;= "" &amp; Reference!$R$2)) * M268,"""")"),"")</f>
        <v/>
      </c>
      <c r="O268" s="84" t="str">
        <f t="shared" si="2"/>
        <v/>
      </c>
    </row>
    <row r="269">
      <c r="A269" s="84"/>
      <c r="B269" s="84"/>
      <c r="C269" s="85"/>
      <c r="D269" s="86"/>
      <c r="E269" s="87"/>
      <c r="F269" s="86"/>
      <c r="G269" s="87"/>
      <c r="H269" s="86"/>
      <c r="I269" s="86"/>
      <c r="J269" s="86"/>
      <c r="K269" s="84"/>
      <c r="L269" s="84" t="str">
        <f>IFERROR(__xludf.DUMMYFUNCTION("IF(A269="""","""", COUNT(SPLIT(K269,"";"")))"),"")</f>
        <v/>
      </c>
      <c r="M269" s="84" t="str">
        <f t="shared" si="1"/>
        <v/>
      </c>
      <c r="N269" s="84" t="str">
        <f>IFERROR(__xludf.DUMMYFUNCTION("IFERROR(AVERAGE(query(INDIRECT(""'FR Table'!"" &amp; vlookup(rows($A$1:$A268),Reference!$O:$P,2,false) &amp; ""3:"" &amp; vlookup(rows($A$1:$A268),Reference!$O:$P,2,false)), 
""SELECT "" &amp; vlookup(rows($A$1:$A268),Reference!$O:$P,2,false) 
&amp; "" WHERE "" &amp; vlookup(row"&amp;"s($A$1:$A268),Reference!$O:$P,2,false) &amp;
"" &gt;= "" &amp; Reference!$R$2)) * M269,"""")"),"")</f>
        <v/>
      </c>
      <c r="O269" s="84" t="str">
        <f t="shared" si="2"/>
        <v/>
      </c>
    </row>
    <row r="270">
      <c r="A270" s="84"/>
      <c r="B270" s="84"/>
      <c r="C270" s="85"/>
      <c r="D270" s="86"/>
      <c r="E270" s="87"/>
      <c r="F270" s="86"/>
      <c r="G270" s="87"/>
      <c r="H270" s="86"/>
      <c r="I270" s="86"/>
      <c r="J270" s="86"/>
      <c r="K270" s="84"/>
      <c r="L270" s="84" t="str">
        <f>IFERROR(__xludf.DUMMYFUNCTION("IF(A270="""","""", COUNT(SPLIT(K270,"";"")))"),"")</f>
        <v/>
      </c>
      <c r="M270" s="84" t="str">
        <f t="shared" si="1"/>
        <v/>
      </c>
      <c r="N270" s="84" t="str">
        <f>IFERROR(__xludf.DUMMYFUNCTION("IFERROR(AVERAGE(query(INDIRECT(""'FR Table'!"" &amp; vlookup(rows($A$1:$A269),Reference!$O:$P,2,false) &amp; ""3:"" &amp; vlookup(rows($A$1:$A269),Reference!$O:$P,2,false)), 
""SELECT "" &amp; vlookup(rows($A$1:$A269),Reference!$O:$P,2,false) 
&amp; "" WHERE "" &amp; vlookup(row"&amp;"s($A$1:$A269),Reference!$O:$P,2,false) &amp;
"" &gt;= "" &amp; Reference!$R$2)) * M270,"""")"),"")</f>
        <v/>
      </c>
      <c r="O270" s="84" t="str">
        <f t="shared" si="2"/>
        <v/>
      </c>
    </row>
    <row r="271">
      <c r="A271" s="84"/>
      <c r="B271" s="84"/>
      <c r="C271" s="85"/>
      <c r="D271" s="86"/>
      <c r="E271" s="87"/>
      <c r="F271" s="86"/>
      <c r="G271" s="87"/>
      <c r="H271" s="86"/>
      <c r="I271" s="86"/>
      <c r="J271" s="86"/>
      <c r="K271" s="84"/>
      <c r="L271" s="84" t="str">
        <f>IFERROR(__xludf.DUMMYFUNCTION("IF(A271="""","""", COUNT(SPLIT(K271,"";"")))"),"")</f>
        <v/>
      </c>
      <c r="M271" s="84" t="str">
        <f t="shared" si="1"/>
        <v/>
      </c>
      <c r="N271" s="84" t="str">
        <f>IFERROR(__xludf.DUMMYFUNCTION("IFERROR(AVERAGE(query(INDIRECT(""'FR Table'!"" &amp; vlookup(rows($A$1:$A270),Reference!$O:$P,2,false) &amp; ""3:"" &amp; vlookup(rows($A$1:$A270),Reference!$O:$P,2,false)), 
""SELECT "" &amp; vlookup(rows($A$1:$A270),Reference!$O:$P,2,false) 
&amp; "" WHERE "" &amp; vlookup(row"&amp;"s($A$1:$A270),Reference!$O:$P,2,false) &amp;
"" &gt;= "" &amp; Reference!$R$2)) * M271,"""")"),"")</f>
        <v/>
      </c>
      <c r="O271" s="84" t="str">
        <f t="shared" si="2"/>
        <v/>
      </c>
    </row>
    <row r="272">
      <c r="A272" s="84"/>
      <c r="B272" s="84"/>
      <c r="C272" s="85"/>
      <c r="D272" s="86"/>
      <c r="E272" s="87"/>
      <c r="F272" s="86"/>
      <c r="G272" s="87"/>
      <c r="H272" s="86"/>
      <c r="I272" s="86"/>
      <c r="J272" s="86"/>
      <c r="K272" s="84"/>
      <c r="L272" s="84" t="str">
        <f>IFERROR(__xludf.DUMMYFUNCTION("IF(A272="""","""", COUNT(SPLIT(K272,"";"")))"),"")</f>
        <v/>
      </c>
      <c r="M272" s="84" t="str">
        <f t="shared" si="1"/>
        <v/>
      </c>
      <c r="N272" s="84" t="str">
        <f>IFERROR(__xludf.DUMMYFUNCTION("IFERROR(AVERAGE(query(INDIRECT(""'FR Table'!"" &amp; vlookup(rows($A$1:$A271),Reference!$O:$P,2,false) &amp; ""3:"" &amp; vlookup(rows($A$1:$A271),Reference!$O:$P,2,false)), 
""SELECT "" &amp; vlookup(rows($A$1:$A271),Reference!$O:$P,2,false) 
&amp; "" WHERE "" &amp; vlookup(row"&amp;"s($A$1:$A271),Reference!$O:$P,2,false) &amp;
"" &gt;= "" &amp; Reference!$R$2)) * M272,"""")"),"")</f>
        <v/>
      </c>
      <c r="O272" s="84" t="str">
        <f t="shared" si="2"/>
        <v/>
      </c>
    </row>
    <row r="273">
      <c r="A273" s="84"/>
      <c r="B273" s="84"/>
      <c r="C273" s="85"/>
      <c r="D273" s="86"/>
      <c r="E273" s="87"/>
      <c r="F273" s="86"/>
      <c r="G273" s="87"/>
      <c r="H273" s="86"/>
      <c r="I273" s="86"/>
      <c r="J273" s="86"/>
      <c r="K273" s="84"/>
      <c r="L273" s="84" t="str">
        <f>IFERROR(__xludf.DUMMYFUNCTION("IF(A273="""","""", COUNT(SPLIT(K273,"";"")))"),"")</f>
        <v/>
      </c>
      <c r="M273" s="84" t="str">
        <f t="shared" si="1"/>
        <v/>
      </c>
      <c r="N273" s="84" t="str">
        <f>IFERROR(__xludf.DUMMYFUNCTION("IFERROR(AVERAGE(query(INDIRECT(""'FR Table'!"" &amp; vlookup(rows($A$1:$A272),Reference!$O:$P,2,false) &amp; ""3:"" &amp; vlookup(rows($A$1:$A272),Reference!$O:$P,2,false)), 
""SELECT "" &amp; vlookup(rows($A$1:$A272),Reference!$O:$P,2,false) 
&amp; "" WHERE "" &amp; vlookup(row"&amp;"s($A$1:$A272),Reference!$O:$P,2,false) &amp;
"" &gt;= "" &amp; Reference!$R$2)) * M273,"""")"),"")</f>
        <v/>
      </c>
      <c r="O273" s="84" t="str">
        <f t="shared" si="2"/>
        <v/>
      </c>
    </row>
    <row r="274">
      <c r="A274" s="84"/>
      <c r="B274" s="84"/>
      <c r="C274" s="85"/>
      <c r="D274" s="86"/>
      <c r="E274" s="87"/>
      <c r="F274" s="86"/>
      <c r="G274" s="87"/>
      <c r="H274" s="86"/>
      <c r="I274" s="86"/>
      <c r="J274" s="86"/>
      <c r="K274" s="84"/>
      <c r="L274" s="84" t="str">
        <f>IFERROR(__xludf.DUMMYFUNCTION("IF(A274="""","""", COUNT(SPLIT(K274,"";"")))"),"")</f>
        <v/>
      </c>
      <c r="M274" s="84" t="str">
        <f t="shared" si="1"/>
        <v/>
      </c>
      <c r="N274" s="84" t="str">
        <f>IFERROR(__xludf.DUMMYFUNCTION("IFERROR(AVERAGE(query(INDIRECT(""'FR Table'!"" &amp; vlookup(rows($A$1:$A273),Reference!$O:$P,2,false) &amp; ""3:"" &amp; vlookup(rows($A$1:$A273),Reference!$O:$P,2,false)), 
""SELECT "" &amp; vlookup(rows($A$1:$A273),Reference!$O:$P,2,false) 
&amp; "" WHERE "" &amp; vlookup(row"&amp;"s($A$1:$A273),Reference!$O:$P,2,false) &amp;
"" &gt;= "" &amp; Reference!$R$2)) * M274,"""")"),"")</f>
        <v/>
      </c>
      <c r="O274" s="84" t="str">
        <f t="shared" si="2"/>
        <v/>
      </c>
    </row>
    <row r="275">
      <c r="A275" s="84"/>
      <c r="B275" s="84"/>
      <c r="C275" s="85"/>
      <c r="D275" s="86"/>
      <c r="E275" s="87"/>
      <c r="F275" s="86"/>
      <c r="G275" s="87"/>
      <c r="H275" s="86"/>
      <c r="I275" s="86"/>
      <c r="J275" s="86"/>
      <c r="K275" s="84"/>
      <c r="L275" s="84" t="str">
        <f>IFERROR(__xludf.DUMMYFUNCTION("IF(A275="""","""", COUNT(SPLIT(K275,"";"")))"),"")</f>
        <v/>
      </c>
      <c r="M275" s="84" t="str">
        <f t="shared" si="1"/>
        <v/>
      </c>
      <c r="N275" s="84" t="str">
        <f>IFERROR(__xludf.DUMMYFUNCTION("IFERROR(AVERAGE(query(INDIRECT(""'FR Table'!"" &amp; vlookup(rows($A$1:$A274),Reference!$O:$P,2,false) &amp; ""3:"" &amp; vlookup(rows($A$1:$A274),Reference!$O:$P,2,false)), 
""SELECT "" &amp; vlookup(rows($A$1:$A274),Reference!$O:$P,2,false) 
&amp; "" WHERE "" &amp; vlookup(row"&amp;"s($A$1:$A274),Reference!$O:$P,2,false) &amp;
"" &gt;= "" &amp; Reference!$R$2)) * M275,"""")"),"")</f>
        <v/>
      </c>
      <c r="O275" s="84" t="str">
        <f t="shared" si="2"/>
        <v/>
      </c>
    </row>
    <row r="276">
      <c r="A276" s="84"/>
      <c r="B276" s="84"/>
      <c r="C276" s="85"/>
      <c r="D276" s="86"/>
      <c r="E276" s="87"/>
      <c r="F276" s="86"/>
      <c r="G276" s="87"/>
      <c r="H276" s="86"/>
      <c r="I276" s="86"/>
      <c r="J276" s="86"/>
      <c r="K276" s="84"/>
      <c r="L276" s="84" t="str">
        <f>IFERROR(__xludf.DUMMYFUNCTION("IF(A276="""","""", COUNT(SPLIT(K276,"";"")))"),"")</f>
        <v/>
      </c>
      <c r="M276" s="84" t="str">
        <f t="shared" si="1"/>
        <v/>
      </c>
      <c r="N276" s="84" t="str">
        <f>IFERROR(__xludf.DUMMYFUNCTION("IFERROR(AVERAGE(query(INDIRECT(""'FR Table'!"" &amp; vlookup(rows($A$1:$A275),Reference!$O:$P,2,false) &amp; ""3:"" &amp; vlookup(rows($A$1:$A275),Reference!$O:$P,2,false)), 
""SELECT "" &amp; vlookup(rows($A$1:$A275),Reference!$O:$P,2,false) 
&amp; "" WHERE "" &amp; vlookup(row"&amp;"s($A$1:$A275),Reference!$O:$P,2,false) &amp;
"" &gt;= "" &amp; Reference!$R$2)) * M276,"""")"),"")</f>
        <v/>
      </c>
      <c r="O276" s="84" t="str">
        <f t="shared" si="2"/>
        <v/>
      </c>
    </row>
    <row r="277">
      <c r="A277" s="84"/>
      <c r="B277" s="84"/>
      <c r="C277" s="85"/>
      <c r="D277" s="86"/>
      <c r="E277" s="87"/>
      <c r="F277" s="86"/>
      <c r="G277" s="87"/>
      <c r="H277" s="86"/>
      <c r="I277" s="86"/>
      <c r="J277" s="86"/>
      <c r="K277" s="84"/>
      <c r="L277" s="84" t="str">
        <f>IFERROR(__xludf.DUMMYFUNCTION("IF(A277="""","""", COUNT(SPLIT(K277,"";"")))"),"")</f>
        <v/>
      </c>
      <c r="M277" s="84" t="str">
        <f t="shared" si="1"/>
        <v/>
      </c>
      <c r="N277" s="84" t="str">
        <f>IFERROR(__xludf.DUMMYFUNCTION("IFERROR(AVERAGE(query(INDIRECT(""'FR Table'!"" &amp; vlookup(rows($A$1:$A276),Reference!$O:$P,2,false) &amp; ""3:"" &amp; vlookup(rows($A$1:$A276),Reference!$O:$P,2,false)), 
""SELECT "" &amp; vlookup(rows($A$1:$A276),Reference!$O:$P,2,false) 
&amp; "" WHERE "" &amp; vlookup(row"&amp;"s($A$1:$A276),Reference!$O:$P,2,false) &amp;
"" &gt;= "" &amp; Reference!$R$2)) * M277,"""")"),"")</f>
        <v/>
      </c>
      <c r="O277" s="84" t="str">
        <f t="shared" si="2"/>
        <v/>
      </c>
    </row>
    <row r="278">
      <c r="A278" s="84"/>
      <c r="B278" s="84"/>
      <c r="C278" s="85"/>
      <c r="D278" s="86"/>
      <c r="E278" s="87"/>
      <c r="F278" s="86"/>
      <c r="G278" s="87"/>
      <c r="H278" s="86"/>
      <c r="I278" s="86"/>
      <c r="J278" s="86"/>
      <c r="K278" s="84"/>
      <c r="L278" s="84" t="str">
        <f>IFERROR(__xludf.DUMMYFUNCTION("IF(A278="""","""", COUNT(SPLIT(K278,"";"")))"),"")</f>
        <v/>
      </c>
      <c r="M278" s="84" t="str">
        <f t="shared" si="1"/>
        <v/>
      </c>
      <c r="N278" s="84" t="str">
        <f>IFERROR(__xludf.DUMMYFUNCTION("IFERROR(AVERAGE(query(INDIRECT(""'FR Table'!"" &amp; vlookup(rows($A$1:$A277),Reference!$O:$P,2,false) &amp; ""3:"" &amp; vlookup(rows($A$1:$A277),Reference!$O:$P,2,false)), 
""SELECT "" &amp; vlookup(rows($A$1:$A277),Reference!$O:$P,2,false) 
&amp; "" WHERE "" &amp; vlookup(row"&amp;"s($A$1:$A277),Reference!$O:$P,2,false) &amp;
"" &gt;= "" &amp; Reference!$R$2)) * M278,"""")"),"")</f>
        <v/>
      </c>
      <c r="O278" s="84" t="str">
        <f t="shared" si="2"/>
        <v/>
      </c>
    </row>
    <row r="279">
      <c r="A279" s="84"/>
      <c r="B279" s="84"/>
      <c r="C279" s="85"/>
      <c r="D279" s="86"/>
      <c r="E279" s="87"/>
      <c r="F279" s="86"/>
      <c r="G279" s="87"/>
      <c r="H279" s="86"/>
      <c r="I279" s="86"/>
      <c r="J279" s="86"/>
      <c r="K279" s="84"/>
      <c r="L279" s="84" t="str">
        <f>IFERROR(__xludf.DUMMYFUNCTION("IF(A279="""","""", COUNT(SPLIT(K279,"";"")))"),"")</f>
        <v/>
      </c>
      <c r="M279" s="84" t="str">
        <f t="shared" si="1"/>
        <v/>
      </c>
      <c r="N279" s="84" t="str">
        <f>IFERROR(__xludf.DUMMYFUNCTION("IFERROR(AVERAGE(query(INDIRECT(""'FR Table'!"" &amp; vlookup(rows($A$1:$A278),Reference!$O:$P,2,false) &amp; ""3:"" &amp; vlookup(rows($A$1:$A278),Reference!$O:$P,2,false)), 
""SELECT "" &amp; vlookup(rows($A$1:$A278),Reference!$O:$P,2,false) 
&amp; "" WHERE "" &amp; vlookup(row"&amp;"s($A$1:$A278),Reference!$O:$P,2,false) &amp;
"" &gt;= "" &amp; Reference!$R$2)) * M279,"""")"),"")</f>
        <v/>
      </c>
      <c r="O279" s="84" t="str">
        <f t="shared" si="2"/>
        <v/>
      </c>
    </row>
    <row r="280">
      <c r="A280" s="84"/>
      <c r="B280" s="84"/>
      <c r="C280" s="85"/>
      <c r="D280" s="86"/>
      <c r="E280" s="87"/>
      <c r="F280" s="86"/>
      <c r="G280" s="87"/>
      <c r="H280" s="86"/>
      <c r="I280" s="86"/>
      <c r="J280" s="86"/>
      <c r="K280" s="84"/>
      <c r="L280" s="84" t="str">
        <f>IFERROR(__xludf.DUMMYFUNCTION("IF(A280="""","""", COUNT(SPLIT(K280,"";"")))"),"")</f>
        <v/>
      </c>
      <c r="M280" s="84" t="str">
        <f t="shared" si="1"/>
        <v/>
      </c>
      <c r="N280" s="84" t="str">
        <f>IFERROR(__xludf.DUMMYFUNCTION("IFERROR(AVERAGE(query(INDIRECT(""'FR Table'!"" &amp; vlookup(rows($A$1:$A279),Reference!$O:$P,2,false) &amp; ""3:"" &amp; vlookup(rows($A$1:$A279),Reference!$O:$P,2,false)), 
""SELECT "" &amp; vlookup(rows($A$1:$A279),Reference!$O:$P,2,false) 
&amp; "" WHERE "" &amp; vlookup(row"&amp;"s($A$1:$A279),Reference!$O:$P,2,false) &amp;
"" &gt;= "" &amp; Reference!$R$2)) * M280,"""")"),"")</f>
        <v/>
      </c>
      <c r="O280" s="84" t="str">
        <f t="shared" si="2"/>
        <v/>
      </c>
    </row>
    <row r="281">
      <c r="A281" s="84"/>
      <c r="B281" s="84"/>
      <c r="C281" s="85"/>
      <c r="D281" s="86"/>
      <c r="E281" s="87"/>
      <c r="F281" s="86"/>
      <c r="G281" s="87"/>
      <c r="H281" s="86"/>
      <c r="I281" s="86"/>
      <c r="J281" s="86"/>
      <c r="K281" s="84"/>
      <c r="L281" s="84" t="str">
        <f>IFERROR(__xludf.DUMMYFUNCTION("IF(A281="""","""", COUNT(SPLIT(K281,"";"")))"),"")</f>
        <v/>
      </c>
      <c r="M281" s="84" t="str">
        <f t="shared" si="1"/>
        <v/>
      </c>
      <c r="N281" s="84" t="str">
        <f>IFERROR(__xludf.DUMMYFUNCTION("IFERROR(AVERAGE(query(INDIRECT(""'FR Table'!"" &amp; vlookup(rows($A$1:$A280),Reference!$O:$P,2,false) &amp; ""3:"" &amp; vlookup(rows($A$1:$A280),Reference!$O:$P,2,false)), 
""SELECT "" &amp; vlookup(rows($A$1:$A280),Reference!$O:$P,2,false) 
&amp; "" WHERE "" &amp; vlookup(row"&amp;"s($A$1:$A280),Reference!$O:$P,2,false) &amp;
"" &gt;= "" &amp; Reference!$R$2)) * M281,"""")"),"")</f>
        <v/>
      </c>
      <c r="O281" s="84" t="str">
        <f t="shared" si="2"/>
        <v/>
      </c>
    </row>
    <row r="282">
      <c r="A282" s="84"/>
      <c r="B282" s="84"/>
      <c r="C282" s="85"/>
      <c r="D282" s="86"/>
      <c r="E282" s="87"/>
      <c r="F282" s="86"/>
      <c r="G282" s="87"/>
      <c r="H282" s="86"/>
      <c r="I282" s="86"/>
      <c r="J282" s="86"/>
      <c r="K282" s="84"/>
      <c r="L282" s="84" t="str">
        <f>IFERROR(__xludf.DUMMYFUNCTION("IF(A282="""","""", COUNT(SPLIT(K282,"";"")))"),"")</f>
        <v/>
      </c>
      <c r="M282" s="84" t="str">
        <f t="shared" si="1"/>
        <v/>
      </c>
      <c r="N282" s="84" t="str">
        <f>IFERROR(__xludf.DUMMYFUNCTION("IFERROR(AVERAGE(query(INDIRECT(""'FR Table'!"" &amp; vlookup(rows($A$1:$A281),Reference!$O:$P,2,false) &amp; ""3:"" &amp; vlookup(rows($A$1:$A281),Reference!$O:$P,2,false)), 
""SELECT "" &amp; vlookup(rows($A$1:$A281),Reference!$O:$P,2,false) 
&amp; "" WHERE "" &amp; vlookup(row"&amp;"s($A$1:$A281),Reference!$O:$P,2,false) &amp;
"" &gt;= "" &amp; Reference!$R$2)) * M282,"""")"),"")</f>
        <v/>
      </c>
      <c r="O282" s="84" t="str">
        <f t="shared" si="2"/>
        <v/>
      </c>
    </row>
    <row r="283">
      <c r="A283" s="84"/>
      <c r="B283" s="84"/>
      <c r="C283" s="85"/>
      <c r="D283" s="86"/>
      <c r="E283" s="87"/>
      <c r="F283" s="86"/>
      <c r="G283" s="87"/>
      <c r="H283" s="86"/>
      <c r="I283" s="86"/>
      <c r="J283" s="86"/>
      <c r="K283" s="84"/>
      <c r="L283" s="84" t="str">
        <f>IFERROR(__xludf.DUMMYFUNCTION("IF(A283="""","""", COUNT(SPLIT(K283,"";"")))"),"")</f>
        <v/>
      </c>
      <c r="M283" s="84" t="str">
        <f t="shared" si="1"/>
        <v/>
      </c>
      <c r="N283" s="84" t="str">
        <f>IFERROR(__xludf.DUMMYFUNCTION("IFERROR(AVERAGE(query(INDIRECT(""'FR Table'!"" &amp; vlookup(rows($A$1:$A282),Reference!$O:$P,2,false) &amp; ""3:"" &amp; vlookup(rows($A$1:$A282),Reference!$O:$P,2,false)), 
""SELECT "" &amp; vlookup(rows($A$1:$A282),Reference!$O:$P,2,false) 
&amp; "" WHERE "" &amp; vlookup(row"&amp;"s($A$1:$A282),Reference!$O:$P,2,false) &amp;
"" &gt;= "" &amp; Reference!$R$2)) * M283,"""")"),"")</f>
        <v/>
      </c>
      <c r="O283" s="84" t="str">
        <f t="shared" si="2"/>
        <v/>
      </c>
    </row>
    <row r="284">
      <c r="A284" s="84"/>
      <c r="B284" s="84"/>
      <c r="C284" s="85"/>
      <c r="D284" s="86"/>
      <c r="E284" s="87"/>
      <c r="F284" s="86"/>
      <c r="G284" s="87"/>
      <c r="H284" s="86"/>
      <c r="I284" s="86"/>
      <c r="J284" s="86"/>
      <c r="K284" s="84"/>
      <c r="L284" s="84" t="str">
        <f>IFERROR(__xludf.DUMMYFUNCTION("IF(A284="""","""", COUNT(SPLIT(K284,"";"")))"),"")</f>
        <v/>
      </c>
      <c r="M284" s="84" t="str">
        <f t="shared" si="1"/>
        <v/>
      </c>
      <c r="N284" s="84" t="str">
        <f>IFERROR(__xludf.DUMMYFUNCTION("IFERROR(AVERAGE(query(INDIRECT(""'FR Table'!"" &amp; vlookup(rows($A$1:$A283),Reference!$O:$P,2,false) &amp; ""3:"" &amp; vlookup(rows($A$1:$A283),Reference!$O:$P,2,false)), 
""SELECT "" &amp; vlookup(rows($A$1:$A283),Reference!$O:$P,2,false) 
&amp; "" WHERE "" &amp; vlookup(row"&amp;"s($A$1:$A283),Reference!$O:$P,2,false) &amp;
"" &gt;= "" &amp; Reference!$R$2)) * M284,"""")"),"")</f>
        <v/>
      </c>
      <c r="O284" s="84" t="str">
        <f t="shared" si="2"/>
        <v/>
      </c>
    </row>
    <row r="285">
      <c r="A285" s="84"/>
      <c r="B285" s="84"/>
      <c r="C285" s="85"/>
      <c r="D285" s="86"/>
      <c r="E285" s="87"/>
      <c r="F285" s="86"/>
      <c r="G285" s="87"/>
      <c r="H285" s="86"/>
      <c r="I285" s="86"/>
      <c r="J285" s="86"/>
      <c r="K285" s="84"/>
      <c r="L285" s="84" t="str">
        <f>IFERROR(__xludf.DUMMYFUNCTION("IF(A285="""","""", COUNT(SPLIT(K285,"";"")))"),"")</f>
        <v/>
      </c>
      <c r="M285" s="84" t="str">
        <f t="shared" si="1"/>
        <v/>
      </c>
      <c r="N285" s="84" t="str">
        <f>IFERROR(__xludf.DUMMYFUNCTION("IFERROR(AVERAGE(query(INDIRECT(""'FR Table'!"" &amp; vlookup(rows($A$1:$A284),Reference!$O:$P,2,false) &amp; ""3:"" &amp; vlookup(rows($A$1:$A284),Reference!$O:$P,2,false)), 
""SELECT "" &amp; vlookup(rows($A$1:$A284),Reference!$O:$P,2,false) 
&amp; "" WHERE "" &amp; vlookup(row"&amp;"s($A$1:$A284),Reference!$O:$P,2,false) &amp;
"" &gt;= "" &amp; Reference!$R$2)) * M285,"""")"),"")</f>
        <v/>
      </c>
      <c r="O285" s="84" t="str">
        <f t="shared" si="2"/>
        <v/>
      </c>
    </row>
    <row r="286">
      <c r="A286" s="84"/>
      <c r="B286" s="84"/>
      <c r="C286" s="85"/>
      <c r="D286" s="86"/>
      <c r="E286" s="87"/>
      <c r="F286" s="86"/>
      <c r="G286" s="87"/>
      <c r="H286" s="86"/>
      <c r="I286" s="86"/>
      <c r="J286" s="86"/>
      <c r="K286" s="84"/>
      <c r="L286" s="84" t="str">
        <f>IFERROR(__xludf.DUMMYFUNCTION("IF(A286="""","""", COUNT(SPLIT(K286,"";"")))"),"")</f>
        <v/>
      </c>
      <c r="M286" s="84" t="str">
        <f t="shared" si="1"/>
        <v/>
      </c>
      <c r="N286" s="84" t="str">
        <f>IFERROR(__xludf.DUMMYFUNCTION("IFERROR(AVERAGE(query(INDIRECT(""'FR Table'!"" &amp; vlookup(rows($A$1:$A285),Reference!$O:$P,2,false) &amp; ""3:"" &amp; vlookup(rows($A$1:$A285),Reference!$O:$P,2,false)), 
""SELECT "" &amp; vlookup(rows($A$1:$A285),Reference!$O:$P,2,false) 
&amp; "" WHERE "" &amp; vlookup(row"&amp;"s($A$1:$A285),Reference!$O:$P,2,false) &amp;
"" &gt;= "" &amp; Reference!$R$2)) * M286,"""")"),"")</f>
        <v/>
      </c>
      <c r="O286" s="84" t="str">
        <f t="shared" si="2"/>
        <v/>
      </c>
    </row>
    <row r="287">
      <c r="A287" s="84"/>
      <c r="B287" s="84"/>
      <c r="C287" s="85"/>
      <c r="D287" s="86"/>
      <c r="E287" s="87"/>
      <c r="F287" s="86"/>
      <c r="G287" s="87"/>
      <c r="H287" s="86"/>
      <c r="I287" s="86"/>
      <c r="J287" s="86"/>
      <c r="K287" s="84"/>
      <c r="L287" s="84" t="str">
        <f>IFERROR(__xludf.DUMMYFUNCTION("IF(A287="""","""", COUNT(SPLIT(K287,"";"")))"),"")</f>
        <v/>
      </c>
      <c r="M287" s="84" t="str">
        <f t="shared" si="1"/>
        <v/>
      </c>
      <c r="N287" s="84" t="str">
        <f>IFERROR(__xludf.DUMMYFUNCTION("IFERROR(AVERAGE(query(INDIRECT(""'FR Table'!"" &amp; vlookup(rows($A$1:$A286),Reference!$O:$P,2,false) &amp; ""3:"" &amp; vlookup(rows($A$1:$A286),Reference!$O:$P,2,false)), 
""SELECT "" &amp; vlookup(rows($A$1:$A286),Reference!$O:$P,2,false) 
&amp; "" WHERE "" &amp; vlookup(row"&amp;"s($A$1:$A286),Reference!$O:$P,2,false) &amp;
"" &gt;= "" &amp; Reference!$R$2)) * M287,"""")"),"")</f>
        <v/>
      </c>
      <c r="O287" s="84" t="str">
        <f t="shared" si="2"/>
        <v/>
      </c>
    </row>
    <row r="288">
      <c r="A288" s="84"/>
      <c r="B288" s="84"/>
      <c r="C288" s="85"/>
      <c r="D288" s="86"/>
      <c r="E288" s="87"/>
      <c r="F288" s="86"/>
      <c r="G288" s="87"/>
      <c r="H288" s="86"/>
      <c r="I288" s="86"/>
      <c r="J288" s="86"/>
      <c r="K288" s="84"/>
      <c r="L288" s="84" t="str">
        <f>IFERROR(__xludf.DUMMYFUNCTION("IF(A288="""","""", COUNT(SPLIT(K288,"";"")))"),"")</f>
        <v/>
      </c>
      <c r="M288" s="84" t="str">
        <f t="shared" si="1"/>
        <v/>
      </c>
      <c r="N288" s="84" t="str">
        <f>IFERROR(__xludf.DUMMYFUNCTION("IFERROR(AVERAGE(query(INDIRECT(""'FR Table'!"" &amp; vlookup(rows($A$1:$A287),Reference!$O:$P,2,false) &amp; ""3:"" &amp; vlookup(rows($A$1:$A287),Reference!$O:$P,2,false)), 
""SELECT "" &amp; vlookup(rows($A$1:$A287),Reference!$O:$P,2,false) 
&amp; "" WHERE "" &amp; vlookup(row"&amp;"s($A$1:$A287),Reference!$O:$P,2,false) &amp;
"" &gt;= "" &amp; Reference!$R$2)) * M288,"""")"),"")</f>
        <v/>
      </c>
      <c r="O288" s="84" t="str">
        <f t="shared" si="2"/>
        <v/>
      </c>
    </row>
    <row r="289">
      <c r="A289" s="84"/>
      <c r="B289" s="84"/>
      <c r="C289" s="85"/>
      <c r="D289" s="86"/>
      <c r="E289" s="87"/>
      <c r="F289" s="86"/>
      <c r="G289" s="87"/>
      <c r="H289" s="86"/>
      <c r="I289" s="86"/>
      <c r="J289" s="86"/>
      <c r="K289" s="84"/>
      <c r="L289" s="84" t="str">
        <f>IFERROR(__xludf.DUMMYFUNCTION("IF(A289="""","""", COUNT(SPLIT(K289,"";"")))"),"")</f>
        <v/>
      </c>
      <c r="M289" s="84" t="str">
        <f t="shared" si="1"/>
        <v/>
      </c>
      <c r="N289" s="84" t="str">
        <f>IFERROR(__xludf.DUMMYFUNCTION("IFERROR(AVERAGE(query(INDIRECT(""'FR Table'!"" &amp; vlookup(rows($A$1:$A288),Reference!$O:$P,2,false) &amp; ""3:"" &amp; vlookup(rows($A$1:$A288),Reference!$O:$P,2,false)), 
""SELECT "" &amp; vlookup(rows($A$1:$A288),Reference!$O:$P,2,false) 
&amp; "" WHERE "" &amp; vlookup(row"&amp;"s($A$1:$A288),Reference!$O:$P,2,false) &amp;
"" &gt;= "" &amp; Reference!$R$2)) * M289,"""")"),"")</f>
        <v/>
      </c>
      <c r="O289" s="84" t="str">
        <f t="shared" si="2"/>
        <v/>
      </c>
    </row>
    <row r="290">
      <c r="A290" s="84"/>
      <c r="B290" s="84"/>
      <c r="C290" s="85"/>
      <c r="D290" s="86"/>
      <c r="E290" s="87"/>
      <c r="F290" s="86"/>
      <c r="G290" s="87"/>
      <c r="H290" s="86"/>
      <c r="I290" s="86"/>
      <c r="J290" s="86"/>
      <c r="K290" s="84"/>
      <c r="L290" s="84" t="str">
        <f>IFERROR(__xludf.DUMMYFUNCTION("IF(A290="""","""", COUNT(SPLIT(K290,"";"")))"),"")</f>
        <v/>
      </c>
      <c r="M290" s="84" t="str">
        <f t="shared" si="1"/>
        <v/>
      </c>
      <c r="N290" s="84" t="str">
        <f>IFERROR(__xludf.DUMMYFUNCTION("IFERROR(AVERAGE(query(INDIRECT(""'FR Table'!"" &amp; vlookup(rows($A$1:$A289),Reference!$O:$P,2,false) &amp; ""3:"" &amp; vlookup(rows($A$1:$A289),Reference!$O:$P,2,false)), 
""SELECT "" &amp; vlookup(rows($A$1:$A289),Reference!$O:$P,2,false) 
&amp; "" WHERE "" &amp; vlookup(row"&amp;"s($A$1:$A289),Reference!$O:$P,2,false) &amp;
"" &gt;= "" &amp; Reference!$R$2)) * M290,"""")"),"")</f>
        <v/>
      </c>
      <c r="O290" s="84" t="str">
        <f t="shared" si="2"/>
        <v/>
      </c>
    </row>
    <row r="291">
      <c r="A291" s="84"/>
      <c r="B291" s="84"/>
      <c r="C291" s="85"/>
      <c r="D291" s="86"/>
      <c r="E291" s="87"/>
      <c r="F291" s="86"/>
      <c r="G291" s="87"/>
      <c r="H291" s="86"/>
      <c r="I291" s="86"/>
      <c r="J291" s="86"/>
      <c r="K291" s="84"/>
      <c r="L291" s="84" t="str">
        <f>IFERROR(__xludf.DUMMYFUNCTION("IF(A291="""","""", COUNT(SPLIT(K291,"";"")))"),"")</f>
        <v/>
      </c>
      <c r="M291" s="84" t="str">
        <f t="shared" si="1"/>
        <v/>
      </c>
      <c r="N291" s="84" t="str">
        <f>IFERROR(__xludf.DUMMYFUNCTION("IFERROR(AVERAGE(query(INDIRECT(""'FR Table'!"" &amp; vlookup(rows($A$1:$A290),Reference!$O:$P,2,false) &amp; ""3:"" &amp; vlookup(rows($A$1:$A290),Reference!$O:$P,2,false)), 
""SELECT "" &amp; vlookup(rows($A$1:$A290),Reference!$O:$P,2,false) 
&amp; "" WHERE "" &amp; vlookup(row"&amp;"s($A$1:$A290),Reference!$O:$P,2,false) &amp;
"" &gt;= "" &amp; Reference!$R$2)) * M291,"""")"),"")</f>
        <v/>
      </c>
      <c r="O291" s="84" t="str">
        <f t="shared" si="2"/>
        <v/>
      </c>
    </row>
    <row r="292">
      <c r="A292" s="84"/>
      <c r="B292" s="84"/>
      <c r="C292" s="85"/>
      <c r="D292" s="86"/>
      <c r="E292" s="87"/>
      <c r="F292" s="86"/>
      <c r="G292" s="87"/>
      <c r="H292" s="86"/>
      <c r="I292" s="86"/>
      <c r="J292" s="86"/>
      <c r="K292" s="84"/>
      <c r="L292" s="84" t="str">
        <f>IFERROR(__xludf.DUMMYFUNCTION("IF(A292="""","""", COUNT(SPLIT(K292,"";"")))"),"")</f>
        <v/>
      </c>
      <c r="M292" s="84" t="str">
        <f t="shared" si="1"/>
        <v/>
      </c>
      <c r="N292" s="84" t="str">
        <f>IFERROR(__xludf.DUMMYFUNCTION("IFERROR(AVERAGE(query(INDIRECT(""'FR Table'!"" &amp; vlookup(rows($A$1:$A291),Reference!$O:$P,2,false) &amp; ""3:"" &amp; vlookup(rows($A$1:$A291),Reference!$O:$P,2,false)), 
""SELECT "" &amp; vlookup(rows($A$1:$A291),Reference!$O:$P,2,false) 
&amp; "" WHERE "" &amp; vlookup(row"&amp;"s($A$1:$A291),Reference!$O:$P,2,false) &amp;
"" &gt;= "" &amp; Reference!$R$2)) * M292,"""")"),"")</f>
        <v/>
      </c>
      <c r="O292" s="84" t="str">
        <f t="shared" si="2"/>
        <v/>
      </c>
    </row>
    <row r="293">
      <c r="A293" s="84"/>
      <c r="B293" s="84"/>
      <c r="C293" s="85"/>
      <c r="D293" s="86"/>
      <c r="E293" s="87"/>
      <c r="F293" s="86"/>
      <c r="G293" s="87"/>
      <c r="H293" s="86"/>
      <c r="I293" s="86"/>
      <c r="J293" s="86"/>
      <c r="K293" s="84"/>
      <c r="L293" s="84" t="str">
        <f>IFERROR(__xludf.DUMMYFUNCTION("IF(A293="""","""", COUNT(SPLIT(K293,"";"")))"),"")</f>
        <v/>
      </c>
      <c r="M293" s="84" t="str">
        <f t="shared" si="1"/>
        <v/>
      </c>
      <c r="N293" s="84" t="str">
        <f>IFERROR(__xludf.DUMMYFUNCTION("IFERROR(AVERAGE(query(INDIRECT(""'FR Table'!"" &amp; vlookup(rows($A$1:$A292),Reference!$O:$P,2,false) &amp; ""3:"" &amp; vlookup(rows($A$1:$A292),Reference!$O:$P,2,false)), 
""SELECT "" &amp; vlookup(rows($A$1:$A292),Reference!$O:$P,2,false) 
&amp; "" WHERE "" &amp; vlookup(row"&amp;"s($A$1:$A292),Reference!$O:$P,2,false) &amp;
"" &gt;= "" &amp; Reference!$R$2)) * M293,"""")"),"")</f>
        <v/>
      </c>
      <c r="O293" s="84" t="str">
        <f t="shared" si="2"/>
        <v/>
      </c>
    </row>
    <row r="294">
      <c r="A294" s="84"/>
      <c r="B294" s="84"/>
      <c r="C294" s="85"/>
      <c r="D294" s="86"/>
      <c r="E294" s="87"/>
      <c r="F294" s="86"/>
      <c r="G294" s="87"/>
      <c r="H294" s="86"/>
      <c r="I294" s="86"/>
      <c r="J294" s="86"/>
      <c r="K294" s="84"/>
      <c r="L294" s="84" t="str">
        <f>IFERROR(__xludf.DUMMYFUNCTION("IF(A294="""","""", COUNT(SPLIT(K294,"";"")))"),"")</f>
        <v/>
      </c>
      <c r="M294" s="84" t="str">
        <f t="shared" si="1"/>
        <v/>
      </c>
      <c r="N294" s="84" t="str">
        <f>IFERROR(__xludf.DUMMYFUNCTION("IFERROR(AVERAGE(query(INDIRECT(""'FR Table'!"" &amp; vlookup(rows($A$1:$A293),Reference!$O:$P,2,false) &amp; ""3:"" &amp; vlookup(rows($A$1:$A293),Reference!$O:$P,2,false)), 
""SELECT "" &amp; vlookup(rows($A$1:$A293),Reference!$O:$P,2,false) 
&amp; "" WHERE "" &amp; vlookup(row"&amp;"s($A$1:$A293),Reference!$O:$P,2,false) &amp;
"" &gt;= "" &amp; Reference!$R$2)) * M294,"""")"),"")</f>
        <v/>
      </c>
      <c r="O294" s="84" t="str">
        <f t="shared" si="2"/>
        <v/>
      </c>
    </row>
    <row r="295">
      <c r="A295" s="84"/>
      <c r="B295" s="84"/>
      <c r="C295" s="85"/>
      <c r="D295" s="86"/>
      <c r="E295" s="87"/>
      <c r="F295" s="86"/>
      <c r="G295" s="87"/>
      <c r="H295" s="86"/>
      <c r="I295" s="86"/>
      <c r="J295" s="86"/>
      <c r="K295" s="84"/>
      <c r="L295" s="84" t="str">
        <f>IFERROR(__xludf.DUMMYFUNCTION("IF(A295="""","""", COUNT(SPLIT(K295,"";"")))"),"")</f>
        <v/>
      </c>
      <c r="M295" s="84" t="str">
        <f t="shared" si="1"/>
        <v/>
      </c>
      <c r="N295" s="84" t="str">
        <f>IFERROR(__xludf.DUMMYFUNCTION("IFERROR(AVERAGE(query(INDIRECT(""'FR Table'!"" &amp; vlookup(rows($A$1:$A294),Reference!$O:$P,2,false) &amp; ""3:"" &amp; vlookup(rows($A$1:$A294),Reference!$O:$P,2,false)), 
""SELECT "" &amp; vlookup(rows($A$1:$A294),Reference!$O:$P,2,false) 
&amp; "" WHERE "" &amp; vlookup(row"&amp;"s($A$1:$A294),Reference!$O:$P,2,false) &amp;
"" &gt;= "" &amp; Reference!$R$2)) * M295,"""")"),"")</f>
        <v/>
      </c>
      <c r="O295" s="84" t="str">
        <f t="shared" si="2"/>
        <v/>
      </c>
    </row>
    <row r="296">
      <c r="A296" s="84"/>
      <c r="B296" s="84"/>
      <c r="C296" s="85"/>
      <c r="D296" s="86"/>
      <c r="E296" s="87"/>
      <c r="F296" s="86"/>
      <c r="G296" s="87"/>
      <c r="H296" s="86"/>
      <c r="I296" s="86"/>
      <c r="J296" s="86"/>
      <c r="K296" s="84"/>
      <c r="L296" s="84" t="str">
        <f>IFERROR(__xludf.DUMMYFUNCTION("IF(A296="""","""", COUNT(SPLIT(K296,"";"")))"),"")</f>
        <v/>
      </c>
      <c r="M296" s="84" t="str">
        <f t="shared" si="1"/>
        <v/>
      </c>
      <c r="N296" s="84" t="str">
        <f>IFERROR(__xludf.DUMMYFUNCTION("IFERROR(AVERAGE(query(INDIRECT(""'FR Table'!"" &amp; vlookup(rows($A$1:$A295),Reference!$O:$P,2,false) &amp; ""3:"" &amp; vlookup(rows($A$1:$A295),Reference!$O:$P,2,false)), 
""SELECT "" &amp; vlookup(rows($A$1:$A295),Reference!$O:$P,2,false) 
&amp; "" WHERE "" &amp; vlookup(row"&amp;"s($A$1:$A295),Reference!$O:$P,2,false) &amp;
"" &gt;= "" &amp; Reference!$R$2)) * M296,"""")"),"")</f>
        <v/>
      </c>
      <c r="O296" s="84" t="str">
        <f t="shared" si="2"/>
        <v/>
      </c>
    </row>
    <row r="297">
      <c r="A297" s="84"/>
      <c r="B297" s="84"/>
      <c r="C297" s="85"/>
      <c r="D297" s="86"/>
      <c r="E297" s="87"/>
      <c r="F297" s="86"/>
      <c r="G297" s="87"/>
      <c r="H297" s="86"/>
      <c r="I297" s="86"/>
      <c r="J297" s="86"/>
      <c r="K297" s="84"/>
      <c r="L297" s="84" t="str">
        <f>IFERROR(__xludf.DUMMYFUNCTION("IF(A297="""","""", COUNT(SPLIT(K297,"";"")))"),"")</f>
        <v/>
      </c>
      <c r="M297" s="84" t="str">
        <f t="shared" si="1"/>
        <v/>
      </c>
      <c r="N297" s="84" t="str">
        <f>IFERROR(__xludf.DUMMYFUNCTION("IFERROR(AVERAGE(query(INDIRECT(""'FR Table'!"" &amp; vlookup(rows($A$1:$A296),Reference!$O:$P,2,false) &amp; ""3:"" &amp; vlookup(rows($A$1:$A296),Reference!$O:$P,2,false)), 
""SELECT "" &amp; vlookup(rows($A$1:$A296),Reference!$O:$P,2,false) 
&amp; "" WHERE "" &amp; vlookup(row"&amp;"s($A$1:$A296),Reference!$O:$P,2,false) &amp;
"" &gt;= "" &amp; Reference!$R$2)) * M297,"""")"),"")</f>
        <v/>
      </c>
      <c r="O297" s="84" t="str">
        <f t="shared" si="2"/>
        <v/>
      </c>
    </row>
    <row r="298">
      <c r="A298" s="84"/>
      <c r="B298" s="84"/>
      <c r="C298" s="85"/>
      <c r="D298" s="86"/>
      <c r="E298" s="87"/>
      <c r="F298" s="86"/>
      <c r="G298" s="87"/>
      <c r="H298" s="86"/>
      <c r="I298" s="86"/>
      <c r="J298" s="86"/>
      <c r="K298" s="84"/>
      <c r="L298" s="84" t="str">
        <f>IFERROR(__xludf.DUMMYFUNCTION("IF(A298="""","""", COUNT(SPLIT(K298,"";"")))"),"")</f>
        <v/>
      </c>
      <c r="M298" s="84" t="str">
        <f t="shared" si="1"/>
        <v/>
      </c>
      <c r="N298" s="84" t="str">
        <f>IFERROR(__xludf.DUMMYFUNCTION("IFERROR(AVERAGE(query(INDIRECT(""'FR Table'!"" &amp; vlookup(rows($A$1:$A297),Reference!$O:$P,2,false) &amp; ""3:"" &amp; vlookup(rows($A$1:$A297),Reference!$O:$P,2,false)), 
""SELECT "" &amp; vlookup(rows($A$1:$A297),Reference!$O:$P,2,false) 
&amp; "" WHERE "" &amp; vlookup(row"&amp;"s($A$1:$A297),Reference!$O:$P,2,false) &amp;
"" &gt;= "" &amp; Reference!$R$2)) * M298,"""")"),"")</f>
        <v/>
      </c>
      <c r="O298" s="84" t="str">
        <f t="shared" si="2"/>
        <v/>
      </c>
    </row>
    <row r="299">
      <c r="A299" s="84"/>
      <c r="B299" s="84"/>
      <c r="C299" s="85"/>
      <c r="D299" s="86"/>
      <c r="E299" s="87"/>
      <c r="F299" s="86"/>
      <c r="G299" s="87"/>
      <c r="H299" s="86"/>
      <c r="I299" s="86"/>
      <c r="J299" s="86"/>
      <c r="K299" s="84"/>
      <c r="L299" s="84" t="str">
        <f>IFERROR(__xludf.DUMMYFUNCTION("IF(A299="""","""", COUNT(SPLIT(K299,"";"")))"),"")</f>
        <v/>
      </c>
      <c r="M299" s="84" t="str">
        <f t="shared" si="1"/>
        <v/>
      </c>
      <c r="N299" s="84" t="str">
        <f>IFERROR(__xludf.DUMMYFUNCTION("IFERROR(AVERAGE(query(INDIRECT(""'FR Table'!"" &amp; vlookup(rows($A$1:$A298),Reference!$O:$P,2,false) &amp; ""3:"" &amp; vlookup(rows($A$1:$A298),Reference!$O:$P,2,false)), 
""SELECT "" &amp; vlookup(rows($A$1:$A298),Reference!$O:$P,2,false) 
&amp; "" WHERE "" &amp; vlookup(row"&amp;"s($A$1:$A298),Reference!$O:$P,2,false) &amp;
"" &gt;= "" &amp; Reference!$R$2)) * M299,"""")"),"")</f>
        <v/>
      </c>
      <c r="O299" s="84" t="str">
        <f t="shared" si="2"/>
        <v/>
      </c>
    </row>
    <row r="300">
      <c r="A300" s="84"/>
      <c r="B300" s="84"/>
      <c r="C300" s="85"/>
      <c r="D300" s="86"/>
      <c r="E300" s="87"/>
      <c r="F300" s="86"/>
      <c r="G300" s="87"/>
      <c r="H300" s="86"/>
      <c r="I300" s="86"/>
      <c r="J300" s="86"/>
      <c r="K300" s="84"/>
      <c r="L300" s="84" t="str">
        <f>IFERROR(__xludf.DUMMYFUNCTION("IF(A300="""","""", COUNT(SPLIT(K300,"";"")))"),"")</f>
        <v/>
      </c>
      <c r="M300" s="84" t="str">
        <f t="shared" si="1"/>
        <v/>
      </c>
      <c r="N300" s="84" t="str">
        <f>IFERROR(__xludf.DUMMYFUNCTION("IFERROR(AVERAGE(query(INDIRECT(""'FR Table'!"" &amp; vlookup(rows($A$1:$A299),Reference!$O:$P,2,false) &amp; ""3:"" &amp; vlookup(rows($A$1:$A299),Reference!$O:$P,2,false)), 
""SELECT "" &amp; vlookup(rows($A$1:$A299),Reference!$O:$P,2,false) 
&amp; "" WHERE "" &amp; vlookup(row"&amp;"s($A$1:$A299),Reference!$O:$P,2,false) &amp;
"" &gt;= "" &amp; Reference!$R$2)) * M300,"""")"),"")</f>
        <v/>
      </c>
      <c r="O300" s="84" t="str">
        <f t="shared" si="2"/>
        <v/>
      </c>
    </row>
    <row r="301">
      <c r="A301" s="84"/>
      <c r="B301" s="84"/>
      <c r="C301" s="85"/>
      <c r="D301" s="86"/>
      <c r="E301" s="87"/>
      <c r="F301" s="86"/>
      <c r="G301" s="87"/>
      <c r="H301" s="86"/>
      <c r="I301" s="86"/>
      <c r="J301" s="86"/>
      <c r="K301" s="84"/>
      <c r="L301" s="84" t="str">
        <f>IFERROR(__xludf.DUMMYFUNCTION("IF(A301="""","""", COUNT(SPLIT(K301,"";"")))"),"")</f>
        <v/>
      </c>
      <c r="M301" s="84" t="str">
        <f t="shared" si="1"/>
        <v/>
      </c>
      <c r="N301" s="84" t="str">
        <f>IFERROR(__xludf.DUMMYFUNCTION("IFERROR(AVERAGE(query(INDIRECT(""'FR Table'!"" &amp; vlookup(rows($A$1:$A300),Reference!$O:$P,2,false) &amp; ""3:"" &amp; vlookup(rows($A$1:$A300),Reference!$O:$P,2,false)), 
""SELECT "" &amp; vlookup(rows($A$1:$A300),Reference!$O:$P,2,false) 
&amp; "" WHERE "" &amp; vlookup(row"&amp;"s($A$1:$A300),Reference!$O:$P,2,false) &amp;
"" &gt;= "" &amp; Reference!$R$2)) * M301,"""")"),"")</f>
        <v/>
      </c>
      <c r="O301" s="84" t="str">
        <f t="shared" si="2"/>
        <v/>
      </c>
    </row>
    <row r="302">
      <c r="A302" s="84"/>
      <c r="B302" s="84"/>
      <c r="C302" s="85"/>
      <c r="D302" s="86"/>
      <c r="E302" s="87"/>
      <c r="F302" s="86"/>
      <c r="G302" s="87"/>
      <c r="H302" s="86"/>
      <c r="I302" s="86"/>
      <c r="J302" s="86"/>
      <c r="K302" s="84"/>
      <c r="L302" s="84" t="str">
        <f>IFERROR(__xludf.DUMMYFUNCTION("IF(A302="""","""", COUNT(SPLIT(K302,"";"")))"),"")</f>
        <v/>
      </c>
      <c r="M302" s="84" t="str">
        <f t="shared" si="1"/>
        <v/>
      </c>
      <c r="N302" s="84" t="str">
        <f>IFERROR(__xludf.DUMMYFUNCTION("IFERROR(AVERAGE(query(INDIRECT(""'FR Table'!"" &amp; vlookup(rows($A$1:$A301),Reference!$O:$P,2,false) &amp; ""3:"" &amp; vlookup(rows($A$1:$A301),Reference!$O:$P,2,false)), 
""SELECT "" &amp; vlookup(rows($A$1:$A301),Reference!$O:$P,2,false) 
&amp; "" WHERE "" &amp; vlookup(row"&amp;"s($A$1:$A301),Reference!$O:$P,2,false) &amp;
"" &gt;= "" &amp; Reference!$R$2)) * M302,"""")"),"")</f>
        <v/>
      </c>
      <c r="O302" s="84" t="str">
        <f t="shared" si="2"/>
        <v/>
      </c>
    </row>
    <row r="303">
      <c r="A303" s="84"/>
      <c r="B303" s="84"/>
      <c r="C303" s="85"/>
      <c r="D303" s="86"/>
      <c r="E303" s="87"/>
      <c r="F303" s="86"/>
      <c r="G303" s="87"/>
      <c r="H303" s="86"/>
      <c r="I303" s="86"/>
      <c r="J303" s="86"/>
      <c r="K303" s="84"/>
      <c r="L303" s="84" t="str">
        <f>IFERROR(__xludf.DUMMYFUNCTION("IF(A303="""","""", COUNT(SPLIT(K303,"";"")))"),"")</f>
        <v/>
      </c>
      <c r="M303" s="84" t="str">
        <f t="shared" si="1"/>
        <v/>
      </c>
      <c r="N303" s="84" t="str">
        <f>IFERROR(__xludf.DUMMYFUNCTION("IFERROR(AVERAGE(query(INDIRECT(""'FR Table'!"" &amp; vlookup(rows($A$1:$A302),Reference!$O:$P,2,false) &amp; ""3:"" &amp; vlookup(rows($A$1:$A302),Reference!$O:$P,2,false)), 
""SELECT "" &amp; vlookup(rows($A$1:$A302),Reference!$O:$P,2,false) 
&amp; "" WHERE "" &amp; vlookup(row"&amp;"s($A$1:$A302),Reference!$O:$P,2,false) &amp;
"" &gt;= "" &amp; Reference!$R$2)) * M303,"""")"),"")</f>
        <v/>
      </c>
      <c r="O303" s="84" t="str">
        <f t="shared" si="2"/>
        <v/>
      </c>
    </row>
    <row r="304">
      <c r="A304" s="84"/>
      <c r="B304" s="84"/>
      <c r="C304" s="85"/>
      <c r="D304" s="86"/>
      <c r="E304" s="87"/>
      <c r="F304" s="86"/>
      <c r="G304" s="87"/>
      <c r="H304" s="86"/>
      <c r="I304" s="86"/>
      <c r="J304" s="86"/>
      <c r="K304" s="84"/>
      <c r="L304" s="84" t="str">
        <f>IFERROR(__xludf.DUMMYFUNCTION("IF(A304="""","""", COUNT(SPLIT(K304,"";"")))"),"")</f>
        <v/>
      </c>
      <c r="M304" s="84" t="str">
        <f t="shared" si="1"/>
        <v/>
      </c>
      <c r="N304" s="84" t="str">
        <f>IFERROR(__xludf.DUMMYFUNCTION("IFERROR(AVERAGE(query(INDIRECT(""'FR Table'!"" &amp; vlookup(rows($A$1:$A303),Reference!$O:$P,2,false) &amp; ""3:"" &amp; vlookup(rows($A$1:$A303),Reference!$O:$P,2,false)), 
""SELECT "" &amp; vlookup(rows($A$1:$A303),Reference!$O:$P,2,false) 
&amp; "" WHERE "" &amp; vlookup(row"&amp;"s($A$1:$A303),Reference!$O:$P,2,false) &amp;
"" &gt;= "" &amp; Reference!$R$2)) * M304,"""")"),"")</f>
        <v/>
      </c>
      <c r="O304" s="84" t="str">
        <f t="shared" si="2"/>
        <v/>
      </c>
    </row>
    <row r="305">
      <c r="A305" s="84"/>
      <c r="B305" s="84"/>
      <c r="C305" s="85"/>
      <c r="D305" s="86"/>
      <c r="E305" s="87"/>
      <c r="F305" s="86"/>
      <c r="G305" s="87"/>
      <c r="H305" s="86"/>
      <c r="I305" s="86"/>
      <c r="J305" s="86"/>
      <c r="K305" s="84"/>
      <c r="L305" s="84" t="str">
        <f>IFERROR(__xludf.DUMMYFUNCTION("IF(A305="""","""", COUNT(SPLIT(K305,"";"")))"),"")</f>
        <v/>
      </c>
      <c r="M305" s="84" t="str">
        <f t="shared" si="1"/>
        <v/>
      </c>
      <c r="N305" s="84" t="str">
        <f>IFERROR(__xludf.DUMMYFUNCTION("IFERROR(AVERAGE(query(INDIRECT(""'FR Table'!"" &amp; vlookup(rows($A$1:$A304),Reference!$O:$P,2,false) &amp; ""3:"" &amp; vlookup(rows($A$1:$A304),Reference!$O:$P,2,false)), 
""SELECT "" &amp; vlookup(rows($A$1:$A304),Reference!$O:$P,2,false) 
&amp; "" WHERE "" &amp; vlookup(row"&amp;"s($A$1:$A304),Reference!$O:$P,2,false) &amp;
"" &gt;= "" &amp; Reference!$R$2)) * M305,"""")"),"")</f>
        <v/>
      </c>
      <c r="O305" s="84" t="str">
        <f t="shared" si="2"/>
        <v/>
      </c>
    </row>
    <row r="306">
      <c r="A306" s="84"/>
      <c r="B306" s="84"/>
      <c r="C306" s="85"/>
      <c r="D306" s="86"/>
      <c r="E306" s="87"/>
      <c r="F306" s="86"/>
      <c r="G306" s="87"/>
      <c r="H306" s="86"/>
      <c r="I306" s="86"/>
      <c r="J306" s="86"/>
      <c r="K306" s="84"/>
      <c r="L306" s="84" t="str">
        <f>IFERROR(__xludf.DUMMYFUNCTION("IF(A306="""","""", COUNT(SPLIT(K306,"";"")))"),"")</f>
        <v/>
      </c>
      <c r="M306" s="84" t="str">
        <f t="shared" si="1"/>
        <v/>
      </c>
      <c r="N306" s="84" t="str">
        <f>IFERROR(__xludf.DUMMYFUNCTION("IFERROR(AVERAGE(query(INDIRECT(""'FR Table'!"" &amp; vlookup(rows($A$1:$A305),Reference!$O:$P,2,false) &amp; ""3:"" &amp; vlookup(rows($A$1:$A305),Reference!$O:$P,2,false)), 
""SELECT "" &amp; vlookup(rows($A$1:$A305),Reference!$O:$P,2,false) 
&amp; "" WHERE "" &amp; vlookup(row"&amp;"s($A$1:$A305),Reference!$O:$P,2,false) &amp;
"" &gt;= "" &amp; Reference!$R$2)) * M306,"""")"),"")</f>
        <v/>
      </c>
      <c r="O306" s="84" t="str">
        <f t="shared" si="2"/>
        <v/>
      </c>
    </row>
    <row r="307">
      <c r="A307" s="84"/>
      <c r="B307" s="84"/>
      <c r="C307" s="85"/>
      <c r="D307" s="86"/>
      <c r="E307" s="87"/>
      <c r="F307" s="86"/>
      <c r="G307" s="87"/>
      <c r="H307" s="86"/>
      <c r="I307" s="86"/>
      <c r="J307" s="86"/>
      <c r="K307" s="84"/>
      <c r="L307" s="84" t="str">
        <f>IFERROR(__xludf.DUMMYFUNCTION("IF(A307="""","""", COUNT(SPLIT(K307,"";"")))"),"")</f>
        <v/>
      </c>
      <c r="M307" s="84" t="str">
        <f t="shared" si="1"/>
        <v/>
      </c>
      <c r="N307" s="84" t="str">
        <f>IFERROR(__xludf.DUMMYFUNCTION("IFERROR(AVERAGE(query(INDIRECT(""'FR Table'!"" &amp; vlookup(rows($A$1:$A306),Reference!$O:$P,2,false) &amp; ""3:"" &amp; vlookup(rows($A$1:$A306),Reference!$O:$P,2,false)), 
""SELECT "" &amp; vlookup(rows($A$1:$A306),Reference!$O:$P,2,false) 
&amp; "" WHERE "" &amp; vlookup(row"&amp;"s($A$1:$A306),Reference!$O:$P,2,false) &amp;
"" &gt;= "" &amp; Reference!$R$2)) * M307,"""")"),"")</f>
        <v/>
      </c>
      <c r="O307" s="84" t="str">
        <f t="shared" si="2"/>
        <v/>
      </c>
    </row>
    <row r="308">
      <c r="A308" s="84"/>
      <c r="B308" s="84"/>
      <c r="C308" s="85"/>
      <c r="D308" s="86"/>
      <c r="E308" s="87"/>
      <c r="F308" s="86"/>
      <c r="G308" s="87"/>
      <c r="H308" s="86"/>
      <c r="I308" s="86"/>
      <c r="J308" s="86"/>
      <c r="K308" s="84"/>
      <c r="L308" s="84" t="str">
        <f>IFERROR(__xludf.DUMMYFUNCTION("IF(A308="""","""", COUNT(SPLIT(K308,"";"")))"),"")</f>
        <v/>
      </c>
      <c r="M308" s="84" t="str">
        <f t="shared" si="1"/>
        <v/>
      </c>
      <c r="N308" s="84" t="str">
        <f>IFERROR(__xludf.DUMMYFUNCTION("IFERROR(AVERAGE(query(INDIRECT(""'FR Table'!"" &amp; vlookup(rows($A$1:$A307),Reference!$O:$P,2,false) &amp; ""3:"" &amp; vlookup(rows($A$1:$A307),Reference!$O:$P,2,false)), 
""SELECT "" &amp; vlookup(rows($A$1:$A307),Reference!$O:$P,2,false) 
&amp; "" WHERE "" &amp; vlookup(row"&amp;"s($A$1:$A307),Reference!$O:$P,2,false) &amp;
"" &gt;= "" &amp; Reference!$R$2)) * M308,"""")"),"")</f>
        <v/>
      </c>
      <c r="O308" s="84" t="str">
        <f t="shared" si="2"/>
        <v/>
      </c>
    </row>
    <row r="309">
      <c r="A309" s="84"/>
      <c r="B309" s="84"/>
      <c r="C309" s="85"/>
      <c r="D309" s="86"/>
      <c r="E309" s="87"/>
      <c r="F309" s="86"/>
      <c r="G309" s="87"/>
      <c r="H309" s="86"/>
      <c r="I309" s="86"/>
      <c r="J309" s="86"/>
      <c r="K309" s="84"/>
      <c r="L309" s="84" t="str">
        <f>IFERROR(__xludf.DUMMYFUNCTION("IF(A309="""","""", COUNT(SPLIT(K309,"";"")))"),"")</f>
        <v/>
      </c>
      <c r="M309" s="84" t="str">
        <f t="shared" si="1"/>
        <v/>
      </c>
      <c r="N309" s="84" t="str">
        <f>IFERROR(__xludf.DUMMYFUNCTION("IFERROR(AVERAGE(query(INDIRECT(""'FR Table'!"" &amp; vlookup(rows($A$1:$A308),Reference!$O:$P,2,false) &amp; ""3:"" &amp; vlookup(rows($A$1:$A308),Reference!$O:$P,2,false)), 
""SELECT "" &amp; vlookup(rows($A$1:$A308),Reference!$O:$P,2,false) 
&amp; "" WHERE "" &amp; vlookup(row"&amp;"s($A$1:$A308),Reference!$O:$P,2,false) &amp;
"" &gt;= "" &amp; Reference!$R$2)) * M309,"""")"),"")</f>
        <v/>
      </c>
      <c r="O309" s="84" t="str">
        <f t="shared" si="2"/>
        <v/>
      </c>
    </row>
    <row r="310">
      <c r="A310" s="84"/>
      <c r="B310" s="84"/>
      <c r="C310" s="85"/>
      <c r="D310" s="86"/>
      <c r="E310" s="87"/>
      <c r="F310" s="86"/>
      <c r="G310" s="87"/>
      <c r="H310" s="86"/>
      <c r="I310" s="86"/>
      <c r="J310" s="86"/>
      <c r="K310" s="84"/>
      <c r="L310" s="84" t="str">
        <f>IFERROR(__xludf.DUMMYFUNCTION("IF(A310="""","""", COUNT(SPLIT(K310,"";"")))"),"")</f>
        <v/>
      </c>
      <c r="M310" s="84" t="str">
        <f t="shared" si="1"/>
        <v/>
      </c>
      <c r="N310" s="84" t="str">
        <f>IFERROR(__xludf.DUMMYFUNCTION("IFERROR(AVERAGE(query(INDIRECT(""'FR Table'!"" &amp; vlookup(rows($A$1:$A309),Reference!$O:$P,2,false) &amp; ""3:"" &amp; vlookup(rows($A$1:$A309),Reference!$O:$P,2,false)), 
""SELECT "" &amp; vlookup(rows($A$1:$A309),Reference!$O:$P,2,false) 
&amp; "" WHERE "" &amp; vlookup(row"&amp;"s($A$1:$A309),Reference!$O:$P,2,false) &amp;
"" &gt;= "" &amp; Reference!$R$2)) * M310,"""")"),"")</f>
        <v/>
      </c>
      <c r="O310" s="84" t="str">
        <f t="shared" si="2"/>
        <v/>
      </c>
    </row>
    <row r="311">
      <c r="A311" s="84"/>
      <c r="B311" s="84"/>
      <c r="C311" s="85"/>
      <c r="D311" s="86"/>
      <c r="E311" s="87"/>
      <c r="F311" s="86"/>
      <c r="G311" s="87"/>
      <c r="H311" s="86"/>
      <c r="I311" s="86"/>
      <c r="J311" s="86"/>
      <c r="K311" s="84"/>
      <c r="L311" s="84" t="str">
        <f>IFERROR(__xludf.DUMMYFUNCTION("IF(A311="""","""", COUNT(SPLIT(K311,"";"")))"),"")</f>
        <v/>
      </c>
      <c r="M311" s="84" t="str">
        <f t="shared" si="1"/>
        <v/>
      </c>
      <c r="N311" s="84" t="str">
        <f>IFERROR(__xludf.DUMMYFUNCTION("IFERROR(AVERAGE(query(INDIRECT(""'FR Table'!"" &amp; vlookup(rows($A$1:$A310),Reference!$O:$P,2,false) &amp; ""3:"" &amp; vlookup(rows($A$1:$A310),Reference!$O:$P,2,false)), 
""SELECT "" &amp; vlookup(rows($A$1:$A310),Reference!$O:$P,2,false) 
&amp; "" WHERE "" &amp; vlookup(row"&amp;"s($A$1:$A310),Reference!$O:$P,2,false) &amp;
"" &gt;= "" &amp; Reference!$R$2)) * M311,"""")"),"")</f>
        <v/>
      </c>
      <c r="O311" s="84" t="str">
        <f t="shared" si="2"/>
        <v/>
      </c>
    </row>
    <row r="312">
      <c r="A312" s="84"/>
      <c r="B312" s="84"/>
      <c r="C312" s="85"/>
      <c r="D312" s="86"/>
      <c r="E312" s="87"/>
      <c r="F312" s="86"/>
      <c r="G312" s="87"/>
      <c r="H312" s="86"/>
      <c r="I312" s="86"/>
      <c r="J312" s="86"/>
      <c r="K312" s="84"/>
      <c r="L312" s="84" t="str">
        <f>IFERROR(__xludf.DUMMYFUNCTION("IF(A312="""","""", COUNT(SPLIT(K312,"";"")))"),"")</f>
        <v/>
      </c>
      <c r="M312" s="84" t="str">
        <f t="shared" si="1"/>
        <v/>
      </c>
      <c r="N312" s="84" t="str">
        <f>IFERROR(__xludf.DUMMYFUNCTION("IFERROR(AVERAGE(query(INDIRECT(""'FR Table'!"" &amp; vlookup(rows($A$1:$A311),Reference!$O:$P,2,false) &amp; ""3:"" &amp; vlookup(rows($A$1:$A311),Reference!$O:$P,2,false)), 
""SELECT "" &amp; vlookup(rows($A$1:$A311),Reference!$O:$P,2,false) 
&amp; "" WHERE "" &amp; vlookup(row"&amp;"s($A$1:$A311),Reference!$O:$P,2,false) &amp;
"" &gt;= "" &amp; Reference!$R$2)) * M312,"""")"),"")</f>
        <v/>
      </c>
      <c r="O312" s="84" t="str">
        <f t="shared" si="2"/>
        <v/>
      </c>
    </row>
    <row r="313">
      <c r="A313" s="84"/>
      <c r="B313" s="84"/>
      <c r="C313" s="85"/>
      <c r="D313" s="86"/>
      <c r="E313" s="87"/>
      <c r="F313" s="86"/>
      <c r="G313" s="87"/>
      <c r="H313" s="86"/>
      <c r="I313" s="86"/>
      <c r="J313" s="86"/>
      <c r="K313" s="84"/>
      <c r="L313" s="84" t="str">
        <f>IFERROR(__xludf.DUMMYFUNCTION("IF(A313="""","""", COUNT(SPLIT(K313,"";"")))"),"")</f>
        <v/>
      </c>
      <c r="M313" s="84" t="str">
        <f t="shared" si="1"/>
        <v/>
      </c>
      <c r="N313" s="84" t="str">
        <f>IFERROR(__xludf.DUMMYFUNCTION("IFERROR(AVERAGE(query(INDIRECT(""'FR Table'!"" &amp; vlookup(rows($A$1:$A312),Reference!$O:$P,2,false) &amp; ""3:"" &amp; vlookup(rows($A$1:$A312),Reference!$O:$P,2,false)), 
""SELECT "" &amp; vlookup(rows($A$1:$A312),Reference!$O:$P,2,false) 
&amp; "" WHERE "" &amp; vlookup(row"&amp;"s($A$1:$A312),Reference!$O:$P,2,false) &amp;
"" &gt;= "" &amp; Reference!$R$2)) * M313,"""")"),"")</f>
        <v/>
      </c>
      <c r="O313" s="84" t="str">
        <f t="shared" si="2"/>
        <v/>
      </c>
    </row>
    <row r="314">
      <c r="A314" s="84"/>
      <c r="B314" s="84"/>
      <c r="C314" s="85"/>
      <c r="D314" s="86"/>
      <c r="E314" s="87"/>
      <c r="F314" s="86"/>
      <c r="G314" s="87"/>
      <c r="H314" s="86"/>
      <c r="I314" s="86"/>
      <c r="J314" s="86"/>
      <c r="K314" s="84"/>
      <c r="L314" s="84" t="str">
        <f>IFERROR(__xludf.DUMMYFUNCTION("IF(A314="""","""", COUNT(SPLIT(K314,"";"")))"),"")</f>
        <v/>
      </c>
      <c r="M314" s="84" t="str">
        <f t="shared" si="1"/>
        <v/>
      </c>
      <c r="N314" s="84" t="str">
        <f>IFERROR(__xludf.DUMMYFUNCTION("IFERROR(AVERAGE(query(INDIRECT(""'FR Table'!"" &amp; vlookup(rows($A$1:$A313),Reference!$O:$P,2,false) &amp; ""3:"" &amp; vlookup(rows($A$1:$A313),Reference!$O:$P,2,false)), 
""SELECT "" &amp; vlookup(rows($A$1:$A313),Reference!$O:$P,2,false) 
&amp; "" WHERE "" &amp; vlookup(row"&amp;"s($A$1:$A313),Reference!$O:$P,2,false) &amp;
"" &gt;= "" &amp; Reference!$R$2)) * M314,"""")"),"")</f>
        <v/>
      </c>
      <c r="O314" s="84" t="str">
        <f t="shared" si="2"/>
        <v/>
      </c>
    </row>
    <row r="315">
      <c r="A315" s="84"/>
      <c r="B315" s="84"/>
      <c r="C315" s="85"/>
      <c r="D315" s="86"/>
      <c r="E315" s="87"/>
      <c r="F315" s="86"/>
      <c r="G315" s="87"/>
      <c r="H315" s="86"/>
      <c r="I315" s="86"/>
      <c r="J315" s="86"/>
      <c r="K315" s="84"/>
      <c r="L315" s="84" t="str">
        <f>IFERROR(__xludf.DUMMYFUNCTION("IF(A315="""","""", COUNT(SPLIT(K315,"";"")))"),"")</f>
        <v/>
      </c>
      <c r="M315" s="84" t="str">
        <f t="shared" si="1"/>
        <v/>
      </c>
      <c r="N315" s="84" t="str">
        <f>IFERROR(__xludf.DUMMYFUNCTION("IFERROR(AVERAGE(query(INDIRECT(""'FR Table'!"" &amp; vlookup(rows($A$1:$A314),Reference!$O:$P,2,false) &amp; ""3:"" &amp; vlookup(rows($A$1:$A314),Reference!$O:$P,2,false)), 
""SELECT "" &amp; vlookup(rows($A$1:$A314),Reference!$O:$P,2,false) 
&amp; "" WHERE "" &amp; vlookup(row"&amp;"s($A$1:$A314),Reference!$O:$P,2,false) &amp;
"" &gt;= "" &amp; Reference!$R$2)) * M315,"""")"),"")</f>
        <v/>
      </c>
      <c r="O315" s="84" t="str">
        <f t="shared" si="2"/>
        <v/>
      </c>
    </row>
    <row r="316">
      <c r="A316" s="84"/>
      <c r="B316" s="84"/>
      <c r="C316" s="85"/>
      <c r="D316" s="86"/>
      <c r="E316" s="87"/>
      <c r="F316" s="86"/>
      <c r="G316" s="87"/>
      <c r="H316" s="86"/>
      <c r="I316" s="86"/>
      <c r="J316" s="86"/>
      <c r="K316" s="84"/>
      <c r="L316" s="84" t="str">
        <f>IFERROR(__xludf.DUMMYFUNCTION("IF(A316="""","""", COUNT(SPLIT(K316,"";"")))"),"")</f>
        <v/>
      </c>
      <c r="M316" s="84" t="str">
        <f t="shared" si="1"/>
        <v/>
      </c>
      <c r="N316" s="84" t="str">
        <f>IFERROR(__xludf.DUMMYFUNCTION("IFERROR(AVERAGE(query(INDIRECT(""'FR Table'!"" &amp; vlookup(rows($A$1:$A315),Reference!$O:$P,2,false) &amp; ""3:"" &amp; vlookup(rows($A$1:$A315),Reference!$O:$P,2,false)), 
""SELECT "" &amp; vlookup(rows($A$1:$A315),Reference!$O:$P,2,false) 
&amp; "" WHERE "" &amp; vlookup(row"&amp;"s($A$1:$A315),Reference!$O:$P,2,false) &amp;
"" &gt;= "" &amp; Reference!$R$2)) * M316,"""")"),"")</f>
        <v/>
      </c>
      <c r="O316" s="84" t="str">
        <f t="shared" si="2"/>
        <v/>
      </c>
    </row>
    <row r="317">
      <c r="A317" s="84"/>
      <c r="B317" s="84"/>
      <c r="C317" s="85"/>
      <c r="D317" s="86"/>
      <c r="E317" s="87"/>
      <c r="F317" s="86"/>
      <c r="G317" s="87"/>
      <c r="H317" s="86"/>
      <c r="I317" s="86"/>
      <c r="J317" s="86"/>
      <c r="K317" s="84"/>
      <c r="L317" s="84" t="str">
        <f>IFERROR(__xludf.DUMMYFUNCTION("IF(A317="""","""", COUNT(SPLIT(K317,"";"")))"),"")</f>
        <v/>
      </c>
      <c r="M317" s="84" t="str">
        <f t="shared" si="1"/>
        <v/>
      </c>
      <c r="N317" s="84" t="str">
        <f>IFERROR(__xludf.DUMMYFUNCTION("IFERROR(AVERAGE(query(INDIRECT(""'FR Table'!"" &amp; vlookup(rows($A$1:$A316),Reference!$O:$P,2,false) &amp; ""3:"" &amp; vlookup(rows($A$1:$A316),Reference!$O:$P,2,false)), 
""SELECT "" &amp; vlookup(rows($A$1:$A316),Reference!$O:$P,2,false) 
&amp; "" WHERE "" &amp; vlookup(row"&amp;"s($A$1:$A316),Reference!$O:$P,2,false) &amp;
"" &gt;= "" &amp; Reference!$R$2)) * M317,"""")"),"")</f>
        <v/>
      </c>
      <c r="O317" s="84" t="str">
        <f t="shared" si="2"/>
        <v/>
      </c>
    </row>
    <row r="318">
      <c r="A318" s="84"/>
      <c r="B318" s="84"/>
      <c r="C318" s="85"/>
      <c r="D318" s="86"/>
      <c r="E318" s="87"/>
      <c r="F318" s="86"/>
      <c r="G318" s="87"/>
      <c r="H318" s="86"/>
      <c r="I318" s="86"/>
      <c r="J318" s="86"/>
      <c r="K318" s="84"/>
      <c r="L318" s="84" t="str">
        <f>IFERROR(__xludf.DUMMYFUNCTION("IF(A318="""","""", COUNT(SPLIT(K318,"";"")))"),"")</f>
        <v/>
      </c>
      <c r="M318" s="84" t="str">
        <f t="shared" si="1"/>
        <v/>
      </c>
      <c r="N318" s="84" t="str">
        <f>IFERROR(__xludf.DUMMYFUNCTION("IFERROR(AVERAGE(query(INDIRECT(""'FR Table'!"" &amp; vlookup(rows($A$1:$A317),Reference!$O:$P,2,false) &amp; ""3:"" &amp; vlookup(rows($A$1:$A317),Reference!$O:$P,2,false)), 
""SELECT "" &amp; vlookup(rows($A$1:$A317),Reference!$O:$P,2,false) 
&amp; "" WHERE "" &amp; vlookup(row"&amp;"s($A$1:$A317),Reference!$O:$P,2,false) &amp;
"" &gt;= "" &amp; Reference!$R$2)) * M318,"""")"),"")</f>
        <v/>
      </c>
      <c r="O318" s="84" t="str">
        <f t="shared" si="2"/>
        <v/>
      </c>
    </row>
    <row r="319">
      <c r="A319" s="84"/>
      <c r="B319" s="84"/>
      <c r="C319" s="85"/>
      <c r="D319" s="86"/>
      <c r="E319" s="87"/>
      <c r="F319" s="86"/>
      <c r="G319" s="87"/>
      <c r="H319" s="86"/>
      <c r="I319" s="86"/>
      <c r="J319" s="86"/>
      <c r="K319" s="84"/>
      <c r="L319" s="84" t="str">
        <f>IFERROR(__xludf.DUMMYFUNCTION("IF(A319="""","""", COUNT(SPLIT(K319,"";"")))"),"")</f>
        <v/>
      </c>
      <c r="M319" s="84" t="str">
        <f t="shared" si="1"/>
        <v/>
      </c>
      <c r="N319" s="84" t="str">
        <f>IFERROR(__xludf.DUMMYFUNCTION("IFERROR(AVERAGE(query(INDIRECT(""'FR Table'!"" &amp; vlookup(rows($A$1:$A318),Reference!$O:$P,2,false) &amp; ""3:"" &amp; vlookup(rows($A$1:$A318),Reference!$O:$P,2,false)), 
""SELECT "" &amp; vlookup(rows($A$1:$A318),Reference!$O:$P,2,false) 
&amp; "" WHERE "" &amp; vlookup(row"&amp;"s($A$1:$A318),Reference!$O:$P,2,false) &amp;
"" &gt;= "" &amp; Reference!$R$2)) * M319,"""")"),"")</f>
        <v/>
      </c>
      <c r="O319" s="84" t="str">
        <f t="shared" si="2"/>
        <v/>
      </c>
    </row>
    <row r="320">
      <c r="A320" s="84"/>
      <c r="B320" s="84"/>
      <c r="C320" s="85"/>
      <c r="D320" s="86"/>
      <c r="E320" s="87"/>
      <c r="F320" s="86"/>
      <c r="G320" s="87"/>
      <c r="H320" s="86"/>
      <c r="I320" s="86"/>
      <c r="J320" s="86"/>
      <c r="K320" s="84"/>
      <c r="L320" s="84" t="str">
        <f>IFERROR(__xludf.DUMMYFUNCTION("IF(A320="""","""", COUNT(SPLIT(K320,"";"")))"),"")</f>
        <v/>
      </c>
      <c r="M320" s="84" t="str">
        <f t="shared" si="1"/>
        <v/>
      </c>
      <c r="N320" s="84" t="str">
        <f>IFERROR(__xludf.DUMMYFUNCTION("IFERROR(AVERAGE(query(INDIRECT(""'FR Table'!"" &amp; vlookup(rows($A$1:$A319),Reference!$O:$P,2,false) &amp; ""3:"" &amp; vlookup(rows($A$1:$A319),Reference!$O:$P,2,false)), 
""SELECT "" &amp; vlookup(rows($A$1:$A319),Reference!$O:$P,2,false) 
&amp; "" WHERE "" &amp; vlookup(row"&amp;"s($A$1:$A319),Reference!$O:$P,2,false) &amp;
"" &gt;= "" &amp; Reference!$R$2)) * M320,"""")"),"")</f>
        <v/>
      </c>
      <c r="O320" s="84" t="str">
        <f t="shared" si="2"/>
        <v/>
      </c>
    </row>
    <row r="321">
      <c r="A321" s="84"/>
      <c r="B321" s="84"/>
      <c r="C321" s="85"/>
      <c r="D321" s="86"/>
      <c r="E321" s="87"/>
      <c r="F321" s="86"/>
      <c r="G321" s="87"/>
      <c r="H321" s="86"/>
      <c r="I321" s="86"/>
      <c r="J321" s="86"/>
      <c r="K321" s="84"/>
      <c r="L321" s="84" t="str">
        <f>IFERROR(__xludf.DUMMYFUNCTION("IF(A321="""","""", COUNT(SPLIT(K321,"";"")))"),"")</f>
        <v/>
      </c>
      <c r="M321" s="84" t="str">
        <f t="shared" si="1"/>
        <v/>
      </c>
      <c r="N321" s="84" t="str">
        <f>IFERROR(__xludf.DUMMYFUNCTION("IFERROR(AVERAGE(query(INDIRECT(""'FR Table'!"" &amp; vlookup(rows($A$1:$A320),Reference!$O:$P,2,false) &amp; ""3:"" &amp; vlookup(rows($A$1:$A320),Reference!$O:$P,2,false)), 
""SELECT "" &amp; vlookup(rows($A$1:$A320),Reference!$O:$P,2,false) 
&amp; "" WHERE "" &amp; vlookup(row"&amp;"s($A$1:$A320),Reference!$O:$P,2,false) &amp;
"" &gt;= "" &amp; Reference!$R$2)) * M321,"""")"),"")</f>
        <v/>
      </c>
      <c r="O321" s="84" t="str">
        <f t="shared" si="2"/>
        <v/>
      </c>
    </row>
    <row r="322">
      <c r="A322" s="84"/>
      <c r="B322" s="84"/>
      <c r="C322" s="85"/>
      <c r="D322" s="86"/>
      <c r="E322" s="87"/>
      <c r="F322" s="86"/>
      <c r="G322" s="87"/>
      <c r="H322" s="86"/>
      <c r="I322" s="86"/>
      <c r="J322" s="86"/>
      <c r="K322" s="84"/>
      <c r="L322" s="84" t="str">
        <f>IFERROR(__xludf.DUMMYFUNCTION("IF(A322="""","""", COUNT(SPLIT(K322,"";"")))"),"")</f>
        <v/>
      </c>
      <c r="M322" s="84" t="str">
        <f t="shared" si="1"/>
        <v/>
      </c>
      <c r="N322" s="84" t="str">
        <f>IFERROR(__xludf.DUMMYFUNCTION("IFERROR(AVERAGE(query(INDIRECT(""'FR Table'!"" &amp; vlookup(rows($A$1:$A321),Reference!$O:$P,2,false) &amp; ""3:"" &amp; vlookup(rows($A$1:$A321),Reference!$O:$P,2,false)), 
""SELECT "" &amp; vlookup(rows($A$1:$A321),Reference!$O:$P,2,false) 
&amp; "" WHERE "" &amp; vlookup(row"&amp;"s($A$1:$A321),Reference!$O:$P,2,false) &amp;
"" &gt;= "" &amp; Reference!$R$2)) * M322,"""")"),"")</f>
        <v/>
      </c>
      <c r="O322" s="84" t="str">
        <f t="shared" si="2"/>
        <v/>
      </c>
    </row>
    <row r="323">
      <c r="A323" s="84"/>
      <c r="B323" s="84"/>
      <c r="C323" s="85"/>
      <c r="D323" s="86"/>
      <c r="E323" s="87"/>
      <c r="F323" s="86"/>
      <c r="G323" s="87"/>
      <c r="H323" s="86"/>
      <c r="I323" s="86"/>
      <c r="J323" s="86"/>
      <c r="K323" s="84"/>
      <c r="L323" s="84" t="str">
        <f>IFERROR(__xludf.DUMMYFUNCTION("IF(A323="""","""", COUNT(SPLIT(K323,"";"")))"),"")</f>
        <v/>
      </c>
      <c r="M323" s="84" t="str">
        <f t="shared" si="1"/>
        <v/>
      </c>
      <c r="N323" s="84" t="str">
        <f>IFERROR(__xludf.DUMMYFUNCTION("IFERROR(AVERAGE(query(INDIRECT(""'FR Table'!"" &amp; vlookup(rows($A$1:$A322),Reference!$O:$P,2,false) &amp; ""3:"" &amp; vlookup(rows($A$1:$A322),Reference!$O:$P,2,false)), 
""SELECT "" &amp; vlookup(rows($A$1:$A322),Reference!$O:$P,2,false) 
&amp; "" WHERE "" &amp; vlookup(row"&amp;"s($A$1:$A322),Reference!$O:$P,2,false) &amp;
"" &gt;= "" &amp; Reference!$R$2)) * M323,"""")"),"")</f>
        <v/>
      </c>
      <c r="O323" s="84" t="str">
        <f t="shared" si="2"/>
        <v/>
      </c>
    </row>
    <row r="324">
      <c r="A324" s="84"/>
      <c r="B324" s="84"/>
      <c r="C324" s="85"/>
      <c r="D324" s="86"/>
      <c r="E324" s="87"/>
      <c r="F324" s="86"/>
      <c r="G324" s="87"/>
      <c r="H324" s="86"/>
      <c r="I324" s="86"/>
      <c r="J324" s="86"/>
      <c r="K324" s="84"/>
      <c r="L324" s="84" t="str">
        <f>IFERROR(__xludf.DUMMYFUNCTION("IF(A324="""","""", COUNT(SPLIT(K324,"";"")))"),"")</f>
        <v/>
      </c>
      <c r="M324" s="84" t="str">
        <f t="shared" si="1"/>
        <v/>
      </c>
      <c r="N324" s="84" t="str">
        <f>IFERROR(__xludf.DUMMYFUNCTION("IFERROR(AVERAGE(query(INDIRECT(""'FR Table'!"" &amp; vlookup(rows($A$1:$A323),Reference!$O:$P,2,false) &amp; ""3:"" &amp; vlookup(rows($A$1:$A323),Reference!$O:$P,2,false)), 
""SELECT "" &amp; vlookup(rows($A$1:$A323),Reference!$O:$P,2,false) 
&amp; "" WHERE "" &amp; vlookup(row"&amp;"s($A$1:$A323),Reference!$O:$P,2,false) &amp;
"" &gt;= "" &amp; Reference!$R$2)) * M324,"""")"),"")</f>
        <v/>
      </c>
      <c r="O324" s="84" t="str">
        <f t="shared" si="2"/>
        <v/>
      </c>
    </row>
    <row r="325">
      <c r="A325" s="84"/>
      <c r="B325" s="84"/>
      <c r="C325" s="85"/>
      <c r="D325" s="86"/>
      <c r="E325" s="87"/>
      <c r="F325" s="86"/>
      <c r="G325" s="87"/>
      <c r="H325" s="86"/>
      <c r="I325" s="86"/>
      <c r="J325" s="86"/>
      <c r="K325" s="84"/>
      <c r="L325" s="84" t="str">
        <f>IFERROR(__xludf.DUMMYFUNCTION("IF(A325="""","""", COUNT(SPLIT(K325,"";"")))"),"")</f>
        <v/>
      </c>
      <c r="M325" s="84" t="str">
        <f t="shared" si="1"/>
        <v/>
      </c>
      <c r="N325" s="84" t="str">
        <f>IFERROR(__xludf.DUMMYFUNCTION("IFERROR(AVERAGE(query(INDIRECT(""'FR Table'!"" &amp; vlookup(rows($A$1:$A324),Reference!$O:$P,2,false) &amp; ""3:"" &amp; vlookup(rows($A$1:$A324),Reference!$O:$P,2,false)), 
""SELECT "" &amp; vlookup(rows($A$1:$A324),Reference!$O:$P,2,false) 
&amp; "" WHERE "" &amp; vlookup(row"&amp;"s($A$1:$A324),Reference!$O:$P,2,false) &amp;
"" &gt;= "" &amp; Reference!$R$2)) * M325,"""")"),"")</f>
        <v/>
      </c>
      <c r="O325" s="84" t="str">
        <f t="shared" si="2"/>
        <v/>
      </c>
    </row>
    <row r="326">
      <c r="A326" s="84"/>
      <c r="B326" s="84"/>
      <c r="C326" s="85"/>
      <c r="D326" s="86"/>
      <c r="E326" s="87"/>
      <c r="F326" s="86"/>
      <c r="G326" s="87"/>
      <c r="H326" s="86"/>
      <c r="I326" s="86"/>
      <c r="J326" s="86"/>
      <c r="K326" s="84"/>
      <c r="L326" s="84" t="str">
        <f>IFERROR(__xludf.DUMMYFUNCTION("IF(A326="""","""", COUNT(SPLIT(K326,"";"")))"),"")</f>
        <v/>
      </c>
      <c r="M326" s="84" t="str">
        <f t="shared" si="1"/>
        <v/>
      </c>
      <c r="N326" s="84" t="str">
        <f>IFERROR(__xludf.DUMMYFUNCTION("IFERROR(AVERAGE(query(INDIRECT(""'FR Table'!"" &amp; vlookup(rows($A$1:$A325),Reference!$O:$P,2,false) &amp; ""3:"" &amp; vlookup(rows($A$1:$A325),Reference!$O:$P,2,false)), 
""SELECT "" &amp; vlookup(rows($A$1:$A325),Reference!$O:$P,2,false) 
&amp; "" WHERE "" &amp; vlookup(row"&amp;"s($A$1:$A325),Reference!$O:$P,2,false) &amp;
"" &gt;= "" &amp; Reference!$R$2)) * M326,"""")"),"")</f>
        <v/>
      </c>
      <c r="O326" s="84" t="str">
        <f t="shared" si="2"/>
        <v/>
      </c>
    </row>
    <row r="327">
      <c r="A327" s="84"/>
      <c r="B327" s="84"/>
      <c r="C327" s="85"/>
      <c r="D327" s="86"/>
      <c r="E327" s="87"/>
      <c r="F327" s="86"/>
      <c r="G327" s="87"/>
      <c r="H327" s="86"/>
      <c r="I327" s="86"/>
      <c r="J327" s="86"/>
      <c r="K327" s="84"/>
      <c r="L327" s="84" t="str">
        <f>IFERROR(__xludf.DUMMYFUNCTION("IF(A327="""","""", COUNT(SPLIT(K327,"";"")))"),"")</f>
        <v/>
      </c>
      <c r="M327" s="84" t="str">
        <f t="shared" si="1"/>
        <v/>
      </c>
      <c r="N327" s="84" t="str">
        <f>IFERROR(__xludf.DUMMYFUNCTION("IFERROR(AVERAGE(query(INDIRECT(""'FR Table'!"" &amp; vlookup(rows($A$1:$A326),Reference!$O:$P,2,false) &amp; ""3:"" &amp; vlookup(rows($A$1:$A326),Reference!$O:$P,2,false)), 
""SELECT "" &amp; vlookup(rows($A$1:$A326),Reference!$O:$P,2,false) 
&amp; "" WHERE "" &amp; vlookup(row"&amp;"s($A$1:$A326),Reference!$O:$P,2,false) &amp;
"" &gt;= "" &amp; Reference!$R$2)) * M327,"""")"),"")</f>
        <v/>
      </c>
      <c r="O327" s="84" t="str">
        <f t="shared" si="2"/>
        <v/>
      </c>
    </row>
    <row r="328">
      <c r="A328" s="84"/>
      <c r="B328" s="84"/>
      <c r="C328" s="85"/>
      <c r="D328" s="86"/>
      <c r="E328" s="87"/>
      <c r="F328" s="86"/>
      <c r="G328" s="87"/>
      <c r="H328" s="86"/>
      <c r="I328" s="86"/>
      <c r="J328" s="86"/>
      <c r="K328" s="84"/>
      <c r="L328" s="84" t="str">
        <f>IFERROR(__xludf.DUMMYFUNCTION("IF(A328="""","""", COUNT(SPLIT(K328,"";"")))"),"")</f>
        <v/>
      </c>
      <c r="M328" s="84" t="str">
        <f t="shared" si="1"/>
        <v/>
      </c>
      <c r="N328" s="84" t="str">
        <f>IFERROR(__xludf.DUMMYFUNCTION("IFERROR(AVERAGE(query(INDIRECT(""'FR Table'!"" &amp; vlookup(rows($A$1:$A327),Reference!$O:$P,2,false) &amp; ""3:"" &amp; vlookup(rows($A$1:$A327),Reference!$O:$P,2,false)), 
""SELECT "" &amp; vlookup(rows($A$1:$A327),Reference!$O:$P,2,false) 
&amp; "" WHERE "" &amp; vlookup(row"&amp;"s($A$1:$A327),Reference!$O:$P,2,false) &amp;
"" &gt;= "" &amp; Reference!$R$2)) * M328,"""")"),"")</f>
        <v/>
      </c>
      <c r="O328" s="84" t="str">
        <f t="shared" si="2"/>
        <v/>
      </c>
    </row>
    <row r="329">
      <c r="A329" s="84"/>
      <c r="B329" s="84"/>
      <c r="C329" s="85"/>
      <c r="D329" s="86"/>
      <c r="E329" s="87"/>
      <c r="F329" s="86"/>
      <c r="G329" s="87"/>
      <c r="H329" s="86"/>
      <c r="I329" s="86"/>
      <c r="J329" s="86"/>
      <c r="K329" s="84"/>
      <c r="L329" s="84" t="str">
        <f>IFERROR(__xludf.DUMMYFUNCTION("IF(A329="""","""", COUNT(SPLIT(K329,"";"")))"),"")</f>
        <v/>
      </c>
      <c r="M329" s="84" t="str">
        <f t="shared" si="1"/>
        <v/>
      </c>
      <c r="N329" s="84" t="str">
        <f>IFERROR(__xludf.DUMMYFUNCTION("IFERROR(AVERAGE(query(INDIRECT(""'FR Table'!"" &amp; vlookup(rows($A$1:$A328),Reference!$O:$P,2,false) &amp; ""3:"" &amp; vlookup(rows($A$1:$A328),Reference!$O:$P,2,false)), 
""SELECT "" &amp; vlookup(rows($A$1:$A328),Reference!$O:$P,2,false) 
&amp; "" WHERE "" &amp; vlookup(row"&amp;"s($A$1:$A328),Reference!$O:$P,2,false) &amp;
"" &gt;= "" &amp; Reference!$R$2)) * M329,"""")"),"")</f>
        <v/>
      </c>
      <c r="O329" s="84" t="str">
        <f t="shared" si="2"/>
        <v/>
      </c>
    </row>
    <row r="330">
      <c r="A330" s="84"/>
      <c r="B330" s="84"/>
      <c r="C330" s="85"/>
      <c r="D330" s="86"/>
      <c r="E330" s="87"/>
      <c r="F330" s="86"/>
      <c r="G330" s="87"/>
      <c r="H330" s="86"/>
      <c r="I330" s="86"/>
      <c r="J330" s="86"/>
      <c r="K330" s="84"/>
      <c r="L330" s="84" t="str">
        <f>IFERROR(__xludf.DUMMYFUNCTION("IF(A330="""","""", COUNT(SPLIT(K330,"";"")))"),"")</f>
        <v/>
      </c>
      <c r="M330" s="84" t="str">
        <f t="shared" si="1"/>
        <v/>
      </c>
      <c r="N330" s="84" t="str">
        <f>IFERROR(__xludf.DUMMYFUNCTION("IFERROR(AVERAGE(query(INDIRECT(""'FR Table'!"" &amp; vlookup(rows($A$1:$A329),Reference!$O:$P,2,false) &amp; ""3:"" &amp; vlookup(rows($A$1:$A329),Reference!$O:$P,2,false)), 
""SELECT "" &amp; vlookup(rows($A$1:$A329),Reference!$O:$P,2,false) 
&amp; "" WHERE "" &amp; vlookup(row"&amp;"s($A$1:$A329),Reference!$O:$P,2,false) &amp;
"" &gt;= "" &amp; Reference!$R$2)) * M330,"""")"),"")</f>
        <v/>
      </c>
      <c r="O330" s="84" t="str">
        <f t="shared" si="2"/>
        <v/>
      </c>
    </row>
    <row r="331">
      <c r="A331" s="84"/>
      <c r="B331" s="84"/>
      <c r="C331" s="85"/>
      <c r="D331" s="86"/>
      <c r="E331" s="87"/>
      <c r="F331" s="86"/>
      <c r="G331" s="87"/>
      <c r="H331" s="86"/>
      <c r="I331" s="86"/>
      <c r="J331" s="86"/>
      <c r="K331" s="84"/>
      <c r="L331" s="84" t="str">
        <f>IFERROR(__xludf.DUMMYFUNCTION("IF(A331="""","""", COUNT(SPLIT(K331,"";"")))"),"")</f>
        <v/>
      </c>
      <c r="M331" s="84" t="str">
        <f t="shared" si="1"/>
        <v/>
      </c>
      <c r="N331" s="84" t="str">
        <f>IFERROR(__xludf.DUMMYFUNCTION("IFERROR(AVERAGE(query(INDIRECT(""'FR Table'!"" &amp; vlookup(rows($A$1:$A330),Reference!$O:$P,2,false) &amp; ""3:"" &amp; vlookup(rows($A$1:$A330),Reference!$O:$P,2,false)), 
""SELECT "" &amp; vlookup(rows($A$1:$A330),Reference!$O:$P,2,false) 
&amp; "" WHERE "" &amp; vlookup(row"&amp;"s($A$1:$A330),Reference!$O:$P,2,false) &amp;
"" &gt;= "" &amp; Reference!$R$2)) * M331,"""")"),"")</f>
        <v/>
      </c>
      <c r="O331" s="84" t="str">
        <f t="shared" si="2"/>
        <v/>
      </c>
    </row>
    <row r="332">
      <c r="A332" s="84"/>
      <c r="B332" s="84"/>
      <c r="C332" s="85"/>
      <c r="D332" s="86"/>
      <c r="E332" s="87"/>
      <c r="F332" s="86"/>
      <c r="G332" s="87"/>
      <c r="H332" s="86"/>
      <c r="I332" s="86"/>
      <c r="J332" s="86"/>
      <c r="K332" s="84"/>
      <c r="L332" s="84" t="str">
        <f>IFERROR(__xludf.DUMMYFUNCTION("IF(A332="""","""", COUNT(SPLIT(K332,"";"")))"),"")</f>
        <v/>
      </c>
      <c r="M332" s="84" t="str">
        <f t="shared" si="1"/>
        <v/>
      </c>
      <c r="N332" s="84" t="str">
        <f>IFERROR(__xludf.DUMMYFUNCTION("IFERROR(AVERAGE(query(INDIRECT(""'FR Table'!"" &amp; vlookup(rows($A$1:$A331),Reference!$O:$P,2,false) &amp; ""3:"" &amp; vlookup(rows($A$1:$A331),Reference!$O:$P,2,false)), 
""SELECT "" &amp; vlookup(rows($A$1:$A331),Reference!$O:$P,2,false) 
&amp; "" WHERE "" &amp; vlookup(row"&amp;"s($A$1:$A331),Reference!$O:$P,2,false) &amp;
"" &gt;= "" &amp; Reference!$R$2)) * M332,"""")"),"")</f>
        <v/>
      </c>
      <c r="O332" s="84" t="str">
        <f t="shared" si="2"/>
        <v/>
      </c>
    </row>
    <row r="333">
      <c r="A333" s="84"/>
      <c r="B333" s="84"/>
      <c r="C333" s="85"/>
      <c r="D333" s="86"/>
      <c r="E333" s="87"/>
      <c r="F333" s="86"/>
      <c r="G333" s="87"/>
      <c r="H333" s="86"/>
      <c r="I333" s="86"/>
      <c r="J333" s="86"/>
      <c r="K333" s="84"/>
      <c r="L333" s="84" t="str">
        <f>IFERROR(__xludf.DUMMYFUNCTION("IF(A333="""","""", COUNT(SPLIT(K333,"";"")))"),"")</f>
        <v/>
      </c>
      <c r="M333" s="84" t="str">
        <f t="shared" si="1"/>
        <v/>
      </c>
      <c r="N333" s="84" t="str">
        <f>IFERROR(__xludf.DUMMYFUNCTION("IFERROR(AVERAGE(query(INDIRECT(""'FR Table'!"" &amp; vlookup(rows($A$1:$A332),Reference!$O:$P,2,false) &amp; ""3:"" &amp; vlookup(rows($A$1:$A332),Reference!$O:$P,2,false)), 
""SELECT "" &amp; vlookup(rows($A$1:$A332),Reference!$O:$P,2,false) 
&amp; "" WHERE "" &amp; vlookup(row"&amp;"s($A$1:$A332),Reference!$O:$P,2,false) &amp;
"" &gt;= "" &amp; Reference!$R$2)) * M333,"""")"),"")</f>
        <v/>
      </c>
      <c r="O333" s="84" t="str">
        <f t="shared" si="2"/>
        <v/>
      </c>
    </row>
    <row r="334">
      <c r="A334" s="84"/>
      <c r="B334" s="84"/>
      <c r="C334" s="85"/>
      <c r="D334" s="86"/>
      <c r="E334" s="87"/>
      <c r="F334" s="86"/>
      <c r="G334" s="87"/>
      <c r="H334" s="86"/>
      <c r="I334" s="86"/>
      <c r="J334" s="86"/>
      <c r="K334" s="84"/>
      <c r="L334" s="84" t="str">
        <f>IFERROR(__xludf.DUMMYFUNCTION("IF(A334="""","""", COUNT(SPLIT(K334,"";"")))"),"")</f>
        <v/>
      </c>
      <c r="M334" s="84" t="str">
        <f t="shared" si="1"/>
        <v/>
      </c>
      <c r="N334" s="84" t="str">
        <f>IFERROR(__xludf.DUMMYFUNCTION("IFERROR(AVERAGE(query(INDIRECT(""'FR Table'!"" &amp; vlookup(rows($A$1:$A333),Reference!$O:$P,2,false) &amp; ""3:"" &amp; vlookup(rows($A$1:$A333),Reference!$O:$P,2,false)), 
""SELECT "" &amp; vlookup(rows($A$1:$A333),Reference!$O:$P,2,false) 
&amp; "" WHERE "" &amp; vlookup(row"&amp;"s($A$1:$A333),Reference!$O:$P,2,false) &amp;
"" &gt;= "" &amp; Reference!$R$2)) * M334,"""")"),"")</f>
        <v/>
      </c>
      <c r="O334" s="84" t="str">
        <f t="shared" si="2"/>
        <v/>
      </c>
    </row>
    <row r="335">
      <c r="A335" s="84"/>
      <c r="B335" s="84"/>
      <c r="C335" s="85"/>
      <c r="D335" s="86"/>
      <c r="E335" s="87"/>
      <c r="F335" s="86"/>
      <c r="G335" s="87"/>
      <c r="H335" s="86"/>
      <c r="I335" s="86"/>
      <c r="J335" s="86"/>
      <c r="K335" s="84"/>
      <c r="L335" s="84" t="str">
        <f>IFERROR(__xludf.DUMMYFUNCTION("IF(A335="""","""", COUNT(SPLIT(K335,"";"")))"),"")</f>
        <v/>
      </c>
      <c r="M335" s="84" t="str">
        <f t="shared" si="1"/>
        <v/>
      </c>
      <c r="N335" s="84" t="str">
        <f>IFERROR(__xludf.DUMMYFUNCTION("IFERROR(AVERAGE(query(INDIRECT(""'FR Table'!"" &amp; vlookup(rows($A$1:$A334),Reference!$O:$P,2,false) &amp; ""3:"" &amp; vlookup(rows($A$1:$A334),Reference!$O:$P,2,false)), 
""SELECT "" &amp; vlookup(rows($A$1:$A334),Reference!$O:$P,2,false) 
&amp; "" WHERE "" &amp; vlookup(row"&amp;"s($A$1:$A334),Reference!$O:$P,2,false) &amp;
"" &gt;= "" &amp; Reference!$R$2)) * M335,"""")"),"")</f>
        <v/>
      </c>
      <c r="O335" s="84" t="str">
        <f t="shared" si="2"/>
        <v/>
      </c>
    </row>
    <row r="336">
      <c r="A336" s="84"/>
      <c r="B336" s="84"/>
      <c r="C336" s="85"/>
      <c r="D336" s="86"/>
      <c r="E336" s="87"/>
      <c r="F336" s="86"/>
      <c r="G336" s="87"/>
      <c r="H336" s="86"/>
      <c r="I336" s="86"/>
      <c r="J336" s="86"/>
      <c r="K336" s="84"/>
      <c r="L336" s="84" t="str">
        <f>IFERROR(__xludf.DUMMYFUNCTION("IF(A336="""","""", COUNT(SPLIT(K336,"";"")))"),"")</f>
        <v/>
      </c>
      <c r="M336" s="84" t="str">
        <f t="shared" si="1"/>
        <v/>
      </c>
      <c r="N336" s="84" t="str">
        <f>IFERROR(__xludf.DUMMYFUNCTION("IFERROR(AVERAGE(query(INDIRECT(""'FR Table'!"" &amp; vlookup(rows($A$1:$A335),Reference!$O:$P,2,false) &amp; ""3:"" &amp; vlookup(rows($A$1:$A335),Reference!$O:$P,2,false)), 
""SELECT "" &amp; vlookup(rows($A$1:$A335),Reference!$O:$P,2,false) 
&amp; "" WHERE "" &amp; vlookup(row"&amp;"s($A$1:$A335),Reference!$O:$P,2,false) &amp;
"" &gt;= "" &amp; Reference!$R$2)) * M336,"""")"),"")</f>
        <v/>
      </c>
      <c r="O336" s="84" t="str">
        <f t="shared" si="2"/>
        <v/>
      </c>
    </row>
    <row r="337">
      <c r="A337" s="84"/>
      <c r="B337" s="84"/>
      <c r="C337" s="85"/>
      <c r="D337" s="86"/>
      <c r="E337" s="87"/>
      <c r="F337" s="86"/>
      <c r="G337" s="87"/>
      <c r="H337" s="86"/>
      <c r="I337" s="86"/>
      <c r="J337" s="86"/>
      <c r="K337" s="84"/>
      <c r="L337" s="84" t="str">
        <f>IFERROR(__xludf.DUMMYFUNCTION("IF(A337="""","""", COUNT(SPLIT(K337,"";"")))"),"")</f>
        <v/>
      </c>
      <c r="M337" s="84" t="str">
        <f t="shared" si="1"/>
        <v/>
      </c>
      <c r="N337" s="84" t="str">
        <f>IFERROR(__xludf.DUMMYFUNCTION("IFERROR(AVERAGE(query(INDIRECT(""'FR Table'!"" &amp; vlookup(rows($A$1:$A336),Reference!$O:$P,2,false) &amp; ""3:"" &amp; vlookup(rows($A$1:$A336),Reference!$O:$P,2,false)), 
""SELECT "" &amp; vlookup(rows($A$1:$A336),Reference!$O:$P,2,false) 
&amp; "" WHERE "" &amp; vlookup(row"&amp;"s($A$1:$A336),Reference!$O:$P,2,false) &amp;
"" &gt;= "" &amp; Reference!$R$2)) * M337,"""")"),"")</f>
        <v/>
      </c>
      <c r="O337" s="84" t="str">
        <f t="shared" si="2"/>
        <v/>
      </c>
    </row>
    <row r="338">
      <c r="A338" s="84"/>
      <c r="B338" s="84"/>
      <c r="C338" s="85"/>
      <c r="D338" s="86"/>
      <c r="E338" s="87"/>
      <c r="F338" s="86"/>
      <c r="G338" s="87"/>
      <c r="H338" s="86"/>
      <c r="I338" s="86"/>
      <c r="J338" s="86"/>
      <c r="K338" s="84"/>
      <c r="L338" s="84" t="str">
        <f>IFERROR(__xludf.DUMMYFUNCTION("IF(A338="""","""", COUNT(SPLIT(K338,"";"")))"),"")</f>
        <v/>
      </c>
      <c r="M338" s="84" t="str">
        <f t="shared" si="1"/>
        <v/>
      </c>
      <c r="N338" s="84" t="str">
        <f>IFERROR(__xludf.DUMMYFUNCTION("IFERROR(AVERAGE(query(INDIRECT(""'FR Table'!"" &amp; vlookup(rows($A$1:$A337),Reference!$O:$P,2,false) &amp; ""3:"" &amp; vlookup(rows($A$1:$A337),Reference!$O:$P,2,false)), 
""SELECT "" &amp; vlookup(rows($A$1:$A337),Reference!$O:$P,2,false) 
&amp; "" WHERE "" &amp; vlookup(row"&amp;"s($A$1:$A337),Reference!$O:$P,2,false) &amp;
"" &gt;= "" &amp; Reference!$R$2)) * M338,"""")"),"")</f>
        <v/>
      </c>
      <c r="O338" s="84" t="str">
        <f t="shared" si="2"/>
        <v/>
      </c>
    </row>
    <row r="339">
      <c r="A339" s="84"/>
      <c r="B339" s="84"/>
      <c r="C339" s="85"/>
      <c r="D339" s="86"/>
      <c r="E339" s="87"/>
      <c r="F339" s="86"/>
      <c r="G339" s="87"/>
      <c r="H339" s="86"/>
      <c r="I339" s="86"/>
      <c r="J339" s="86"/>
      <c r="K339" s="84"/>
      <c r="L339" s="84" t="str">
        <f>IFERROR(__xludf.DUMMYFUNCTION("IF(A339="""","""", COUNT(SPLIT(K339,"";"")))"),"")</f>
        <v/>
      </c>
      <c r="M339" s="84" t="str">
        <f t="shared" si="1"/>
        <v/>
      </c>
      <c r="N339" s="84" t="str">
        <f>IFERROR(__xludf.DUMMYFUNCTION("IFERROR(AVERAGE(query(INDIRECT(""'FR Table'!"" &amp; vlookup(rows($A$1:$A338),Reference!$O:$P,2,false) &amp; ""3:"" &amp; vlookup(rows($A$1:$A338),Reference!$O:$P,2,false)), 
""SELECT "" &amp; vlookup(rows($A$1:$A338),Reference!$O:$P,2,false) 
&amp; "" WHERE "" &amp; vlookup(row"&amp;"s($A$1:$A338),Reference!$O:$P,2,false) &amp;
"" &gt;= "" &amp; Reference!$R$2)) * M339,"""")"),"")</f>
        <v/>
      </c>
      <c r="O339" s="84" t="str">
        <f t="shared" si="2"/>
        <v/>
      </c>
    </row>
    <row r="340">
      <c r="A340" s="84"/>
      <c r="B340" s="84"/>
      <c r="C340" s="85"/>
      <c r="D340" s="86"/>
      <c r="E340" s="87"/>
      <c r="F340" s="86"/>
      <c r="G340" s="87"/>
      <c r="H340" s="86"/>
      <c r="I340" s="86"/>
      <c r="J340" s="86"/>
      <c r="K340" s="84"/>
      <c r="L340" s="84" t="str">
        <f>IFERROR(__xludf.DUMMYFUNCTION("IF(A340="""","""", COUNT(SPLIT(K340,"";"")))"),"")</f>
        <v/>
      </c>
      <c r="M340" s="84" t="str">
        <f t="shared" si="1"/>
        <v/>
      </c>
      <c r="N340" s="84" t="str">
        <f>IFERROR(__xludf.DUMMYFUNCTION("IFERROR(AVERAGE(query(INDIRECT(""'FR Table'!"" &amp; vlookup(rows($A$1:$A339),Reference!$O:$P,2,false) &amp; ""3:"" &amp; vlookup(rows($A$1:$A339),Reference!$O:$P,2,false)), 
""SELECT "" &amp; vlookup(rows($A$1:$A339),Reference!$O:$P,2,false) 
&amp; "" WHERE "" &amp; vlookup(row"&amp;"s($A$1:$A339),Reference!$O:$P,2,false) &amp;
"" &gt;= "" &amp; Reference!$R$2)) * M340,"""")"),"")</f>
        <v/>
      </c>
      <c r="O340" s="84" t="str">
        <f t="shared" si="2"/>
        <v/>
      </c>
    </row>
    <row r="341">
      <c r="A341" s="84"/>
      <c r="B341" s="84"/>
      <c r="C341" s="85"/>
      <c r="D341" s="86"/>
      <c r="E341" s="87"/>
      <c r="F341" s="86"/>
      <c r="G341" s="87"/>
      <c r="H341" s="86"/>
      <c r="I341" s="86"/>
      <c r="J341" s="86"/>
      <c r="K341" s="84"/>
      <c r="L341" s="84" t="str">
        <f>IFERROR(__xludf.DUMMYFUNCTION("IF(A341="""","""", COUNT(SPLIT(K341,"";"")))"),"")</f>
        <v/>
      </c>
      <c r="M341" s="84" t="str">
        <f t="shared" si="1"/>
        <v/>
      </c>
      <c r="N341" s="84" t="str">
        <f>IFERROR(__xludf.DUMMYFUNCTION("IFERROR(AVERAGE(query(INDIRECT(""'FR Table'!"" &amp; vlookup(rows($A$1:$A340),Reference!$O:$P,2,false) &amp; ""3:"" &amp; vlookup(rows($A$1:$A340),Reference!$O:$P,2,false)), 
""SELECT "" &amp; vlookup(rows($A$1:$A340),Reference!$O:$P,2,false) 
&amp; "" WHERE "" &amp; vlookup(row"&amp;"s($A$1:$A340),Reference!$O:$P,2,false) &amp;
"" &gt;= "" &amp; Reference!$R$2)) * M341,"""")"),"")</f>
        <v/>
      </c>
      <c r="O341" s="84" t="str">
        <f t="shared" si="2"/>
        <v/>
      </c>
    </row>
    <row r="342">
      <c r="A342" s="84"/>
      <c r="B342" s="84"/>
      <c r="C342" s="85"/>
      <c r="D342" s="86"/>
      <c r="E342" s="87"/>
      <c r="F342" s="86"/>
      <c r="G342" s="87"/>
      <c r="H342" s="86"/>
      <c r="I342" s="86"/>
      <c r="J342" s="86"/>
      <c r="K342" s="84"/>
      <c r="L342" s="84" t="str">
        <f>IFERROR(__xludf.DUMMYFUNCTION("IF(A342="""","""", COUNT(SPLIT(K342,"";"")))"),"")</f>
        <v/>
      </c>
      <c r="M342" s="84" t="str">
        <f t="shared" si="1"/>
        <v/>
      </c>
      <c r="N342" s="84" t="str">
        <f>IFERROR(__xludf.DUMMYFUNCTION("IFERROR(AVERAGE(query(INDIRECT(""'FR Table'!"" &amp; vlookup(rows($A$1:$A341),Reference!$O:$P,2,false) &amp; ""3:"" &amp; vlookup(rows($A$1:$A341),Reference!$O:$P,2,false)), 
""SELECT "" &amp; vlookup(rows($A$1:$A341),Reference!$O:$P,2,false) 
&amp; "" WHERE "" &amp; vlookup(row"&amp;"s($A$1:$A341),Reference!$O:$P,2,false) &amp;
"" &gt;= "" &amp; Reference!$R$2)) * M342,"""")"),"")</f>
        <v/>
      </c>
      <c r="O342" s="84" t="str">
        <f t="shared" si="2"/>
        <v/>
      </c>
    </row>
    <row r="343">
      <c r="A343" s="84"/>
      <c r="B343" s="84"/>
      <c r="C343" s="85"/>
      <c r="D343" s="86"/>
      <c r="E343" s="87"/>
      <c r="F343" s="86"/>
      <c r="G343" s="87"/>
      <c r="H343" s="86"/>
      <c r="I343" s="86"/>
      <c r="J343" s="86"/>
      <c r="K343" s="84"/>
      <c r="L343" s="84" t="str">
        <f>IFERROR(__xludf.DUMMYFUNCTION("IF(A343="""","""", COUNT(SPLIT(K343,"";"")))"),"")</f>
        <v/>
      </c>
      <c r="M343" s="84" t="str">
        <f t="shared" si="1"/>
        <v/>
      </c>
      <c r="N343" s="84" t="str">
        <f>IFERROR(__xludf.DUMMYFUNCTION("IFERROR(AVERAGE(query(INDIRECT(""'FR Table'!"" &amp; vlookup(rows($A$1:$A342),Reference!$O:$P,2,false) &amp; ""3:"" &amp; vlookup(rows($A$1:$A342),Reference!$O:$P,2,false)), 
""SELECT "" &amp; vlookup(rows($A$1:$A342),Reference!$O:$P,2,false) 
&amp; "" WHERE "" &amp; vlookup(row"&amp;"s($A$1:$A342),Reference!$O:$P,2,false) &amp;
"" &gt;= "" &amp; Reference!$R$2)) * M343,"""")"),"")</f>
        <v/>
      </c>
      <c r="O343" s="84" t="str">
        <f t="shared" si="2"/>
        <v/>
      </c>
    </row>
    <row r="344">
      <c r="A344" s="84"/>
      <c r="B344" s="84"/>
      <c r="C344" s="85"/>
      <c r="D344" s="86"/>
      <c r="E344" s="87"/>
      <c r="F344" s="86"/>
      <c r="G344" s="87"/>
      <c r="H344" s="86"/>
      <c r="I344" s="86"/>
      <c r="J344" s="86"/>
      <c r="K344" s="84"/>
      <c r="L344" s="84" t="str">
        <f>IFERROR(__xludf.DUMMYFUNCTION("IF(A344="""","""", COUNT(SPLIT(K344,"";"")))"),"")</f>
        <v/>
      </c>
      <c r="M344" s="84" t="str">
        <f t="shared" si="1"/>
        <v/>
      </c>
      <c r="N344" s="84" t="str">
        <f>IFERROR(__xludf.DUMMYFUNCTION("IFERROR(AVERAGE(query(INDIRECT(""'FR Table'!"" &amp; vlookup(rows($A$1:$A343),Reference!$O:$P,2,false) &amp; ""3:"" &amp; vlookup(rows($A$1:$A343),Reference!$O:$P,2,false)), 
""SELECT "" &amp; vlookup(rows($A$1:$A343),Reference!$O:$P,2,false) 
&amp; "" WHERE "" &amp; vlookup(row"&amp;"s($A$1:$A343),Reference!$O:$P,2,false) &amp;
"" &gt;= "" &amp; Reference!$R$2)) * M344,"""")"),"")</f>
        <v/>
      </c>
      <c r="O344" s="84" t="str">
        <f t="shared" si="2"/>
        <v/>
      </c>
    </row>
    <row r="345">
      <c r="A345" s="84"/>
      <c r="B345" s="84"/>
      <c r="C345" s="85"/>
      <c r="D345" s="86"/>
      <c r="E345" s="87"/>
      <c r="F345" s="86"/>
      <c r="G345" s="87"/>
      <c r="H345" s="86"/>
      <c r="I345" s="86"/>
      <c r="J345" s="86"/>
      <c r="K345" s="84"/>
      <c r="L345" s="84" t="str">
        <f>IFERROR(__xludf.DUMMYFUNCTION("IF(A345="""","""", COUNT(SPLIT(K345,"";"")))"),"")</f>
        <v/>
      </c>
      <c r="M345" s="84" t="str">
        <f t="shared" si="1"/>
        <v/>
      </c>
      <c r="N345" s="84" t="str">
        <f>IFERROR(__xludf.DUMMYFUNCTION("IFERROR(AVERAGE(query(INDIRECT(""'FR Table'!"" &amp; vlookup(rows($A$1:$A344),Reference!$O:$P,2,false) &amp; ""3:"" &amp; vlookup(rows($A$1:$A344),Reference!$O:$P,2,false)), 
""SELECT "" &amp; vlookup(rows($A$1:$A344),Reference!$O:$P,2,false) 
&amp; "" WHERE "" &amp; vlookup(row"&amp;"s($A$1:$A344),Reference!$O:$P,2,false) &amp;
"" &gt;= "" &amp; Reference!$R$2)) * M345,"""")"),"")</f>
        <v/>
      </c>
      <c r="O345" s="84" t="str">
        <f t="shared" si="2"/>
        <v/>
      </c>
    </row>
    <row r="346">
      <c r="A346" s="84"/>
      <c r="B346" s="84"/>
      <c r="C346" s="85"/>
      <c r="D346" s="86"/>
      <c r="E346" s="87"/>
      <c r="F346" s="86"/>
      <c r="G346" s="87"/>
      <c r="H346" s="86"/>
      <c r="I346" s="86"/>
      <c r="J346" s="86"/>
      <c r="K346" s="84"/>
      <c r="L346" s="84" t="str">
        <f>IFERROR(__xludf.DUMMYFUNCTION("IF(A346="""","""", COUNT(SPLIT(K346,"";"")))"),"")</f>
        <v/>
      </c>
      <c r="M346" s="84" t="str">
        <f t="shared" si="1"/>
        <v/>
      </c>
      <c r="N346" s="84" t="str">
        <f>IFERROR(__xludf.DUMMYFUNCTION("IFERROR(AVERAGE(query(INDIRECT(""'FR Table'!"" &amp; vlookup(rows($A$1:$A345),Reference!$O:$P,2,false) &amp; ""3:"" &amp; vlookup(rows($A$1:$A345),Reference!$O:$P,2,false)), 
""SELECT "" &amp; vlookup(rows($A$1:$A345),Reference!$O:$P,2,false) 
&amp; "" WHERE "" &amp; vlookup(row"&amp;"s($A$1:$A345),Reference!$O:$P,2,false) &amp;
"" &gt;= "" &amp; Reference!$R$2)) * M346,"""")"),"")</f>
        <v/>
      </c>
      <c r="O346" s="84" t="str">
        <f t="shared" si="2"/>
        <v/>
      </c>
    </row>
    <row r="347">
      <c r="A347" s="84"/>
      <c r="B347" s="84"/>
      <c r="C347" s="85"/>
      <c r="D347" s="86"/>
      <c r="E347" s="87"/>
      <c r="F347" s="86"/>
      <c r="G347" s="87"/>
      <c r="H347" s="86"/>
      <c r="I347" s="86"/>
      <c r="J347" s="86"/>
      <c r="K347" s="84"/>
      <c r="L347" s="84" t="str">
        <f>IFERROR(__xludf.DUMMYFUNCTION("IF(A347="""","""", COUNT(SPLIT(K347,"";"")))"),"")</f>
        <v/>
      </c>
      <c r="M347" s="84" t="str">
        <f t="shared" si="1"/>
        <v/>
      </c>
      <c r="N347" s="84" t="str">
        <f>IFERROR(__xludf.DUMMYFUNCTION("IFERROR(AVERAGE(query(INDIRECT(""'FR Table'!"" &amp; vlookup(rows($A$1:$A346),Reference!$O:$P,2,false) &amp; ""3:"" &amp; vlookup(rows($A$1:$A346),Reference!$O:$P,2,false)), 
""SELECT "" &amp; vlookup(rows($A$1:$A346),Reference!$O:$P,2,false) 
&amp; "" WHERE "" &amp; vlookup(row"&amp;"s($A$1:$A346),Reference!$O:$P,2,false) &amp;
"" &gt;= "" &amp; Reference!$R$2)) * M347,"""")"),"")</f>
        <v/>
      </c>
      <c r="O347" s="84" t="str">
        <f t="shared" si="2"/>
        <v/>
      </c>
    </row>
    <row r="348">
      <c r="A348" s="84"/>
      <c r="B348" s="84"/>
      <c r="C348" s="85"/>
      <c r="D348" s="86"/>
      <c r="E348" s="87"/>
      <c r="F348" s="86"/>
      <c r="G348" s="87"/>
      <c r="H348" s="86"/>
      <c r="I348" s="86"/>
      <c r="J348" s="86"/>
      <c r="K348" s="84"/>
      <c r="L348" s="84" t="str">
        <f>IFERROR(__xludf.DUMMYFUNCTION("IF(A348="""","""", COUNT(SPLIT(K348,"";"")))"),"")</f>
        <v/>
      </c>
      <c r="M348" s="84" t="str">
        <f t="shared" si="1"/>
        <v/>
      </c>
      <c r="N348" s="84" t="str">
        <f>IFERROR(__xludf.DUMMYFUNCTION("IFERROR(AVERAGE(query(INDIRECT(""'FR Table'!"" &amp; vlookup(rows($A$1:$A347),Reference!$O:$P,2,false) &amp; ""3:"" &amp; vlookup(rows($A$1:$A347),Reference!$O:$P,2,false)), 
""SELECT "" &amp; vlookup(rows($A$1:$A347),Reference!$O:$P,2,false) 
&amp; "" WHERE "" &amp; vlookup(row"&amp;"s($A$1:$A347),Reference!$O:$P,2,false) &amp;
"" &gt;= "" &amp; Reference!$R$2)) * M348,"""")"),"")</f>
        <v/>
      </c>
      <c r="O348" s="84" t="str">
        <f t="shared" si="2"/>
        <v/>
      </c>
    </row>
    <row r="349">
      <c r="A349" s="84"/>
      <c r="B349" s="84"/>
      <c r="C349" s="85"/>
      <c r="D349" s="86"/>
      <c r="E349" s="87"/>
      <c r="F349" s="86"/>
      <c r="G349" s="87"/>
      <c r="H349" s="86"/>
      <c r="I349" s="86"/>
      <c r="J349" s="86"/>
      <c r="K349" s="84"/>
      <c r="L349" s="84" t="str">
        <f>IFERROR(__xludf.DUMMYFUNCTION("IF(A349="""","""", COUNT(SPLIT(K349,"";"")))"),"")</f>
        <v/>
      </c>
      <c r="M349" s="84" t="str">
        <f t="shared" si="1"/>
        <v/>
      </c>
      <c r="N349" s="84" t="str">
        <f>IFERROR(__xludf.DUMMYFUNCTION("IFERROR(AVERAGE(query(INDIRECT(""'FR Table'!"" &amp; vlookup(rows($A$1:$A348),Reference!$O:$P,2,false) &amp; ""3:"" &amp; vlookup(rows($A$1:$A348),Reference!$O:$P,2,false)), 
""SELECT "" &amp; vlookup(rows($A$1:$A348),Reference!$O:$P,2,false) 
&amp; "" WHERE "" &amp; vlookup(row"&amp;"s($A$1:$A348),Reference!$O:$P,2,false) &amp;
"" &gt;= "" &amp; Reference!$R$2)) * M349,"""")"),"")</f>
        <v/>
      </c>
      <c r="O349" s="84" t="str">
        <f t="shared" si="2"/>
        <v/>
      </c>
    </row>
    <row r="350">
      <c r="A350" s="84"/>
      <c r="B350" s="84"/>
      <c r="C350" s="85"/>
      <c r="D350" s="86"/>
      <c r="E350" s="87"/>
      <c r="F350" s="86"/>
      <c r="G350" s="87"/>
      <c r="H350" s="86"/>
      <c r="I350" s="86"/>
      <c r="J350" s="86"/>
      <c r="K350" s="84"/>
      <c r="L350" s="84" t="str">
        <f>IFERROR(__xludf.DUMMYFUNCTION("IF(A350="""","""", COUNT(SPLIT(K350,"";"")))"),"")</f>
        <v/>
      </c>
      <c r="M350" s="84" t="str">
        <f t="shared" si="1"/>
        <v/>
      </c>
      <c r="N350" s="84" t="str">
        <f>IFERROR(__xludf.DUMMYFUNCTION("IFERROR(AVERAGE(query(INDIRECT(""'FR Table'!"" &amp; vlookup(rows($A$1:$A349),Reference!$O:$P,2,false) &amp; ""3:"" &amp; vlookup(rows($A$1:$A349),Reference!$O:$P,2,false)), 
""SELECT "" &amp; vlookup(rows($A$1:$A349),Reference!$O:$P,2,false) 
&amp; "" WHERE "" &amp; vlookup(row"&amp;"s($A$1:$A349),Reference!$O:$P,2,false) &amp;
"" &gt;= "" &amp; Reference!$R$2)) * M350,"""")"),"")</f>
        <v/>
      </c>
      <c r="O350" s="84" t="str">
        <f t="shared" si="2"/>
        <v/>
      </c>
    </row>
    <row r="351">
      <c r="A351" s="84"/>
      <c r="B351" s="84"/>
      <c r="C351" s="85"/>
      <c r="D351" s="86"/>
      <c r="E351" s="87"/>
      <c r="F351" s="86"/>
      <c r="G351" s="87"/>
      <c r="H351" s="86"/>
      <c r="I351" s="86"/>
      <c r="J351" s="86"/>
      <c r="K351" s="84"/>
      <c r="L351" s="84" t="str">
        <f>IFERROR(__xludf.DUMMYFUNCTION("IF(A351="""","""", COUNT(SPLIT(K351,"";"")))"),"")</f>
        <v/>
      </c>
      <c r="M351" s="84" t="str">
        <f t="shared" si="1"/>
        <v/>
      </c>
      <c r="N351" s="84" t="str">
        <f>IFERROR(__xludf.DUMMYFUNCTION("IFERROR(AVERAGE(query(INDIRECT(""'FR Table'!"" &amp; vlookup(rows($A$1:$A350),Reference!$O:$P,2,false) &amp; ""3:"" &amp; vlookup(rows($A$1:$A350),Reference!$O:$P,2,false)), 
""SELECT "" &amp; vlookup(rows($A$1:$A350),Reference!$O:$P,2,false) 
&amp; "" WHERE "" &amp; vlookup(row"&amp;"s($A$1:$A350),Reference!$O:$P,2,false) &amp;
"" &gt;= "" &amp; Reference!$R$2)) * M351,"""")"),"")</f>
        <v/>
      </c>
      <c r="O351" s="84" t="str">
        <f t="shared" si="2"/>
        <v/>
      </c>
    </row>
    <row r="352">
      <c r="A352" s="84"/>
      <c r="B352" s="84"/>
      <c r="C352" s="85"/>
      <c r="D352" s="86"/>
      <c r="E352" s="87"/>
      <c r="F352" s="86"/>
      <c r="G352" s="87"/>
      <c r="H352" s="86"/>
      <c r="I352" s="86"/>
      <c r="J352" s="86"/>
      <c r="K352" s="84"/>
      <c r="L352" s="84" t="str">
        <f>IFERROR(__xludf.DUMMYFUNCTION("IF(A352="""","""", COUNT(SPLIT(K352,"";"")))"),"")</f>
        <v/>
      </c>
      <c r="M352" s="84" t="str">
        <f t="shared" si="1"/>
        <v/>
      </c>
      <c r="N352" s="84" t="str">
        <f>IFERROR(__xludf.DUMMYFUNCTION("IFERROR(AVERAGE(query(INDIRECT(""'FR Table'!"" &amp; vlookup(rows($A$1:$A351),Reference!$O:$P,2,false) &amp; ""3:"" &amp; vlookup(rows($A$1:$A351),Reference!$O:$P,2,false)), 
""SELECT "" &amp; vlookup(rows($A$1:$A351),Reference!$O:$P,2,false) 
&amp; "" WHERE "" &amp; vlookup(row"&amp;"s($A$1:$A351),Reference!$O:$P,2,false) &amp;
"" &gt;= "" &amp; Reference!$R$2)) * M352,"""")"),"")</f>
        <v/>
      </c>
      <c r="O352" s="84" t="str">
        <f t="shared" si="2"/>
        <v/>
      </c>
    </row>
    <row r="353">
      <c r="A353" s="84"/>
      <c r="B353" s="84"/>
      <c r="C353" s="85"/>
      <c r="D353" s="86"/>
      <c r="E353" s="87"/>
      <c r="F353" s="86"/>
      <c r="G353" s="87"/>
      <c r="H353" s="86"/>
      <c r="I353" s="86"/>
      <c r="J353" s="86"/>
      <c r="K353" s="84"/>
      <c r="L353" s="84" t="str">
        <f>IFERROR(__xludf.DUMMYFUNCTION("IF(A353="""","""", COUNT(SPLIT(K353,"";"")))"),"")</f>
        <v/>
      </c>
      <c r="M353" s="84" t="str">
        <f t="shared" si="1"/>
        <v/>
      </c>
      <c r="N353" s="84" t="str">
        <f>IFERROR(__xludf.DUMMYFUNCTION("IFERROR(AVERAGE(query(INDIRECT(""'FR Table'!"" &amp; vlookup(rows($A$1:$A352),Reference!$O:$P,2,false) &amp; ""3:"" &amp; vlookup(rows($A$1:$A352),Reference!$O:$P,2,false)), 
""SELECT "" &amp; vlookup(rows($A$1:$A352),Reference!$O:$P,2,false) 
&amp; "" WHERE "" &amp; vlookup(row"&amp;"s($A$1:$A352),Reference!$O:$P,2,false) &amp;
"" &gt;= "" &amp; Reference!$R$2)) * M353,"""")"),"")</f>
        <v/>
      </c>
      <c r="O353" s="84" t="str">
        <f t="shared" si="2"/>
        <v/>
      </c>
    </row>
    <row r="354">
      <c r="A354" s="84"/>
      <c r="B354" s="84"/>
      <c r="C354" s="85"/>
      <c r="D354" s="86"/>
      <c r="E354" s="87"/>
      <c r="F354" s="86"/>
      <c r="G354" s="87"/>
      <c r="H354" s="86"/>
      <c r="I354" s="86"/>
      <c r="J354" s="86"/>
      <c r="K354" s="84"/>
      <c r="L354" s="84" t="str">
        <f>IFERROR(__xludf.DUMMYFUNCTION("IF(A354="""","""", COUNT(SPLIT(K354,"";"")))"),"")</f>
        <v/>
      </c>
      <c r="M354" s="84" t="str">
        <f t="shared" si="1"/>
        <v/>
      </c>
      <c r="N354" s="84" t="str">
        <f>IFERROR(__xludf.DUMMYFUNCTION("IFERROR(AVERAGE(query(INDIRECT(""'FR Table'!"" &amp; vlookup(rows($A$1:$A353),Reference!$O:$P,2,false) &amp; ""3:"" &amp; vlookup(rows($A$1:$A353),Reference!$O:$P,2,false)), 
""SELECT "" &amp; vlookup(rows($A$1:$A353),Reference!$O:$P,2,false) 
&amp; "" WHERE "" &amp; vlookup(row"&amp;"s($A$1:$A353),Reference!$O:$P,2,false) &amp;
"" &gt;= "" &amp; Reference!$R$2)) * M354,"""")"),"")</f>
        <v/>
      </c>
      <c r="O354" s="84" t="str">
        <f t="shared" si="2"/>
        <v/>
      </c>
    </row>
    <row r="355">
      <c r="A355" s="84"/>
      <c r="B355" s="84"/>
      <c r="C355" s="85"/>
      <c r="D355" s="86"/>
      <c r="E355" s="87"/>
      <c r="F355" s="86"/>
      <c r="G355" s="87"/>
      <c r="H355" s="86"/>
      <c r="I355" s="86"/>
      <c r="J355" s="86"/>
      <c r="K355" s="84"/>
      <c r="L355" s="84" t="str">
        <f>IFERROR(__xludf.DUMMYFUNCTION("IF(A355="""","""", COUNT(SPLIT(K355,"";"")))"),"")</f>
        <v/>
      </c>
      <c r="M355" s="84" t="str">
        <f t="shared" si="1"/>
        <v/>
      </c>
      <c r="N355" s="84" t="str">
        <f>IFERROR(__xludf.DUMMYFUNCTION("IFERROR(AVERAGE(query(INDIRECT(""'FR Table'!"" &amp; vlookup(rows($A$1:$A354),Reference!$O:$P,2,false) &amp; ""3:"" &amp; vlookup(rows($A$1:$A354),Reference!$O:$P,2,false)), 
""SELECT "" &amp; vlookup(rows($A$1:$A354),Reference!$O:$P,2,false) 
&amp; "" WHERE "" &amp; vlookup(row"&amp;"s($A$1:$A354),Reference!$O:$P,2,false) &amp;
"" &gt;= "" &amp; Reference!$R$2)) * M355,"""")"),"")</f>
        <v/>
      </c>
      <c r="O355" s="84" t="str">
        <f t="shared" si="2"/>
        <v/>
      </c>
    </row>
    <row r="356">
      <c r="A356" s="84"/>
      <c r="B356" s="84"/>
      <c r="C356" s="85"/>
      <c r="D356" s="86"/>
      <c r="E356" s="87"/>
      <c r="F356" s="86"/>
      <c r="G356" s="87"/>
      <c r="H356" s="86"/>
      <c r="I356" s="86"/>
      <c r="J356" s="86"/>
      <c r="K356" s="84"/>
      <c r="L356" s="84" t="str">
        <f>IFERROR(__xludf.DUMMYFUNCTION("IF(A356="""","""", COUNT(SPLIT(K356,"";"")))"),"")</f>
        <v/>
      </c>
      <c r="M356" s="84" t="str">
        <f t="shared" si="1"/>
        <v/>
      </c>
      <c r="N356" s="84" t="str">
        <f>IFERROR(__xludf.DUMMYFUNCTION("IFERROR(AVERAGE(query(INDIRECT(""'FR Table'!"" &amp; vlookup(rows($A$1:$A355),Reference!$O:$P,2,false) &amp; ""3:"" &amp; vlookup(rows($A$1:$A355),Reference!$O:$P,2,false)), 
""SELECT "" &amp; vlookup(rows($A$1:$A355),Reference!$O:$P,2,false) 
&amp; "" WHERE "" &amp; vlookup(row"&amp;"s($A$1:$A355),Reference!$O:$P,2,false) &amp;
"" &gt;= "" &amp; Reference!$R$2)) * M356,"""")"),"")</f>
        <v/>
      </c>
      <c r="O356" s="84" t="str">
        <f t="shared" si="2"/>
        <v/>
      </c>
    </row>
    <row r="357">
      <c r="A357" s="84"/>
      <c r="B357" s="84"/>
      <c r="C357" s="85"/>
      <c r="D357" s="86"/>
      <c r="E357" s="87"/>
      <c r="F357" s="86"/>
      <c r="G357" s="87"/>
      <c r="H357" s="86"/>
      <c r="I357" s="86"/>
      <c r="J357" s="86"/>
      <c r="K357" s="84"/>
      <c r="L357" s="84" t="str">
        <f>IFERROR(__xludf.DUMMYFUNCTION("IF(A357="""","""", COUNT(SPLIT(K357,"";"")))"),"")</f>
        <v/>
      </c>
      <c r="M357" s="84" t="str">
        <f t="shared" si="1"/>
        <v/>
      </c>
      <c r="N357" s="84" t="str">
        <f>IFERROR(__xludf.DUMMYFUNCTION("IFERROR(AVERAGE(query(INDIRECT(""'FR Table'!"" &amp; vlookup(rows($A$1:$A356),Reference!$O:$P,2,false) &amp; ""3:"" &amp; vlookup(rows($A$1:$A356),Reference!$O:$P,2,false)), 
""SELECT "" &amp; vlookup(rows($A$1:$A356),Reference!$O:$P,2,false) 
&amp; "" WHERE "" &amp; vlookup(row"&amp;"s($A$1:$A356),Reference!$O:$P,2,false) &amp;
"" &gt;= "" &amp; Reference!$R$2)) * M357,"""")"),"")</f>
        <v/>
      </c>
      <c r="O357" s="84" t="str">
        <f t="shared" si="2"/>
        <v/>
      </c>
    </row>
    <row r="358">
      <c r="A358" s="84"/>
      <c r="B358" s="84"/>
      <c r="C358" s="85"/>
      <c r="D358" s="86"/>
      <c r="E358" s="87"/>
      <c r="F358" s="86"/>
      <c r="G358" s="87"/>
      <c r="H358" s="86"/>
      <c r="I358" s="86"/>
      <c r="J358" s="86"/>
      <c r="K358" s="84"/>
      <c r="L358" s="84" t="str">
        <f>IFERROR(__xludf.DUMMYFUNCTION("IF(A358="""","""", COUNT(SPLIT(K358,"";"")))"),"")</f>
        <v/>
      </c>
      <c r="M358" s="84" t="str">
        <f t="shared" si="1"/>
        <v/>
      </c>
      <c r="N358" s="84" t="str">
        <f>IFERROR(__xludf.DUMMYFUNCTION("IFERROR(AVERAGE(query(INDIRECT(""'FR Table'!"" &amp; vlookup(rows($A$1:$A357),Reference!$O:$P,2,false) &amp; ""3:"" &amp; vlookup(rows($A$1:$A357),Reference!$O:$P,2,false)), 
""SELECT "" &amp; vlookup(rows($A$1:$A357),Reference!$O:$P,2,false) 
&amp; "" WHERE "" &amp; vlookup(row"&amp;"s($A$1:$A357),Reference!$O:$P,2,false) &amp;
"" &gt;= "" &amp; Reference!$R$2)) * M358,"""")"),"")</f>
        <v/>
      </c>
      <c r="O358" s="84" t="str">
        <f t="shared" si="2"/>
        <v/>
      </c>
    </row>
    <row r="359">
      <c r="A359" s="84"/>
      <c r="B359" s="84"/>
      <c r="C359" s="85"/>
      <c r="D359" s="86"/>
      <c r="E359" s="87"/>
      <c r="F359" s="86"/>
      <c r="G359" s="87"/>
      <c r="H359" s="86"/>
      <c r="I359" s="86"/>
      <c r="J359" s="86"/>
      <c r="K359" s="84"/>
      <c r="L359" s="84" t="str">
        <f>IFERROR(__xludf.DUMMYFUNCTION("IF(A359="""","""", COUNT(SPLIT(K359,"";"")))"),"")</f>
        <v/>
      </c>
      <c r="M359" s="84" t="str">
        <f t="shared" si="1"/>
        <v/>
      </c>
      <c r="N359" s="84" t="str">
        <f>IFERROR(__xludf.DUMMYFUNCTION("IFERROR(AVERAGE(query(INDIRECT(""'FR Table'!"" &amp; vlookup(rows($A$1:$A358),Reference!$O:$P,2,false) &amp; ""3:"" &amp; vlookup(rows($A$1:$A358),Reference!$O:$P,2,false)), 
""SELECT "" &amp; vlookup(rows($A$1:$A358),Reference!$O:$P,2,false) 
&amp; "" WHERE "" &amp; vlookup(row"&amp;"s($A$1:$A358),Reference!$O:$P,2,false) &amp;
"" &gt;= "" &amp; Reference!$R$2)) * M359,"""")"),"")</f>
        <v/>
      </c>
      <c r="O359" s="84" t="str">
        <f t="shared" si="2"/>
        <v/>
      </c>
    </row>
    <row r="360">
      <c r="A360" s="84"/>
      <c r="B360" s="84"/>
      <c r="C360" s="85"/>
      <c r="D360" s="86"/>
      <c r="E360" s="87"/>
      <c r="F360" s="86"/>
      <c r="G360" s="87"/>
      <c r="H360" s="86"/>
      <c r="I360" s="86"/>
      <c r="J360" s="86"/>
      <c r="K360" s="84"/>
      <c r="L360" s="84" t="str">
        <f>IFERROR(__xludf.DUMMYFUNCTION("IF(A360="""","""", COUNT(SPLIT(K360,"";"")))"),"")</f>
        <v/>
      </c>
      <c r="M360" s="84" t="str">
        <f t="shared" si="1"/>
        <v/>
      </c>
      <c r="N360" s="84" t="str">
        <f>IFERROR(__xludf.DUMMYFUNCTION("IFERROR(AVERAGE(query(INDIRECT(""'FR Table'!"" &amp; vlookup(rows($A$1:$A359),Reference!$O:$P,2,false) &amp; ""3:"" &amp; vlookup(rows($A$1:$A359),Reference!$O:$P,2,false)), 
""SELECT "" &amp; vlookup(rows($A$1:$A359),Reference!$O:$P,2,false) 
&amp; "" WHERE "" &amp; vlookup(row"&amp;"s($A$1:$A359),Reference!$O:$P,2,false) &amp;
"" &gt;= "" &amp; Reference!$R$2)) * M360,"""")"),"")</f>
        <v/>
      </c>
      <c r="O360" s="84" t="str">
        <f t="shared" si="2"/>
        <v/>
      </c>
    </row>
    <row r="361">
      <c r="A361" s="84"/>
      <c r="B361" s="84"/>
      <c r="C361" s="85"/>
      <c r="D361" s="86"/>
      <c r="E361" s="87"/>
      <c r="F361" s="86"/>
      <c r="G361" s="87"/>
      <c r="H361" s="86"/>
      <c r="I361" s="86"/>
      <c r="J361" s="86"/>
      <c r="K361" s="84"/>
      <c r="L361" s="84" t="str">
        <f>IFERROR(__xludf.DUMMYFUNCTION("IF(A361="""","""", COUNT(SPLIT(K361,"";"")))"),"")</f>
        <v/>
      </c>
      <c r="M361" s="84" t="str">
        <f t="shared" si="1"/>
        <v/>
      </c>
      <c r="N361" s="84" t="str">
        <f>IFERROR(__xludf.DUMMYFUNCTION("IFERROR(AVERAGE(query(INDIRECT(""'FR Table'!"" &amp; vlookup(rows($A$1:$A360),Reference!$O:$P,2,false) &amp; ""3:"" &amp; vlookup(rows($A$1:$A360),Reference!$O:$P,2,false)), 
""SELECT "" &amp; vlookup(rows($A$1:$A360),Reference!$O:$P,2,false) 
&amp; "" WHERE "" &amp; vlookup(row"&amp;"s($A$1:$A360),Reference!$O:$P,2,false) &amp;
"" &gt;= "" &amp; Reference!$R$2)) * M361,"""")"),"")</f>
        <v/>
      </c>
      <c r="O361" s="84" t="str">
        <f t="shared" si="2"/>
        <v/>
      </c>
    </row>
    <row r="362">
      <c r="A362" s="84"/>
      <c r="B362" s="84"/>
      <c r="C362" s="85"/>
      <c r="D362" s="86"/>
      <c r="E362" s="87"/>
      <c r="F362" s="86"/>
      <c r="G362" s="87"/>
      <c r="H362" s="86"/>
      <c r="I362" s="86"/>
      <c r="J362" s="86"/>
      <c r="K362" s="84"/>
      <c r="L362" s="84" t="str">
        <f>IFERROR(__xludf.DUMMYFUNCTION("IF(A362="""","""", COUNT(SPLIT(K362,"";"")))"),"")</f>
        <v/>
      </c>
      <c r="M362" s="84" t="str">
        <f t="shared" si="1"/>
        <v/>
      </c>
      <c r="N362" s="84" t="str">
        <f>IFERROR(__xludf.DUMMYFUNCTION("IFERROR(AVERAGE(query(INDIRECT(""'FR Table'!"" &amp; vlookup(rows($A$1:$A361),Reference!$O:$P,2,false) &amp; ""3:"" &amp; vlookup(rows($A$1:$A361),Reference!$O:$P,2,false)), 
""SELECT "" &amp; vlookup(rows($A$1:$A361),Reference!$O:$P,2,false) 
&amp; "" WHERE "" &amp; vlookup(row"&amp;"s($A$1:$A361),Reference!$O:$P,2,false) &amp;
"" &gt;= "" &amp; Reference!$R$2)) * M362,"""")"),"")</f>
        <v/>
      </c>
      <c r="O362" s="84" t="str">
        <f t="shared" si="2"/>
        <v/>
      </c>
    </row>
    <row r="363">
      <c r="A363" s="84"/>
      <c r="B363" s="84"/>
      <c r="C363" s="85"/>
      <c r="D363" s="86"/>
      <c r="E363" s="87"/>
      <c r="F363" s="86"/>
      <c r="G363" s="87"/>
      <c r="H363" s="86"/>
      <c r="I363" s="86"/>
      <c r="J363" s="86"/>
      <c r="K363" s="84"/>
      <c r="L363" s="84" t="str">
        <f>IFERROR(__xludf.DUMMYFUNCTION("IF(A363="""","""", COUNT(SPLIT(K363,"";"")))"),"")</f>
        <v/>
      </c>
      <c r="M363" s="84" t="str">
        <f t="shared" si="1"/>
        <v/>
      </c>
      <c r="N363" s="84" t="str">
        <f>IFERROR(__xludf.DUMMYFUNCTION("IFERROR(AVERAGE(query(INDIRECT(""'FR Table'!"" &amp; vlookup(rows($A$1:$A362),Reference!$O:$P,2,false) &amp; ""3:"" &amp; vlookup(rows($A$1:$A362),Reference!$O:$P,2,false)), 
""SELECT "" &amp; vlookup(rows($A$1:$A362),Reference!$O:$P,2,false) 
&amp; "" WHERE "" &amp; vlookup(row"&amp;"s($A$1:$A362),Reference!$O:$P,2,false) &amp;
"" &gt;= "" &amp; Reference!$R$2)) * M363,"""")"),"")</f>
        <v/>
      </c>
      <c r="O363" s="84" t="str">
        <f t="shared" si="2"/>
        <v/>
      </c>
    </row>
    <row r="364">
      <c r="A364" s="84"/>
      <c r="B364" s="84"/>
      <c r="C364" s="85"/>
      <c r="D364" s="86"/>
      <c r="E364" s="87"/>
      <c r="F364" s="86"/>
      <c r="G364" s="87"/>
      <c r="H364" s="86"/>
      <c r="I364" s="86"/>
      <c r="J364" s="86"/>
      <c r="K364" s="84"/>
      <c r="L364" s="84" t="str">
        <f>IFERROR(__xludf.DUMMYFUNCTION("IF(A364="""","""", COUNT(SPLIT(K364,"";"")))"),"")</f>
        <v/>
      </c>
      <c r="M364" s="84" t="str">
        <f t="shared" si="1"/>
        <v/>
      </c>
      <c r="N364" s="84" t="str">
        <f>IFERROR(__xludf.DUMMYFUNCTION("IFERROR(AVERAGE(query(INDIRECT(""'FR Table'!"" &amp; vlookup(rows($A$1:$A363),Reference!$O:$P,2,false) &amp; ""3:"" &amp; vlookup(rows($A$1:$A363),Reference!$O:$P,2,false)), 
""SELECT "" &amp; vlookup(rows($A$1:$A363),Reference!$O:$P,2,false) 
&amp; "" WHERE "" &amp; vlookup(row"&amp;"s($A$1:$A363),Reference!$O:$P,2,false) &amp;
"" &gt;= "" &amp; Reference!$R$2)) * M364,"""")"),"")</f>
        <v/>
      </c>
      <c r="O364" s="84" t="str">
        <f t="shared" si="2"/>
        <v/>
      </c>
    </row>
    <row r="365">
      <c r="A365" s="84"/>
      <c r="B365" s="84"/>
      <c r="C365" s="85"/>
      <c r="D365" s="86"/>
      <c r="E365" s="87"/>
      <c r="F365" s="86"/>
      <c r="G365" s="87"/>
      <c r="H365" s="86"/>
      <c r="I365" s="86"/>
      <c r="J365" s="86"/>
      <c r="K365" s="84"/>
      <c r="L365" s="84" t="str">
        <f>IFERROR(__xludf.DUMMYFUNCTION("IF(A365="""","""", COUNT(SPLIT(K365,"";"")))"),"")</f>
        <v/>
      </c>
      <c r="M365" s="84" t="str">
        <f t="shared" si="1"/>
        <v/>
      </c>
      <c r="N365" s="84" t="str">
        <f>IFERROR(__xludf.DUMMYFUNCTION("IFERROR(AVERAGE(query(INDIRECT(""'FR Table'!"" &amp; vlookup(rows($A$1:$A364),Reference!$O:$P,2,false) &amp; ""3:"" &amp; vlookup(rows($A$1:$A364),Reference!$O:$P,2,false)), 
""SELECT "" &amp; vlookup(rows($A$1:$A364),Reference!$O:$P,2,false) 
&amp; "" WHERE "" &amp; vlookup(row"&amp;"s($A$1:$A364),Reference!$O:$P,2,false) &amp;
"" &gt;= "" &amp; Reference!$R$2)) * M365,"""")"),"")</f>
        <v/>
      </c>
      <c r="O365" s="84" t="str">
        <f t="shared" si="2"/>
        <v/>
      </c>
    </row>
    <row r="366">
      <c r="A366" s="84"/>
      <c r="B366" s="84"/>
      <c r="C366" s="85"/>
      <c r="D366" s="86"/>
      <c r="E366" s="87"/>
      <c r="F366" s="86"/>
      <c r="G366" s="87"/>
      <c r="H366" s="86"/>
      <c r="I366" s="86"/>
      <c r="J366" s="86"/>
      <c r="K366" s="84"/>
      <c r="L366" s="84" t="str">
        <f>IFERROR(__xludf.DUMMYFUNCTION("IF(A366="""","""", COUNT(SPLIT(K366,"";"")))"),"")</f>
        <v/>
      </c>
      <c r="M366" s="84" t="str">
        <f t="shared" si="1"/>
        <v/>
      </c>
      <c r="N366" s="84" t="str">
        <f>IFERROR(__xludf.DUMMYFUNCTION("IFERROR(AVERAGE(query(INDIRECT(""'FR Table'!"" &amp; vlookup(rows($A$1:$A365),Reference!$O:$P,2,false) &amp; ""3:"" &amp; vlookup(rows($A$1:$A365),Reference!$O:$P,2,false)), 
""SELECT "" &amp; vlookup(rows($A$1:$A365),Reference!$O:$P,2,false) 
&amp; "" WHERE "" &amp; vlookup(row"&amp;"s($A$1:$A365),Reference!$O:$P,2,false) &amp;
"" &gt;= "" &amp; Reference!$R$2)) * M366,"""")"),"")</f>
        <v/>
      </c>
      <c r="O366" s="84" t="str">
        <f t="shared" si="2"/>
        <v/>
      </c>
    </row>
    <row r="367">
      <c r="A367" s="84"/>
      <c r="B367" s="84"/>
      <c r="C367" s="85"/>
      <c r="D367" s="86"/>
      <c r="E367" s="87"/>
      <c r="F367" s="86"/>
      <c r="G367" s="87"/>
      <c r="H367" s="86"/>
      <c r="I367" s="86"/>
      <c r="J367" s="86"/>
      <c r="K367" s="84"/>
      <c r="L367" s="84" t="str">
        <f>IFERROR(__xludf.DUMMYFUNCTION("IF(A367="""","""", COUNT(SPLIT(K367,"";"")))"),"")</f>
        <v/>
      </c>
      <c r="M367" s="84" t="str">
        <f t="shared" si="1"/>
        <v/>
      </c>
      <c r="N367" s="84" t="str">
        <f>IFERROR(__xludf.DUMMYFUNCTION("IFERROR(AVERAGE(query(INDIRECT(""'FR Table'!"" &amp; vlookup(rows($A$1:$A366),Reference!$O:$P,2,false) &amp; ""3:"" &amp; vlookup(rows($A$1:$A366),Reference!$O:$P,2,false)), 
""SELECT "" &amp; vlookup(rows($A$1:$A366),Reference!$O:$P,2,false) 
&amp; "" WHERE "" &amp; vlookup(row"&amp;"s($A$1:$A366),Reference!$O:$P,2,false) &amp;
"" &gt;= "" &amp; Reference!$R$2)) * M367,"""")"),"")</f>
        <v/>
      </c>
      <c r="O367" s="84" t="str">
        <f t="shared" si="2"/>
        <v/>
      </c>
    </row>
    <row r="368">
      <c r="A368" s="84"/>
      <c r="B368" s="84"/>
      <c r="C368" s="85"/>
      <c r="D368" s="86"/>
      <c r="E368" s="87"/>
      <c r="F368" s="86"/>
      <c r="G368" s="87"/>
      <c r="H368" s="86"/>
      <c r="I368" s="86"/>
      <c r="J368" s="86"/>
      <c r="K368" s="84"/>
      <c r="L368" s="84" t="str">
        <f>IFERROR(__xludf.DUMMYFUNCTION("IF(A368="""","""", COUNT(SPLIT(K368,"";"")))"),"")</f>
        <v/>
      </c>
      <c r="M368" s="84" t="str">
        <f t="shared" si="1"/>
        <v/>
      </c>
      <c r="N368" s="84" t="str">
        <f>IFERROR(__xludf.DUMMYFUNCTION("IFERROR(AVERAGE(query(INDIRECT(""'FR Table'!"" &amp; vlookup(rows($A$1:$A367),Reference!$O:$P,2,false) &amp; ""3:"" &amp; vlookup(rows($A$1:$A367),Reference!$O:$P,2,false)), 
""SELECT "" &amp; vlookup(rows($A$1:$A367),Reference!$O:$P,2,false) 
&amp; "" WHERE "" &amp; vlookup(row"&amp;"s($A$1:$A367),Reference!$O:$P,2,false) &amp;
"" &gt;= "" &amp; Reference!$R$2)) * M368,"""")"),"")</f>
        <v/>
      </c>
      <c r="O368" s="84" t="str">
        <f t="shared" si="2"/>
        <v/>
      </c>
    </row>
    <row r="369">
      <c r="A369" s="84"/>
      <c r="B369" s="84"/>
      <c r="C369" s="85"/>
      <c r="D369" s="86"/>
      <c r="E369" s="87"/>
      <c r="F369" s="86"/>
      <c r="G369" s="87"/>
      <c r="H369" s="86"/>
      <c r="I369" s="86"/>
      <c r="J369" s="86"/>
      <c r="K369" s="84"/>
      <c r="L369" s="84" t="str">
        <f>IFERROR(__xludf.DUMMYFUNCTION("IF(A369="""","""", COUNT(SPLIT(K369,"";"")))"),"")</f>
        <v/>
      </c>
      <c r="M369" s="84" t="str">
        <f t="shared" si="1"/>
        <v/>
      </c>
      <c r="N369" s="84" t="str">
        <f>IFERROR(__xludf.DUMMYFUNCTION("IFERROR(AVERAGE(query(INDIRECT(""'FR Table'!"" &amp; vlookup(rows($A$1:$A368),Reference!$O:$P,2,false) &amp; ""3:"" &amp; vlookup(rows($A$1:$A368),Reference!$O:$P,2,false)), 
""SELECT "" &amp; vlookup(rows($A$1:$A368),Reference!$O:$P,2,false) 
&amp; "" WHERE "" &amp; vlookup(row"&amp;"s($A$1:$A368),Reference!$O:$P,2,false) &amp;
"" &gt;= "" &amp; Reference!$R$2)) * M369,"""")"),"")</f>
        <v/>
      </c>
      <c r="O369" s="84" t="str">
        <f t="shared" si="2"/>
        <v/>
      </c>
    </row>
    <row r="370">
      <c r="A370" s="84"/>
      <c r="B370" s="84"/>
      <c r="C370" s="85"/>
      <c r="D370" s="86"/>
      <c r="E370" s="87"/>
      <c r="F370" s="86"/>
      <c r="G370" s="87"/>
      <c r="H370" s="86"/>
      <c r="I370" s="86"/>
      <c r="J370" s="86"/>
      <c r="K370" s="84"/>
      <c r="L370" s="84" t="str">
        <f>IFERROR(__xludf.DUMMYFUNCTION("IF(A370="""","""", COUNT(SPLIT(K370,"";"")))"),"")</f>
        <v/>
      </c>
      <c r="M370" s="84" t="str">
        <f t="shared" si="1"/>
        <v/>
      </c>
      <c r="N370" s="84" t="str">
        <f>IFERROR(__xludf.DUMMYFUNCTION("IFERROR(AVERAGE(query(INDIRECT(""'FR Table'!"" &amp; vlookup(rows($A$1:$A369),Reference!$O:$P,2,false) &amp; ""3:"" &amp; vlookup(rows($A$1:$A369),Reference!$O:$P,2,false)), 
""SELECT "" &amp; vlookup(rows($A$1:$A369),Reference!$O:$P,2,false) 
&amp; "" WHERE "" &amp; vlookup(row"&amp;"s($A$1:$A369),Reference!$O:$P,2,false) &amp;
"" &gt;= "" &amp; Reference!$R$2)) * M370,"""")"),"")</f>
        <v/>
      </c>
      <c r="O370" s="84" t="str">
        <f t="shared" si="2"/>
        <v/>
      </c>
    </row>
    <row r="371">
      <c r="A371" s="84"/>
      <c r="B371" s="84"/>
      <c r="C371" s="85"/>
      <c r="D371" s="86"/>
      <c r="E371" s="87"/>
      <c r="F371" s="86"/>
      <c r="G371" s="87"/>
      <c r="H371" s="86"/>
      <c r="I371" s="86"/>
      <c r="J371" s="86"/>
      <c r="K371" s="84"/>
      <c r="L371" s="84" t="str">
        <f>IFERROR(__xludf.DUMMYFUNCTION("IF(A371="""","""", COUNT(SPLIT(K371,"";"")))"),"")</f>
        <v/>
      </c>
      <c r="M371" s="84" t="str">
        <f t="shared" si="1"/>
        <v/>
      </c>
      <c r="N371" s="84" t="str">
        <f>IFERROR(__xludf.DUMMYFUNCTION("IFERROR(AVERAGE(query(INDIRECT(""'FR Table'!"" &amp; vlookup(rows($A$1:$A370),Reference!$O:$P,2,false) &amp; ""3:"" &amp; vlookup(rows($A$1:$A370),Reference!$O:$P,2,false)), 
""SELECT "" &amp; vlookup(rows($A$1:$A370),Reference!$O:$P,2,false) 
&amp; "" WHERE "" &amp; vlookup(row"&amp;"s($A$1:$A370),Reference!$O:$P,2,false) &amp;
"" &gt;= "" &amp; Reference!$R$2)) * M371,"""")"),"")</f>
        <v/>
      </c>
      <c r="O371" s="84" t="str">
        <f t="shared" si="2"/>
        <v/>
      </c>
    </row>
    <row r="372">
      <c r="A372" s="84"/>
      <c r="B372" s="84"/>
      <c r="C372" s="85"/>
      <c r="D372" s="86"/>
      <c r="E372" s="87"/>
      <c r="F372" s="86"/>
      <c r="G372" s="87"/>
      <c r="H372" s="86"/>
      <c r="I372" s="86"/>
      <c r="J372" s="86"/>
      <c r="K372" s="84"/>
      <c r="L372" s="84" t="str">
        <f>IFERROR(__xludf.DUMMYFUNCTION("IF(A372="""","""", COUNT(SPLIT(K372,"";"")))"),"")</f>
        <v/>
      </c>
      <c r="M372" s="84" t="str">
        <f t="shared" si="1"/>
        <v/>
      </c>
      <c r="N372" s="84" t="str">
        <f>IFERROR(__xludf.DUMMYFUNCTION("IFERROR(AVERAGE(query(INDIRECT(""'FR Table'!"" &amp; vlookup(rows($A$1:$A371),Reference!$O:$P,2,false) &amp; ""3:"" &amp; vlookup(rows($A$1:$A371),Reference!$O:$P,2,false)), 
""SELECT "" &amp; vlookup(rows($A$1:$A371),Reference!$O:$P,2,false) 
&amp; "" WHERE "" &amp; vlookup(row"&amp;"s($A$1:$A371),Reference!$O:$P,2,false) &amp;
"" &gt;= "" &amp; Reference!$R$2)) * M372,"""")"),"")</f>
        <v/>
      </c>
      <c r="O372" s="84" t="str">
        <f t="shared" si="2"/>
        <v/>
      </c>
    </row>
    <row r="373">
      <c r="A373" s="84"/>
      <c r="B373" s="84"/>
      <c r="C373" s="85"/>
      <c r="D373" s="86"/>
      <c r="E373" s="87"/>
      <c r="F373" s="86"/>
      <c r="G373" s="87"/>
      <c r="H373" s="86"/>
      <c r="I373" s="86"/>
      <c r="J373" s="86"/>
      <c r="K373" s="84"/>
      <c r="L373" s="84" t="str">
        <f>IFERROR(__xludf.DUMMYFUNCTION("IF(A373="""","""", COUNT(SPLIT(K373,"";"")))"),"")</f>
        <v/>
      </c>
      <c r="M373" s="84" t="str">
        <f t="shared" si="1"/>
        <v/>
      </c>
      <c r="N373" s="84" t="str">
        <f>IFERROR(__xludf.DUMMYFUNCTION("IFERROR(AVERAGE(query(INDIRECT(""'FR Table'!"" &amp; vlookup(rows($A$1:$A372),Reference!$O:$P,2,false) &amp; ""3:"" &amp; vlookup(rows($A$1:$A372),Reference!$O:$P,2,false)), 
""SELECT "" &amp; vlookup(rows($A$1:$A372),Reference!$O:$P,2,false) 
&amp; "" WHERE "" &amp; vlookup(row"&amp;"s($A$1:$A372),Reference!$O:$P,2,false) &amp;
"" &gt;= "" &amp; Reference!$R$2)) * M373,"""")"),"")</f>
        <v/>
      </c>
      <c r="O373" s="84" t="str">
        <f t="shared" si="2"/>
        <v/>
      </c>
    </row>
    <row r="374">
      <c r="A374" s="84"/>
      <c r="B374" s="84"/>
      <c r="C374" s="85"/>
      <c r="D374" s="86"/>
      <c r="E374" s="87"/>
      <c r="F374" s="86"/>
      <c r="G374" s="87"/>
      <c r="H374" s="86"/>
      <c r="I374" s="86"/>
      <c r="J374" s="86"/>
      <c r="K374" s="84"/>
      <c r="L374" s="84" t="str">
        <f>IFERROR(__xludf.DUMMYFUNCTION("IF(A374="""","""", COUNT(SPLIT(K374,"";"")))"),"")</f>
        <v/>
      </c>
      <c r="M374" s="84" t="str">
        <f t="shared" si="1"/>
        <v/>
      </c>
      <c r="N374" s="84" t="str">
        <f>IFERROR(__xludf.DUMMYFUNCTION("IFERROR(AVERAGE(query(INDIRECT(""'FR Table'!"" &amp; vlookup(rows($A$1:$A373),Reference!$O:$P,2,false) &amp; ""3:"" &amp; vlookup(rows($A$1:$A373),Reference!$O:$P,2,false)), 
""SELECT "" &amp; vlookup(rows($A$1:$A373),Reference!$O:$P,2,false) 
&amp; "" WHERE "" &amp; vlookup(row"&amp;"s($A$1:$A373),Reference!$O:$P,2,false) &amp;
"" &gt;= "" &amp; Reference!$R$2)) * M374,"""")"),"")</f>
        <v/>
      </c>
      <c r="O374" s="84" t="str">
        <f t="shared" si="2"/>
        <v/>
      </c>
    </row>
    <row r="375">
      <c r="A375" s="84"/>
      <c r="B375" s="84"/>
      <c r="C375" s="85"/>
      <c r="D375" s="86"/>
      <c r="E375" s="87"/>
      <c r="F375" s="86"/>
      <c r="G375" s="87"/>
      <c r="H375" s="86"/>
      <c r="I375" s="86"/>
      <c r="J375" s="86"/>
      <c r="K375" s="84"/>
      <c r="L375" s="84" t="str">
        <f>IFERROR(__xludf.DUMMYFUNCTION("IF(A375="""","""", COUNT(SPLIT(K375,"";"")))"),"")</f>
        <v/>
      </c>
      <c r="M375" s="84" t="str">
        <f t="shared" si="1"/>
        <v/>
      </c>
      <c r="N375" s="84" t="str">
        <f>IFERROR(__xludf.DUMMYFUNCTION("IFERROR(AVERAGE(query(INDIRECT(""'FR Table'!"" &amp; vlookup(rows($A$1:$A374),Reference!$O:$P,2,false) &amp; ""3:"" &amp; vlookup(rows($A$1:$A374),Reference!$O:$P,2,false)), 
""SELECT "" &amp; vlookup(rows($A$1:$A374),Reference!$O:$P,2,false) 
&amp; "" WHERE "" &amp; vlookup(row"&amp;"s($A$1:$A374),Reference!$O:$P,2,false) &amp;
"" &gt;= "" &amp; Reference!$R$2)) * M375,"""")"),"")</f>
        <v/>
      </c>
      <c r="O375" s="84" t="str">
        <f t="shared" si="2"/>
        <v/>
      </c>
    </row>
    <row r="376">
      <c r="A376" s="84"/>
      <c r="B376" s="84"/>
      <c r="C376" s="85"/>
      <c r="D376" s="86"/>
      <c r="E376" s="87"/>
      <c r="F376" s="86"/>
      <c r="G376" s="87"/>
      <c r="H376" s="86"/>
      <c r="I376" s="86"/>
      <c r="J376" s="86"/>
      <c r="K376" s="84"/>
      <c r="L376" s="84" t="str">
        <f>IFERROR(__xludf.DUMMYFUNCTION("IF(A376="""","""", COUNT(SPLIT(K376,"";"")))"),"")</f>
        <v/>
      </c>
      <c r="M376" s="84" t="str">
        <f t="shared" si="1"/>
        <v/>
      </c>
      <c r="N376" s="84" t="str">
        <f>IFERROR(__xludf.DUMMYFUNCTION("IFERROR(AVERAGE(query(INDIRECT(""'FR Table'!"" &amp; vlookup(rows($A$1:$A375),Reference!$O:$P,2,false) &amp; ""3:"" &amp; vlookup(rows($A$1:$A375),Reference!$O:$P,2,false)), 
""SELECT "" &amp; vlookup(rows($A$1:$A375),Reference!$O:$P,2,false) 
&amp; "" WHERE "" &amp; vlookup(row"&amp;"s($A$1:$A375),Reference!$O:$P,2,false) &amp;
"" &gt;= "" &amp; Reference!$R$2)) * M376,"""")"),"")</f>
        <v/>
      </c>
      <c r="O376" s="84" t="str">
        <f t="shared" si="2"/>
        <v/>
      </c>
    </row>
    <row r="377">
      <c r="A377" s="84"/>
      <c r="B377" s="84"/>
      <c r="C377" s="85"/>
      <c r="D377" s="86"/>
      <c r="E377" s="87"/>
      <c r="F377" s="86"/>
      <c r="G377" s="87"/>
      <c r="H377" s="86"/>
      <c r="I377" s="86"/>
      <c r="J377" s="86"/>
      <c r="K377" s="84"/>
      <c r="L377" s="84" t="str">
        <f>IFERROR(__xludf.DUMMYFUNCTION("IF(A377="""","""", COUNT(SPLIT(K377,"";"")))"),"")</f>
        <v/>
      </c>
      <c r="M377" s="84" t="str">
        <f t="shared" si="1"/>
        <v/>
      </c>
      <c r="N377" s="84" t="str">
        <f>IFERROR(__xludf.DUMMYFUNCTION("IFERROR(AVERAGE(query(INDIRECT(""'FR Table'!"" &amp; vlookup(rows($A$1:$A376),Reference!$O:$P,2,false) &amp; ""3:"" &amp; vlookup(rows($A$1:$A376),Reference!$O:$P,2,false)), 
""SELECT "" &amp; vlookup(rows($A$1:$A376),Reference!$O:$P,2,false) 
&amp; "" WHERE "" &amp; vlookup(row"&amp;"s($A$1:$A376),Reference!$O:$P,2,false) &amp;
"" &gt;= "" &amp; Reference!$R$2)) * M377,"""")"),"")</f>
        <v/>
      </c>
      <c r="O377" s="84" t="str">
        <f t="shared" si="2"/>
        <v/>
      </c>
    </row>
    <row r="378">
      <c r="A378" s="84"/>
      <c r="B378" s="84"/>
      <c r="C378" s="85"/>
      <c r="D378" s="86"/>
      <c r="E378" s="87"/>
      <c r="F378" s="86"/>
      <c r="G378" s="87"/>
      <c r="H378" s="86"/>
      <c r="I378" s="86"/>
      <c r="J378" s="86"/>
      <c r="K378" s="84"/>
      <c r="L378" s="84" t="str">
        <f>IFERROR(__xludf.DUMMYFUNCTION("IF(A378="""","""", COUNT(SPLIT(K378,"";"")))"),"")</f>
        <v/>
      </c>
      <c r="M378" s="84" t="str">
        <f t="shared" si="1"/>
        <v/>
      </c>
      <c r="N378" s="84" t="str">
        <f>IFERROR(__xludf.DUMMYFUNCTION("IFERROR(AVERAGE(query(INDIRECT(""'FR Table'!"" &amp; vlookup(rows($A$1:$A377),Reference!$O:$P,2,false) &amp; ""3:"" &amp; vlookup(rows($A$1:$A377),Reference!$O:$P,2,false)), 
""SELECT "" &amp; vlookup(rows($A$1:$A377),Reference!$O:$P,2,false) 
&amp; "" WHERE "" &amp; vlookup(row"&amp;"s($A$1:$A377),Reference!$O:$P,2,false) &amp;
"" &gt;= "" &amp; Reference!$R$2)) * M378,"""")"),"")</f>
        <v/>
      </c>
      <c r="O378" s="84" t="str">
        <f t="shared" si="2"/>
        <v/>
      </c>
    </row>
    <row r="379">
      <c r="A379" s="84"/>
      <c r="B379" s="84"/>
      <c r="C379" s="85"/>
      <c r="D379" s="86"/>
      <c r="E379" s="87"/>
      <c r="F379" s="86"/>
      <c r="G379" s="87"/>
      <c r="H379" s="86"/>
      <c r="I379" s="86"/>
      <c r="J379" s="86"/>
      <c r="K379" s="84"/>
      <c r="L379" s="84" t="str">
        <f>IFERROR(__xludf.DUMMYFUNCTION("IF(A379="""","""", COUNT(SPLIT(K379,"";"")))"),"")</f>
        <v/>
      </c>
      <c r="M379" s="84" t="str">
        <f t="shared" si="1"/>
        <v/>
      </c>
      <c r="N379" s="84" t="str">
        <f>IFERROR(__xludf.DUMMYFUNCTION("IFERROR(AVERAGE(query(INDIRECT(""'FR Table'!"" &amp; vlookup(rows($A$1:$A378),Reference!$O:$P,2,false) &amp; ""3:"" &amp; vlookup(rows($A$1:$A378),Reference!$O:$P,2,false)), 
""SELECT "" &amp; vlookup(rows($A$1:$A378),Reference!$O:$P,2,false) 
&amp; "" WHERE "" &amp; vlookup(row"&amp;"s($A$1:$A378),Reference!$O:$P,2,false) &amp;
"" &gt;= "" &amp; Reference!$R$2)) * M379,"""")"),"")</f>
        <v/>
      </c>
      <c r="O379" s="84" t="str">
        <f t="shared" si="2"/>
        <v/>
      </c>
    </row>
    <row r="380">
      <c r="A380" s="84"/>
      <c r="B380" s="84"/>
      <c r="C380" s="85"/>
      <c r="D380" s="86"/>
      <c r="E380" s="87"/>
      <c r="F380" s="86"/>
      <c r="G380" s="87"/>
      <c r="H380" s="86"/>
      <c r="I380" s="86"/>
      <c r="J380" s="86"/>
      <c r="K380" s="84"/>
      <c r="L380" s="84" t="str">
        <f>IFERROR(__xludf.DUMMYFUNCTION("IF(A380="""","""", COUNT(SPLIT(K380,"";"")))"),"")</f>
        <v/>
      </c>
      <c r="M380" s="84" t="str">
        <f t="shared" si="1"/>
        <v/>
      </c>
      <c r="N380" s="84" t="str">
        <f>IFERROR(__xludf.DUMMYFUNCTION("IFERROR(AVERAGE(query(INDIRECT(""'FR Table'!"" &amp; vlookup(rows($A$1:$A379),Reference!$O:$P,2,false) &amp; ""3:"" &amp; vlookup(rows($A$1:$A379),Reference!$O:$P,2,false)), 
""SELECT "" &amp; vlookup(rows($A$1:$A379),Reference!$O:$P,2,false) 
&amp; "" WHERE "" &amp; vlookup(row"&amp;"s($A$1:$A379),Reference!$O:$P,2,false) &amp;
"" &gt;= "" &amp; Reference!$R$2)) * M380,"""")"),"")</f>
        <v/>
      </c>
      <c r="O380" s="84" t="str">
        <f t="shared" si="2"/>
        <v/>
      </c>
    </row>
    <row r="381">
      <c r="A381" s="84"/>
      <c r="B381" s="84"/>
      <c r="C381" s="85"/>
      <c r="D381" s="86"/>
      <c r="E381" s="87"/>
      <c r="F381" s="86"/>
      <c r="G381" s="87"/>
      <c r="H381" s="86"/>
      <c r="I381" s="86"/>
      <c r="J381" s="86"/>
      <c r="K381" s="84"/>
      <c r="L381" s="84" t="str">
        <f>IFERROR(__xludf.DUMMYFUNCTION("IF(A381="""","""", COUNT(SPLIT(K381,"";"")))"),"")</f>
        <v/>
      </c>
      <c r="M381" s="84" t="str">
        <f t="shared" si="1"/>
        <v/>
      </c>
      <c r="N381" s="84" t="str">
        <f>IFERROR(__xludf.DUMMYFUNCTION("IFERROR(AVERAGE(query(INDIRECT(""'FR Table'!"" &amp; vlookup(rows($A$1:$A380),Reference!$O:$P,2,false) &amp; ""3:"" &amp; vlookup(rows($A$1:$A380),Reference!$O:$P,2,false)), 
""SELECT "" &amp; vlookup(rows($A$1:$A380),Reference!$O:$P,2,false) 
&amp; "" WHERE "" &amp; vlookup(row"&amp;"s($A$1:$A380),Reference!$O:$P,2,false) &amp;
"" &gt;= "" &amp; Reference!$R$2)) * M381,"""")"),"")</f>
        <v/>
      </c>
      <c r="O381" s="84" t="str">
        <f t="shared" si="2"/>
        <v/>
      </c>
    </row>
    <row r="382">
      <c r="A382" s="84"/>
      <c r="B382" s="84"/>
      <c r="C382" s="85"/>
      <c r="D382" s="86"/>
      <c r="E382" s="87"/>
      <c r="F382" s="86"/>
      <c r="G382" s="87"/>
      <c r="H382" s="86"/>
      <c r="I382" s="86"/>
      <c r="J382" s="86"/>
      <c r="K382" s="84"/>
      <c r="L382" s="84" t="str">
        <f>IFERROR(__xludf.DUMMYFUNCTION("IF(A382="""","""", COUNT(SPLIT(K382,"";"")))"),"")</f>
        <v/>
      </c>
      <c r="M382" s="84" t="str">
        <f t="shared" si="1"/>
        <v/>
      </c>
      <c r="N382" s="84" t="str">
        <f>IFERROR(__xludf.DUMMYFUNCTION("IFERROR(AVERAGE(query(INDIRECT(""'FR Table'!"" &amp; vlookup(rows($A$1:$A381),Reference!$O:$P,2,false) &amp; ""3:"" &amp; vlookup(rows($A$1:$A381),Reference!$O:$P,2,false)), 
""SELECT "" &amp; vlookup(rows($A$1:$A381),Reference!$O:$P,2,false) 
&amp; "" WHERE "" &amp; vlookup(row"&amp;"s($A$1:$A381),Reference!$O:$P,2,false) &amp;
"" &gt;= "" &amp; Reference!$R$2)) * M382,"""")"),"")</f>
        <v/>
      </c>
      <c r="O382" s="84" t="str">
        <f t="shared" si="2"/>
        <v/>
      </c>
    </row>
    <row r="383">
      <c r="A383" s="84"/>
      <c r="B383" s="84"/>
      <c r="C383" s="85"/>
      <c r="D383" s="86"/>
      <c r="E383" s="87"/>
      <c r="F383" s="86"/>
      <c r="G383" s="87"/>
      <c r="H383" s="86"/>
      <c r="I383" s="86"/>
      <c r="J383" s="86"/>
      <c r="K383" s="84"/>
      <c r="L383" s="84" t="str">
        <f>IFERROR(__xludf.DUMMYFUNCTION("IF(A383="""","""", COUNT(SPLIT(K383,"";"")))"),"")</f>
        <v/>
      </c>
      <c r="M383" s="84" t="str">
        <f t="shared" si="1"/>
        <v/>
      </c>
      <c r="N383" s="84" t="str">
        <f>IFERROR(__xludf.DUMMYFUNCTION("IFERROR(AVERAGE(query(INDIRECT(""'FR Table'!"" &amp; vlookup(rows($A$1:$A382),Reference!$O:$P,2,false) &amp; ""3:"" &amp; vlookup(rows($A$1:$A382),Reference!$O:$P,2,false)), 
""SELECT "" &amp; vlookup(rows($A$1:$A382),Reference!$O:$P,2,false) 
&amp; "" WHERE "" &amp; vlookup(row"&amp;"s($A$1:$A382),Reference!$O:$P,2,false) &amp;
"" &gt;= "" &amp; Reference!$R$2)) * M383,"""")"),"")</f>
        <v/>
      </c>
      <c r="O383" s="84" t="str">
        <f t="shared" si="2"/>
        <v/>
      </c>
    </row>
    <row r="384">
      <c r="A384" s="84"/>
      <c r="B384" s="84"/>
      <c r="C384" s="85"/>
      <c r="D384" s="86"/>
      <c r="E384" s="87"/>
      <c r="F384" s="86"/>
      <c r="G384" s="87"/>
      <c r="H384" s="86"/>
      <c r="I384" s="86"/>
      <c r="J384" s="86"/>
      <c r="K384" s="84"/>
      <c r="L384" s="84" t="str">
        <f>IFERROR(__xludf.DUMMYFUNCTION("IF(A384="""","""", COUNT(SPLIT(K384,"";"")))"),"")</f>
        <v/>
      </c>
      <c r="M384" s="84" t="str">
        <f t="shared" si="1"/>
        <v/>
      </c>
      <c r="N384" s="84" t="str">
        <f>IFERROR(__xludf.DUMMYFUNCTION("IFERROR(AVERAGE(query(INDIRECT(""'FR Table'!"" &amp; vlookup(rows($A$1:$A383),Reference!$O:$P,2,false) &amp; ""3:"" &amp; vlookup(rows($A$1:$A383),Reference!$O:$P,2,false)), 
""SELECT "" &amp; vlookup(rows($A$1:$A383),Reference!$O:$P,2,false) 
&amp; "" WHERE "" &amp; vlookup(row"&amp;"s($A$1:$A383),Reference!$O:$P,2,false) &amp;
"" &gt;= "" &amp; Reference!$R$2)) * M384,"""")"),"")</f>
        <v/>
      </c>
      <c r="O384" s="84" t="str">
        <f t="shared" si="2"/>
        <v/>
      </c>
    </row>
    <row r="385">
      <c r="A385" s="84"/>
      <c r="B385" s="84"/>
      <c r="C385" s="85"/>
      <c r="D385" s="86"/>
      <c r="E385" s="87"/>
      <c r="F385" s="86"/>
      <c r="G385" s="87"/>
      <c r="H385" s="86"/>
      <c r="I385" s="86"/>
      <c r="J385" s="86"/>
      <c r="K385" s="84"/>
      <c r="L385" s="84" t="str">
        <f>IFERROR(__xludf.DUMMYFUNCTION("IF(A385="""","""", COUNT(SPLIT(K385,"";"")))"),"")</f>
        <v/>
      </c>
      <c r="M385" s="84" t="str">
        <f t="shared" si="1"/>
        <v/>
      </c>
      <c r="N385" s="84" t="str">
        <f>IFERROR(__xludf.DUMMYFUNCTION("IFERROR(AVERAGE(query(INDIRECT(""'FR Table'!"" &amp; vlookup(rows($A$1:$A384),Reference!$O:$P,2,false) &amp; ""3:"" &amp; vlookup(rows($A$1:$A384),Reference!$O:$P,2,false)), 
""SELECT "" &amp; vlookup(rows($A$1:$A384),Reference!$O:$P,2,false) 
&amp; "" WHERE "" &amp; vlookup(row"&amp;"s($A$1:$A384),Reference!$O:$P,2,false) &amp;
"" &gt;= "" &amp; Reference!$R$2)) * M385,"""")"),"")</f>
        <v/>
      </c>
      <c r="O385" s="84" t="str">
        <f t="shared" si="2"/>
        <v/>
      </c>
    </row>
    <row r="386">
      <c r="A386" s="84"/>
      <c r="B386" s="84"/>
      <c r="C386" s="85"/>
      <c r="D386" s="86"/>
      <c r="E386" s="87"/>
      <c r="F386" s="86"/>
      <c r="G386" s="87"/>
      <c r="H386" s="86"/>
      <c r="I386" s="86"/>
      <c r="J386" s="86"/>
      <c r="K386" s="84"/>
      <c r="L386" s="84" t="str">
        <f>IFERROR(__xludf.DUMMYFUNCTION("IF(A386="""","""", COUNT(SPLIT(K386,"";"")))"),"")</f>
        <v/>
      </c>
      <c r="M386" s="84" t="str">
        <f t="shared" si="1"/>
        <v/>
      </c>
      <c r="N386" s="84" t="str">
        <f>IFERROR(__xludf.DUMMYFUNCTION("IFERROR(AVERAGE(query(INDIRECT(""'FR Table'!"" &amp; vlookup(rows($A$1:$A385),Reference!$O:$P,2,false) &amp; ""3:"" &amp; vlookup(rows($A$1:$A385),Reference!$O:$P,2,false)), 
""SELECT "" &amp; vlookup(rows($A$1:$A385),Reference!$O:$P,2,false) 
&amp; "" WHERE "" &amp; vlookup(row"&amp;"s($A$1:$A385),Reference!$O:$P,2,false) &amp;
"" &gt;= "" &amp; Reference!$R$2)) * M386,"""")"),"")</f>
        <v/>
      </c>
      <c r="O386" s="84" t="str">
        <f t="shared" si="2"/>
        <v/>
      </c>
    </row>
    <row r="387">
      <c r="A387" s="84"/>
      <c r="B387" s="84"/>
      <c r="C387" s="85"/>
      <c r="D387" s="86"/>
      <c r="E387" s="87"/>
      <c r="F387" s="86"/>
      <c r="G387" s="87"/>
      <c r="H387" s="86"/>
      <c r="I387" s="86"/>
      <c r="J387" s="86"/>
      <c r="K387" s="84"/>
      <c r="L387" s="84" t="str">
        <f>IFERROR(__xludf.DUMMYFUNCTION("IF(A387="""","""", COUNT(SPLIT(K387,"";"")))"),"")</f>
        <v/>
      </c>
      <c r="M387" s="84" t="str">
        <f t="shared" si="1"/>
        <v/>
      </c>
      <c r="N387" s="84" t="str">
        <f>IFERROR(__xludf.DUMMYFUNCTION("IFERROR(AVERAGE(query(INDIRECT(""'FR Table'!"" &amp; vlookup(rows($A$1:$A386),Reference!$O:$P,2,false) &amp; ""3:"" &amp; vlookup(rows($A$1:$A386),Reference!$O:$P,2,false)), 
""SELECT "" &amp; vlookup(rows($A$1:$A386),Reference!$O:$P,2,false) 
&amp; "" WHERE "" &amp; vlookup(row"&amp;"s($A$1:$A386),Reference!$O:$P,2,false) &amp;
"" &gt;= "" &amp; Reference!$R$2)) * M387,"""")"),"")</f>
        <v/>
      </c>
      <c r="O387" s="84" t="str">
        <f t="shared" si="2"/>
        <v/>
      </c>
    </row>
    <row r="388">
      <c r="A388" s="84"/>
      <c r="B388" s="84"/>
      <c r="C388" s="85"/>
      <c r="D388" s="86"/>
      <c r="E388" s="87"/>
      <c r="F388" s="86"/>
      <c r="G388" s="87"/>
      <c r="H388" s="86"/>
      <c r="I388" s="86"/>
      <c r="J388" s="86"/>
      <c r="K388" s="84"/>
      <c r="L388" s="84" t="str">
        <f>IFERROR(__xludf.DUMMYFUNCTION("IF(A388="""","""", COUNT(SPLIT(K388,"";"")))"),"")</f>
        <v/>
      </c>
      <c r="M388" s="84" t="str">
        <f t="shared" si="1"/>
        <v/>
      </c>
      <c r="N388" s="84" t="str">
        <f>IFERROR(__xludf.DUMMYFUNCTION("IFERROR(AVERAGE(query(INDIRECT(""'FR Table'!"" &amp; vlookup(rows($A$1:$A387),Reference!$O:$P,2,false) &amp; ""3:"" &amp; vlookup(rows($A$1:$A387),Reference!$O:$P,2,false)), 
""SELECT "" &amp; vlookup(rows($A$1:$A387),Reference!$O:$P,2,false) 
&amp; "" WHERE "" &amp; vlookup(row"&amp;"s($A$1:$A387),Reference!$O:$P,2,false) &amp;
"" &gt;= "" &amp; Reference!$R$2)) * M388,"""")"),"")</f>
        <v/>
      </c>
      <c r="O388" s="84" t="str">
        <f t="shared" si="2"/>
        <v/>
      </c>
    </row>
    <row r="389">
      <c r="A389" s="84"/>
      <c r="B389" s="84"/>
      <c r="C389" s="85"/>
      <c r="D389" s="86"/>
      <c r="E389" s="87"/>
      <c r="F389" s="86"/>
      <c r="G389" s="87"/>
      <c r="H389" s="86"/>
      <c r="I389" s="86"/>
      <c r="J389" s="86"/>
      <c r="K389" s="84"/>
      <c r="L389" s="84" t="str">
        <f>IFERROR(__xludf.DUMMYFUNCTION("IF(A389="""","""", COUNT(SPLIT(K389,"";"")))"),"")</f>
        <v/>
      </c>
      <c r="M389" s="84" t="str">
        <f t="shared" si="1"/>
        <v/>
      </c>
      <c r="N389" s="84" t="str">
        <f>IFERROR(__xludf.DUMMYFUNCTION("IFERROR(AVERAGE(query(INDIRECT(""'FR Table'!"" &amp; vlookup(rows($A$1:$A388),Reference!$O:$P,2,false) &amp; ""3:"" &amp; vlookup(rows($A$1:$A388),Reference!$O:$P,2,false)), 
""SELECT "" &amp; vlookup(rows($A$1:$A388),Reference!$O:$P,2,false) 
&amp; "" WHERE "" &amp; vlookup(row"&amp;"s($A$1:$A388),Reference!$O:$P,2,false) &amp;
"" &gt;= "" &amp; Reference!$R$2)) * M389,"""")"),"")</f>
        <v/>
      </c>
      <c r="O389" s="84" t="str">
        <f t="shared" si="2"/>
        <v/>
      </c>
    </row>
    <row r="390">
      <c r="A390" s="84"/>
      <c r="B390" s="84"/>
      <c r="C390" s="85"/>
      <c r="D390" s="86"/>
      <c r="E390" s="87"/>
      <c r="F390" s="86"/>
      <c r="G390" s="87"/>
      <c r="H390" s="86"/>
      <c r="I390" s="86"/>
      <c r="J390" s="86"/>
      <c r="K390" s="84"/>
      <c r="L390" s="84" t="str">
        <f>IFERROR(__xludf.DUMMYFUNCTION("IF(A390="""","""", COUNT(SPLIT(K390,"";"")))"),"")</f>
        <v/>
      </c>
      <c r="M390" s="84" t="str">
        <f t="shared" si="1"/>
        <v/>
      </c>
      <c r="N390" s="84" t="str">
        <f>IFERROR(__xludf.DUMMYFUNCTION("IFERROR(AVERAGE(query(INDIRECT(""'FR Table'!"" &amp; vlookup(rows($A$1:$A389),Reference!$O:$P,2,false) &amp; ""3:"" &amp; vlookup(rows($A$1:$A389),Reference!$O:$P,2,false)), 
""SELECT "" &amp; vlookup(rows($A$1:$A389),Reference!$O:$P,2,false) 
&amp; "" WHERE "" &amp; vlookup(row"&amp;"s($A$1:$A389),Reference!$O:$P,2,false) &amp;
"" &gt;= "" &amp; Reference!$R$2)) * M390,"""")"),"")</f>
        <v/>
      </c>
      <c r="O390" s="84" t="str">
        <f t="shared" si="2"/>
        <v/>
      </c>
    </row>
    <row r="391">
      <c r="A391" s="84"/>
      <c r="B391" s="84"/>
      <c r="C391" s="85"/>
      <c r="D391" s="86"/>
      <c r="E391" s="87"/>
      <c r="F391" s="86"/>
      <c r="G391" s="87"/>
      <c r="H391" s="86"/>
      <c r="I391" s="86"/>
      <c r="J391" s="86"/>
      <c r="K391" s="84"/>
      <c r="L391" s="84" t="str">
        <f>IFERROR(__xludf.DUMMYFUNCTION("IF(A391="""","""", COUNT(SPLIT(K391,"";"")))"),"")</f>
        <v/>
      </c>
      <c r="M391" s="84" t="str">
        <f t="shared" si="1"/>
        <v/>
      </c>
      <c r="N391" s="84" t="str">
        <f>IFERROR(__xludf.DUMMYFUNCTION("IFERROR(AVERAGE(query(INDIRECT(""'FR Table'!"" &amp; vlookup(rows($A$1:$A390),Reference!$O:$P,2,false) &amp; ""3:"" &amp; vlookup(rows($A$1:$A390),Reference!$O:$P,2,false)), 
""SELECT "" &amp; vlookup(rows($A$1:$A390),Reference!$O:$P,2,false) 
&amp; "" WHERE "" &amp; vlookup(row"&amp;"s($A$1:$A390),Reference!$O:$P,2,false) &amp;
"" &gt;= "" &amp; Reference!$R$2)) * M391,"""")"),"")</f>
        <v/>
      </c>
      <c r="O391" s="84" t="str">
        <f t="shared" si="2"/>
        <v/>
      </c>
    </row>
    <row r="392">
      <c r="A392" s="84"/>
      <c r="B392" s="84"/>
      <c r="C392" s="85"/>
      <c r="D392" s="86"/>
      <c r="E392" s="87"/>
      <c r="F392" s="86"/>
      <c r="G392" s="87"/>
      <c r="H392" s="86"/>
      <c r="I392" s="86"/>
      <c r="J392" s="86"/>
      <c r="K392" s="84"/>
      <c r="L392" s="84" t="str">
        <f>IFERROR(__xludf.DUMMYFUNCTION("IF(A392="""","""", COUNT(SPLIT(K392,"";"")))"),"")</f>
        <v/>
      </c>
      <c r="M392" s="84" t="str">
        <f t="shared" si="1"/>
        <v/>
      </c>
      <c r="N392" s="84" t="str">
        <f>IFERROR(__xludf.DUMMYFUNCTION("IFERROR(AVERAGE(query(INDIRECT(""'FR Table'!"" &amp; vlookup(rows($A$1:$A391),Reference!$O:$P,2,false) &amp; ""3:"" &amp; vlookup(rows($A$1:$A391),Reference!$O:$P,2,false)), 
""SELECT "" &amp; vlookup(rows($A$1:$A391),Reference!$O:$P,2,false) 
&amp; "" WHERE "" &amp; vlookup(row"&amp;"s($A$1:$A391),Reference!$O:$P,2,false) &amp;
"" &gt;= "" &amp; Reference!$R$2)) * M392,"""")"),"")</f>
        <v/>
      </c>
      <c r="O392" s="84" t="str">
        <f t="shared" si="2"/>
        <v/>
      </c>
    </row>
    <row r="393">
      <c r="A393" s="84"/>
      <c r="B393" s="84"/>
      <c r="C393" s="85"/>
      <c r="D393" s="86"/>
      <c r="E393" s="87"/>
      <c r="F393" s="86"/>
      <c r="G393" s="87"/>
      <c r="H393" s="86"/>
      <c r="I393" s="86"/>
      <c r="J393" s="86"/>
      <c r="K393" s="84"/>
      <c r="L393" s="84" t="str">
        <f>IFERROR(__xludf.DUMMYFUNCTION("IF(A393="""","""", COUNT(SPLIT(K393,"";"")))"),"")</f>
        <v/>
      </c>
      <c r="M393" s="84" t="str">
        <f t="shared" si="1"/>
        <v/>
      </c>
      <c r="N393" s="84" t="str">
        <f>IFERROR(__xludf.DUMMYFUNCTION("IFERROR(AVERAGE(query(INDIRECT(""'FR Table'!"" &amp; vlookup(rows($A$1:$A392),Reference!$O:$P,2,false) &amp; ""3:"" &amp; vlookup(rows($A$1:$A392),Reference!$O:$P,2,false)), 
""SELECT "" &amp; vlookup(rows($A$1:$A392),Reference!$O:$P,2,false) 
&amp; "" WHERE "" &amp; vlookup(row"&amp;"s($A$1:$A392),Reference!$O:$P,2,false) &amp;
"" &gt;= "" &amp; Reference!$R$2)) * M393,"""")"),"")</f>
        <v/>
      </c>
      <c r="O393" s="84" t="str">
        <f t="shared" si="2"/>
        <v/>
      </c>
    </row>
    <row r="394">
      <c r="A394" s="84"/>
      <c r="B394" s="84"/>
      <c r="C394" s="85"/>
      <c r="D394" s="86"/>
      <c r="E394" s="87"/>
      <c r="F394" s="86"/>
      <c r="G394" s="87"/>
      <c r="H394" s="86"/>
      <c r="I394" s="86"/>
      <c r="J394" s="86"/>
      <c r="K394" s="84"/>
      <c r="L394" s="84" t="str">
        <f>IFERROR(__xludf.DUMMYFUNCTION("IF(A394="""","""", COUNT(SPLIT(K394,"";"")))"),"")</f>
        <v/>
      </c>
      <c r="M394" s="84" t="str">
        <f t="shared" si="1"/>
        <v/>
      </c>
      <c r="N394" s="84" t="str">
        <f>IFERROR(__xludf.DUMMYFUNCTION("IFERROR(AVERAGE(query(INDIRECT(""'FR Table'!"" &amp; vlookup(rows($A$1:$A393),Reference!$O:$P,2,false) &amp; ""3:"" &amp; vlookup(rows($A$1:$A393),Reference!$O:$P,2,false)), 
""SELECT "" &amp; vlookup(rows($A$1:$A393),Reference!$O:$P,2,false) 
&amp; "" WHERE "" &amp; vlookup(row"&amp;"s($A$1:$A393),Reference!$O:$P,2,false) &amp;
"" &gt;= "" &amp; Reference!$R$2)) * M394,"""")"),"")</f>
        <v/>
      </c>
      <c r="O394" s="84" t="str">
        <f t="shared" si="2"/>
        <v/>
      </c>
    </row>
    <row r="395">
      <c r="A395" s="84"/>
      <c r="B395" s="84"/>
      <c r="C395" s="85"/>
      <c r="D395" s="86"/>
      <c r="E395" s="87"/>
      <c r="F395" s="86"/>
      <c r="G395" s="87"/>
      <c r="H395" s="86"/>
      <c r="I395" s="86"/>
      <c r="J395" s="86"/>
      <c r="K395" s="84"/>
      <c r="L395" s="84" t="str">
        <f>IFERROR(__xludf.DUMMYFUNCTION("IF(A395="""","""", COUNT(SPLIT(K395,"";"")))"),"")</f>
        <v/>
      </c>
      <c r="M395" s="84" t="str">
        <f t="shared" si="1"/>
        <v/>
      </c>
      <c r="N395" s="84" t="str">
        <f>IFERROR(__xludf.DUMMYFUNCTION("IFERROR(AVERAGE(query(INDIRECT(""'FR Table'!"" &amp; vlookup(rows($A$1:$A394),Reference!$O:$P,2,false) &amp; ""3:"" &amp; vlookup(rows($A$1:$A394),Reference!$O:$P,2,false)), 
""SELECT "" &amp; vlookup(rows($A$1:$A394),Reference!$O:$P,2,false) 
&amp; "" WHERE "" &amp; vlookup(row"&amp;"s($A$1:$A394),Reference!$O:$P,2,false) &amp;
"" &gt;= "" &amp; Reference!$R$2)) * M395,"""")"),"")</f>
        <v/>
      </c>
      <c r="O395" s="84" t="str">
        <f t="shared" si="2"/>
        <v/>
      </c>
    </row>
    <row r="396">
      <c r="A396" s="84"/>
      <c r="B396" s="84"/>
      <c r="C396" s="85"/>
      <c r="D396" s="86"/>
      <c r="E396" s="87"/>
      <c r="F396" s="86"/>
      <c r="G396" s="87"/>
      <c r="H396" s="86"/>
      <c r="I396" s="86"/>
      <c r="J396" s="86"/>
      <c r="K396" s="84"/>
      <c r="L396" s="84" t="str">
        <f>IFERROR(__xludf.DUMMYFUNCTION("IF(A396="""","""", COUNT(SPLIT(K396,"";"")))"),"")</f>
        <v/>
      </c>
      <c r="M396" s="84" t="str">
        <f t="shared" si="1"/>
        <v/>
      </c>
      <c r="N396" s="84" t="str">
        <f>IFERROR(__xludf.DUMMYFUNCTION("IFERROR(AVERAGE(query(INDIRECT(""'FR Table'!"" &amp; vlookup(rows($A$1:$A395),Reference!$O:$P,2,false) &amp; ""3:"" &amp; vlookup(rows($A$1:$A395),Reference!$O:$P,2,false)), 
""SELECT "" &amp; vlookup(rows($A$1:$A395),Reference!$O:$P,2,false) 
&amp; "" WHERE "" &amp; vlookup(row"&amp;"s($A$1:$A395),Reference!$O:$P,2,false) &amp;
"" &gt;= "" &amp; Reference!$R$2)) * M396,"""")"),"")</f>
        <v/>
      </c>
      <c r="O396" s="84" t="str">
        <f t="shared" si="2"/>
        <v/>
      </c>
    </row>
    <row r="397">
      <c r="A397" s="84"/>
      <c r="B397" s="84"/>
      <c r="C397" s="85"/>
      <c r="D397" s="86"/>
      <c r="E397" s="87"/>
      <c r="F397" s="86"/>
      <c r="G397" s="87"/>
      <c r="H397" s="86"/>
      <c r="I397" s="86"/>
      <c r="J397" s="86"/>
      <c r="K397" s="84"/>
      <c r="L397" s="84" t="str">
        <f>IFERROR(__xludf.DUMMYFUNCTION("IF(A397="""","""", COUNT(SPLIT(K397,"";"")))"),"")</f>
        <v/>
      </c>
      <c r="M397" s="84" t="str">
        <f t="shared" si="1"/>
        <v/>
      </c>
      <c r="N397" s="84" t="str">
        <f>IFERROR(__xludf.DUMMYFUNCTION("IFERROR(AVERAGE(query(INDIRECT(""'FR Table'!"" &amp; vlookup(rows($A$1:$A396),Reference!$O:$P,2,false) &amp; ""3:"" &amp; vlookup(rows($A$1:$A396),Reference!$O:$P,2,false)), 
""SELECT "" &amp; vlookup(rows($A$1:$A396),Reference!$O:$P,2,false) 
&amp; "" WHERE "" &amp; vlookup(row"&amp;"s($A$1:$A396),Reference!$O:$P,2,false) &amp;
"" &gt;= "" &amp; Reference!$R$2)) * M397,"""")"),"")</f>
        <v/>
      </c>
      <c r="O397" s="84" t="str">
        <f t="shared" si="2"/>
        <v/>
      </c>
    </row>
    <row r="398">
      <c r="A398" s="84"/>
      <c r="B398" s="84"/>
      <c r="C398" s="85"/>
      <c r="D398" s="86"/>
      <c r="E398" s="87"/>
      <c r="F398" s="86"/>
      <c r="G398" s="87"/>
      <c r="H398" s="86"/>
      <c r="I398" s="86"/>
      <c r="J398" s="86"/>
      <c r="K398" s="84"/>
      <c r="L398" s="84" t="str">
        <f>IFERROR(__xludf.DUMMYFUNCTION("IF(A398="""","""", COUNT(SPLIT(K398,"";"")))"),"")</f>
        <v/>
      </c>
      <c r="M398" s="84" t="str">
        <f t="shared" si="1"/>
        <v/>
      </c>
      <c r="N398" s="84" t="str">
        <f>IFERROR(__xludf.DUMMYFUNCTION("IFERROR(AVERAGE(query(INDIRECT(""'FR Table'!"" &amp; vlookup(rows($A$1:$A397),Reference!$O:$P,2,false) &amp; ""3:"" &amp; vlookup(rows($A$1:$A397),Reference!$O:$P,2,false)), 
""SELECT "" &amp; vlookup(rows($A$1:$A397),Reference!$O:$P,2,false) 
&amp; "" WHERE "" &amp; vlookup(row"&amp;"s($A$1:$A397),Reference!$O:$P,2,false) &amp;
"" &gt;= "" &amp; Reference!$R$2)) * M398,"""")"),"")</f>
        <v/>
      </c>
      <c r="O398" s="84" t="str">
        <f t="shared" si="2"/>
        <v/>
      </c>
    </row>
    <row r="399">
      <c r="A399" s="84"/>
      <c r="B399" s="84"/>
      <c r="C399" s="85"/>
      <c r="D399" s="86"/>
      <c r="E399" s="87"/>
      <c r="F399" s="86"/>
      <c r="G399" s="87"/>
      <c r="H399" s="86"/>
      <c r="I399" s="86"/>
      <c r="J399" s="86"/>
      <c r="K399" s="84"/>
      <c r="L399" s="84" t="str">
        <f>IFERROR(__xludf.DUMMYFUNCTION("IF(A399="""","""", COUNT(SPLIT(K399,"";"")))"),"")</f>
        <v/>
      </c>
      <c r="M399" s="84" t="str">
        <f t="shared" si="1"/>
        <v/>
      </c>
      <c r="N399" s="84" t="str">
        <f>IFERROR(__xludf.DUMMYFUNCTION("IFERROR(AVERAGE(query(INDIRECT(""'FR Table'!"" &amp; vlookup(rows($A$1:$A398),Reference!$O:$P,2,false) &amp; ""3:"" &amp; vlookup(rows($A$1:$A398),Reference!$O:$P,2,false)), 
""SELECT "" &amp; vlookup(rows($A$1:$A398),Reference!$O:$P,2,false) 
&amp; "" WHERE "" &amp; vlookup(row"&amp;"s($A$1:$A398),Reference!$O:$P,2,false) &amp;
"" &gt;= "" &amp; Reference!$R$2)) * M399,"""")"),"")</f>
        <v/>
      </c>
      <c r="O399" s="84" t="str">
        <f t="shared" si="2"/>
        <v/>
      </c>
    </row>
    <row r="400">
      <c r="A400" s="84"/>
      <c r="B400" s="84"/>
      <c r="C400" s="85"/>
      <c r="D400" s="86"/>
      <c r="E400" s="87"/>
      <c r="F400" s="86"/>
      <c r="G400" s="87"/>
      <c r="H400" s="86"/>
      <c r="I400" s="86"/>
      <c r="J400" s="86"/>
      <c r="K400" s="84"/>
      <c r="L400" s="84" t="str">
        <f>IFERROR(__xludf.DUMMYFUNCTION("IF(A400="""","""", COUNT(SPLIT(K400,"";"")))"),"")</f>
        <v/>
      </c>
      <c r="M400" s="84" t="str">
        <f t="shared" si="1"/>
        <v/>
      </c>
      <c r="N400" s="84" t="str">
        <f>IFERROR(__xludf.DUMMYFUNCTION("IFERROR(AVERAGE(query(INDIRECT(""'FR Table'!"" &amp; vlookup(rows($A$1:$A399),Reference!$O:$P,2,false) &amp; ""3:"" &amp; vlookup(rows($A$1:$A399),Reference!$O:$P,2,false)), 
""SELECT "" &amp; vlookup(rows($A$1:$A399),Reference!$O:$P,2,false) 
&amp; "" WHERE "" &amp; vlookup(row"&amp;"s($A$1:$A399),Reference!$O:$P,2,false) &amp;
"" &gt;= "" &amp; Reference!$R$2)) * M400,"""")"),"")</f>
        <v/>
      </c>
      <c r="O400" s="84" t="str">
        <f t="shared" si="2"/>
        <v/>
      </c>
    </row>
    <row r="401">
      <c r="A401" s="84"/>
      <c r="B401" s="84"/>
      <c r="C401" s="85"/>
      <c r="D401" s="86"/>
      <c r="E401" s="87"/>
      <c r="F401" s="86"/>
      <c r="G401" s="87"/>
      <c r="H401" s="86"/>
      <c r="I401" s="86"/>
      <c r="J401" s="86"/>
      <c r="K401" s="84"/>
      <c r="L401" s="84" t="str">
        <f>IFERROR(__xludf.DUMMYFUNCTION("IF(A401="""","""", COUNT(SPLIT(K401,"";"")))"),"")</f>
        <v/>
      </c>
      <c r="M401" s="84" t="str">
        <f t="shared" si="1"/>
        <v/>
      </c>
      <c r="N401" s="84" t="str">
        <f>IFERROR(__xludf.DUMMYFUNCTION("IFERROR(AVERAGE(query(INDIRECT(""'FR Table'!"" &amp; vlookup(rows($A$1:$A400),Reference!$O:$P,2,false) &amp; ""3:"" &amp; vlookup(rows($A$1:$A400),Reference!$O:$P,2,false)), 
""SELECT "" &amp; vlookup(rows($A$1:$A400),Reference!$O:$P,2,false) 
&amp; "" WHERE "" &amp; vlookup(row"&amp;"s($A$1:$A400),Reference!$O:$P,2,false) &amp;
"" &gt;= "" &amp; Reference!$R$2)) * M401,"""")"),"")</f>
        <v/>
      </c>
      <c r="O401" s="84" t="str">
        <f t="shared" si="2"/>
        <v/>
      </c>
    </row>
    <row r="402">
      <c r="A402" s="84"/>
      <c r="B402" s="84"/>
      <c r="C402" s="85"/>
      <c r="D402" s="86"/>
      <c r="E402" s="87"/>
      <c r="F402" s="86"/>
      <c r="G402" s="87"/>
      <c r="H402" s="86"/>
      <c r="I402" s="86"/>
      <c r="J402" s="86"/>
      <c r="K402" s="84"/>
      <c r="L402" s="84" t="str">
        <f>IFERROR(__xludf.DUMMYFUNCTION("IF(A402="""","""", COUNT(SPLIT(K402,"";"")))"),"")</f>
        <v/>
      </c>
      <c r="M402" s="84" t="str">
        <f t="shared" si="1"/>
        <v/>
      </c>
      <c r="N402" s="84" t="str">
        <f>IFERROR(__xludf.DUMMYFUNCTION("IFERROR(AVERAGE(query(INDIRECT(""'FR Table'!"" &amp; vlookup(rows($A$1:$A401),Reference!$O:$P,2,false) &amp; ""3:"" &amp; vlookup(rows($A$1:$A401),Reference!$O:$P,2,false)), 
""SELECT "" &amp; vlookup(rows($A$1:$A401),Reference!$O:$P,2,false) 
&amp; "" WHERE "" &amp; vlookup(row"&amp;"s($A$1:$A401),Reference!$O:$P,2,false) &amp;
"" &gt;= "" &amp; Reference!$R$2)) * M402,"""")"),"")</f>
        <v/>
      </c>
      <c r="O402" s="84" t="str">
        <f t="shared" si="2"/>
        <v/>
      </c>
    </row>
    <row r="403">
      <c r="A403" s="84"/>
      <c r="B403" s="84"/>
      <c r="C403" s="85"/>
      <c r="D403" s="86"/>
      <c r="E403" s="87"/>
      <c r="F403" s="86"/>
      <c r="G403" s="87"/>
      <c r="H403" s="86"/>
      <c r="I403" s="86"/>
      <c r="J403" s="86"/>
      <c r="K403" s="84"/>
      <c r="L403" s="84" t="str">
        <f>IFERROR(__xludf.DUMMYFUNCTION("IF(A403="""","""", COUNT(SPLIT(K403,"";"")))"),"")</f>
        <v/>
      </c>
      <c r="M403" s="84" t="str">
        <f t="shared" si="1"/>
        <v/>
      </c>
      <c r="N403" s="84" t="str">
        <f>IFERROR(__xludf.DUMMYFUNCTION("IFERROR(AVERAGE(query(INDIRECT(""'FR Table'!"" &amp; vlookup(rows($A$1:$A402),Reference!$O:$P,2,false) &amp; ""3:"" &amp; vlookup(rows($A$1:$A402),Reference!$O:$P,2,false)), 
""SELECT "" &amp; vlookup(rows($A$1:$A402),Reference!$O:$P,2,false) 
&amp; "" WHERE "" &amp; vlookup(row"&amp;"s($A$1:$A402),Reference!$O:$P,2,false) &amp;
"" &gt;= "" &amp; Reference!$R$2)) * M403,"""")"),"")</f>
        <v/>
      </c>
      <c r="O403" s="84" t="str">
        <f t="shared" si="2"/>
        <v/>
      </c>
    </row>
    <row r="404">
      <c r="A404" s="84"/>
      <c r="B404" s="84"/>
      <c r="C404" s="85"/>
      <c r="D404" s="86"/>
      <c r="E404" s="87"/>
      <c r="F404" s="86"/>
      <c r="G404" s="87"/>
      <c r="H404" s="86"/>
      <c r="I404" s="86"/>
      <c r="J404" s="86"/>
      <c r="K404" s="84"/>
      <c r="L404" s="84" t="str">
        <f>IFERROR(__xludf.DUMMYFUNCTION("IF(A404="""","""", COUNT(SPLIT(K404,"";"")))"),"")</f>
        <v/>
      </c>
      <c r="M404" s="84" t="str">
        <f t="shared" si="1"/>
        <v/>
      </c>
      <c r="N404" s="84" t="str">
        <f>IFERROR(__xludf.DUMMYFUNCTION("IFERROR(AVERAGE(query(INDIRECT(""'FR Table'!"" &amp; vlookup(rows($A$1:$A403),Reference!$O:$P,2,false) &amp; ""3:"" &amp; vlookup(rows($A$1:$A403),Reference!$O:$P,2,false)), 
""SELECT "" &amp; vlookup(rows($A$1:$A403),Reference!$O:$P,2,false) 
&amp; "" WHERE "" &amp; vlookup(row"&amp;"s($A$1:$A403),Reference!$O:$P,2,false) &amp;
"" &gt;= "" &amp; Reference!$R$2)) * M404,"""")"),"")</f>
        <v/>
      </c>
      <c r="O404" s="84" t="str">
        <f t="shared" si="2"/>
        <v/>
      </c>
    </row>
    <row r="405">
      <c r="A405" s="84"/>
      <c r="B405" s="84"/>
      <c r="C405" s="85"/>
      <c r="D405" s="86"/>
      <c r="E405" s="87"/>
      <c r="F405" s="86"/>
      <c r="G405" s="87"/>
      <c r="H405" s="86"/>
      <c r="I405" s="86"/>
      <c r="J405" s="86"/>
      <c r="K405" s="84"/>
      <c r="L405" s="84" t="str">
        <f>IFERROR(__xludf.DUMMYFUNCTION("IF(A405="""","""", COUNT(SPLIT(K405,"";"")))"),"")</f>
        <v/>
      </c>
      <c r="M405" s="84" t="str">
        <f t="shared" si="1"/>
        <v/>
      </c>
      <c r="N405" s="84" t="str">
        <f>IFERROR(__xludf.DUMMYFUNCTION("IFERROR(AVERAGE(query(INDIRECT(""'FR Table'!"" &amp; vlookup(rows($A$1:$A404),Reference!$O:$P,2,false) &amp; ""3:"" &amp; vlookup(rows($A$1:$A404),Reference!$O:$P,2,false)), 
""SELECT "" &amp; vlookup(rows($A$1:$A404),Reference!$O:$P,2,false) 
&amp; "" WHERE "" &amp; vlookup(row"&amp;"s($A$1:$A404),Reference!$O:$P,2,false) &amp;
"" &gt;= "" &amp; Reference!$R$2)) * M405,"""")"),"")</f>
        <v/>
      </c>
      <c r="O405" s="84" t="str">
        <f t="shared" si="2"/>
        <v/>
      </c>
    </row>
    <row r="406">
      <c r="A406" s="84"/>
      <c r="B406" s="84"/>
      <c r="C406" s="85"/>
      <c r="D406" s="86"/>
      <c r="E406" s="87"/>
      <c r="F406" s="86"/>
      <c r="G406" s="87"/>
      <c r="H406" s="86"/>
      <c r="I406" s="86"/>
      <c r="J406" s="86"/>
      <c r="K406" s="84"/>
      <c r="L406" s="84" t="str">
        <f>IFERROR(__xludf.DUMMYFUNCTION("IF(A406="""","""", COUNT(SPLIT(K406,"";"")))"),"")</f>
        <v/>
      </c>
      <c r="M406" s="84" t="str">
        <f t="shared" si="1"/>
        <v/>
      </c>
      <c r="N406" s="84" t="str">
        <f>IFERROR(__xludf.DUMMYFUNCTION("IFERROR(AVERAGE(query(INDIRECT(""'FR Table'!"" &amp; vlookup(rows($A$1:$A405),Reference!$O:$P,2,false) &amp; ""3:"" &amp; vlookup(rows($A$1:$A405),Reference!$O:$P,2,false)), 
""SELECT "" &amp; vlookup(rows($A$1:$A405),Reference!$O:$P,2,false) 
&amp; "" WHERE "" &amp; vlookup(row"&amp;"s($A$1:$A405),Reference!$O:$P,2,false) &amp;
"" &gt;= "" &amp; Reference!$R$2)) * M406,"""")"),"")</f>
        <v/>
      </c>
      <c r="O406" s="84" t="str">
        <f t="shared" si="2"/>
        <v/>
      </c>
    </row>
    <row r="407">
      <c r="A407" s="84"/>
      <c r="B407" s="84"/>
      <c r="C407" s="85"/>
      <c r="D407" s="86"/>
      <c r="E407" s="87"/>
      <c r="F407" s="86"/>
      <c r="G407" s="87"/>
      <c r="H407" s="86"/>
      <c r="I407" s="86"/>
      <c r="J407" s="86"/>
      <c r="K407" s="84"/>
      <c r="L407" s="84" t="str">
        <f>IFERROR(__xludf.DUMMYFUNCTION("IF(A407="""","""", COUNT(SPLIT(K407,"";"")))"),"")</f>
        <v/>
      </c>
      <c r="M407" s="84" t="str">
        <f t="shared" si="1"/>
        <v/>
      </c>
      <c r="N407" s="84" t="str">
        <f>IFERROR(__xludf.DUMMYFUNCTION("IFERROR(AVERAGE(query(INDIRECT(""'FR Table'!"" &amp; vlookup(rows($A$1:$A406),Reference!$O:$P,2,false) &amp; ""3:"" &amp; vlookup(rows($A$1:$A406),Reference!$O:$P,2,false)), 
""SELECT "" &amp; vlookup(rows($A$1:$A406),Reference!$O:$P,2,false) 
&amp; "" WHERE "" &amp; vlookup(row"&amp;"s($A$1:$A406),Reference!$O:$P,2,false) &amp;
"" &gt;= "" &amp; Reference!$R$2)) * M407,"""")"),"")</f>
        <v/>
      </c>
      <c r="O407" s="84" t="str">
        <f t="shared" si="2"/>
        <v/>
      </c>
    </row>
    <row r="408">
      <c r="A408" s="84"/>
      <c r="B408" s="84"/>
      <c r="C408" s="85"/>
      <c r="D408" s="86"/>
      <c r="E408" s="87"/>
      <c r="F408" s="86"/>
      <c r="G408" s="87"/>
      <c r="H408" s="86"/>
      <c r="I408" s="86"/>
      <c r="J408" s="86"/>
      <c r="K408" s="84"/>
      <c r="L408" s="84" t="str">
        <f>IFERROR(__xludf.DUMMYFUNCTION("IF(A408="""","""", COUNT(SPLIT(K408,"";"")))"),"")</f>
        <v/>
      </c>
      <c r="M408" s="84" t="str">
        <f t="shared" si="1"/>
        <v/>
      </c>
      <c r="N408" s="84" t="str">
        <f>IFERROR(__xludf.DUMMYFUNCTION("IFERROR(AVERAGE(query(INDIRECT(""'FR Table'!"" &amp; vlookup(rows($A$1:$A407),Reference!$O:$P,2,false) &amp; ""3:"" &amp; vlookup(rows($A$1:$A407),Reference!$O:$P,2,false)), 
""SELECT "" &amp; vlookup(rows($A$1:$A407),Reference!$O:$P,2,false) 
&amp; "" WHERE "" &amp; vlookup(row"&amp;"s($A$1:$A407),Reference!$O:$P,2,false) &amp;
"" &gt;= "" &amp; Reference!$R$2)) * M408,"""")"),"")</f>
        <v/>
      </c>
      <c r="O408" s="84" t="str">
        <f t="shared" si="2"/>
        <v/>
      </c>
    </row>
    <row r="409">
      <c r="A409" s="84"/>
      <c r="B409" s="84"/>
      <c r="C409" s="85"/>
      <c r="D409" s="86"/>
      <c r="E409" s="87"/>
      <c r="F409" s="86"/>
      <c r="G409" s="87"/>
      <c r="H409" s="86"/>
      <c r="I409" s="86"/>
      <c r="J409" s="86"/>
      <c r="K409" s="84"/>
      <c r="L409" s="84" t="str">
        <f>IFERROR(__xludf.DUMMYFUNCTION("IF(A409="""","""", COUNT(SPLIT(K409,"";"")))"),"")</f>
        <v/>
      </c>
      <c r="M409" s="84" t="str">
        <f t="shared" si="1"/>
        <v/>
      </c>
      <c r="N409" s="84" t="str">
        <f>IFERROR(__xludf.DUMMYFUNCTION("IFERROR(AVERAGE(query(INDIRECT(""'FR Table'!"" &amp; vlookup(rows($A$1:$A408),Reference!$O:$P,2,false) &amp; ""3:"" &amp; vlookup(rows($A$1:$A408),Reference!$O:$P,2,false)), 
""SELECT "" &amp; vlookup(rows($A$1:$A408),Reference!$O:$P,2,false) 
&amp; "" WHERE "" &amp; vlookup(row"&amp;"s($A$1:$A408),Reference!$O:$P,2,false) &amp;
"" &gt;= "" &amp; Reference!$R$2)) * M409,"""")"),"")</f>
        <v/>
      </c>
      <c r="O409" s="84" t="str">
        <f t="shared" si="2"/>
        <v/>
      </c>
    </row>
    <row r="410">
      <c r="A410" s="84"/>
      <c r="B410" s="84"/>
      <c r="C410" s="85"/>
      <c r="D410" s="86"/>
      <c r="E410" s="87"/>
      <c r="F410" s="86"/>
      <c r="G410" s="87"/>
      <c r="H410" s="86"/>
      <c r="I410" s="86"/>
      <c r="J410" s="86"/>
      <c r="K410" s="84"/>
      <c r="L410" s="84" t="str">
        <f>IFERROR(__xludf.DUMMYFUNCTION("IF(A410="""","""", COUNT(SPLIT(K410,"";"")))"),"")</f>
        <v/>
      </c>
      <c r="M410" s="84" t="str">
        <f t="shared" si="1"/>
        <v/>
      </c>
      <c r="N410" s="84" t="str">
        <f>IFERROR(__xludf.DUMMYFUNCTION("IFERROR(AVERAGE(query(INDIRECT(""'FR Table'!"" &amp; vlookup(rows($A$1:$A409),Reference!$O:$P,2,false) &amp; ""3:"" &amp; vlookup(rows($A$1:$A409),Reference!$O:$P,2,false)), 
""SELECT "" &amp; vlookup(rows($A$1:$A409),Reference!$O:$P,2,false) 
&amp; "" WHERE "" &amp; vlookup(row"&amp;"s($A$1:$A409),Reference!$O:$P,2,false) &amp;
"" &gt;= "" &amp; Reference!$R$2)) * M410,"""")"),"")</f>
        <v/>
      </c>
      <c r="O410" s="84" t="str">
        <f t="shared" si="2"/>
        <v/>
      </c>
    </row>
    <row r="411">
      <c r="A411" s="84"/>
      <c r="B411" s="84"/>
      <c r="C411" s="85"/>
      <c r="D411" s="86"/>
      <c r="E411" s="87"/>
      <c r="F411" s="86"/>
      <c r="G411" s="87"/>
      <c r="H411" s="86"/>
      <c r="I411" s="86"/>
      <c r="J411" s="86"/>
      <c r="K411" s="84"/>
      <c r="L411" s="84" t="str">
        <f>IFERROR(__xludf.DUMMYFUNCTION("IF(A411="""","""", COUNT(SPLIT(K411,"";"")))"),"")</f>
        <v/>
      </c>
      <c r="M411" s="84" t="str">
        <f t="shared" si="1"/>
        <v/>
      </c>
      <c r="N411" s="84" t="str">
        <f>IFERROR(__xludf.DUMMYFUNCTION("IFERROR(AVERAGE(query(INDIRECT(""'FR Table'!"" &amp; vlookup(rows($A$1:$A410),Reference!$O:$P,2,false) &amp; ""3:"" &amp; vlookup(rows($A$1:$A410),Reference!$O:$P,2,false)), 
""SELECT "" &amp; vlookup(rows($A$1:$A410),Reference!$O:$P,2,false) 
&amp; "" WHERE "" &amp; vlookup(row"&amp;"s($A$1:$A410),Reference!$O:$P,2,false) &amp;
"" &gt;= "" &amp; Reference!$R$2)) * M411,"""")"),"")</f>
        <v/>
      </c>
      <c r="O411" s="84" t="str">
        <f t="shared" si="2"/>
        <v/>
      </c>
    </row>
    <row r="412">
      <c r="A412" s="84"/>
      <c r="B412" s="84"/>
      <c r="C412" s="85"/>
      <c r="D412" s="86"/>
      <c r="E412" s="87"/>
      <c r="F412" s="86"/>
      <c r="G412" s="87"/>
      <c r="H412" s="86"/>
      <c r="I412" s="86"/>
      <c r="J412" s="86"/>
      <c r="K412" s="84"/>
      <c r="L412" s="84" t="str">
        <f>IFERROR(__xludf.DUMMYFUNCTION("IF(A412="""","""", COUNT(SPLIT(K412,"";"")))"),"")</f>
        <v/>
      </c>
      <c r="M412" s="84" t="str">
        <f t="shared" si="1"/>
        <v/>
      </c>
      <c r="N412" s="84" t="str">
        <f>IFERROR(__xludf.DUMMYFUNCTION("IFERROR(AVERAGE(query(INDIRECT(""'FR Table'!"" &amp; vlookup(rows($A$1:$A411),Reference!$O:$P,2,false) &amp; ""3:"" &amp; vlookup(rows($A$1:$A411),Reference!$O:$P,2,false)), 
""SELECT "" &amp; vlookup(rows($A$1:$A411),Reference!$O:$P,2,false) 
&amp; "" WHERE "" &amp; vlookup(row"&amp;"s($A$1:$A411),Reference!$O:$P,2,false) &amp;
"" &gt;= "" &amp; Reference!$R$2)) * M412,"""")"),"")</f>
        <v/>
      </c>
      <c r="O412" s="84" t="str">
        <f t="shared" si="2"/>
        <v/>
      </c>
    </row>
    <row r="413">
      <c r="A413" s="84"/>
      <c r="B413" s="84"/>
      <c r="C413" s="85"/>
      <c r="D413" s="86"/>
      <c r="E413" s="87"/>
      <c r="F413" s="86"/>
      <c r="G413" s="87"/>
      <c r="H413" s="86"/>
      <c r="I413" s="86"/>
      <c r="J413" s="86"/>
      <c r="K413" s="84"/>
      <c r="L413" s="84" t="str">
        <f>IFERROR(__xludf.DUMMYFUNCTION("IF(A413="""","""", COUNT(SPLIT(K413,"";"")))"),"")</f>
        <v/>
      </c>
      <c r="M413" s="84" t="str">
        <f t="shared" si="1"/>
        <v/>
      </c>
      <c r="N413" s="84" t="str">
        <f>IFERROR(__xludf.DUMMYFUNCTION("IFERROR(AVERAGE(query(INDIRECT(""'FR Table'!"" &amp; vlookup(rows($A$1:$A412),Reference!$O:$P,2,false) &amp; ""3:"" &amp; vlookup(rows($A$1:$A412),Reference!$O:$P,2,false)), 
""SELECT "" &amp; vlookup(rows($A$1:$A412),Reference!$O:$P,2,false) 
&amp; "" WHERE "" &amp; vlookup(row"&amp;"s($A$1:$A412),Reference!$O:$P,2,false) &amp;
"" &gt;= "" &amp; Reference!$R$2)) * M413,"""")"),"")</f>
        <v/>
      </c>
      <c r="O413" s="84" t="str">
        <f t="shared" si="2"/>
        <v/>
      </c>
    </row>
    <row r="414">
      <c r="A414" s="84"/>
      <c r="B414" s="84"/>
      <c r="C414" s="85"/>
      <c r="D414" s="86"/>
      <c r="E414" s="87"/>
      <c r="F414" s="86"/>
      <c r="G414" s="87"/>
      <c r="H414" s="86"/>
      <c r="I414" s="86"/>
      <c r="J414" s="86"/>
      <c r="K414" s="84"/>
      <c r="L414" s="84" t="str">
        <f>IFERROR(__xludf.DUMMYFUNCTION("IF(A414="""","""", COUNT(SPLIT(K414,"";"")))"),"")</f>
        <v/>
      </c>
      <c r="M414" s="84" t="str">
        <f t="shared" si="1"/>
        <v/>
      </c>
      <c r="N414" s="84" t="str">
        <f>IFERROR(__xludf.DUMMYFUNCTION("IFERROR(AVERAGE(query(INDIRECT(""'FR Table'!"" &amp; vlookup(rows($A$1:$A413),Reference!$O:$P,2,false) &amp; ""3:"" &amp; vlookup(rows($A$1:$A413),Reference!$O:$P,2,false)), 
""SELECT "" &amp; vlookup(rows($A$1:$A413),Reference!$O:$P,2,false) 
&amp; "" WHERE "" &amp; vlookup(row"&amp;"s($A$1:$A413),Reference!$O:$P,2,false) &amp;
"" &gt;= "" &amp; Reference!$R$2)) * M414,"""")"),"")</f>
        <v/>
      </c>
      <c r="O414" s="84" t="str">
        <f t="shared" si="2"/>
        <v/>
      </c>
    </row>
    <row r="415">
      <c r="A415" s="84"/>
      <c r="B415" s="84"/>
      <c r="C415" s="85"/>
      <c r="D415" s="86"/>
      <c r="E415" s="87"/>
      <c r="F415" s="86"/>
      <c r="G415" s="87"/>
      <c r="H415" s="86"/>
      <c r="I415" s="86"/>
      <c r="J415" s="86"/>
      <c r="K415" s="84"/>
      <c r="L415" s="84" t="str">
        <f>IFERROR(__xludf.DUMMYFUNCTION("IF(A415="""","""", COUNT(SPLIT(K415,"";"")))"),"")</f>
        <v/>
      </c>
      <c r="M415" s="84" t="str">
        <f t="shared" si="1"/>
        <v/>
      </c>
      <c r="N415" s="84" t="str">
        <f>IFERROR(__xludf.DUMMYFUNCTION("IFERROR(AVERAGE(query(INDIRECT(""'FR Table'!"" &amp; vlookup(rows($A$1:$A414),Reference!$O:$P,2,false) &amp; ""3:"" &amp; vlookup(rows($A$1:$A414),Reference!$O:$P,2,false)), 
""SELECT "" &amp; vlookup(rows($A$1:$A414),Reference!$O:$P,2,false) 
&amp; "" WHERE "" &amp; vlookup(row"&amp;"s($A$1:$A414),Reference!$O:$P,2,false) &amp;
"" &gt;= "" &amp; Reference!$R$2)) * M415,"""")"),"")</f>
        <v/>
      </c>
      <c r="O415" s="84" t="str">
        <f t="shared" si="2"/>
        <v/>
      </c>
    </row>
    <row r="416">
      <c r="A416" s="84"/>
      <c r="B416" s="84"/>
      <c r="C416" s="85"/>
      <c r="D416" s="86"/>
      <c r="E416" s="87"/>
      <c r="F416" s="86"/>
      <c r="G416" s="87"/>
      <c r="H416" s="86"/>
      <c r="I416" s="86"/>
      <c r="J416" s="86"/>
      <c r="K416" s="84"/>
      <c r="L416" s="84" t="str">
        <f>IFERROR(__xludf.DUMMYFUNCTION("IF(A416="""","""", COUNT(SPLIT(K416,"";"")))"),"")</f>
        <v/>
      </c>
      <c r="M416" s="84" t="str">
        <f t="shared" si="1"/>
        <v/>
      </c>
      <c r="N416" s="84" t="str">
        <f>IFERROR(__xludf.DUMMYFUNCTION("IFERROR(AVERAGE(query(INDIRECT(""'FR Table'!"" &amp; vlookup(rows($A$1:$A415),Reference!$O:$P,2,false) &amp; ""3:"" &amp; vlookup(rows($A$1:$A415),Reference!$O:$P,2,false)), 
""SELECT "" &amp; vlookup(rows($A$1:$A415),Reference!$O:$P,2,false) 
&amp; "" WHERE "" &amp; vlookup(row"&amp;"s($A$1:$A415),Reference!$O:$P,2,false) &amp;
"" &gt;= "" &amp; Reference!$R$2)) * M416,"""")"),"")</f>
        <v/>
      </c>
      <c r="O416" s="84" t="str">
        <f t="shared" si="2"/>
        <v/>
      </c>
    </row>
    <row r="417">
      <c r="A417" s="84"/>
      <c r="B417" s="84"/>
      <c r="C417" s="85"/>
      <c r="D417" s="86"/>
      <c r="E417" s="87"/>
      <c r="F417" s="86"/>
      <c r="G417" s="87"/>
      <c r="H417" s="86"/>
      <c r="I417" s="86"/>
      <c r="J417" s="86"/>
      <c r="K417" s="84"/>
      <c r="L417" s="84" t="str">
        <f>IFERROR(__xludf.DUMMYFUNCTION("IF(A417="""","""", COUNT(SPLIT(K417,"";"")))"),"")</f>
        <v/>
      </c>
      <c r="M417" s="84" t="str">
        <f t="shared" si="1"/>
        <v/>
      </c>
      <c r="N417" s="84" t="str">
        <f>IFERROR(__xludf.DUMMYFUNCTION("IFERROR(AVERAGE(query(INDIRECT(""'FR Table'!"" &amp; vlookup(rows($A$1:$A416),Reference!$O:$P,2,false) &amp; ""3:"" &amp; vlookup(rows($A$1:$A416),Reference!$O:$P,2,false)), 
""SELECT "" &amp; vlookup(rows($A$1:$A416),Reference!$O:$P,2,false) 
&amp; "" WHERE "" &amp; vlookup(row"&amp;"s($A$1:$A416),Reference!$O:$P,2,false) &amp;
"" &gt;= "" &amp; Reference!$R$2)) * M417,"""")"),"")</f>
        <v/>
      </c>
      <c r="O417" s="84" t="str">
        <f t="shared" si="2"/>
        <v/>
      </c>
    </row>
    <row r="418">
      <c r="A418" s="84"/>
      <c r="B418" s="84"/>
      <c r="C418" s="85"/>
      <c r="D418" s="86"/>
      <c r="E418" s="87"/>
      <c r="F418" s="86"/>
      <c r="G418" s="87"/>
      <c r="H418" s="86"/>
      <c r="I418" s="86"/>
      <c r="J418" s="86"/>
      <c r="K418" s="84"/>
      <c r="L418" s="84" t="str">
        <f>IFERROR(__xludf.DUMMYFUNCTION("IF(A418="""","""", COUNT(SPLIT(K418,"";"")))"),"")</f>
        <v/>
      </c>
      <c r="M418" s="84" t="str">
        <f t="shared" si="1"/>
        <v/>
      </c>
      <c r="N418" s="84" t="str">
        <f>IFERROR(__xludf.DUMMYFUNCTION("IFERROR(AVERAGE(query(INDIRECT(""'FR Table'!"" &amp; vlookup(rows($A$1:$A417),Reference!$O:$P,2,false) &amp; ""3:"" &amp; vlookup(rows($A$1:$A417),Reference!$O:$P,2,false)), 
""SELECT "" &amp; vlookup(rows($A$1:$A417),Reference!$O:$P,2,false) 
&amp; "" WHERE "" &amp; vlookup(row"&amp;"s($A$1:$A417),Reference!$O:$P,2,false) &amp;
"" &gt;= "" &amp; Reference!$R$2)) * M418,"""")"),"")</f>
        <v/>
      </c>
      <c r="O418" s="84" t="str">
        <f t="shared" si="2"/>
        <v/>
      </c>
    </row>
    <row r="419">
      <c r="A419" s="84"/>
      <c r="B419" s="84"/>
      <c r="C419" s="85"/>
      <c r="D419" s="86"/>
      <c r="E419" s="87"/>
      <c r="F419" s="86"/>
      <c r="G419" s="87"/>
      <c r="H419" s="86"/>
      <c r="I419" s="86"/>
      <c r="J419" s="86"/>
      <c r="K419" s="84"/>
      <c r="L419" s="84" t="str">
        <f>IFERROR(__xludf.DUMMYFUNCTION("IF(A419="""","""", COUNT(SPLIT(K419,"";"")))"),"")</f>
        <v/>
      </c>
      <c r="M419" s="84" t="str">
        <f t="shared" si="1"/>
        <v/>
      </c>
      <c r="N419" s="84" t="str">
        <f>IFERROR(__xludf.DUMMYFUNCTION("IFERROR(AVERAGE(query(INDIRECT(""'FR Table'!"" &amp; vlookup(rows($A$1:$A418),Reference!$O:$P,2,false) &amp; ""3:"" &amp; vlookup(rows($A$1:$A418),Reference!$O:$P,2,false)), 
""SELECT "" &amp; vlookup(rows($A$1:$A418),Reference!$O:$P,2,false) 
&amp; "" WHERE "" &amp; vlookup(row"&amp;"s($A$1:$A418),Reference!$O:$P,2,false) &amp;
"" &gt;= "" &amp; Reference!$R$2)) * M419,"""")"),"")</f>
        <v/>
      </c>
      <c r="O419" s="84" t="str">
        <f t="shared" si="2"/>
        <v/>
      </c>
    </row>
    <row r="420">
      <c r="A420" s="84"/>
      <c r="B420" s="84"/>
      <c r="C420" s="85"/>
      <c r="D420" s="86"/>
      <c r="E420" s="87"/>
      <c r="F420" s="86"/>
      <c r="G420" s="87"/>
      <c r="H420" s="86"/>
      <c r="I420" s="86"/>
      <c r="J420" s="86"/>
      <c r="K420" s="84"/>
      <c r="L420" s="84" t="str">
        <f>IFERROR(__xludf.DUMMYFUNCTION("IF(A420="""","""", COUNT(SPLIT(K420,"";"")))"),"")</f>
        <v/>
      </c>
      <c r="M420" s="84" t="str">
        <f t="shared" si="1"/>
        <v/>
      </c>
      <c r="N420" s="84" t="str">
        <f>IFERROR(__xludf.DUMMYFUNCTION("IFERROR(AVERAGE(query(INDIRECT(""'FR Table'!"" &amp; vlookup(rows($A$1:$A419),Reference!$O:$P,2,false) &amp; ""3:"" &amp; vlookup(rows($A$1:$A419),Reference!$O:$P,2,false)), 
""SELECT "" &amp; vlookup(rows($A$1:$A419),Reference!$O:$P,2,false) 
&amp; "" WHERE "" &amp; vlookup(row"&amp;"s($A$1:$A419),Reference!$O:$P,2,false) &amp;
"" &gt;= "" &amp; Reference!$R$2)) * M420,"""")"),"")</f>
        <v/>
      </c>
      <c r="O420" s="84" t="str">
        <f t="shared" si="2"/>
        <v/>
      </c>
    </row>
    <row r="421">
      <c r="A421" s="84"/>
      <c r="B421" s="84"/>
      <c r="C421" s="85"/>
      <c r="D421" s="86"/>
      <c r="E421" s="87"/>
      <c r="F421" s="86"/>
      <c r="G421" s="87"/>
      <c r="H421" s="86"/>
      <c r="I421" s="86"/>
      <c r="J421" s="86"/>
      <c r="K421" s="84"/>
      <c r="L421" s="84" t="str">
        <f>IFERROR(__xludf.DUMMYFUNCTION("IF(A421="""","""", COUNT(SPLIT(K421,"";"")))"),"")</f>
        <v/>
      </c>
      <c r="M421" s="84" t="str">
        <f t="shared" si="1"/>
        <v/>
      </c>
      <c r="N421" s="84" t="str">
        <f>IFERROR(__xludf.DUMMYFUNCTION("IFERROR(AVERAGE(query(INDIRECT(""'FR Table'!"" &amp; vlookup(rows($A$1:$A420),Reference!$O:$P,2,false) &amp; ""3:"" &amp; vlookup(rows($A$1:$A420),Reference!$O:$P,2,false)), 
""SELECT "" &amp; vlookup(rows($A$1:$A420),Reference!$O:$P,2,false) 
&amp; "" WHERE "" &amp; vlookup(row"&amp;"s($A$1:$A420),Reference!$O:$P,2,false) &amp;
"" &gt;= "" &amp; Reference!$R$2)) * M421,"""")"),"")</f>
        <v/>
      </c>
      <c r="O421" s="84" t="str">
        <f t="shared" si="2"/>
        <v/>
      </c>
    </row>
    <row r="422">
      <c r="A422" s="84"/>
      <c r="B422" s="84"/>
      <c r="C422" s="85"/>
      <c r="D422" s="86"/>
      <c r="E422" s="87"/>
      <c r="F422" s="86"/>
      <c r="G422" s="87"/>
      <c r="H422" s="86"/>
      <c r="I422" s="86"/>
      <c r="J422" s="86"/>
      <c r="K422" s="84"/>
      <c r="L422" s="84" t="str">
        <f>IFERROR(__xludf.DUMMYFUNCTION("IF(A422="""","""", COUNT(SPLIT(K422,"";"")))"),"")</f>
        <v/>
      </c>
      <c r="M422" s="84" t="str">
        <f t="shared" si="1"/>
        <v/>
      </c>
      <c r="N422" s="84" t="str">
        <f>IFERROR(__xludf.DUMMYFUNCTION("IFERROR(AVERAGE(query(INDIRECT(""'FR Table'!"" &amp; vlookup(rows($A$1:$A421),Reference!$O:$P,2,false) &amp; ""3:"" &amp; vlookup(rows($A$1:$A421),Reference!$O:$P,2,false)), 
""SELECT "" &amp; vlookup(rows($A$1:$A421),Reference!$O:$P,2,false) 
&amp; "" WHERE "" &amp; vlookup(row"&amp;"s($A$1:$A421),Reference!$O:$P,2,false) &amp;
"" &gt;= "" &amp; Reference!$R$2)) * M422,"""")"),"")</f>
        <v/>
      </c>
      <c r="O422" s="84" t="str">
        <f t="shared" si="2"/>
        <v/>
      </c>
    </row>
    <row r="423">
      <c r="A423" s="84"/>
      <c r="B423" s="84"/>
      <c r="C423" s="85"/>
      <c r="D423" s="86"/>
      <c r="E423" s="87"/>
      <c r="F423" s="86"/>
      <c r="G423" s="87"/>
      <c r="H423" s="86"/>
      <c r="I423" s="86"/>
      <c r="J423" s="86"/>
      <c r="K423" s="84"/>
      <c r="L423" s="84" t="str">
        <f>IFERROR(__xludf.DUMMYFUNCTION("IF(A423="""","""", COUNT(SPLIT(K423,"";"")))"),"")</f>
        <v/>
      </c>
      <c r="M423" s="84" t="str">
        <f t="shared" si="1"/>
        <v/>
      </c>
      <c r="N423" s="84" t="str">
        <f>IFERROR(__xludf.DUMMYFUNCTION("IFERROR(AVERAGE(query(INDIRECT(""'FR Table'!"" &amp; vlookup(rows($A$1:$A422),Reference!$O:$P,2,false) &amp; ""3:"" &amp; vlookup(rows($A$1:$A422),Reference!$O:$P,2,false)), 
""SELECT "" &amp; vlookup(rows($A$1:$A422),Reference!$O:$P,2,false) 
&amp; "" WHERE "" &amp; vlookup(row"&amp;"s($A$1:$A422),Reference!$O:$P,2,false) &amp;
"" &gt;= "" &amp; Reference!$R$2)) * M423,"""")"),"")</f>
        <v/>
      </c>
      <c r="O423" s="84" t="str">
        <f t="shared" si="2"/>
        <v/>
      </c>
    </row>
    <row r="424">
      <c r="A424" s="84"/>
      <c r="B424" s="84"/>
      <c r="C424" s="85"/>
      <c r="D424" s="86"/>
      <c r="E424" s="87"/>
      <c r="F424" s="86"/>
      <c r="G424" s="87"/>
      <c r="H424" s="86"/>
      <c r="I424" s="86"/>
      <c r="J424" s="86"/>
      <c r="K424" s="84"/>
      <c r="L424" s="84" t="str">
        <f>IFERROR(__xludf.DUMMYFUNCTION("IF(A424="""","""", COUNT(SPLIT(K424,"";"")))"),"")</f>
        <v/>
      </c>
      <c r="M424" s="84" t="str">
        <f t="shared" si="1"/>
        <v/>
      </c>
      <c r="N424" s="84" t="str">
        <f>IFERROR(__xludf.DUMMYFUNCTION("IFERROR(AVERAGE(query(INDIRECT(""'FR Table'!"" &amp; vlookup(rows($A$1:$A423),Reference!$O:$P,2,false) &amp; ""3:"" &amp; vlookup(rows($A$1:$A423),Reference!$O:$P,2,false)), 
""SELECT "" &amp; vlookup(rows($A$1:$A423),Reference!$O:$P,2,false) 
&amp; "" WHERE "" &amp; vlookup(row"&amp;"s($A$1:$A423),Reference!$O:$P,2,false) &amp;
"" &gt;= "" &amp; Reference!$R$2)) * M424,"""")"),"")</f>
        <v/>
      </c>
      <c r="O424" s="84" t="str">
        <f t="shared" si="2"/>
        <v/>
      </c>
    </row>
    <row r="425">
      <c r="A425" s="84"/>
      <c r="B425" s="84"/>
      <c r="C425" s="85"/>
      <c r="D425" s="86"/>
      <c r="E425" s="87"/>
      <c r="F425" s="86"/>
      <c r="G425" s="87"/>
      <c r="H425" s="86"/>
      <c r="I425" s="86"/>
      <c r="J425" s="86"/>
      <c r="K425" s="84"/>
      <c r="L425" s="84" t="str">
        <f>IFERROR(__xludf.DUMMYFUNCTION("IF(A425="""","""", COUNT(SPLIT(K425,"";"")))"),"")</f>
        <v/>
      </c>
      <c r="M425" s="84" t="str">
        <f t="shared" si="1"/>
        <v/>
      </c>
      <c r="N425" s="84" t="str">
        <f>IFERROR(__xludf.DUMMYFUNCTION("IFERROR(AVERAGE(query(INDIRECT(""'FR Table'!"" &amp; vlookup(rows($A$1:$A424),Reference!$O:$P,2,false) &amp; ""3:"" &amp; vlookup(rows($A$1:$A424),Reference!$O:$P,2,false)), 
""SELECT "" &amp; vlookup(rows($A$1:$A424),Reference!$O:$P,2,false) 
&amp; "" WHERE "" &amp; vlookup(row"&amp;"s($A$1:$A424),Reference!$O:$P,2,false) &amp;
"" &gt;= "" &amp; Reference!$R$2)) * M425,"""")"),"")</f>
        <v/>
      </c>
      <c r="O425" s="84" t="str">
        <f t="shared" si="2"/>
        <v/>
      </c>
    </row>
    <row r="426">
      <c r="A426" s="84"/>
      <c r="B426" s="84"/>
      <c r="C426" s="85"/>
      <c r="D426" s="86"/>
      <c r="E426" s="87"/>
      <c r="F426" s="86"/>
      <c r="G426" s="87"/>
      <c r="H426" s="86"/>
      <c r="I426" s="86"/>
      <c r="J426" s="86"/>
      <c r="K426" s="84"/>
      <c r="L426" s="84" t="str">
        <f>IFERROR(__xludf.DUMMYFUNCTION("IF(A426="""","""", COUNT(SPLIT(K426,"";"")))"),"")</f>
        <v/>
      </c>
      <c r="M426" s="84" t="str">
        <f t="shared" si="1"/>
        <v/>
      </c>
      <c r="N426" s="84" t="str">
        <f>IFERROR(__xludf.DUMMYFUNCTION("IFERROR(AVERAGE(query(INDIRECT(""'FR Table'!"" &amp; vlookup(rows($A$1:$A425),Reference!$O:$P,2,false) &amp; ""3:"" &amp; vlookup(rows($A$1:$A425),Reference!$O:$P,2,false)), 
""SELECT "" &amp; vlookup(rows($A$1:$A425),Reference!$O:$P,2,false) 
&amp; "" WHERE "" &amp; vlookup(row"&amp;"s($A$1:$A425),Reference!$O:$P,2,false) &amp;
"" &gt;= "" &amp; Reference!$R$2)) * M426,"""")"),"")</f>
        <v/>
      </c>
      <c r="O426" s="84" t="str">
        <f t="shared" si="2"/>
        <v/>
      </c>
    </row>
    <row r="427">
      <c r="A427" s="84"/>
      <c r="B427" s="84"/>
      <c r="C427" s="85"/>
      <c r="D427" s="86"/>
      <c r="E427" s="87"/>
      <c r="F427" s="86"/>
      <c r="G427" s="87"/>
      <c r="H427" s="86"/>
      <c r="I427" s="86"/>
      <c r="J427" s="86"/>
      <c r="K427" s="84"/>
      <c r="L427" s="84" t="str">
        <f>IFERROR(__xludf.DUMMYFUNCTION("IF(A427="""","""", COUNT(SPLIT(K427,"";"")))"),"")</f>
        <v/>
      </c>
      <c r="M427" s="84" t="str">
        <f t="shared" si="1"/>
        <v/>
      </c>
      <c r="N427" s="84" t="str">
        <f>IFERROR(__xludf.DUMMYFUNCTION("IFERROR(AVERAGE(query(INDIRECT(""'FR Table'!"" &amp; vlookup(rows($A$1:$A426),Reference!$O:$P,2,false) &amp; ""3:"" &amp; vlookup(rows($A$1:$A426),Reference!$O:$P,2,false)), 
""SELECT "" &amp; vlookup(rows($A$1:$A426),Reference!$O:$P,2,false) 
&amp; "" WHERE "" &amp; vlookup(row"&amp;"s($A$1:$A426),Reference!$O:$P,2,false) &amp;
"" &gt;= "" &amp; Reference!$R$2)) * M427,"""")"),"")</f>
        <v/>
      </c>
      <c r="O427" s="84" t="str">
        <f t="shared" si="2"/>
        <v/>
      </c>
    </row>
    <row r="428">
      <c r="A428" s="84"/>
      <c r="B428" s="84"/>
      <c r="C428" s="85"/>
      <c r="D428" s="86"/>
      <c r="E428" s="87"/>
      <c r="F428" s="86"/>
      <c r="G428" s="87"/>
      <c r="H428" s="86"/>
      <c r="I428" s="86"/>
      <c r="J428" s="86"/>
      <c r="K428" s="84"/>
      <c r="L428" s="84" t="str">
        <f>IFERROR(__xludf.DUMMYFUNCTION("IF(A428="""","""", COUNT(SPLIT(K428,"";"")))"),"")</f>
        <v/>
      </c>
      <c r="M428" s="84" t="str">
        <f t="shared" si="1"/>
        <v/>
      </c>
      <c r="N428" s="84" t="str">
        <f>IFERROR(__xludf.DUMMYFUNCTION("IFERROR(AVERAGE(query(INDIRECT(""'FR Table'!"" &amp; vlookup(rows($A$1:$A427),Reference!$O:$P,2,false) &amp; ""3:"" &amp; vlookup(rows($A$1:$A427),Reference!$O:$P,2,false)), 
""SELECT "" &amp; vlookup(rows($A$1:$A427),Reference!$O:$P,2,false) 
&amp; "" WHERE "" &amp; vlookup(row"&amp;"s($A$1:$A427),Reference!$O:$P,2,false) &amp;
"" &gt;= "" &amp; Reference!$R$2)) * M428,"""")"),"")</f>
        <v/>
      </c>
      <c r="O428" s="84" t="str">
        <f t="shared" si="2"/>
        <v/>
      </c>
    </row>
    <row r="429">
      <c r="A429" s="84"/>
      <c r="B429" s="84"/>
      <c r="C429" s="85"/>
      <c r="D429" s="86"/>
      <c r="E429" s="87"/>
      <c r="F429" s="86"/>
      <c r="G429" s="87"/>
      <c r="H429" s="86"/>
      <c r="I429" s="86"/>
      <c r="J429" s="86"/>
      <c r="K429" s="84"/>
      <c r="L429" s="84" t="str">
        <f>IFERROR(__xludf.DUMMYFUNCTION("IF(A429="""","""", COUNT(SPLIT(K429,"";"")))"),"")</f>
        <v/>
      </c>
      <c r="M429" s="84" t="str">
        <f t="shared" si="1"/>
        <v/>
      </c>
      <c r="N429" s="84" t="str">
        <f>IFERROR(__xludf.DUMMYFUNCTION("IFERROR(AVERAGE(query(INDIRECT(""'FR Table'!"" &amp; vlookup(rows($A$1:$A428),Reference!$O:$P,2,false) &amp; ""3:"" &amp; vlookup(rows($A$1:$A428),Reference!$O:$P,2,false)), 
""SELECT "" &amp; vlookup(rows($A$1:$A428),Reference!$O:$P,2,false) 
&amp; "" WHERE "" &amp; vlookup(row"&amp;"s($A$1:$A428),Reference!$O:$P,2,false) &amp;
"" &gt;= "" &amp; Reference!$R$2)) * M429,"""")"),"")</f>
        <v/>
      </c>
      <c r="O429" s="84" t="str">
        <f t="shared" si="2"/>
        <v/>
      </c>
    </row>
    <row r="430">
      <c r="A430" s="84"/>
      <c r="B430" s="84"/>
      <c r="C430" s="85"/>
      <c r="D430" s="86"/>
      <c r="E430" s="87"/>
      <c r="F430" s="86"/>
      <c r="G430" s="87"/>
      <c r="H430" s="86"/>
      <c r="I430" s="86"/>
      <c r="J430" s="86"/>
      <c r="K430" s="84"/>
      <c r="L430" s="84" t="str">
        <f>IFERROR(__xludf.DUMMYFUNCTION("IF(A430="""","""", COUNT(SPLIT(K430,"";"")))"),"")</f>
        <v/>
      </c>
      <c r="M430" s="84" t="str">
        <f t="shared" si="1"/>
        <v/>
      </c>
      <c r="N430" s="84" t="str">
        <f>IFERROR(__xludf.DUMMYFUNCTION("IFERROR(AVERAGE(query(INDIRECT(""'FR Table'!"" &amp; vlookup(rows($A$1:$A429),Reference!$O:$P,2,false) &amp; ""3:"" &amp; vlookup(rows($A$1:$A429),Reference!$O:$P,2,false)), 
""SELECT "" &amp; vlookup(rows($A$1:$A429),Reference!$O:$P,2,false) 
&amp; "" WHERE "" &amp; vlookup(row"&amp;"s($A$1:$A429),Reference!$O:$P,2,false) &amp;
"" &gt;= "" &amp; Reference!$R$2)) * M430,"""")"),"")</f>
        <v/>
      </c>
      <c r="O430" s="84" t="str">
        <f t="shared" si="2"/>
        <v/>
      </c>
    </row>
    <row r="431">
      <c r="A431" s="84"/>
      <c r="B431" s="84"/>
      <c r="C431" s="85"/>
      <c r="D431" s="86"/>
      <c r="E431" s="87"/>
      <c r="F431" s="86"/>
      <c r="G431" s="87"/>
      <c r="H431" s="86"/>
      <c r="I431" s="86"/>
      <c r="J431" s="86"/>
      <c r="K431" s="84"/>
      <c r="L431" s="84" t="str">
        <f>IFERROR(__xludf.DUMMYFUNCTION("IF(A431="""","""", COUNT(SPLIT(K431,"";"")))"),"")</f>
        <v/>
      </c>
      <c r="M431" s="84" t="str">
        <f t="shared" si="1"/>
        <v/>
      </c>
      <c r="N431" s="84" t="str">
        <f>IFERROR(__xludf.DUMMYFUNCTION("IFERROR(AVERAGE(query(INDIRECT(""'FR Table'!"" &amp; vlookup(rows($A$1:$A430),Reference!$O:$P,2,false) &amp; ""3:"" &amp; vlookup(rows($A$1:$A430),Reference!$O:$P,2,false)), 
""SELECT "" &amp; vlookup(rows($A$1:$A430),Reference!$O:$P,2,false) 
&amp; "" WHERE "" &amp; vlookup(row"&amp;"s($A$1:$A430),Reference!$O:$P,2,false) &amp;
"" &gt;= "" &amp; Reference!$R$2)) * M431,"""")"),"")</f>
        <v/>
      </c>
      <c r="O431" s="84" t="str">
        <f t="shared" si="2"/>
        <v/>
      </c>
    </row>
    <row r="432">
      <c r="A432" s="84"/>
      <c r="B432" s="84"/>
      <c r="C432" s="85"/>
      <c r="D432" s="86"/>
      <c r="E432" s="87"/>
      <c r="F432" s="86"/>
      <c r="G432" s="87"/>
      <c r="H432" s="86"/>
      <c r="I432" s="86"/>
      <c r="J432" s="86"/>
      <c r="K432" s="84"/>
      <c r="L432" s="84" t="str">
        <f>IFERROR(__xludf.DUMMYFUNCTION("IF(A432="""","""", COUNT(SPLIT(K432,"";"")))"),"")</f>
        <v/>
      </c>
      <c r="M432" s="84" t="str">
        <f t="shared" si="1"/>
        <v/>
      </c>
      <c r="N432" s="84" t="str">
        <f>IFERROR(__xludf.DUMMYFUNCTION("IFERROR(AVERAGE(query(INDIRECT(""'FR Table'!"" &amp; vlookup(rows($A$1:$A431),Reference!$O:$P,2,false) &amp; ""3:"" &amp; vlookup(rows($A$1:$A431),Reference!$O:$P,2,false)), 
""SELECT "" &amp; vlookup(rows($A$1:$A431),Reference!$O:$P,2,false) 
&amp; "" WHERE "" &amp; vlookup(row"&amp;"s($A$1:$A431),Reference!$O:$P,2,false) &amp;
"" &gt;= "" &amp; Reference!$R$2)) * M432,"""")"),"")</f>
        <v/>
      </c>
      <c r="O432" s="84" t="str">
        <f t="shared" si="2"/>
        <v/>
      </c>
    </row>
    <row r="433">
      <c r="A433" s="84"/>
      <c r="B433" s="84"/>
      <c r="C433" s="85"/>
      <c r="D433" s="86"/>
      <c r="E433" s="87"/>
      <c r="F433" s="86"/>
      <c r="G433" s="87"/>
      <c r="H433" s="86"/>
      <c r="I433" s="86"/>
      <c r="J433" s="86"/>
      <c r="K433" s="84"/>
      <c r="L433" s="84" t="str">
        <f>IFERROR(__xludf.DUMMYFUNCTION("IF(A433="""","""", COUNT(SPLIT(K433,"";"")))"),"")</f>
        <v/>
      </c>
      <c r="M433" s="84" t="str">
        <f t="shared" si="1"/>
        <v/>
      </c>
      <c r="N433" s="84" t="str">
        <f>IFERROR(__xludf.DUMMYFUNCTION("IFERROR(AVERAGE(query(INDIRECT(""'FR Table'!"" &amp; vlookup(rows($A$1:$A432),Reference!$O:$P,2,false) &amp; ""3:"" &amp; vlookup(rows($A$1:$A432),Reference!$O:$P,2,false)), 
""SELECT "" &amp; vlookup(rows($A$1:$A432),Reference!$O:$P,2,false) 
&amp; "" WHERE "" &amp; vlookup(row"&amp;"s($A$1:$A432),Reference!$O:$P,2,false) &amp;
"" &gt;= "" &amp; Reference!$R$2)) * M433,"""")"),"")</f>
        <v/>
      </c>
      <c r="O433" s="84" t="str">
        <f t="shared" si="2"/>
        <v/>
      </c>
    </row>
    <row r="434">
      <c r="A434" s="84"/>
      <c r="B434" s="84"/>
      <c r="C434" s="85"/>
      <c r="D434" s="86"/>
      <c r="E434" s="87"/>
      <c r="F434" s="86"/>
      <c r="G434" s="87"/>
      <c r="H434" s="86"/>
      <c r="I434" s="86"/>
      <c r="J434" s="86"/>
      <c r="K434" s="84"/>
      <c r="L434" s="84" t="str">
        <f>IFERROR(__xludf.DUMMYFUNCTION("IF(A434="""","""", COUNT(SPLIT(K434,"";"")))"),"")</f>
        <v/>
      </c>
      <c r="M434" s="84" t="str">
        <f t="shared" si="1"/>
        <v/>
      </c>
      <c r="N434" s="84" t="str">
        <f>IFERROR(__xludf.DUMMYFUNCTION("IFERROR(AVERAGE(query(INDIRECT(""'FR Table'!"" &amp; vlookup(rows($A$1:$A433),Reference!$O:$P,2,false) &amp; ""3:"" &amp; vlookup(rows($A$1:$A433),Reference!$O:$P,2,false)), 
""SELECT "" &amp; vlookup(rows($A$1:$A433),Reference!$O:$P,2,false) 
&amp; "" WHERE "" &amp; vlookup(row"&amp;"s($A$1:$A433),Reference!$O:$P,2,false) &amp;
"" &gt;= "" &amp; Reference!$R$2)) * M434,"""")"),"")</f>
        <v/>
      </c>
      <c r="O434" s="84" t="str">
        <f t="shared" si="2"/>
        <v/>
      </c>
    </row>
    <row r="435">
      <c r="A435" s="84"/>
      <c r="B435" s="84"/>
      <c r="C435" s="85"/>
      <c r="D435" s="86"/>
      <c r="E435" s="87"/>
      <c r="F435" s="86"/>
      <c r="G435" s="87"/>
      <c r="H435" s="86"/>
      <c r="I435" s="86"/>
      <c r="J435" s="86"/>
      <c r="K435" s="84"/>
      <c r="L435" s="84" t="str">
        <f>IFERROR(__xludf.DUMMYFUNCTION("IF(A435="""","""", COUNT(SPLIT(K435,"";"")))"),"")</f>
        <v/>
      </c>
      <c r="M435" s="84" t="str">
        <f t="shared" si="1"/>
        <v/>
      </c>
      <c r="N435" s="84" t="str">
        <f>IFERROR(__xludf.DUMMYFUNCTION("IFERROR(AVERAGE(query(INDIRECT(""'FR Table'!"" &amp; vlookup(rows($A$1:$A434),Reference!$O:$P,2,false) &amp; ""3:"" &amp; vlookup(rows($A$1:$A434),Reference!$O:$P,2,false)), 
""SELECT "" &amp; vlookup(rows($A$1:$A434),Reference!$O:$P,2,false) 
&amp; "" WHERE "" &amp; vlookup(row"&amp;"s($A$1:$A434),Reference!$O:$P,2,false) &amp;
"" &gt;= "" &amp; Reference!$R$2)) * M435,"""")"),"")</f>
        <v/>
      </c>
      <c r="O435" s="84" t="str">
        <f t="shared" si="2"/>
        <v/>
      </c>
    </row>
    <row r="436">
      <c r="A436" s="84"/>
      <c r="B436" s="84"/>
      <c r="C436" s="85"/>
      <c r="D436" s="86"/>
      <c r="E436" s="87"/>
      <c r="F436" s="86"/>
      <c r="G436" s="87"/>
      <c r="H436" s="86"/>
      <c r="I436" s="86"/>
      <c r="J436" s="86"/>
      <c r="K436" s="84"/>
      <c r="L436" s="84" t="str">
        <f>IFERROR(__xludf.DUMMYFUNCTION("IF(A436="""","""", COUNT(SPLIT(K436,"";"")))"),"")</f>
        <v/>
      </c>
      <c r="M436" s="84" t="str">
        <f t="shared" si="1"/>
        <v/>
      </c>
      <c r="N436" s="84" t="str">
        <f>IFERROR(__xludf.DUMMYFUNCTION("IFERROR(AVERAGE(query(INDIRECT(""'FR Table'!"" &amp; vlookup(rows($A$1:$A435),Reference!$O:$P,2,false) &amp; ""3:"" &amp; vlookup(rows($A$1:$A435),Reference!$O:$P,2,false)), 
""SELECT "" &amp; vlookup(rows($A$1:$A435),Reference!$O:$P,2,false) 
&amp; "" WHERE "" &amp; vlookup(row"&amp;"s($A$1:$A435),Reference!$O:$P,2,false) &amp;
"" &gt;= "" &amp; Reference!$R$2)) * M436,"""")"),"")</f>
        <v/>
      </c>
      <c r="O436" s="84" t="str">
        <f t="shared" si="2"/>
        <v/>
      </c>
    </row>
    <row r="437">
      <c r="A437" s="84"/>
      <c r="B437" s="84"/>
      <c r="C437" s="85"/>
      <c r="D437" s="86"/>
      <c r="E437" s="87"/>
      <c r="F437" s="86"/>
      <c r="G437" s="87"/>
      <c r="H437" s="86"/>
      <c r="I437" s="86"/>
      <c r="J437" s="86"/>
      <c r="K437" s="84"/>
      <c r="L437" s="84" t="str">
        <f>IFERROR(__xludf.DUMMYFUNCTION("IF(A437="""","""", COUNT(SPLIT(K437,"";"")))"),"")</f>
        <v/>
      </c>
      <c r="M437" s="84" t="str">
        <f t="shared" si="1"/>
        <v/>
      </c>
      <c r="N437" s="84" t="str">
        <f>IFERROR(__xludf.DUMMYFUNCTION("IFERROR(AVERAGE(query(INDIRECT(""'FR Table'!"" &amp; vlookup(rows($A$1:$A436),Reference!$O:$P,2,false) &amp; ""3:"" &amp; vlookup(rows($A$1:$A436),Reference!$O:$P,2,false)), 
""SELECT "" &amp; vlookup(rows($A$1:$A436),Reference!$O:$P,2,false) 
&amp; "" WHERE "" &amp; vlookup(row"&amp;"s($A$1:$A436),Reference!$O:$P,2,false) &amp;
"" &gt;= "" &amp; Reference!$R$2)) * M437,"""")"),"")</f>
        <v/>
      </c>
      <c r="O437" s="84" t="str">
        <f t="shared" si="2"/>
        <v/>
      </c>
    </row>
    <row r="438">
      <c r="A438" s="84"/>
      <c r="B438" s="84"/>
      <c r="C438" s="85"/>
      <c r="D438" s="86"/>
      <c r="E438" s="87"/>
      <c r="F438" s="86"/>
      <c r="G438" s="87"/>
      <c r="H438" s="86"/>
      <c r="I438" s="86"/>
      <c r="J438" s="86"/>
      <c r="K438" s="84"/>
      <c r="L438" s="84" t="str">
        <f>IFERROR(__xludf.DUMMYFUNCTION("IF(A438="""","""", COUNT(SPLIT(K438,"";"")))"),"")</f>
        <v/>
      </c>
      <c r="M438" s="84" t="str">
        <f t="shared" si="1"/>
        <v/>
      </c>
      <c r="N438" s="84" t="str">
        <f>IFERROR(__xludf.DUMMYFUNCTION("IFERROR(AVERAGE(query(INDIRECT(""'FR Table'!"" &amp; vlookup(rows($A$1:$A437),Reference!$O:$P,2,false) &amp; ""3:"" &amp; vlookup(rows($A$1:$A437),Reference!$O:$P,2,false)), 
""SELECT "" &amp; vlookup(rows($A$1:$A437),Reference!$O:$P,2,false) 
&amp; "" WHERE "" &amp; vlookup(row"&amp;"s($A$1:$A437),Reference!$O:$P,2,false) &amp;
"" &gt;= "" &amp; Reference!$R$2)) * M438,"""")"),"")</f>
        <v/>
      </c>
      <c r="O438" s="84" t="str">
        <f t="shared" si="2"/>
        <v/>
      </c>
    </row>
    <row r="439">
      <c r="A439" s="84"/>
      <c r="B439" s="84"/>
      <c r="C439" s="85"/>
      <c r="D439" s="86"/>
      <c r="E439" s="87"/>
      <c r="F439" s="86"/>
      <c r="G439" s="87"/>
      <c r="H439" s="86"/>
      <c r="I439" s="86"/>
      <c r="J439" s="86"/>
      <c r="K439" s="84"/>
      <c r="L439" s="84" t="str">
        <f>IFERROR(__xludf.DUMMYFUNCTION("IF(A439="""","""", COUNT(SPLIT(K439,"";"")))"),"")</f>
        <v/>
      </c>
      <c r="M439" s="84" t="str">
        <f t="shared" si="1"/>
        <v/>
      </c>
      <c r="N439" s="84" t="str">
        <f>IFERROR(__xludf.DUMMYFUNCTION("IFERROR(AVERAGE(query(INDIRECT(""'FR Table'!"" &amp; vlookup(rows($A$1:$A438),Reference!$O:$P,2,false) &amp; ""3:"" &amp; vlookup(rows($A$1:$A438),Reference!$O:$P,2,false)), 
""SELECT "" &amp; vlookup(rows($A$1:$A438),Reference!$O:$P,2,false) 
&amp; "" WHERE "" &amp; vlookup(row"&amp;"s($A$1:$A438),Reference!$O:$P,2,false) &amp;
"" &gt;= "" &amp; Reference!$R$2)) * M439,"""")"),"")</f>
        <v/>
      </c>
      <c r="O439" s="84" t="str">
        <f t="shared" si="2"/>
        <v/>
      </c>
    </row>
    <row r="440">
      <c r="A440" s="84"/>
      <c r="B440" s="84"/>
      <c r="C440" s="85"/>
      <c r="D440" s="86"/>
      <c r="E440" s="87"/>
      <c r="F440" s="86"/>
      <c r="G440" s="87"/>
      <c r="H440" s="86"/>
      <c r="I440" s="86"/>
      <c r="J440" s="86"/>
      <c r="K440" s="84"/>
      <c r="L440" s="84" t="str">
        <f>IFERROR(__xludf.DUMMYFUNCTION("IF(A440="""","""", COUNT(SPLIT(K440,"";"")))"),"")</f>
        <v/>
      </c>
      <c r="M440" s="84" t="str">
        <f t="shared" si="1"/>
        <v/>
      </c>
      <c r="N440" s="84" t="str">
        <f>IFERROR(__xludf.DUMMYFUNCTION("IFERROR(AVERAGE(query(INDIRECT(""'FR Table'!"" &amp; vlookup(rows($A$1:$A439),Reference!$O:$P,2,false) &amp; ""3:"" &amp; vlookup(rows($A$1:$A439),Reference!$O:$P,2,false)), 
""SELECT "" &amp; vlookup(rows($A$1:$A439),Reference!$O:$P,2,false) 
&amp; "" WHERE "" &amp; vlookup(row"&amp;"s($A$1:$A439),Reference!$O:$P,2,false) &amp;
"" &gt;= "" &amp; Reference!$R$2)) * M440,"""")"),"")</f>
        <v/>
      </c>
      <c r="O440" s="84" t="str">
        <f t="shared" si="2"/>
        <v/>
      </c>
    </row>
    <row r="441">
      <c r="A441" s="84"/>
      <c r="B441" s="84"/>
      <c r="C441" s="85"/>
      <c r="D441" s="86"/>
      <c r="E441" s="87"/>
      <c r="F441" s="86"/>
      <c r="G441" s="87"/>
      <c r="H441" s="86"/>
      <c r="I441" s="86"/>
      <c r="J441" s="86"/>
      <c r="K441" s="84"/>
      <c r="L441" s="84" t="str">
        <f>IFERROR(__xludf.DUMMYFUNCTION("IF(A441="""","""", COUNT(SPLIT(K441,"";"")))"),"")</f>
        <v/>
      </c>
      <c r="M441" s="84" t="str">
        <f t="shared" si="1"/>
        <v/>
      </c>
      <c r="N441" s="84" t="str">
        <f>IFERROR(__xludf.DUMMYFUNCTION("IFERROR(AVERAGE(query(INDIRECT(""'FR Table'!"" &amp; vlookup(rows($A$1:$A440),Reference!$O:$P,2,false) &amp; ""3:"" &amp; vlookup(rows($A$1:$A440),Reference!$O:$P,2,false)), 
""SELECT "" &amp; vlookup(rows($A$1:$A440),Reference!$O:$P,2,false) 
&amp; "" WHERE "" &amp; vlookup(row"&amp;"s($A$1:$A440),Reference!$O:$P,2,false) &amp;
"" &gt;= "" &amp; Reference!$R$2)) * M441,"""")"),"")</f>
        <v/>
      </c>
      <c r="O441" s="84" t="str">
        <f t="shared" si="2"/>
        <v/>
      </c>
    </row>
    <row r="442">
      <c r="A442" s="84"/>
      <c r="B442" s="84"/>
      <c r="C442" s="85"/>
      <c r="D442" s="86"/>
      <c r="E442" s="87"/>
      <c r="F442" s="86"/>
      <c r="G442" s="87"/>
      <c r="H442" s="86"/>
      <c r="I442" s="86"/>
      <c r="J442" s="86"/>
      <c r="K442" s="84"/>
      <c r="L442" s="84" t="str">
        <f>IFERROR(__xludf.DUMMYFUNCTION("IF(A442="""","""", COUNT(SPLIT(K442,"";"")))"),"")</f>
        <v/>
      </c>
      <c r="M442" s="84" t="str">
        <f t="shared" si="1"/>
        <v/>
      </c>
      <c r="N442" s="84" t="str">
        <f>IFERROR(__xludf.DUMMYFUNCTION("IFERROR(AVERAGE(query(INDIRECT(""'FR Table'!"" &amp; vlookup(rows($A$1:$A441),Reference!$O:$P,2,false) &amp; ""3:"" &amp; vlookup(rows($A$1:$A441),Reference!$O:$P,2,false)), 
""SELECT "" &amp; vlookup(rows($A$1:$A441),Reference!$O:$P,2,false) 
&amp; "" WHERE "" &amp; vlookup(row"&amp;"s($A$1:$A441),Reference!$O:$P,2,false) &amp;
"" &gt;= "" &amp; Reference!$R$2)) * M442,"""")"),"")</f>
        <v/>
      </c>
      <c r="O442" s="84" t="str">
        <f t="shared" si="2"/>
        <v/>
      </c>
    </row>
    <row r="443">
      <c r="A443" s="84"/>
      <c r="B443" s="84"/>
      <c r="C443" s="85"/>
      <c r="D443" s="86"/>
      <c r="E443" s="87"/>
      <c r="F443" s="86"/>
      <c r="G443" s="87"/>
      <c r="H443" s="86"/>
      <c r="I443" s="86"/>
      <c r="J443" s="86"/>
      <c r="K443" s="84"/>
      <c r="L443" s="84" t="str">
        <f>IFERROR(__xludf.DUMMYFUNCTION("IF(A443="""","""", COUNT(SPLIT(K443,"";"")))"),"")</f>
        <v/>
      </c>
      <c r="M443" s="84" t="str">
        <f t="shared" si="1"/>
        <v/>
      </c>
      <c r="N443" s="84" t="str">
        <f>IFERROR(__xludf.DUMMYFUNCTION("IFERROR(AVERAGE(query(INDIRECT(""'FR Table'!"" &amp; vlookup(rows($A$1:$A442),Reference!$O:$P,2,false) &amp; ""3:"" &amp; vlookup(rows($A$1:$A442),Reference!$O:$P,2,false)), 
""SELECT "" &amp; vlookup(rows($A$1:$A442),Reference!$O:$P,2,false) 
&amp; "" WHERE "" &amp; vlookup(row"&amp;"s($A$1:$A442),Reference!$O:$P,2,false) &amp;
"" &gt;= "" &amp; Reference!$R$2)) * M443,"""")"),"")</f>
        <v/>
      </c>
      <c r="O443" s="84" t="str">
        <f t="shared" si="2"/>
        <v/>
      </c>
    </row>
    <row r="444">
      <c r="A444" s="84"/>
      <c r="B444" s="84"/>
      <c r="C444" s="85"/>
      <c r="D444" s="86"/>
      <c r="E444" s="87"/>
      <c r="F444" s="86"/>
      <c r="G444" s="87"/>
      <c r="H444" s="86"/>
      <c r="I444" s="86"/>
      <c r="J444" s="86"/>
      <c r="K444" s="84"/>
      <c r="L444" s="84" t="str">
        <f>IFERROR(__xludf.DUMMYFUNCTION("IF(A444="""","""", COUNT(SPLIT(K444,"";"")))"),"")</f>
        <v/>
      </c>
      <c r="M444" s="84" t="str">
        <f t="shared" si="1"/>
        <v/>
      </c>
      <c r="N444" s="84" t="str">
        <f>IFERROR(__xludf.DUMMYFUNCTION("IFERROR(AVERAGE(query(INDIRECT(""'FR Table'!"" &amp; vlookup(rows($A$1:$A443),Reference!$O:$P,2,false) &amp; ""3:"" &amp; vlookup(rows($A$1:$A443),Reference!$O:$P,2,false)), 
""SELECT "" &amp; vlookup(rows($A$1:$A443),Reference!$O:$P,2,false) 
&amp; "" WHERE "" &amp; vlookup(row"&amp;"s($A$1:$A443),Reference!$O:$P,2,false) &amp;
"" &gt;= "" &amp; Reference!$R$2)) * M444,"""")"),"")</f>
        <v/>
      </c>
      <c r="O444" s="84" t="str">
        <f t="shared" si="2"/>
        <v/>
      </c>
    </row>
    <row r="445">
      <c r="A445" s="84"/>
      <c r="B445" s="84"/>
      <c r="C445" s="85"/>
      <c r="D445" s="86"/>
      <c r="E445" s="87"/>
      <c r="F445" s="86"/>
      <c r="G445" s="87"/>
      <c r="H445" s="86"/>
      <c r="I445" s="86"/>
      <c r="J445" s="86"/>
      <c r="K445" s="84"/>
      <c r="L445" s="84" t="str">
        <f>IFERROR(__xludf.DUMMYFUNCTION("IF(A445="""","""", COUNT(SPLIT(K445,"";"")))"),"")</f>
        <v/>
      </c>
      <c r="M445" s="84" t="str">
        <f t="shared" si="1"/>
        <v/>
      </c>
      <c r="N445" s="84" t="str">
        <f>IFERROR(__xludf.DUMMYFUNCTION("IFERROR(AVERAGE(query(INDIRECT(""'FR Table'!"" &amp; vlookup(rows($A$1:$A444),Reference!$O:$P,2,false) &amp; ""3:"" &amp; vlookup(rows($A$1:$A444),Reference!$O:$P,2,false)), 
""SELECT "" &amp; vlookup(rows($A$1:$A444),Reference!$O:$P,2,false) 
&amp; "" WHERE "" &amp; vlookup(row"&amp;"s($A$1:$A444),Reference!$O:$P,2,false) &amp;
"" &gt;= "" &amp; Reference!$R$2)) * M445,"""")"),"")</f>
        <v/>
      </c>
      <c r="O445" s="84" t="str">
        <f t="shared" si="2"/>
        <v/>
      </c>
    </row>
    <row r="446">
      <c r="A446" s="84"/>
      <c r="B446" s="84"/>
      <c r="C446" s="85"/>
      <c r="D446" s="86"/>
      <c r="E446" s="87"/>
      <c r="F446" s="86"/>
      <c r="G446" s="87"/>
      <c r="H446" s="86"/>
      <c r="I446" s="86"/>
      <c r="J446" s="86"/>
      <c r="K446" s="84"/>
      <c r="L446" s="84" t="str">
        <f>IFERROR(__xludf.DUMMYFUNCTION("IF(A446="""","""", COUNT(SPLIT(K446,"";"")))"),"")</f>
        <v/>
      </c>
      <c r="M446" s="84" t="str">
        <f t="shared" si="1"/>
        <v/>
      </c>
      <c r="N446" s="84" t="str">
        <f>IFERROR(__xludf.DUMMYFUNCTION("IFERROR(AVERAGE(query(INDIRECT(""'FR Table'!"" &amp; vlookup(rows($A$1:$A445),Reference!$O:$P,2,false) &amp; ""3:"" &amp; vlookup(rows($A$1:$A445),Reference!$O:$P,2,false)), 
""SELECT "" &amp; vlookup(rows($A$1:$A445),Reference!$O:$P,2,false) 
&amp; "" WHERE "" &amp; vlookup(row"&amp;"s($A$1:$A445),Reference!$O:$P,2,false) &amp;
"" &gt;= "" &amp; Reference!$R$2)) * M446,"""")"),"")</f>
        <v/>
      </c>
      <c r="O446" s="84" t="str">
        <f t="shared" si="2"/>
        <v/>
      </c>
    </row>
    <row r="447">
      <c r="A447" s="84"/>
      <c r="B447" s="84"/>
      <c r="C447" s="85"/>
      <c r="D447" s="86"/>
      <c r="E447" s="87"/>
      <c r="F447" s="86"/>
      <c r="G447" s="87"/>
      <c r="H447" s="86"/>
      <c r="I447" s="86"/>
      <c r="J447" s="86"/>
      <c r="K447" s="84"/>
      <c r="L447" s="84" t="str">
        <f>IFERROR(__xludf.DUMMYFUNCTION("IF(A447="""","""", COUNT(SPLIT(K447,"";"")))"),"")</f>
        <v/>
      </c>
      <c r="M447" s="84" t="str">
        <f t="shared" si="1"/>
        <v/>
      </c>
      <c r="N447" s="84" t="str">
        <f>IFERROR(__xludf.DUMMYFUNCTION("IFERROR(AVERAGE(query(INDIRECT(""'FR Table'!"" &amp; vlookup(rows($A$1:$A446),Reference!$O:$P,2,false) &amp; ""3:"" &amp; vlookup(rows($A$1:$A446),Reference!$O:$P,2,false)), 
""SELECT "" &amp; vlookup(rows($A$1:$A446),Reference!$O:$P,2,false) 
&amp; "" WHERE "" &amp; vlookup(row"&amp;"s($A$1:$A446),Reference!$O:$P,2,false) &amp;
"" &gt;= "" &amp; Reference!$R$2)) * M447,"""")"),"")</f>
        <v/>
      </c>
      <c r="O447" s="84" t="str">
        <f t="shared" si="2"/>
        <v/>
      </c>
    </row>
    <row r="448">
      <c r="A448" s="84"/>
      <c r="B448" s="84"/>
      <c r="C448" s="85"/>
      <c r="D448" s="86"/>
      <c r="E448" s="87"/>
      <c r="F448" s="86"/>
      <c r="G448" s="87"/>
      <c r="H448" s="86"/>
      <c r="I448" s="86"/>
      <c r="J448" s="86"/>
      <c r="K448" s="84"/>
      <c r="L448" s="84" t="str">
        <f>IFERROR(__xludf.DUMMYFUNCTION("IF(A448="""","""", COUNT(SPLIT(K448,"";"")))"),"")</f>
        <v/>
      </c>
      <c r="M448" s="84" t="str">
        <f t="shared" si="1"/>
        <v/>
      </c>
      <c r="N448" s="84" t="str">
        <f>IFERROR(__xludf.DUMMYFUNCTION("IFERROR(AVERAGE(query(INDIRECT(""'FR Table'!"" &amp; vlookup(rows($A$1:$A447),Reference!$O:$P,2,false) &amp; ""3:"" &amp; vlookup(rows($A$1:$A447),Reference!$O:$P,2,false)), 
""SELECT "" &amp; vlookup(rows($A$1:$A447),Reference!$O:$P,2,false) 
&amp; "" WHERE "" &amp; vlookup(row"&amp;"s($A$1:$A447),Reference!$O:$P,2,false) &amp;
"" &gt;= "" &amp; Reference!$R$2)) * M448,"""")"),"")</f>
        <v/>
      </c>
      <c r="O448" s="84" t="str">
        <f t="shared" si="2"/>
        <v/>
      </c>
    </row>
    <row r="449">
      <c r="A449" s="84"/>
      <c r="B449" s="84"/>
      <c r="C449" s="85"/>
      <c r="D449" s="86"/>
      <c r="E449" s="87"/>
      <c r="F449" s="86"/>
      <c r="G449" s="87"/>
      <c r="H449" s="86"/>
      <c r="I449" s="86"/>
      <c r="J449" s="86"/>
      <c r="K449" s="84"/>
      <c r="L449" s="84" t="str">
        <f>IFERROR(__xludf.DUMMYFUNCTION("IF(A449="""","""", COUNT(SPLIT(K449,"";"")))"),"")</f>
        <v/>
      </c>
      <c r="M449" s="84" t="str">
        <f t="shared" si="1"/>
        <v/>
      </c>
      <c r="N449" s="84" t="str">
        <f>IFERROR(__xludf.DUMMYFUNCTION("IFERROR(AVERAGE(query(INDIRECT(""'FR Table'!"" &amp; vlookup(rows($A$1:$A448),Reference!$O:$P,2,false) &amp; ""3:"" &amp; vlookup(rows($A$1:$A448),Reference!$O:$P,2,false)), 
""SELECT "" &amp; vlookup(rows($A$1:$A448),Reference!$O:$P,2,false) 
&amp; "" WHERE "" &amp; vlookup(row"&amp;"s($A$1:$A448),Reference!$O:$P,2,false) &amp;
"" &gt;= "" &amp; Reference!$R$2)) * M449,"""")"),"")</f>
        <v/>
      </c>
      <c r="O449" s="84" t="str">
        <f t="shared" si="2"/>
        <v/>
      </c>
    </row>
    <row r="450">
      <c r="A450" s="84"/>
      <c r="B450" s="84"/>
      <c r="C450" s="85"/>
      <c r="D450" s="86"/>
      <c r="E450" s="87"/>
      <c r="F450" s="86"/>
      <c r="G450" s="87"/>
      <c r="H450" s="86"/>
      <c r="I450" s="86"/>
      <c r="J450" s="86"/>
      <c r="K450" s="84"/>
      <c r="L450" s="84" t="str">
        <f>IFERROR(__xludf.DUMMYFUNCTION("IF(A450="""","""", COUNT(SPLIT(K450,"";"")))"),"")</f>
        <v/>
      </c>
      <c r="M450" s="84" t="str">
        <f t="shared" si="1"/>
        <v/>
      </c>
      <c r="N450" s="84" t="str">
        <f>IFERROR(__xludf.DUMMYFUNCTION("IFERROR(AVERAGE(query(INDIRECT(""'FR Table'!"" &amp; vlookup(rows($A$1:$A449),Reference!$O:$P,2,false) &amp; ""3:"" &amp; vlookup(rows($A$1:$A449),Reference!$O:$P,2,false)), 
""SELECT "" &amp; vlookup(rows($A$1:$A449),Reference!$O:$P,2,false) 
&amp; "" WHERE "" &amp; vlookup(row"&amp;"s($A$1:$A449),Reference!$O:$P,2,false) &amp;
"" &gt;= "" &amp; Reference!$R$2)) * M450,"""")"),"")</f>
        <v/>
      </c>
      <c r="O450" s="84" t="str">
        <f t="shared" si="2"/>
        <v/>
      </c>
    </row>
    <row r="451">
      <c r="A451" s="84"/>
      <c r="B451" s="84"/>
      <c r="C451" s="85"/>
      <c r="D451" s="86"/>
      <c r="E451" s="87"/>
      <c r="F451" s="86"/>
      <c r="G451" s="87"/>
      <c r="H451" s="86"/>
      <c r="I451" s="86"/>
      <c r="J451" s="86"/>
      <c r="K451" s="84"/>
      <c r="L451" s="84" t="str">
        <f>IFERROR(__xludf.DUMMYFUNCTION("IF(A451="""","""", COUNT(SPLIT(K451,"";"")))"),"")</f>
        <v/>
      </c>
      <c r="M451" s="84" t="str">
        <f t="shared" si="1"/>
        <v/>
      </c>
      <c r="N451" s="84" t="str">
        <f>IFERROR(__xludf.DUMMYFUNCTION("IFERROR(AVERAGE(query(INDIRECT(""'FR Table'!"" &amp; vlookup(rows($A$1:$A450),Reference!$O:$P,2,false) &amp; ""3:"" &amp; vlookup(rows($A$1:$A450),Reference!$O:$P,2,false)), 
""SELECT "" &amp; vlookup(rows($A$1:$A450),Reference!$O:$P,2,false) 
&amp; "" WHERE "" &amp; vlookup(row"&amp;"s($A$1:$A450),Reference!$O:$P,2,false) &amp;
"" &gt;= "" &amp; Reference!$R$2)) * M451,"""")"),"")</f>
        <v/>
      </c>
      <c r="O451" s="84" t="str">
        <f t="shared" si="2"/>
        <v/>
      </c>
    </row>
    <row r="452">
      <c r="A452" s="84"/>
      <c r="B452" s="84"/>
      <c r="C452" s="85"/>
      <c r="D452" s="86"/>
      <c r="E452" s="87"/>
      <c r="F452" s="86"/>
      <c r="G452" s="87"/>
      <c r="H452" s="86"/>
      <c r="I452" s="86"/>
      <c r="J452" s="86"/>
      <c r="K452" s="84"/>
      <c r="L452" s="84" t="str">
        <f>IFERROR(__xludf.DUMMYFUNCTION("IF(A452="""","""", COUNT(SPLIT(K452,"";"")))"),"")</f>
        <v/>
      </c>
      <c r="M452" s="84" t="str">
        <f t="shared" si="1"/>
        <v/>
      </c>
      <c r="N452" s="84" t="str">
        <f>IFERROR(__xludf.DUMMYFUNCTION("IFERROR(AVERAGE(query(INDIRECT(""'FR Table'!"" &amp; vlookup(rows($A$1:$A451),Reference!$O:$P,2,false) &amp; ""3:"" &amp; vlookup(rows($A$1:$A451),Reference!$O:$P,2,false)), 
""SELECT "" &amp; vlookup(rows($A$1:$A451),Reference!$O:$P,2,false) 
&amp; "" WHERE "" &amp; vlookup(row"&amp;"s($A$1:$A451),Reference!$O:$P,2,false) &amp;
"" &gt;= "" &amp; Reference!$R$2)) * M452,"""")"),"")</f>
        <v/>
      </c>
      <c r="O452" s="84" t="str">
        <f t="shared" si="2"/>
        <v/>
      </c>
    </row>
    <row r="453">
      <c r="A453" s="84"/>
      <c r="B453" s="84"/>
      <c r="C453" s="85"/>
      <c r="D453" s="86"/>
      <c r="E453" s="87"/>
      <c r="F453" s="86"/>
      <c r="G453" s="87"/>
      <c r="H453" s="86"/>
      <c r="I453" s="86"/>
      <c r="J453" s="86"/>
      <c r="K453" s="84"/>
      <c r="L453" s="84" t="str">
        <f>IFERROR(__xludf.DUMMYFUNCTION("IF(A453="""","""", COUNT(SPLIT(K453,"";"")))"),"")</f>
        <v/>
      </c>
      <c r="M453" s="84" t="str">
        <f t="shared" si="1"/>
        <v/>
      </c>
      <c r="N453" s="84" t="str">
        <f>IFERROR(__xludf.DUMMYFUNCTION("IFERROR(AVERAGE(query(INDIRECT(""'FR Table'!"" &amp; vlookup(rows($A$1:$A452),Reference!$O:$P,2,false) &amp; ""3:"" &amp; vlookup(rows($A$1:$A452),Reference!$O:$P,2,false)), 
""SELECT "" &amp; vlookup(rows($A$1:$A452),Reference!$O:$P,2,false) 
&amp; "" WHERE "" &amp; vlookup(row"&amp;"s($A$1:$A452),Reference!$O:$P,2,false) &amp;
"" &gt;= "" &amp; Reference!$R$2)) * M453,"""")"),"")</f>
        <v/>
      </c>
      <c r="O453" s="84" t="str">
        <f t="shared" si="2"/>
        <v/>
      </c>
    </row>
    <row r="454">
      <c r="A454" s="84"/>
      <c r="B454" s="84"/>
      <c r="C454" s="85"/>
      <c r="D454" s="86"/>
      <c r="E454" s="87"/>
      <c r="F454" s="86"/>
      <c r="G454" s="87"/>
      <c r="H454" s="86"/>
      <c r="I454" s="86"/>
      <c r="J454" s="86"/>
      <c r="K454" s="84"/>
      <c r="L454" s="84" t="str">
        <f>IFERROR(__xludf.DUMMYFUNCTION("IF(A454="""","""", COUNT(SPLIT(K454,"";"")))"),"")</f>
        <v/>
      </c>
      <c r="M454" s="84" t="str">
        <f t="shared" si="1"/>
        <v/>
      </c>
      <c r="N454" s="84" t="str">
        <f>IFERROR(__xludf.DUMMYFUNCTION("IFERROR(AVERAGE(query(INDIRECT(""'FR Table'!"" &amp; vlookup(rows($A$1:$A453),Reference!$O:$P,2,false) &amp; ""3:"" &amp; vlookup(rows($A$1:$A453),Reference!$O:$P,2,false)), 
""SELECT "" &amp; vlookup(rows($A$1:$A453),Reference!$O:$P,2,false) 
&amp; "" WHERE "" &amp; vlookup(row"&amp;"s($A$1:$A453),Reference!$O:$P,2,false) &amp;
"" &gt;= "" &amp; Reference!$R$2)) * M454,"""")"),"")</f>
        <v/>
      </c>
      <c r="O454" s="84" t="str">
        <f t="shared" si="2"/>
        <v/>
      </c>
    </row>
    <row r="455">
      <c r="A455" s="84"/>
      <c r="B455" s="84"/>
      <c r="C455" s="85"/>
      <c r="D455" s="86"/>
      <c r="E455" s="87"/>
      <c r="F455" s="86"/>
      <c r="G455" s="87"/>
      <c r="H455" s="86"/>
      <c r="I455" s="86"/>
      <c r="J455" s="86"/>
      <c r="K455" s="84"/>
      <c r="L455" s="84" t="str">
        <f>IFERROR(__xludf.DUMMYFUNCTION("IF(A455="""","""", COUNT(SPLIT(K455,"";"")))"),"")</f>
        <v/>
      </c>
      <c r="M455" s="84" t="str">
        <f t="shared" si="1"/>
        <v/>
      </c>
      <c r="N455" s="84" t="str">
        <f>IFERROR(__xludf.DUMMYFUNCTION("IFERROR(AVERAGE(query(INDIRECT(""'FR Table'!"" &amp; vlookup(rows($A$1:$A454),Reference!$O:$P,2,false) &amp; ""3:"" &amp; vlookup(rows($A$1:$A454),Reference!$O:$P,2,false)), 
""SELECT "" &amp; vlookup(rows($A$1:$A454),Reference!$O:$P,2,false) 
&amp; "" WHERE "" &amp; vlookup(row"&amp;"s($A$1:$A454),Reference!$O:$P,2,false) &amp;
"" &gt;= "" &amp; Reference!$R$2)) * M455,"""")"),"")</f>
        <v/>
      </c>
      <c r="O455" s="84" t="str">
        <f t="shared" si="2"/>
        <v/>
      </c>
    </row>
    <row r="456">
      <c r="A456" s="84"/>
      <c r="B456" s="84"/>
      <c r="C456" s="85"/>
      <c r="D456" s="86"/>
      <c r="E456" s="87"/>
      <c r="F456" s="86"/>
      <c r="G456" s="87"/>
      <c r="H456" s="86"/>
      <c r="I456" s="86"/>
      <c r="J456" s="86"/>
      <c r="K456" s="84"/>
      <c r="L456" s="84" t="str">
        <f>IFERROR(__xludf.DUMMYFUNCTION("IF(A456="""","""", COUNT(SPLIT(K456,"";"")))"),"")</f>
        <v/>
      </c>
      <c r="M456" s="84" t="str">
        <f t="shared" si="1"/>
        <v/>
      </c>
      <c r="N456" s="84" t="str">
        <f>IFERROR(__xludf.DUMMYFUNCTION("IFERROR(AVERAGE(query(INDIRECT(""'FR Table'!"" &amp; vlookup(rows($A$1:$A455),Reference!$O:$P,2,false) &amp; ""3:"" &amp; vlookup(rows($A$1:$A455),Reference!$O:$P,2,false)), 
""SELECT "" &amp; vlookup(rows($A$1:$A455),Reference!$O:$P,2,false) 
&amp; "" WHERE "" &amp; vlookup(row"&amp;"s($A$1:$A455),Reference!$O:$P,2,false) &amp;
"" &gt;= "" &amp; Reference!$R$2)) * M456,"""")"),"")</f>
        <v/>
      </c>
      <c r="O456" s="84" t="str">
        <f t="shared" si="2"/>
        <v/>
      </c>
    </row>
    <row r="457">
      <c r="A457" s="84"/>
      <c r="B457" s="84"/>
      <c r="C457" s="85"/>
      <c r="D457" s="86"/>
      <c r="E457" s="87"/>
      <c r="F457" s="86"/>
      <c r="G457" s="87"/>
      <c r="H457" s="86"/>
      <c r="I457" s="86"/>
      <c r="J457" s="86"/>
      <c r="K457" s="84"/>
      <c r="L457" s="84" t="str">
        <f>IFERROR(__xludf.DUMMYFUNCTION("IF(A457="""","""", COUNT(SPLIT(K457,"";"")))"),"")</f>
        <v/>
      </c>
      <c r="M457" s="84" t="str">
        <f t="shared" si="1"/>
        <v/>
      </c>
      <c r="N457" s="84" t="str">
        <f>IFERROR(__xludf.DUMMYFUNCTION("IFERROR(AVERAGE(query(INDIRECT(""'FR Table'!"" &amp; vlookup(rows($A$1:$A456),Reference!$O:$P,2,false) &amp; ""3:"" &amp; vlookup(rows($A$1:$A456),Reference!$O:$P,2,false)), 
""SELECT "" &amp; vlookup(rows($A$1:$A456),Reference!$O:$P,2,false) 
&amp; "" WHERE "" &amp; vlookup(row"&amp;"s($A$1:$A456),Reference!$O:$P,2,false) &amp;
"" &gt;= "" &amp; Reference!$R$2)) * M457,"""")"),"")</f>
        <v/>
      </c>
      <c r="O457" s="84" t="str">
        <f t="shared" si="2"/>
        <v/>
      </c>
    </row>
    <row r="458">
      <c r="A458" s="84"/>
      <c r="B458" s="84"/>
      <c r="C458" s="85"/>
      <c r="D458" s="86"/>
      <c r="E458" s="87"/>
      <c r="F458" s="86"/>
      <c r="G458" s="87"/>
      <c r="H458" s="86"/>
      <c r="I458" s="86"/>
      <c r="J458" s="86"/>
      <c r="K458" s="84"/>
      <c r="L458" s="84" t="str">
        <f>IFERROR(__xludf.DUMMYFUNCTION("IF(A458="""","""", COUNT(SPLIT(K458,"";"")))"),"")</f>
        <v/>
      </c>
      <c r="M458" s="84" t="str">
        <f t="shared" si="1"/>
        <v/>
      </c>
      <c r="N458" s="84" t="str">
        <f>IFERROR(__xludf.DUMMYFUNCTION("IFERROR(AVERAGE(query(INDIRECT(""'FR Table'!"" &amp; vlookup(rows($A$1:$A457),Reference!$O:$P,2,false) &amp; ""3:"" &amp; vlookup(rows($A$1:$A457),Reference!$O:$P,2,false)), 
""SELECT "" &amp; vlookup(rows($A$1:$A457),Reference!$O:$P,2,false) 
&amp; "" WHERE "" &amp; vlookup(row"&amp;"s($A$1:$A457),Reference!$O:$P,2,false) &amp;
"" &gt;= "" &amp; Reference!$R$2)) * M458,"""")"),"")</f>
        <v/>
      </c>
      <c r="O458" s="84" t="str">
        <f t="shared" si="2"/>
        <v/>
      </c>
    </row>
    <row r="459">
      <c r="A459" s="84"/>
      <c r="B459" s="84"/>
      <c r="C459" s="85"/>
      <c r="D459" s="86"/>
      <c r="E459" s="87"/>
      <c r="F459" s="86"/>
      <c r="G459" s="87"/>
      <c r="H459" s="86"/>
      <c r="I459" s="86"/>
      <c r="J459" s="86"/>
      <c r="K459" s="84"/>
      <c r="L459" s="84" t="str">
        <f>IFERROR(__xludf.DUMMYFUNCTION("IF(A459="""","""", COUNT(SPLIT(K459,"";"")))"),"")</f>
        <v/>
      </c>
      <c r="M459" s="84" t="str">
        <f t="shared" si="1"/>
        <v/>
      </c>
      <c r="N459" s="84" t="str">
        <f>IFERROR(__xludf.DUMMYFUNCTION("IFERROR(AVERAGE(query(INDIRECT(""'FR Table'!"" &amp; vlookup(rows($A$1:$A458),Reference!$O:$P,2,false) &amp; ""3:"" &amp; vlookup(rows($A$1:$A458),Reference!$O:$P,2,false)), 
""SELECT "" &amp; vlookup(rows($A$1:$A458),Reference!$O:$P,2,false) 
&amp; "" WHERE "" &amp; vlookup(row"&amp;"s($A$1:$A458),Reference!$O:$P,2,false) &amp;
"" &gt;= "" &amp; Reference!$R$2)) * M459,"""")"),"")</f>
        <v/>
      </c>
      <c r="O459" s="84" t="str">
        <f t="shared" si="2"/>
        <v/>
      </c>
    </row>
    <row r="460">
      <c r="A460" s="84"/>
      <c r="B460" s="84"/>
      <c r="C460" s="85"/>
      <c r="D460" s="86"/>
      <c r="E460" s="87"/>
      <c r="F460" s="86"/>
      <c r="G460" s="87"/>
      <c r="H460" s="86"/>
      <c r="I460" s="86"/>
      <c r="J460" s="86"/>
      <c r="K460" s="84"/>
      <c r="L460" s="84" t="str">
        <f>IFERROR(__xludf.DUMMYFUNCTION("IF(A460="""","""", COUNT(SPLIT(K460,"";"")))"),"")</f>
        <v/>
      </c>
      <c r="M460" s="84" t="str">
        <f t="shared" si="1"/>
        <v/>
      </c>
      <c r="N460" s="84" t="str">
        <f>IFERROR(__xludf.DUMMYFUNCTION("IFERROR(AVERAGE(query(INDIRECT(""'FR Table'!"" &amp; vlookup(rows($A$1:$A459),Reference!$O:$P,2,false) &amp; ""3:"" &amp; vlookup(rows($A$1:$A459),Reference!$O:$P,2,false)), 
""SELECT "" &amp; vlookup(rows($A$1:$A459),Reference!$O:$P,2,false) 
&amp; "" WHERE "" &amp; vlookup(row"&amp;"s($A$1:$A459),Reference!$O:$P,2,false) &amp;
"" &gt;= "" &amp; Reference!$R$2)) * M460,"""")"),"")</f>
        <v/>
      </c>
      <c r="O460" s="84" t="str">
        <f t="shared" si="2"/>
        <v/>
      </c>
    </row>
    <row r="461">
      <c r="A461" s="84"/>
      <c r="B461" s="84"/>
      <c r="C461" s="85"/>
      <c r="D461" s="86"/>
      <c r="E461" s="87"/>
      <c r="F461" s="86"/>
      <c r="G461" s="87"/>
      <c r="H461" s="86"/>
      <c r="I461" s="86"/>
      <c r="J461" s="86"/>
      <c r="K461" s="84"/>
      <c r="L461" s="84" t="str">
        <f>IFERROR(__xludf.DUMMYFUNCTION("IF(A461="""","""", COUNT(SPLIT(K461,"";"")))"),"")</f>
        <v/>
      </c>
      <c r="M461" s="84" t="str">
        <f t="shared" si="1"/>
        <v/>
      </c>
      <c r="N461" s="84" t="str">
        <f>IFERROR(__xludf.DUMMYFUNCTION("IFERROR(AVERAGE(query(INDIRECT(""'FR Table'!"" &amp; vlookup(rows($A$1:$A460),Reference!$O:$P,2,false) &amp; ""3:"" &amp; vlookup(rows($A$1:$A460),Reference!$O:$P,2,false)), 
""SELECT "" &amp; vlookup(rows($A$1:$A460),Reference!$O:$P,2,false) 
&amp; "" WHERE "" &amp; vlookup(row"&amp;"s($A$1:$A460),Reference!$O:$P,2,false) &amp;
"" &gt;= "" &amp; Reference!$R$2)) * M461,"""")"),"")</f>
        <v/>
      </c>
      <c r="O461" s="84" t="str">
        <f t="shared" si="2"/>
        <v/>
      </c>
    </row>
    <row r="462">
      <c r="A462" s="84"/>
      <c r="B462" s="84"/>
      <c r="C462" s="85"/>
      <c r="D462" s="86"/>
      <c r="E462" s="87"/>
      <c r="F462" s="86"/>
      <c r="G462" s="87"/>
      <c r="H462" s="86"/>
      <c r="I462" s="86"/>
      <c r="J462" s="86"/>
      <c r="K462" s="84"/>
      <c r="L462" s="84" t="str">
        <f>IFERROR(__xludf.DUMMYFUNCTION("IF(A462="""","""", COUNT(SPLIT(K462,"";"")))"),"")</f>
        <v/>
      </c>
      <c r="M462" s="84" t="str">
        <f t="shared" si="1"/>
        <v/>
      </c>
      <c r="N462" s="84" t="str">
        <f>IFERROR(__xludf.DUMMYFUNCTION("IFERROR(AVERAGE(query(INDIRECT(""'FR Table'!"" &amp; vlookup(rows($A$1:$A461),Reference!$O:$P,2,false) &amp; ""3:"" &amp; vlookup(rows($A$1:$A461),Reference!$O:$P,2,false)), 
""SELECT "" &amp; vlookup(rows($A$1:$A461),Reference!$O:$P,2,false) 
&amp; "" WHERE "" &amp; vlookup(row"&amp;"s($A$1:$A461),Reference!$O:$P,2,false) &amp;
"" &gt;= "" &amp; Reference!$R$2)) * M462,"""")"),"")</f>
        <v/>
      </c>
      <c r="O462" s="84" t="str">
        <f t="shared" si="2"/>
        <v/>
      </c>
    </row>
    <row r="463">
      <c r="A463" s="84"/>
      <c r="B463" s="84"/>
      <c r="C463" s="85"/>
      <c r="D463" s="86"/>
      <c r="E463" s="87"/>
      <c r="F463" s="86"/>
      <c r="G463" s="87"/>
      <c r="H463" s="86"/>
      <c r="I463" s="86"/>
      <c r="J463" s="86"/>
      <c r="K463" s="84"/>
      <c r="L463" s="84" t="str">
        <f>IFERROR(__xludf.DUMMYFUNCTION("IF(A463="""","""", COUNT(SPLIT(K463,"";"")))"),"")</f>
        <v/>
      </c>
      <c r="M463" s="84" t="str">
        <f t="shared" si="1"/>
        <v/>
      </c>
      <c r="N463" s="84" t="str">
        <f>IFERROR(__xludf.DUMMYFUNCTION("IFERROR(AVERAGE(query(INDIRECT(""'FR Table'!"" &amp; vlookup(rows($A$1:$A462),Reference!$O:$P,2,false) &amp; ""3:"" &amp; vlookup(rows($A$1:$A462),Reference!$O:$P,2,false)), 
""SELECT "" &amp; vlookup(rows($A$1:$A462),Reference!$O:$P,2,false) 
&amp; "" WHERE "" &amp; vlookup(row"&amp;"s($A$1:$A462),Reference!$O:$P,2,false) &amp;
"" &gt;= "" &amp; Reference!$R$2)) * M463,"""")"),"")</f>
        <v/>
      </c>
      <c r="O463" s="84" t="str">
        <f t="shared" si="2"/>
        <v/>
      </c>
    </row>
    <row r="464">
      <c r="A464" s="84"/>
      <c r="B464" s="84"/>
      <c r="C464" s="85"/>
      <c r="D464" s="86"/>
      <c r="E464" s="87"/>
      <c r="F464" s="86"/>
      <c r="G464" s="87"/>
      <c r="H464" s="86"/>
      <c r="I464" s="86"/>
      <c r="J464" s="86"/>
      <c r="K464" s="84"/>
      <c r="L464" s="84" t="str">
        <f>IFERROR(__xludf.DUMMYFUNCTION("IF(A464="""","""", COUNT(SPLIT(K464,"";"")))"),"")</f>
        <v/>
      </c>
      <c r="M464" s="84" t="str">
        <f t="shared" si="1"/>
        <v/>
      </c>
      <c r="N464" s="84" t="str">
        <f>IFERROR(__xludf.DUMMYFUNCTION("IFERROR(AVERAGE(query(INDIRECT(""'FR Table'!"" &amp; vlookup(rows($A$1:$A463),Reference!$O:$P,2,false) &amp; ""3:"" &amp; vlookup(rows($A$1:$A463),Reference!$O:$P,2,false)), 
""SELECT "" &amp; vlookup(rows($A$1:$A463),Reference!$O:$P,2,false) 
&amp; "" WHERE "" &amp; vlookup(row"&amp;"s($A$1:$A463),Reference!$O:$P,2,false) &amp;
"" &gt;= "" &amp; Reference!$R$2)) * M464,"""")"),"")</f>
        <v/>
      </c>
      <c r="O464" s="84" t="str">
        <f t="shared" si="2"/>
        <v/>
      </c>
    </row>
    <row r="465">
      <c r="A465" s="84"/>
      <c r="B465" s="84"/>
      <c r="C465" s="85"/>
      <c r="D465" s="86"/>
      <c r="E465" s="87"/>
      <c r="F465" s="86"/>
      <c r="G465" s="87"/>
      <c r="H465" s="86"/>
      <c r="I465" s="86"/>
      <c r="J465" s="86"/>
      <c r="K465" s="84"/>
      <c r="L465" s="84" t="str">
        <f>IFERROR(__xludf.DUMMYFUNCTION("IF(A465="""","""", COUNT(SPLIT(K465,"";"")))"),"")</f>
        <v/>
      </c>
      <c r="M465" s="84" t="str">
        <f t="shared" si="1"/>
        <v/>
      </c>
      <c r="N465" s="84" t="str">
        <f>IFERROR(__xludf.DUMMYFUNCTION("IFERROR(AVERAGE(query(INDIRECT(""'FR Table'!"" &amp; vlookup(rows($A$1:$A464),Reference!$O:$P,2,false) &amp; ""3:"" &amp; vlookup(rows($A$1:$A464),Reference!$O:$P,2,false)), 
""SELECT "" &amp; vlookup(rows($A$1:$A464),Reference!$O:$P,2,false) 
&amp; "" WHERE "" &amp; vlookup(row"&amp;"s($A$1:$A464),Reference!$O:$P,2,false) &amp;
"" &gt;= "" &amp; Reference!$R$2)) * M465,"""")"),"")</f>
        <v/>
      </c>
      <c r="O465" s="84" t="str">
        <f t="shared" si="2"/>
        <v/>
      </c>
    </row>
    <row r="466">
      <c r="A466" s="84"/>
      <c r="B466" s="84"/>
      <c r="C466" s="85"/>
      <c r="D466" s="86"/>
      <c r="E466" s="87"/>
      <c r="F466" s="86"/>
      <c r="G466" s="87"/>
      <c r="H466" s="86"/>
      <c r="I466" s="86"/>
      <c r="J466" s="86"/>
      <c r="K466" s="84"/>
      <c r="L466" s="84" t="str">
        <f>IFERROR(__xludf.DUMMYFUNCTION("IF(A466="""","""", COUNT(SPLIT(K466,"";"")))"),"")</f>
        <v/>
      </c>
      <c r="M466" s="84" t="str">
        <f t="shared" si="1"/>
        <v/>
      </c>
      <c r="N466" s="84" t="str">
        <f>IFERROR(__xludf.DUMMYFUNCTION("IFERROR(AVERAGE(query(INDIRECT(""'FR Table'!"" &amp; vlookup(rows($A$1:$A465),Reference!$O:$P,2,false) &amp; ""3:"" &amp; vlookup(rows($A$1:$A465),Reference!$O:$P,2,false)), 
""SELECT "" &amp; vlookup(rows($A$1:$A465),Reference!$O:$P,2,false) 
&amp; "" WHERE "" &amp; vlookup(row"&amp;"s($A$1:$A465),Reference!$O:$P,2,false) &amp;
"" &gt;= "" &amp; Reference!$R$2)) * M466,"""")"),"")</f>
        <v/>
      </c>
      <c r="O466" s="84" t="str">
        <f t="shared" si="2"/>
        <v/>
      </c>
    </row>
    <row r="467">
      <c r="A467" s="84"/>
      <c r="B467" s="84"/>
      <c r="C467" s="85"/>
      <c r="D467" s="86"/>
      <c r="E467" s="87"/>
      <c r="F467" s="86"/>
      <c r="G467" s="87"/>
      <c r="H467" s="86"/>
      <c r="I467" s="86"/>
      <c r="J467" s="86"/>
      <c r="K467" s="84"/>
      <c r="L467" s="84" t="str">
        <f>IFERROR(__xludf.DUMMYFUNCTION("IF(A467="""","""", COUNT(SPLIT(K467,"";"")))"),"")</f>
        <v/>
      </c>
      <c r="M467" s="84" t="str">
        <f t="shared" si="1"/>
        <v/>
      </c>
      <c r="N467" s="84" t="str">
        <f>IFERROR(__xludf.DUMMYFUNCTION("IFERROR(AVERAGE(query(INDIRECT(""'FR Table'!"" &amp; vlookup(rows($A$1:$A466),Reference!$O:$P,2,false) &amp; ""3:"" &amp; vlookup(rows($A$1:$A466),Reference!$O:$P,2,false)), 
""SELECT "" &amp; vlookup(rows($A$1:$A466),Reference!$O:$P,2,false) 
&amp; "" WHERE "" &amp; vlookup(row"&amp;"s($A$1:$A466),Reference!$O:$P,2,false) &amp;
"" &gt;= "" &amp; Reference!$R$2)) * M467,"""")"),"")</f>
        <v/>
      </c>
      <c r="O467" s="84" t="str">
        <f t="shared" si="2"/>
        <v/>
      </c>
    </row>
    <row r="468">
      <c r="A468" s="84"/>
      <c r="B468" s="84"/>
      <c r="C468" s="85"/>
      <c r="D468" s="86"/>
      <c r="E468" s="87"/>
      <c r="F468" s="86"/>
      <c r="G468" s="87"/>
      <c r="H468" s="86"/>
      <c r="I468" s="86"/>
      <c r="J468" s="86"/>
      <c r="K468" s="84"/>
      <c r="L468" s="84" t="str">
        <f>IFERROR(__xludf.DUMMYFUNCTION("IF(A468="""","""", COUNT(SPLIT(K468,"";"")))"),"")</f>
        <v/>
      </c>
      <c r="M468" s="84" t="str">
        <f t="shared" si="1"/>
        <v/>
      </c>
      <c r="N468" s="84" t="str">
        <f>IFERROR(__xludf.DUMMYFUNCTION("IFERROR(AVERAGE(query(INDIRECT(""'FR Table'!"" &amp; vlookup(rows($A$1:$A467),Reference!$O:$P,2,false) &amp; ""3:"" &amp; vlookup(rows($A$1:$A467),Reference!$O:$P,2,false)), 
""SELECT "" &amp; vlookup(rows($A$1:$A467),Reference!$O:$P,2,false) 
&amp; "" WHERE "" &amp; vlookup(row"&amp;"s($A$1:$A467),Reference!$O:$P,2,false) &amp;
"" &gt;= "" &amp; Reference!$R$2)) * M468,"""")"),"")</f>
        <v/>
      </c>
      <c r="O468" s="84" t="str">
        <f t="shared" si="2"/>
        <v/>
      </c>
    </row>
    <row r="469">
      <c r="A469" s="84"/>
      <c r="B469" s="84"/>
      <c r="C469" s="85"/>
      <c r="D469" s="86"/>
      <c r="E469" s="87"/>
      <c r="F469" s="86"/>
      <c r="G469" s="87"/>
      <c r="H469" s="86"/>
      <c r="I469" s="86"/>
      <c r="J469" s="86"/>
      <c r="K469" s="84"/>
      <c r="L469" s="84" t="str">
        <f>IFERROR(__xludf.DUMMYFUNCTION("IF(A469="""","""", COUNT(SPLIT(K469,"";"")))"),"")</f>
        <v/>
      </c>
      <c r="M469" s="84" t="str">
        <f t="shared" si="1"/>
        <v/>
      </c>
      <c r="N469" s="84" t="str">
        <f>IFERROR(__xludf.DUMMYFUNCTION("IFERROR(AVERAGE(query(INDIRECT(""'FR Table'!"" &amp; vlookup(rows($A$1:$A468),Reference!$O:$P,2,false) &amp; ""3:"" &amp; vlookup(rows($A$1:$A468),Reference!$O:$P,2,false)), 
""SELECT "" &amp; vlookup(rows($A$1:$A468),Reference!$O:$P,2,false) 
&amp; "" WHERE "" &amp; vlookup(row"&amp;"s($A$1:$A468),Reference!$O:$P,2,false) &amp;
"" &gt;= "" &amp; Reference!$R$2)) * M469,"""")"),"")</f>
        <v/>
      </c>
      <c r="O469" s="84" t="str">
        <f t="shared" si="2"/>
        <v/>
      </c>
    </row>
    <row r="470">
      <c r="A470" s="84"/>
      <c r="B470" s="84"/>
      <c r="C470" s="85"/>
      <c r="D470" s="86"/>
      <c r="E470" s="87"/>
      <c r="F470" s="86"/>
      <c r="G470" s="87"/>
      <c r="H470" s="86"/>
      <c r="I470" s="86"/>
      <c r="J470" s="86"/>
      <c r="K470" s="84"/>
      <c r="L470" s="84" t="str">
        <f>IFERROR(__xludf.DUMMYFUNCTION("IF(A470="""","""", COUNT(SPLIT(K470,"";"")))"),"")</f>
        <v/>
      </c>
      <c r="M470" s="84" t="str">
        <f t="shared" si="1"/>
        <v/>
      </c>
      <c r="N470" s="84" t="str">
        <f>IFERROR(__xludf.DUMMYFUNCTION("IFERROR(AVERAGE(query(INDIRECT(""'FR Table'!"" &amp; vlookup(rows($A$1:$A469),Reference!$O:$P,2,false) &amp; ""3:"" &amp; vlookup(rows($A$1:$A469),Reference!$O:$P,2,false)), 
""SELECT "" &amp; vlookup(rows($A$1:$A469),Reference!$O:$P,2,false) 
&amp; "" WHERE "" &amp; vlookup(row"&amp;"s($A$1:$A469),Reference!$O:$P,2,false) &amp;
"" &gt;= "" &amp; Reference!$R$2)) * M470,"""")"),"")</f>
        <v/>
      </c>
      <c r="O470" s="84" t="str">
        <f t="shared" si="2"/>
        <v/>
      </c>
    </row>
    <row r="471">
      <c r="A471" s="84"/>
      <c r="B471" s="84"/>
      <c r="C471" s="85"/>
      <c r="D471" s="86"/>
      <c r="E471" s="87"/>
      <c r="F471" s="86"/>
      <c r="G471" s="87"/>
      <c r="H471" s="86"/>
      <c r="I471" s="86"/>
      <c r="J471" s="86"/>
      <c r="K471" s="84"/>
      <c r="L471" s="84" t="str">
        <f>IFERROR(__xludf.DUMMYFUNCTION("IF(A471="""","""", COUNT(SPLIT(K471,"";"")))"),"")</f>
        <v/>
      </c>
      <c r="M471" s="84" t="str">
        <f t="shared" si="1"/>
        <v/>
      </c>
      <c r="N471" s="84" t="str">
        <f>IFERROR(__xludf.DUMMYFUNCTION("IFERROR(AVERAGE(query(INDIRECT(""'FR Table'!"" &amp; vlookup(rows($A$1:$A470),Reference!$O:$P,2,false) &amp; ""3:"" &amp; vlookup(rows($A$1:$A470),Reference!$O:$P,2,false)), 
""SELECT "" &amp; vlookup(rows($A$1:$A470),Reference!$O:$P,2,false) 
&amp; "" WHERE "" &amp; vlookup(row"&amp;"s($A$1:$A470),Reference!$O:$P,2,false) &amp;
"" &gt;= "" &amp; Reference!$R$2)) * M471,"""")"),"")</f>
        <v/>
      </c>
      <c r="O471" s="84" t="str">
        <f t="shared" si="2"/>
        <v/>
      </c>
    </row>
    <row r="472">
      <c r="A472" s="84"/>
      <c r="B472" s="84"/>
      <c r="C472" s="85"/>
      <c r="D472" s="86"/>
      <c r="E472" s="87"/>
      <c r="F472" s="86"/>
      <c r="G472" s="87"/>
      <c r="H472" s="86"/>
      <c r="I472" s="86"/>
      <c r="J472" s="86"/>
      <c r="K472" s="84"/>
      <c r="L472" s="84" t="str">
        <f>IFERROR(__xludf.DUMMYFUNCTION("IF(A472="""","""", COUNT(SPLIT(K472,"";"")))"),"")</f>
        <v/>
      </c>
      <c r="M472" s="84" t="str">
        <f t="shared" si="1"/>
        <v/>
      </c>
      <c r="N472" s="84" t="str">
        <f>IFERROR(__xludf.DUMMYFUNCTION("IFERROR(AVERAGE(query(INDIRECT(""'FR Table'!"" &amp; vlookup(rows($A$1:$A471),Reference!$O:$P,2,false) &amp; ""3:"" &amp; vlookup(rows($A$1:$A471),Reference!$O:$P,2,false)), 
""SELECT "" &amp; vlookup(rows($A$1:$A471),Reference!$O:$P,2,false) 
&amp; "" WHERE "" &amp; vlookup(row"&amp;"s($A$1:$A471),Reference!$O:$P,2,false) &amp;
"" &gt;= "" &amp; Reference!$R$2)) * M472,"""")"),"")</f>
        <v/>
      </c>
      <c r="O472" s="84" t="str">
        <f t="shared" si="2"/>
        <v/>
      </c>
    </row>
    <row r="473">
      <c r="A473" s="84"/>
      <c r="B473" s="84"/>
      <c r="C473" s="85"/>
      <c r="D473" s="86"/>
      <c r="E473" s="87"/>
      <c r="F473" s="86"/>
      <c r="G473" s="87"/>
      <c r="H473" s="86"/>
      <c r="I473" s="86"/>
      <c r="J473" s="86"/>
      <c r="K473" s="84"/>
      <c r="L473" s="84" t="str">
        <f>IFERROR(__xludf.DUMMYFUNCTION("IF(A473="""","""", COUNT(SPLIT(K473,"";"")))"),"")</f>
        <v/>
      </c>
      <c r="M473" s="84" t="str">
        <f t="shared" si="1"/>
        <v/>
      </c>
      <c r="N473" s="84" t="str">
        <f>IFERROR(__xludf.DUMMYFUNCTION("IFERROR(AVERAGE(query(INDIRECT(""'FR Table'!"" &amp; vlookup(rows($A$1:$A472),Reference!$O:$P,2,false) &amp; ""3:"" &amp; vlookup(rows($A$1:$A472),Reference!$O:$P,2,false)), 
""SELECT "" &amp; vlookup(rows($A$1:$A472),Reference!$O:$P,2,false) 
&amp; "" WHERE "" &amp; vlookup(row"&amp;"s($A$1:$A472),Reference!$O:$P,2,false) &amp;
"" &gt;= "" &amp; Reference!$R$2)) * M473,"""")"),"")</f>
        <v/>
      </c>
      <c r="O473" s="84" t="str">
        <f t="shared" si="2"/>
        <v/>
      </c>
    </row>
    <row r="474">
      <c r="A474" s="84"/>
      <c r="B474" s="84"/>
      <c r="C474" s="85"/>
      <c r="D474" s="86"/>
      <c r="E474" s="87"/>
      <c r="F474" s="86"/>
      <c r="G474" s="87"/>
      <c r="H474" s="86"/>
      <c r="I474" s="86"/>
      <c r="J474" s="86"/>
      <c r="K474" s="84"/>
      <c r="L474" s="84" t="str">
        <f>IFERROR(__xludf.DUMMYFUNCTION("IF(A474="""","""", COUNT(SPLIT(K474,"";"")))"),"")</f>
        <v/>
      </c>
      <c r="M474" s="84" t="str">
        <f t="shared" si="1"/>
        <v/>
      </c>
      <c r="N474" s="84" t="str">
        <f>IFERROR(__xludf.DUMMYFUNCTION("IFERROR(AVERAGE(query(INDIRECT(""'FR Table'!"" &amp; vlookup(rows($A$1:$A473),Reference!$O:$P,2,false) &amp; ""3:"" &amp; vlookup(rows($A$1:$A473),Reference!$O:$P,2,false)), 
""SELECT "" &amp; vlookup(rows($A$1:$A473),Reference!$O:$P,2,false) 
&amp; "" WHERE "" &amp; vlookup(row"&amp;"s($A$1:$A473),Reference!$O:$P,2,false) &amp;
"" &gt;= "" &amp; Reference!$R$2)) * M474,"""")"),"")</f>
        <v/>
      </c>
      <c r="O474" s="84" t="str">
        <f t="shared" si="2"/>
        <v/>
      </c>
    </row>
    <row r="475">
      <c r="A475" s="84"/>
      <c r="B475" s="84"/>
      <c r="C475" s="85"/>
      <c r="D475" s="86"/>
      <c r="E475" s="87"/>
      <c r="F475" s="86"/>
      <c r="G475" s="87"/>
      <c r="H475" s="86"/>
      <c r="I475" s="86"/>
      <c r="J475" s="86"/>
      <c r="K475" s="84"/>
      <c r="L475" s="84" t="str">
        <f>IFERROR(__xludf.DUMMYFUNCTION("IF(A475="""","""", COUNT(SPLIT(K475,"";"")))"),"")</f>
        <v/>
      </c>
      <c r="M475" s="84" t="str">
        <f t="shared" si="1"/>
        <v/>
      </c>
      <c r="N475" s="84" t="str">
        <f>IFERROR(__xludf.DUMMYFUNCTION("IFERROR(AVERAGE(query(INDIRECT(""'FR Table'!"" &amp; vlookup(rows($A$1:$A474),Reference!$O:$P,2,false) &amp; ""3:"" &amp; vlookup(rows($A$1:$A474),Reference!$O:$P,2,false)), 
""SELECT "" &amp; vlookup(rows($A$1:$A474),Reference!$O:$P,2,false) 
&amp; "" WHERE "" &amp; vlookup(row"&amp;"s($A$1:$A474),Reference!$O:$P,2,false) &amp;
"" &gt;= "" &amp; Reference!$R$2)) * M475,"""")"),"")</f>
        <v/>
      </c>
      <c r="O475" s="84" t="str">
        <f t="shared" si="2"/>
        <v/>
      </c>
    </row>
    <row r="476">
      <c r="A476" s="84"/>
      <c r="B476" s="84"/>
      <c r="C476" s="85"/>
      <c r="D476" s="86"/>
      <c r="E476" s="87"/>
      <c r="F476" s="86"/>
      <c r="G476" s="87"/>
      <c r="H476" s="86"/>
      <c r="I476" s="86"/>
      <c r="J476" s="86"/>
      <c r="K476" s="84"/>
      <c r="L476" s="84" t="str">
        <f>IFERROR(__xludf.DUMMYFUNCTION("IF(A476="""","""", COUNT(SPLIT(K476,"";"")))"),"")</f>
        <v/>
      </c>
      <c r="M476" s="84" t="str">
        <f t="shared" si="1"/>
        <v/>
      </c>
      <c r="N476" s="84" t="str">
        <f>IFERROR(__xludf.DUMMYFUNCTION("IFERROR(AVERAGE(query(INDIRECT(""'FR Table'!"" &amp; vlookup(rows($A$1:$A475),Reference!$O:$P,2,false) &amp; ""3:"" &amp; vlookup(rows($A$1:$A475),Reference!$O:$P,2,false)), 
""SELECT "" &amp; vlookup(rows($A$1:$A475),Reference!$O:$P,2,false) 
&amp; "" WHERE "" &amp; vlookup(row"&amp;"s($A$1:$A475),Reference!$O:$P,2,false) &amp;
"" &gt;= "" &amp; Reference!$R$2)) * M476,"""")"),"")</f>
        <v/>
      </c>
      <c r="O476" s="84" t="str">
        <f t="shared" si="2"/>
        <v/>
      </c>
    </row>
    <row r="477">
      <c r="A477" s="84"/>
      <c r="B477" s="84"/>
      <c r="C477" s="85"/>
      <c r="D477" s="86"/>
      <c r="E477" s="87"/>
      <c r="F477" s="86"/>
      <c r="G477" s="87"/>
      <c r="H477" s="86"/>
      <c r="I477" s="86"/>
      <c r="J477" s="86"/>
      <c r="K477" s="84"/>
      <c r="L477" s="84" t="str">
        <f>IFERROR(__xludf.DUMMYFUNCTION("IF(A477="""","""", COUNT(SPLIT(K477,"";"")))"),"")</f>
        <v/>
      </c>
      <c r="M477" s="84" t="str">
        <f t="shared" si="1"/>
        <v/>
      </c>
      <c r="N477" s="84" t="str">
        <f>IFERROR(__xludf.DUMMYFUNCTION("IFERROR(AVERAGE(query(INDIRECT(""'FR Table'!"" &amp; vlookup(rows($A$1:$A476),Reference!$O:$P,2,false) &amp; ""3:"" &amp; vlookup(rows($A$1:$A476),Reference!$O:$P,2,false)), 
""SELECT "" &amp; vlookup(rows($A$1:$A476),Reference!$O:$P,2,false) 
&amp; "" WHERE "" &amp; vlookup(row"&amp;"s($A$1:$A476),Reference!$O:$P,2,false) &amp;
"" &gt;= "" &amp; Reference!$R$2)) * M477,"""")"),"")</f>
        <v/>
      </c>
      <c r="O477" s="84" t="str">
        <f t="shared" si="2"/>
        <v/>
      </c>
    </row>
    <row r="478">
      <c r="A478" s="84"/>
      <c r="B478" s="84"/>
      <c r="C478" s="85"/>
      <c r="D478" s="86"/>
      <c r="E478" s="87"/>
      <c r="F478" s="86"/>
      <c r="G478" s="87"/>
      <c r="H478" s="86"/>
      <c r="I478" s="86"/>
      <c r="J478" s="86"/>
      <c r="K478" s="84"/>
      <c r="L478" s="84" t="str">
        <f>IFERROR(__xludf.DUMMYFUNCTION("IF(A478="""","""", COUNT(SPLIT(K478,"";"")))"),"")</f>
        <v/>
      </c>
      <c r="M478" s="84" t="str">
        <f t="shared" si="1"/>
        <v/>
      </c>
      <c r="N478" s="84" t="str">
        <f>IFERROR(__xludf.DUMMYFUNCTION("IFERROR(AVERAGE(query(INDIRECT(""'FR Table'!"" &amp; vlookup(rows($A$1:$A477),Reference!$O:$P,2,false) &amp; ""3:"" &amp; vlookup(rows($A$1:$A477),Reference!$O:$P,2,false)), 
""SELECT "" &amp; vlookup(rows($A$1:$A477),Reference!$O:$P,2,false) 
&amp; "" WHERE "" &amp; vlookup(row"&amp;"s($A$1:$A477),Reference!$O:$P,2,false) &amp;
"" &gt;= "" &amp; Reference!$R$2)) * M478,"""")"),"")</f>
        <v/>
      </c>
      <c r="O478" s="84" t="str">
        <f t="shared" si="2"/>
        <v/>
      </c>
    </row>
    <row r="479">
      <c r="A479" s="84"/>
      <c r="B479" s="84"/>
      <c r="C479" s="85"/>
      <c r="D479" s="86"/>
      <c r="E479" s="87"/>
      <c r="F479" s="86"/>
      <c r="G479" s="87"/>
      <c r="H479" s="86"/>
      <c r="I479" s="86"/>
      <c r="J479" s="86"/>
      <c r="K479" s="84"/>
      <c r="L479" s="84" t="str">
        <f>IFERROR(__xludf.DUMMYFUNCTION("IF(A479="""","""", COUNT(SPLIT(K479,"";"")))"),"")</f>
        <v/>
      </c>
      <c r="M479" s="84" t="str">
        <f t="shared" si="1"/>
        <v/>
      </c>
      <c r="N479" s="84" t="str">
        <f>IFERROR(__xludf.DUMMYFUNCTION("IFERROR(AVERAGE(query(INDIRECT(""'FR Table'!"" &amp; vlookup(rows($A$1:$A478),Reference!$O:$P,2,false) &amp; ""3:"" &amp; vlookup(rows($A$1:$A478),Reference!$O:$P,2,false)), 
""SELECT "" &amp; vlookup(rows($A$1:$A478),Reference!$O:$P,2,false) 
&amp; "" WHERE "" &amp; vlookup(row"&amp;"s($A$1:$A478),Reference!$O:$P,2,false) &amp;
"" &gt;= "" &amp; Reference!$R$2)) * M479,"""")"),"")</f>
        <v/>
      </c>
      <c r="O479" s="84" t="str">
        <f t="shared" si="2"/>
        <v/>
      </c>
    </row>
    <row r="480">
      <c r="A480" s="84"/>
      <c r="B480" s="84"/>
      <c r="C480" s="85"/>
      <c r="D480" s="86"/>
      <c r="E480" s="87"/>
      <c r="F480" s="86"/>
      <c r="G480" s="87"/>
      <c r="H480" s="86"/>
      <c r="I480" s="86"/>
      <c r="J480" s="86"/>
      <c r="K480" s="84"/>
      <c r="L480" s="84" t="str">
        <f>IFERROR(__xludf.DUMMYFUNCTION("IF(A480="""","""", COUNT(SPLIT(K480,"";"")))"),"")</f>
        <v/>
      </c>
      <c r="M480" s="84" t="str">
        <f t="shared" si="1"/>
        <v/>
      </c>
      <c r="N480" s="84" t="str">
        <f>IFERROR(__xludf.DUMMYFUNCTION("IFERROR(AVERAGE(query(INDIRECT(""'FR Table'!"" &amp; vlookup(rows($A$1:$A479),Reference!$O:$P,2,false) &amp; ""3:"" &amp; vlookup(rows($A$1:$A479),Reference!$O:$P,2,false)), 
""SELECT "" &amp; vlookup(rows($A$1:$A479),Reference!$O:$P,2,false) 
&amp; "" WHERE "" &amp; vlookup(row"&amp;"s($A$1:$A479),Reference!$O:$P,2,false) &amp;
"" &gt;= "" &amp; Reference!$R$2)) * M480,"""")"),"")</f>
        <v/>
      </c>
      <c r="O480" s="84" t="str">
        <f t="shared" si="2"/>
        <v/>
      </c>
    </row>
    <row r="481">
      <c r="A481" s="84"/>
      <c r="B481" s="84"/>
      <c r="C481" s="85"/>
      <c r="D481" s="86"/>
      <c r="E481" s="87"/>
      <c r="F481" s="86"/>
      <c r="G481" s="87"/>
      <c r="H481" s="86"/>
      <c r="I481" s="86"/>
      <c r="J481" s="86"/>
      <c r="K481" s="84"/>
      <c r="L481" s="84" t="str">
        <f>IFERROR(__xludf.DUMMYFUNCTION("IF(A481="""","""", COUNT(SPLIT(K481,"";"")))"),"")</f>
        <v/>
      </c>
      <c r="M481" s="84" t="str">
        <f t="shared" si="1"/>
        <v/>
      </c>
      <c r="N481" s="84" t="str">
        <f>IFERROR(__xludf.DUMMYFUNCTION("IFERROR(AVERAGE(query(INDIRECT(""'FR Table'!"" &amp; vlookup(rows($A$1:$A480),Reference!$O:$P,2,false) &amp; ""3:"" &amp; vlookup(rows($A$1:$A480),Reference!$O:$P,2,false)), 
""SELECT "" &amp; vlookup(rows($A$1:$A480),Reference!$O:$P,2,false) 
&amp; "" WHERE "" &amp; vlookup(row"&amp;"s($A$1:$A480),Reference!$O:$P,2,false) &amp;
"" &gt;= "" &amp; Reference!$R$2)) * M481,"""")"),"")</f>
        <v/>
      </c>
      <c r="O481" s="84" t="str">
        <f t="shared" si="2"/>
        <v/>
      </c>
    </row>
    <row r="482">
      <c r="A482" s="84"/>
      <c r="B482" s="84"/>
      <c r="C482" s="85"/>
      <c r="D482" s="86"/>
      <c r="E482" s="87"/>
      <c r="F482" s="86"/>
      <c r="G482" s="87"/>
      <c r="H482" s="86"/>
      <c r="I482" s="86"/>
      <c r="J482" s="86"/>
      <c r="K482" s="84"/>
      <c r="L482" s="84" t="str">
        <f>IFERROR(__xludf.DUMMYFUNCTION("IF(A482="""","""", COUNT(SPLIT(K482,"";"")))"),"")</f>
        <v/>
      </c>
      <c r="M482" s="84" t="str">
        <f t="shared" si="1"/>
        <v/>
      </c>
      <c r="N482" s="84" t="str">
        <f>IFERROR(__xludf.DUMMYFUNCTION("IFERROR(AVERAGE(query(INDIRECT(""'FR Table'!"" &amp; vlookup(rows($A$1:$A481),Reference!$O:$P,2,false) &amp; ""3:"" &amp; vlookup(rows($A$1:$A481),Reference!$O:$P,2,false)), 
""SELECT "" &amp; vlookup(rows($A$1:$A481),Reference!$O:$P,2,false) 
&amp; "" WHERE "" &amp; vlookup(row"&amp;"s($A$1:$A481),Reference!$O:$P,2,false) &amp;
"" &gt;= "" &amp; Reference!$R$2)) * M482,"""")"),"")</f>
        <v/>
      </c>
      <c r="O482" s="84" t="str">
        <f t="shared" si="2"/>
        <v/>
      </c>
    </row>
    <row r="483">
      <c r="A483" s="84"/>
      <c r="B483" s="84"/>
      <c r="C483" s="85"/>
      <c r="D483" s="86"/>
      <c r="E483" s="87"/>
      <c r="F483" s="86"/>
      <c r="G483" s="87"/>
      <c r="H483" s="86"/>
      <c r="I483" s="86"/>
      <c r="J483" s="86"/>
      <c r="K483" s="84"/>
      <c r="L483" s="84" t="str">
        <f>IFERROR(__xludf.DUMMYFUNCTION("IF(A483="""","""", COUNT(SPLIT(K483,"";"")))"),"")</f>
        <v/>
      </c>
      <c r="M483" s="84" t="str">
        <f t="shared" si="1"/>
        <v/>
      </c>
      <c r="N483" s="84" t="str">
        <f>IFERROR(__xludf.DUMMYFUNCTION("IFERROR(AVERAGE(query(INDIRECT(""'FR Table'!"" &amp; vlookup(rows($A$1:$A482),Reference!$O:$P,2,false) &amp; ""3:"" &amp; vlookup(rows($A$1:$A482),Reference!$O:$P,2,false)), 
""SELECT "" &amp; vlookup(rows($A$1:$A482),Reference!$O:$P,2,false) 
&amp; "" WHERE "" &amp; vlookup(row"&amp;"s($A$1:$A482),Reference!$O:$P,2,false) &amp;
"" &gt;= "" &amp; Reference!$R$2)) * M483,"""")"),"")</f>
        <v/>
      </c>
      <c r="O483" s="84" t="str">
        <f t="shared" si="2"/>
        <v/>
      </c>
    </row>
    <row r="484">
      <c r="A484" s="84"/>
      <c r="B484" s="84"/>
      <c r="C484" s="85"/>
      <c r="D484" s="86"/>
      <c r="E484" s="87"/>
      <c r="F484" s="86"/>
      <c r="G484" s="87"/>
      <c r="H484" s="86"/>
      <c r="I484" s="86"/>
      <c r="J484" s="86"/>
      <c r="K484" s="84"/>
      <c r="L484" s="84" t="str">
        <f>IFERROR(__xludf.DUMMYFUNCTION("IF(A484="""","""", COUNT(SPLIT(K484,"";"")))"),"")</f>
        <v/>
      </c>
      <c r="M484" s="84" t="str">
        <f t="shared" si="1"/>
        <v/>
      </c>
      <c r="N484" s="84" t="str">
        <f>IFERROR(__xludf.DUMMYFUNCTION("IFERROR(AVERAGE(query(INDIRECT(""'FR Table'!"" &amp; vlookup(rows($A$1:$A483),Reference!$O:$P,2,false) &amp; ""3:"" &amp; vlookup(rows($A$1:$A483),Reference!$O:$P,2,false)), 
""SELECT "" &amp; vlookup(rows($A$1:$A483),Reference!$O:$P,2,false) 
&amp; "" WHERE "" &amp; vlookup(row"&amp;"s($A$1:$A483),Reference!$O:$P,2,false) &amp;
"" &gt;= "" &amp; Reference!$R$2)) * M484,"""")"),"")</f>
        <v/>
      </c>
      <c r="O484" s="84" t="str">
        <f t="shared" si="2"/>
        <v/>
      </c>
    </row>
    <row r="485">
      <c r="A485" s="84"/>
      <c r="B485" s="84"/>
      <c r="C485" s="85"/>
      <c r="D485" s="86"/>
      <c r="E485" s="87"/>
      <c r="F485" s="86"/>
      <c r="G485" s="87"/>
      <c r="H485" s="86"/>
      <c r="I485" s="86"/>
      <c r="J485" s="86"/>
      <c r="K485" s="84"/>
      <c r="L485" s="84" t="str">
        <f>IFERROR(__xludf.DUMMYFUNCTION("IF(A485="""","""", COUNT(SPLIT(K485,"";"")))"),"")</f>
        <v/>
      </c>
      <c r="M485" s="84" t="str">
        <f t="shared" si="1"/>
        <v/>
      </c>
      <c r="N485" s="84" t="str">
        <f>IFERROR(__xludf.DUMMYFUNCTION("IFERROR(AVERAGE(query(INDIRECT(""'FR Table'!"" &amp; vlookup(rows($A$1:$A484),Reference!$O:$P,2,false) &amp; ""3:"" &amp; vlookup(rows($A$1:$A484),Reference!$O:$P,2,false)), 
""SELECT "" &amp; vlookup(rows($A$1:$A484),Reference!$O:$P,2,false) 
&amp; "" WHERE "" &amp; vlookup(row"&amp;"s($A$1:$A484),Reference!$O:$P,2,false) &amp;
"" &gt;= "" &amp; Reference!$R$2)) * M485,"""")"),"")</f>
        <v/>
      </c>
      <c r="O485" s="84" t="str">
        <f t="shared" si="2"/>
        <v/>
      </c>
    </row>
    <row r="486">
      <c r="A486" s="84"/>
      <c r="B486" s="84"/>
      <c r="C486" s="85"/>
      <c r="D486" s="86"/>
      <c r="E486" s="87"/>
      <c r="F486" s="86"/>
      <c r="G486" s="87"/>
      <c r="H486" s="86"/>
      <c r="I486" s="86"/>
      <c r="J486" s="86"/>
      <c r="K486" s="84"/>
      <c r="L486" s="84" t="str">
        <f>IFERROR(__xludf.DUMMYFUNCTION("IF(A486="""","""", COUNT(SPLIT(K486,"";"")))"),"")</f>
        <v/>
      </c>
      <c r="M486" s="84" t="str">
        <f t="shared" si="1"/>
        <v/>
      </c>
      <c r="N486" s="84" t="str">
        <f>IFERROR(__xludf.DUMMYFUNCTION("IFERROR(AVERAGE(query(INDIRECT(""'FR Table'!"" &amp; vlookup(rows($A$1:$A485),Reference!$O:$P,2,false) &amp; ""3:"" &amp; vlookup(rows($A$1:$A485),Reference!$O:$P,2,false)), 
""SELECT "" &amp; vlookup(rows($A$1:$A485),Reference!$O:$P,2,false) 
&amp; "" WHERE "" &amp; vlookup(row"&amp;"s($A$1:$A485),Reference!$O:$P,2,false) &amp;
"" &gt;= "" &amp; Reference!$R$2)) * M486,"""")"),"")</f>
        <v/>
      </c>
      <c r="O486" s="84" t="str">
        <f t="shared" si="2"/>
        <v/>
      </c>
    </row>
    <row r="487">
      <c r="A487" s="84"/>
      <c r="B487" s="84"/>
      <c r="C487" s="85"/>
      <c r="D487" s="86"/>
      <c r="E487" s="87"/>
      <c r="F487" s="86"/>
      <c r="G487" s="87"/>
      <c r="H487" s="86"/>
      <c r="I487" s="86"/>
      <c r="J487" s="86"/>
      <c r="K487" s="84"/>
      <c r="L487" s="84" t="str">
        <f>IFERROR(__xludf.DUMMYFUNCTION("IF(A487="""","""", COUNT(SPLIT(K487,"";"")))"),"")</f>
        <v/>
      </c>
      <c r="M487" s="84" t="str">
        <f t="shared" si="1"/>
        <v/>
      </c>
      <c r="N487" s="84" t="str">
        <f>IFERROR(__xludf.DUMMYFUNCTION("IFERROR(AVERAGE(query(INDIRECT(""'FR Table'!"" &amp; vlookup(rows($A$1:$A486),Reference!$O:$P,2,false) &amp; ""3:"" &amp; vlookup(rows($A$1:$A486),Reference!$O:$P,2,false)), 
""SELECT "" &amp; vlookup(rows($A$1:$A486),Reference!$O:$P,2,false) 
&amp; "" WHERE "" &amp; vlookup(row"&amp;"s($A$1:$A486),Reference!$O:$P,2,false) &amp;
"" &gt;= "" &amp; Reference!$R$2)) * M487,"""")"),"")</f>
        <v/>
      </c>
      <c r="O487" s="84" t="str">
        <f t="shared" si="2"/>
        <v/>
      </c>
    </row>
    <row r="488">
      <c r="A488" s="84"/>
      <c r="B488" s="84"/>
      <c r="C488" s="85"/>
      <c r="D488" s="86"/>
      <c r="E488" s="87"/>
      <c r="F488" s="86"/>
      <c r="G488" s="87"/>
      <c r="H488" s="86"/>
      <c r="I488" s="86"/>
      <c r="J488" s="86"/>
      <c r="K488" s="84"/>
      <c r="L488" s="84" t="str">
        <f>IFERROR(__xludf.DUMMYFUNCTION("IF(A488="""","""", COUNT(SPLIT(K488,"";"")))"),"")</f>
        <v/>
      </c>
      <c r="M488" s="84" t="str">
        <f t="shared" si="1"/>
        <v/>
      </c>
      <c r="N488" s="84" t="str">
        <f>IFERROR(__xludf.DUMMYFUNCTION("IFERROR(AVERAGE(query(INDIRECT(""'FR Table'!"" &amp; vlookup(rows($A$1:$A487),Reference!$O:$P,2,false) &amp; ""3:"" &amp; vlookup(rows($A$1:$A487),Reference!$O:$P,2,false)), 
""SELECT "" &amp; vlookup(rows($A$1:$A487),Reference!$O:$P,2,false) 
&amp; "" WHERE "" &amp; vlookup(row"&amp;"s($A$1:$A487),Reference!$O:$P,2,false) &amp;
"" &gt;= "" &amp; Reference!$R$2)) * M488,"""")"),"")</f>
        <v/>
      </c>
      <c r="O488" s="84" t="str">
        <f t="shared" si="2"/>
        <v/>
      </c>
    </row>
    <row r="489">
      <c r="A489" s="84"/>
      <c r="B489" s="84"/>
      <c r="C489" s="85"/>
      <c r="D489" s="86"/>
      <c r="E489" s="87"/>
      <c r="F489" s="86"/>
      <c r="G489" s="87"/>
      <c r="H489" s="86"/>
      <c r="I489" s="86"/>
      <c r="J489" s="86"/>
      <c r="K489" s="84"/>
      <c r="L489" s="84" t="str">
        <f>IFERROR(__xludf.DUMMYFUNCTION("IF(A489="""","""", COUNT(SPLIT(K489,"";"")))"),"")</f>
        <v/>
      </c>
      <c r="M489" s="84" t="str">
        <f t="shared" si="1"/>
        <v/>
      </c>
      <c r="N489" s="84" t="str">
        <f>IFERROR(__xludf.DUMMYFUNCTION("IFERROR(AVERAGE(query(INDIRECT(""'FR Table'!"" &amp; vlookup(rows($A$1:$A488),Reference!$O:$P,2,false) &amp; ""3:"" &amp; vlookup(rows($A$1:$A488),Reference!$O:$P,2,false)), 
""SELECT "" &amp; vlookup(rows($A$1:$A488),Reference!$O:$P,2,false) 
&amp; "" WHERE "" &amp; vlookup(row"&amp;"s($A$1:$A488),Reference!$O:$P,2,false) &amp;
"" &gt;= "" &amp; Reference!$R$2)) * M489,"""")"),"")</f>
        <v/>
      </c>
      <c r="O489" s="84" t="str">
        <f t="shared" si="2"/>
        <v/>
      </c>
    </row>
    <row r="490">
      <c r="A490" s="84"/>
      <c r="B490" s="84"/>
      <c r="C490" s="85"/>
      <c r="D490" s="86"/>
      <c r="E490" s="87"/>
      <c r="F490" s="86"/>
      <c r="G490" s="87"/>
      <c r="H490" s="86"/>
      <c r="I490" s="86"/>
      <c r="J490" s="86"/>
      <c r="K490" s="84"/>
      <c r="L490" s="84" t="str">
        <f>IFERROR(__xludf.DUMMYFUNCTION("IF(A490="""","""", COUNT(SPLIT(K490,"";"")))"),"")</f>
        <v/>
      </c>
      <c r="M490" s="84" t="str">
        <f t="shared" si="1"/>
        <v/>
      </c>
      <c r="N490" s="84" t="str">
        <f>IFERROR(__xludf.DUMMYFUNCTION("IFERROR(AVERAGE(query(INDIRECT(""'FR Table'!"" &amp; vlookup(rows($A$1:$A489),Reference!$O:$P,2,false) &amp; ""3:"" &amp; vlookup(rows($A$1:$A489),Reference!$O:$P,2,false)), 
""SELECT "" &amp; vlookup(rows($A$1:$A489),Reference!$O:$P,2,false) 
&amp; "" WHERE "" &amp; vlookup(row"&amp;"s($A$1:$A489),Reference!$O:$P,2,false) &amp;
"" &gt;= "" &amp; Reference!$R$2)) * M490,"""")"),"")</f>
        <v/>
      </c>
      <c r="O490" s="84" t="str">
        <f t="shared" si="2"/>
        <v/>
      </c>
    </row>
    <row r="491">
      <c r="A491" s="84"/>
      <c r="B491" s="84"/>
      <c r="C491" s="85"/>
      <c r="D491" s="86"/>
      <c r="E491" s="87"/>
      <c r="F491" s="86"/>
      <c r="G491" s="87"/>
      <c r="H491" s="86"/>
      <c r="I491" s="86"/>
      <c r="J491" s="86"/>
      <c r="K491" s="84"/>
      <c r="L491" s="84" t="str">
        <f>IFERROR(__xludf.DUMMYFUNCTION("IF(A491="""","""", COUNT(SPLIT(K491,"";"")))"),"")</f>
        <v/>
      </c>
      <c r="M491" s="84" t="str">
        <f t="shared" si="1"/>
        <v/>
      </c>
      <c r="N491" s="84" t="str">
        <f>IFERROR(__xludf.DUMMYFUNCTION("IFERROR(AVERAGE(query(INDIRECT(""'FR Table'!"" &amp; vlookup(rows($A$1:$A490),Reference!$O:$P,2,false) &amp; ""3:"" &amp; vlookup(rows($A$1:$A490),Reference!$O:$P,2,false)), 
""SELECT "" &amp; vlookup(rows($A$1:$A490),Reference!$O:$P,2,false) 
&amp; "" WHERE "" &amp; vlookup(row"&amp;"s($A$1:$A490),Reference!$O:$P,2,false) &amp;
"" &gt;= "" &amp; Reference!$R$2)) * M491,"""")"),"")</f>
        <v/>
      </c>
      <c r="O491" s="84" t="str">
        <f t="shared" si="2"/>
        <v/>
      </c>
    </row>
    <row r="492">
      <c r="A492" s="84"/>
      <c r="B492" s="84"/>
      <c r="C492" s="85"/>
      <c r="D492" s="86"/>
      <c r="E492" s="87"/>
      <c r="F492" s="86"/>
      <c r="G492" s="87"/>
      <c r="H492" s="86"/>
      <c r="I492" s="86"/>
      <c r="J492" s="86"/>
      <c r="K492" s="84"/>
      <c r="L492" s="84" t="str">
        <f>IFERROR(__xludf.DUMMYFUNCTION("IF(A492="""","""", COUNT(SPLIT(K492,"";"")))"),"")</f>
        <v/>
      </c>
      <c r="M492" s="84" t="str">
        <f t="shared" si="1"/>
        <v/>
      </c>
      <c r="N492" s="84" t="str">
        <f>IFERROR(__xludf.DUMMYFUNCTION("IFERROR(AVERAGE(query(INDIRECT(""'FR Table'!"" &amp; vlookup(rows($A$1:$A491),Reference!$O:$P,2,false) &amp; ""3:"" &amp; vlookup(rows($A$1:$A491),Reference!$O:$P,2,false)), 
""SELECT "" &amp; vlookup(rows($A$1:$A491),Reference!$O:$P,2,false) 
&amp; "" WHERE "" &amp; vlookup(row"&amp;"s($A$1:$A491),Reference!$O:$P,2,false) &amp;
"" &gt;= "" &amp; Reference!$R$2)) * M492,"""")"),"")</f>
        <v/>
      </c>
      <c r="O492" s="84" t="str">
        <f t="shared" si="2"/>
        <v/>
      </c>
    </row>
    <row r="493">
      <c r="A493" s="84"/>
      <c r="B493" s="84"/>
      <c r="C493" s="85"/>
      <c r="D493" s="86"/>
      <c r="E493" s="87"/>
      <c r="F493" s="86"/>
      <c r="G493" s="87"/>
      <c r="H493" s="86"/>
      <c r="I493" s="86"/>
      <c r="J493" s="86"/>
      <c r="K493" s="84"/>
      <c r="L493" s="84" t="str">
        <f>IFERROR(__xludf.DUMMYFUNCTION("IF(A493="""","""", COUNT(SPLIT(K493,"";"")))"),"")</f>
        <v/>
      </c>
      <c r="M493" s="84" t="str">
        <f t="shared" si="1"/>
        <v/>
      </c>
      <c r="N493" s="84" t="str">
        <f>IFERROR(__xludf.DUMMYFUNCTION("IFERROR(AVERAGE(query(INDIRECT(""'FR Table'!"" &amp; vlookup(rows($A$1:$A492),Reference!$O:$P,2,false) &amp; ""3:"" &amp; vlookup(rows($A$1:$A492),Reference!$O:$P,2,false)), 
""SELECT "" &amp; vlookup(rows($A$1:$A492),Reference!$O:$P,2,false) 
&amp; "" WHERE "" &amp; vlookup(row"&amp;"s($A$1:$A492),Reference!$O:$P,2,false) &amp;
"" &gt;= "" &amp; Reference!$R$2)) * M493,"""")"),"")</f>
        <v/>
      </c>
      <c r="O493" s="84" t="str">
        <f t="shared" si="2"/>
        <v/>
      </c>
    </row>
    <row r="494">
      <c r="A494" s="84"/>
      <c r="B494" s="84"/>
      <c r="C494" s="85"/>
      <c r="D494" s="86"/>
      <c r="E494" s="87"/>
      <c r="F494" s="86"/>
      <c r="G494" s="87"/>
      <c r="H494" s="86"/>
      <c r="I494" s="86"/>
      <c r="J494" s="86"/>
      <c r="K494" s="84"/>
      <c r="L494" s="84" t="str">
        <f>IFERROR(__xludf.DUMMYFUNCTION("IF(A494="""","""", COUNT(SPLIT(K494,"";"")))"),"")</f>
        <v/>
      </c>
      <c r="M494" s="84" t="str">
        <f t="shared" si="1"/>
        <v/>
      </c>
      <c r="N494" s="84" t="str">
        <f>IFERROR(__xludf.DUMMYFUNCTION("IFERROR(AVERAGE(query(INDIRECT(""'FR Table'!"" &amp; vlookup(rows($A$1:$A493),Reference!$O:$P,2,false) &amp; ""3:"" &amp; vlookup(rows($A$1:$A493),Reference!$O:$P,2,false)), 
""SELECT "" &amp; vlookup(rows($A$1:$A493),Reference!$O:$P,2,false) 
&amp; "" WHERE "" &amp; vlookup(row"&amp;"s($A$1:$A493),Reference!$O:$P,2,false) &amp;
"" &gt;= "" &amp; Reference!$R$2)) * M494,"""")"),"")</f>
        <v/>
      </c>
      <c r="O494" s="84" t="str">
        <f t="shared" si="2"/>
        <v/>
      </c>
    </row>
    <row r="495">
      <c r="A495" s="84"/>
      <c r="B495" s="84"/>
      <c r="C495" s="85"/>
      <c r="D495" s="86"/>
      <c r="E495" s="87"/>
      <c r="F495" s="86"/>
      <c r="G495" s="87"/>
      <c r="H495" s="86"/>
      <c r="I495" s="86"/>
      <c r="J495" s="86"/>
      <c r="K495" s="84"/>
      <c r="L495" s="84" t="str">
        <f>IFERROR(__xludf.DUMMYFUNCTION("IF(A495="""","""", COUNT(SPLIT(K495,"";"")))"),"")</f>
        <v/>
      </c>
      <c r="M495" s="84" t="str">
        <f t="shared" si="1"/>
        <v/>
      </c>
      <c r="N495" s="84" t="str">
        <f>IFERROR(__xludf.DUMMYFUNCTION("IFERROR(AVERAGE(query(INDIRECT(""'FR Table'!"" &amp; vlookup(rows($A$1:$A494),Reference!$O:$P,2,false) &amp; ""3:"" &amp; vlookup(rows($A$1:$A494),Reference!$O:$P,2,false)), 
""SELECT "" &amp; vlookup(rows($A$1:$A494),Reference!$O:$P,2,false) 
&amp; "" WHERE "" &amp; vlookup(row"&amp;"s($A$1:$A494),Reference!$O:$P,2,false) &amp;
"" &gt;= "" &amp; Reference!$R$2)) * M495,"""")"),"")</f>
        <v/>
      </c>
      <c r="O495" s="84" t="str">
        <f t="shared" si="2"/>
        <v/>
      </c>
    </row>
    <row r="496">
      <c r="A496" s="84"/>
      <c r="B496" s="84"/>
      <c r="C496" s="85"/>
      <c r="D496" s="86"/>
      <c r="E496" s="87"/>
      <c r="F496" s="86"/>
      <c r="G496" s="87"/>
      <c r="H496" s="86"/>
      <c r="I496" s="86"/>
      <c r="J496" s="86"/>
      <c r="K496" s="84"/>
      <c r="L496" s="84" t="str">
        <f>IFERROR(__xludf.DUMMYFUNCTION("IF(A496="""","""", COUNT(SPLIT(K496,"";"")))"),"")</f>
        <v/>
      </c>
      <c r="M496" s="84" t="str">
        <f t="shared" si="1"/>
        <v/>
      </c>
      <c r="N496" s="84" t="str">
        <f>IFERROR(__xludf.DUMMYFUNCTION("IFERROR(AVERAGE(query(INDIRECT(""'FR Table'!"" &amp; vlookup(rows($A$1:$A495),Reference!$O:$P,2,false) &amp; ""3:"" &amp; vlookup(rows($A$1:$A495),Reference!$O:$P,2,false)), 
""SELECT "" &amp; vlookup(rows($A$1:$A495),Reference!$O:$P,2,false) 
&amp; "" WHERE "" &amp; vlookup(row"&amp;"s($A$1:$A495),Reference!$O:$P,2,false) &amp;
"" &gt;= "" &amp; Reference!$R$2)) * M496,"""")"),"")</f>
        <v/>
      </c>
      <c r="O496" s="84" t="str">
        <f t="shared" si="2"/>
        <v/>
      </c>
    </row>
    <row r="497">
      <c r="A497" s="84"/>
      <c r="B497" s="84"/>
      <c r="C497" s="85"/>
      <c r="D497" s="86"/>
      <c r="E497" s="87"/>
      <c r="F497" s="86"/>
      <c r="G497" s="87"/>
      <c r="H497" s="86"/>
      <c r="I497" s="86"/>
      <c r="J497" s="86"/>
      <c r="K497" s="84"/>
      <c r="L497" s="84" t="str">
        <f>IFERROR(__xludf.DUMMYFUNCTION("IF(A497="""","""", COUNT(SPLIT(K497,"";"")))"),"")</f>
        <v/>
      </c>
      <c r="M497" s="84" t="str">
        <f t="shared" si="1"/>
        <v/>
      </c>
      <c r="N497" s="84" t="str">
        <f>IFERROR(__xludf.DUMMYFUNCTION("IFERROR(AVERAGE(query(INDIRECT(""'FR Table'!"" &amp; vlookup(rows($A$1:$A496),Reference!$O:$P,2,false) &amp; ""3:"" &amp; vlookup(rows($A$1:$A496),Reference!$O:$P,2,false)), 
""SELECT "" &amp; vlookup(rows($A$1:$A496),Reference!$O:$P,2,false) 
&amp; "" WHERE "" &amp; vlookup(row"&amp;"s($A$1:$A496),Reference!$O:$P,2,false) &amp;
"" &gt;= "" &amp; Reference!$R$2)) * M497,"""")"),"")</f>
        <v/>
      </c>
      <c r="O497" s="84" t="str">
        <f t="shared" si="2"/>
        <v/>
      </c>
    </row>
    <row r="498">
      <c r="A498" s="84"/>
      <c r="B498" s="84"/>
      <c r="C498" s="85"/>
      <c r="D498" s="86"/>
      <c r="E498" s="87"/>
      <c r="F498" s="86"/>
      <c r="G498" s="87"/>
      <c r="H498" s="86"/>
      <c r="I498" s="86"/>
      <c r="J498" s="86"/>
      <c r="K498" s="84"/>
      <c r="L498" s="84" t="str">
        <f>IFERROR(__xludf.DUMMYFUNCTION("IF(A498="""","""", COUNT(SPLIT(K498,"";"")))"),"")</f>
        <v/>
      </c>
      <c r="M498" s="84" t="str">
        <f t="shared" si="1"/>
        <v/>
      </c>
      <c r="N498" s="84" t="str">
        <f>IFERROR(__xludf.DUMMYFUNCTION("IFERROR(AVERAGE(query(INDIRECT(""'FR Table'!"" &amp; vlookup(rows($A$1:$A497),Reference!$O:$P,2,false) &amp; ""3:"" &amp; vlookup(rows($A$1:$A497),Reference!$O:$P,2,false)), 
""SELECT "" &amp; vlookup(rows($A$1:$A497),Reference!$O:$P,2,false) 
&amp; "" WHERE "" &amp; vlookup(row"&amp;"s($A$1:$A497),Reference!$O:$P,2,false) &amp;
"" &gt;= "" &amp; Reference!$R$2)) * M498,"""")"),"")</f>
        <v/>
      </c>
      <c r="O498" s="84" t="str">
        <f t="shared" si="2"/>
        <v/>
      </c>
    </row>
    <row r="499">
      <c r="A499" s="84"/>
      <c r="B499" s="84"/>
      <c r="C499" s="85"/>
      <c r="D499" s="86"/>
      <c r="E499" s="87"/>
      <c r="F499" s="86"/>
      <c r="G499" s="87"/>
      <c r="H499" s="86"/>
      <c r="I499" s="86"/>
      <c r="J499" s="86"/>
      <c r="K499" s="84"/>
      <c r="L499" s="84" t="str">
        <f>IFERROR(__xludf.DUMMYFUNCTION("IF(A499="""","""", COUNT(SPLIT(K499,"";"")))"),"")</f>
        <v/>
      </c>
      <c r="M499" s="84" t="str">
        <f t="shared" si="1"/>
        <v/>
      </c>
      <c r="N499" s="84" t="str">
        <f>IFERROR(__xludf.DUMMYFUNCTION("IFERROR(AVERAGE(query(INDIRECT(""'FR Table'!"" &amp; vlookup(rows($A$1:$A498),Reference!$O:$P,2,false) &amp; ""3:"" &amp; vlookup(rows($A$1:$A498),Reference!$O:$P,2,false)), 
""SELECT "" &amp; vlookup(rows($A$1:$A498),Reference!$O:$P,2,false) 
&amp; "" WHERE "" &amp; vlookup(row"&amp;"s($A$1:$A498),Reference!$O:$P,2,false) &amp;
"" &gt;= "" &amp; Reference!$R$2)) * M499,"""")"),"")</f>
        <v/>
      </c>
      <c r="O499" s="84" t="str">
        <f t="shared" si="2"/>
        <v/>
      </c>
    </row>
    <row r="500">
      <c r="A500" s="84"/>
      <c r="B500" s="84"/>
      <c r="C500" s="85"/>
      <c r="D500" s="86"/>
      <c r="E500" s="87"/>
      <c r="F500" s="86"/>
      <c r="G500" s="87"/>
      <c r="H500" s="86"/>
      <c r="I500" s="86"/>
      <c r="J500" s="86"/>
      <c r="K500" s="84"/>
      <c r="L500" s="84" t="str">
        <f>IFERROR(__xludf.DUMMYFUNCTION("IF(A500="""","""", COUNT(SPLIT(K500,"";"")))"),"")</f>
        <v/>
      </c>
      <c r="M500" s="84" t="str">
        <f t="shared" si="1"/>
        <v/>
      </c>
      <c r="N500" s="84" t="str">
        <f>IFERROR(__xludf.DUMMYFUNCTION("IFERROR(AVERAGE(query(INDIRECT(""'FR Table'!"" &amp; vlookup(rows($A$1:$A499),Reference!$O:$P,2,false) &amp; ""3:"" &amp; vlookup(rows($A$1:$A499),Reference!$O:$P,2,false)), 
""SELECT "" &amp; vlookup(rows($A$1:$A499),Reference!$O:$P,2,false) 
&amp; "" WHERE "" &amp; vlookup(row"&amp;"s($A$1:$A499),Reference!$O:$P,2,false) &amp;
"" &gt;= "" &amp; Reference!$R$2)) * M500,"""")"),"")</f>
        <v/>
      </c>
      <c r="O500" s="84" t="str">
        <f t="shared" si="2"/>
        <v/>
      </c>
    </row>
    <row r="501">
      <c r="A501" s="84"/>
      <c r="B501" s="84"/>
      <c r="C501" s="85"/>
      <c r="D501" s="86"/>
      <c r="E501" s="87"/>
      <c r="F501" s="86"/>
      <c r="G501" s="87"/>
      <c r="H501" s="86"/>
      <c r="I501" s="86"/>
      <c r="J501" s="86"/>
      <c r="K501" s="84"/>
      <c r="L501" s="84" t="str">
        <f>IFERROR(__xludf.DUMMYFUNCTION("IF(A501="""","""", COUNT(SPLIT(K501,"";"")))"),"")</f>
        <v/>
      </c>
      <c r="M501" s="84" t="str">
        <f t="shared" si="1"/>
        <v/>
      </c>
      <c r="N501" s="84" t="str">
        <f>IFERROR(__xludf.DUMMYFUNCTION("IFERROR(AVERAGE(query(INDIRECT(""'FR Table'!"" &amp; vlookup(rows($A$1:$A500),Reference!$O:$P,2,false) &amp; ""3:"" &amp; vlookup(rows($A$1:$A500),Reference!$O:$P,2,false)), 
""SELECT "" &amp; vlookup(rows($A$1:$A500),Reference!$O:$P,2,false) 
&amp; "" WHERE "" &amp; vlookup(row"&amp;"s($A$1:$A500),Reference!$O:$P,2,false) &amp;
"" &gt;= "" &amp; Reference!$R$2)) * M501,"""")"),"")</f>
        <v/>
      </c>
      <c r="O501" s="84" t="str">
        <f t="shared" si="2"/>
        <v/>
      </c>
    </row>
    <row r="502">
      <c r="A502" s="84"/>
      <c r="B502" s="84"/>
      <c r="C502" s="85"/>
      <c r="D502" s="86"/>
      <c r="E502" s="87"/>
      <c r="F502" s="86"/>
      <c r="G502" s="87"/>
      <c r="H502" s="86"/>
      <c r="I502" s="86"/>
      <c r="J502" s="86"/>
      <c r="K502" s="84"/>
      <c r="L502" s="84" t="str">
        <f>IFERROR(__xludf.DUMMYFUNCTION("IF(A502="""","""", COUNT(SPLIT(K502,"";"")))"),"")</f>
        <v/>
      </c>
      <c r="M502" s="84" t="str">
        <f t="shared" si="1"/>
        <v/>
      </c>
      <c r="N502" s="84" t="str">
        <f>IFERROR(__xludf.DUMMYFUNCTION("IFERROR(AVERAGE(query(INDIRECT(""'FR Table'!"" &amp; vlookup(rows($A$1:$A501),Reference!$O:$P,2,false) &amp; ""3:"" &amp; vlookup(rows($A$1:$A501),Reference!$O:$P,2,false)), 
""SELECT "" &amp; vlookup(rows($A$1:$A501),Reference!$O:$P,2,false) 
&amp; "" WHERE "" &amp; vlookup(row"&amp;"s($A$1:$A501),Reference!$O:$P,2,false) &amp;
"" &gt;= "" &amp; Reference!$R$2)) * M502,"""")"),"")</f>
        <v/>
      </c>
      <c r="O502" s="84" t="str">
        <f t="shared" si="2"/>
        <v/>
      </c>
    </row>
    <row r="503">
      <c r="A503" s="84"/>
      <c r="B503" s="84"/>
      <c r="C503" s="85"/>
      <c r="D503" s="86"/>
      <c r="E503" s="87"/>
      <c r="F503" s="86"/>
      <c r="G503" s="87"/>
      <c r="H503" s="86"/>
      <c r="I503" s="86"/>
      <c r="J503" s="86"/>
      <c r="K503" s="84"/>
      <c r="L503" s="84" t="str">
        <f>IFERROR(__xludf.DUMMYFUNCTION("IF(A503="""","""", COUNT(SPLIT(K503,"";"")))"),"")</f>
        <v/>
      </c>
      <c r="M503" s="84" t="str">
        <f t="shared" si="1"/>
        <v/>
      </c>
      <c r="N503" s="84" t="str">
        <f>IFERROR(__xludf.DUMMYFUNCTION("IFERROR(AVERAGE(query(INDIRECT(""'FR Table'!"" &amp; vlookup(rows($A$1:$A502),Reference!$O:$P,2,false) &amp; ""3:"" &amp; vlookup(rows($A$1:$A502),Reference!$O:$P,2,false)), 
""SELECT "" &amp; vlookup(rows($A$1:$A502),Reference!$O:$P,2,false) 
&amp; "" WHERE "" &amp; vlookup(row"&amp;"s($A$1:$A502),Reference!$O:$P,2,false) &amp;
"" &gt;= "" &amp; Reference!$R$2)) * M503,"""")"),"")</f>
        <v/>
      </c>
      <c r="O503" s="84" t="str">
        <f t="shared" si="2"/>
        <v/>
      </c>
    </row>
    <row r="504">
      <c r="A504" s="84"/>
      <c r="B504" s="84"/>
      <c r="C504" s="85"/>
      <c r="D504" s="86"/>
      <c r="E504" s="87"/>
      <c r="F504" s="86"/>
      <c r="G504" s="87"/>
      <c r="H504" s="86"/>
      <c r="I504" s="86"/>
      <c r="J504" s="86"/>
      <c r="K504" s="84"/>
      <c r="L504" s="84" t="str">
        <f>IFERROR(__xludf.DUMMYFUNCTION("IF(A504="""","""", COUNT(SPLIT(K504,"";"")))"),"")</f>
        <v/>
      </c>
      <c r="M504" s="84" t="str">
        <f t="shared" si="1"/>
        <v/>
      </c>
      <c r="N504" s="84" t="str">
        <f>IFERROR(__xludf.DUMMYFUNCTION("IFERROR(AVERAGE(query(INDIRECT(""'FR Table'!"" &amp; vlookup(rows($A$1:$A503),Reference!$O:$P,2,false) &amp; ""3:"" &amp; vlookup(rows($A$1:$A503),Reference!$O:$P,2,false)), 
""SELECT "" &amp; vlookup(rows($A$1:$A503),Reference!$O:$P,2,false) 
&amp; "" WHERE "" &amp; vlookup(row"&amp;"s($A$1:$A503),Reference!$O:$P,2,false) &amp;
"" &gt;= "" &amp; Reference!$R$2)) * M504,"""")"),"")</f>
        <v/>
      </c>
      <c r="O504" s="84" t="str">
        <f t="shared" si="2"/>
        <v/>
      </c>
    </row>
    <row r="505">
      <c r="A505" s="84"/>
      <c r="B505" s="84"/>
      <c r="C505" s="85"/>
      <c r="D505" s="86"/>
      <c r="E505" s="87"/>
      <c r="F505" s="86"/>
      <c r="G505" s="87"/>
      <c r="H505" s="86"/>
      <c r="I505" s="86"/>
      <c r="J505" s="86"/>
      <c r="K505" s="84"/>
      <c r="L505" s="84" t="str">
        <f>IFERROR(__xludf.DUMMYFUNCTION("IF(A505="""","""", COUNT(SPLIT(K505,"";"")))"),"")</f>
        <v/>
      </c>
      <c r="M505" s="84" t="str">
        <f t="shared" si="1"/>
        <v/>
      </c>
      <c r="N505" s="84" t="str">
        <f>IFERROR(__xludf.DUMMYFUNCTION("IFERROR(AVERAGE(query(INDIRECT(""'FR Table'!"" &amp; vlookup(rows($A$1:$A504),Reference!$O:$P,2,false) &amp; ""3:"" &amp; vlookup(rows($A$1:$A504),Reference!$O:$P,2,false)), 
""SELECT "" &amp; vlookup(rows($A$1:$A504),Reference!$O:$P,2,false) 
&amp; "" WHERE "" &amp; vlookup(row"&amp;"s($A$1:$A504),Reference!$O:$P,2,false) &amp;
"" &gt;= "" &amp; Reference!$R$2)) * M505,"""")"),"")</f>
        <v/>
      </c>
      <c r="O505" s="84" t="str">
        <f t="shared" si="2"/>
        <v/>
      </c>
    </row>
    <row r="506">
      <c r="A506" s="84"/>
      <c r="B506" s="84"/>
      <c r="C506" s="85"/>
      <c r="D506" s="86"/>
      <c r="E506" s="87"/>
      <c r="F506" s="86"/>
      <c r="G506" s="87"/>
      <c r="H506" s="86"/>
      <c r="I506" s="86"/>
      <c r="J506" s="86"/>
      <c r="K506" s="84"/>
      <c r="L506" s="84" t="str">
        <f>IFERROR(__xludf.DUMMYFUNCTION("IF(A506="""","""", COUNT(SPLIT(K506,"";"")))"),"")</f>
        <v/>
      </c>
      <c r="M506" s="84" t="str">
        <f t="shared" si="1"/>
        <v/>
      </c>
      <c r="N506" s="84" t="str">
        <f>IFERROR(__xludf.DUMMYFUNCTION("IFERROR(AVERAGE(query(INDIRECT(""'FR Table'!"" &amp; vlookup(rows($A$1:$A505),Reference!$O:$P,2,false) &amp; ""3:"" &amp; vlookup(rows($A$1:$A505),Reference!$O:$P,2,false)), 
""SELECT "" &amp; vlookup(rows($A$1:$A505),Reference!$O:$P,2,false) 
&amp; "" WHERE "" &amp; vlookup(row"&amp;"s($A$1:$A505),Reference!$O:$P,2,false) &amp;
"" &gt;= "" &amp; Reference!$R$2)) * M506,"""")"),"")</f>
        <v/>
      </c>
      <c r="O506" s="84" t="str">
        <f t="shared" si="2"/>
        <v/>
      </c>
    </row>
    <row r="507">
      <c r="A507" s="84"/>
      <c r="B507" s="84"/>
      <c r="C507" s="85"/>
      <c r="D507" s="86"/>
      <c r="E507" s="87"/>
      <c r="F507" s="86"/>
      <c r="G507" s="87"/>
      <c r="H507" s="86"/>
      <c r="I507" s="86"/>
      <c r="J507" s="86"/>
      <c r="K507" s="84"/>
      <c r="L507" s="84" t="str">
        <f>IFERROR(__xludf.DUMMYFUNCTION("IF(A507="""","""", COUNT(SPLIT(K507,"";"")))"),"")</f>
        <v/>
      </c>
      <c r="M507" s="84" t="str">
        <f t="shared" si="1"/>
        <v/>
      </c>
      <c r="N507" s="84" t="str">
        <f>IFERROR(__xludf.DUMMYFUNCTION("IFERROR(AVERAGE(query(INDIRECT(""'FR Table'!"" &amp; vlookup(rows($A$1:$A506),Reference!$O:$P,2,false) &amp; ""3:"" &amp; vlookup(rows($A$1:$A506),Reference!$O:$P,2,false)), 
""SELECT "" &amp; vlookup(rows($A$1:$A506),Reference!$O:$P,2,false) 
&amp; "" WHERE "" &amp; vlookup(row"&amp;"s($A$1:$A506),Reference!$O:$P,2,false) &amp;
"" &gt;= "" &amp; Reference!$R$2)) * M507,"""")"),"")</f>
        <v/>
      </c>
      <c r="O507" s="84" t="str">
        <f t="shared" si="2"/>
        <v/>
      </c>
    </row>
    <row r="508">
      <c r="A508" s="84"/>
      <c r="B508" s="84"/>
      <c r="C508" s="85"/>
      <c r="D508" s="86"/>
      <c r="E508" s="87"/>
      <c r="F508" s="86"/>
      <c r="G508" s="87"/>
      <c r="H508" s="86"/>
      <c r="I508" s="86"/>
      <c r="J508" s="86"/>
      <c r="K508" s="84"/>
      <c r="L508" s="84" t="str">
        <f>IFERROR(__xludf.DUMMYFUNCTION("IF(A508="""","""", COUNT(SPLIT(K508,"";"")))"),"")</f>
        <v/>
      </c>
      <c r="M508" s="84" t="str">
        <f t="shared" si="1"/>
        <v/>
      </c>
      <c r="N508" s="84" t="str">
        <f>IFERROR(__xludf.DUMMYFUNCTION("IFERROR(AVERAGE(query(INDIRECT(""'FR Table'!"" &amp; vlookup(rows($A$1:$A507),Reference!$O:$P,2,false) &amp; ""3:"" &amp; vlookup(rows($A$1:$A507),Reference!$O:$P,2,false)), 
""SELECT "" &amp; vlookup(rows($A$1:$A507),Reference!$O:$P,2,false) 
&amp; "" WHERE "" &amp; vlookup(row"&amp;"s($A$1:$A507),Reference!$O:$P,2,false) &amp;
"" &gt;= "" &amp; Reference!$R$2)) * M508,"""")"),"")</f>
        <v/>
      </c>
      <c r="O508" s="84" t="str">
        <f t="shared" si="2"/>
        <v/>
      </c>
    </row>
    <row r="509">
      <c r="A509" s="84"/>
      <c r="B509" s="84"/>
      <c r="C509" s="85"/>
      <c r="D509" s="86"/>
      <c r="E509" s="87"/>
      <c r="F509" s="86"/>
      <c r="G509" s="87"/>
      <c r="H509" s="86"/>
      <c r="I509" s="86"/>
      <c r="J509" s="86"/>
      <c r="K509" s="84"/>
      <c r="L509" s="84" t="str">
        <f>IFERROR(__xludf.DUMMYFUNCTION("IF(A509="""","""", COUNT(SPLIT(K509,"";"")))"),"")</f>
        <v/>
      </c>
      <c r="M509" s="84" t="str">
        <f t="shared" si="1"/>
        <v/>
      </c>
      <c r="N509" s="84" t="str">
        <f>IFERROR(__xludf.DUMMYFUNCTION("IFERROR(AVERAGE(query(INDIRECT(""'FR Table'!"" &amp; vlookup(rows($A$1:$A508),Reference!$O:$P,2,false) &amp; ""3:"" &amp; vlookup(rows($A$1:$A508),Reference!$O:$P,2,false)), 
""SELECT "" &amp; vlookup(rows($A$1:$A508),Reference!$O:$P,2,false) 
&amp; "" WHERE "" &amp; vlookup(row"&amp;"s($A$1:$A508),Reference!$O:$P,2,false) &amp;
"" &gt;= "" &amp; Reference!$R$2)) * M509,"""")"),"")</f>
        <v/>
      </c>
      <c r="O509" s="84" t="str">
        <f t="shared" si="2"/>
        <v/>
      </c>
    </row>
    <row r="510">
      <c r="A510" s="84"/>
      <c r="B510" s="84"/>
      <c r="C510" s="85"/>
      <c r="D510" s="86"/>
      <c r="E510" s="87"/>
      <c r="F510" s="86"/>
      <c r="G510" s="87"/>
      <c r="H510" s="86"/>
      <c r="I510" s="86"/>
      <c r="J510" s="86"/>
      <c r="K510" s="84"/>
      <c r="L510" s="84" t="str">
        <f>IFERROR(__xludf.DUMMYFUNCTION("IF(A510="""","""", COUNT(SPLIT(K510,"";"")))"),"")</f>
        <v/>
      </c>
      <c r="M510" s="84" t="str">
        <f t="shared" si="1"/>
        <v/>
      </c>
      <c r="N510" s="84" t="str">
        <f>IFERROR(__xludf.DUMMYFUNCTION("IFERROR(AVERAGE(query(INDIRECT(""'FR Table'!"" &amp; vlookup(rows($A$1:$A509),Reference!$O:$P,2,false) &amp; ""3:"" &amp; vlookup(rows($A$1:$A509),Reference!$O:$P,2,false)), 
""SELECT "" &amp; vlookup(rows($A$1:$A509),Reference!$O:$P,2,false) 
&amp; "" WHERE "" &amp; vlookup(row"&amp;"s($A$1:$A509),Reference!$O:$P,2,false) &amp;
"" &gt;= "" &amp; Reference!$R$2)) * M510,"""")"),"")</f>
        <v/>
      </c>
      <c r="O510" s="84" t="str">
        <f t="shared" si="2"/>
        <v/>
      </c>
    </row>
    <row r="511">
      <c r="A511" s="84"/>
      <c r="B511" s="84"/>
      <c r="C511" s="85"/>
      <c r="D511" s="86"/>
      <c r="E511" s="87"/>
      <c r="F511" s="86"/>
      <c r="G511" s="87"/>
      <c r="H511" s="86"/>
      <c r="I511" s="86"/>
      <c r="J511" s="86"/>
      <c r="K511" s="84"/>
      <c r="L511" s="84" t="str">
        <f>IFERROR(__xludf.DUMMYFUNCTION("IF(A511="""","""", COUNT(SPLIT(K511,"";"")))"),"")</f>
        <v/>
      </c>
      <c r="M511" s="84" t="str">
        <f t="shared" si="1"/>
        <v/>
      </c>
      <c r="N511" s="84" t="str">
        <f>IFERROR(__xludf.DUMMYFUNCTION("IFERROR(AVERAGE(query(INDIRECT(""'FR Table'!"" &amp; vlookup(rows($A$1:$A510),Reference!$O:$P,2,false) &amp; ""3:"" &amp; vlookup(rows($A$1:$A510),Reference!$O:$P,2,false)), 
""SELECT "" &amp; vlookup(rows($A$1:$A510),Reference!$O:$P,2,false) 
&amp; "" WHERE "" &amp; vlookup(row"&amp;"s($A$1:$A510),Reference!$O:$P,2,false) &amp;
"" &gt;= "" &amp; Reference!$R$2)) * M511,"""")"),"")</f>
        <v/>
      </c>
      <c r="O511" s="84" t="str">
        <f t="shared" si="2"/>
        <v/>
      </c>
    </row>
    <row r="512">
      <c r="A512" s="84"/>
      <c r="B512" s="84"/>
      <c r="C512" s="85"/>
      <c r="D512" s="86"/>
      <c r="E512" s="87"/>
      <c r="F512" s="86"/>
      <c r="G512" s="87"/>
      <c r="H512" s="86"/>
      <c r="I512" s="86"/>
      <c r="J512" s="86"/>
      <c r="K512" s="84"/>
      <c r="L512" s="84" t="str">
        <f>IFERROR(__xludf.DUMMYFUNCTION("IF(A512="""","""", COUNT(SPLIT(K512,"";"")))"),"")</f>
        <v/>
      </c>
      <c r="M512" s="84" t="str">
        <f t="shared" si="1"/>
        <v/>
      </c>
      <c r="N512" s="84" t="str">
        <f>IFERROR(__xludf.DUMMYFUNCTION("IFERROR(AVERAGE(query(INDIRECT(""'FR Table'!"" &amp; vlookup(rows($A$1:$A511),Reference!$O:$P,2,false) &amp; ""3:"" &amp; vlookup(rows($A$1:$A511),Reference!$O:$P,2,false)), 
""SELECT "" &amp; vlookup(rows($A$1:$A511),Reference!$O:$P,2,false) 
&amp; "" WHERE "" &amp; vlookup(row"&amp;"s($A$1:$A511),Reference!$O:$P,2,false) &amp;
"" &gt;= "" &amp; Reference!$R$2)) * M512,"""")"),"")</f>
        <v/>
      </c>
      <c r="O512" s="84" t="str">
        <f t="shared" si="2"/>
        <v/>
      </c>
    </row>
    <row r="513">
      <c r="A513" s="84"/>
      <c r="B513" s="84"/>
      <c r="C513" s="85"/>
      <c r="D513" s="86"/>
      <c r="E513" s="87"/>
      <c r="F513" s="86"/>
      <c r="G513" s="87"/>
      <c r="H513" s="86"/>
      <c r="I513" s="86"/>
      <c r="J513" s="86"/>
      <c r="K513" s="84"/>
      <c r="L513" s="84" t="str">
        <f>IFERROR(__xludf.DUMMYFUNCTION("IF(A513="""","""", COUNT(SPLIT(K513,"";"")))"),"")</f>
        <v/>
      </c>
      <c r="M513" s="84" t="str">
        <f t="shared" si="1"/>
        <v/>
      </c>
      <c r="N513" s="84" t="str">
        <f>IFERROR(__xludf.DUMMYFUNCTION("IFERROR(AVERAGE(query(INDIRECT(""'FR Table'!"" &amp; vlookup(rows($A$1:$A512),Reference!$O:$P,2,false) &amp; ""3:"" &amp; vlookup(rows($A$1:$A512),Reference!$O:$P,2,false)), 
""SELECT "" &amp; vlookup(rows($A$1:$A512),Reference!$O:$P,2,false) 
&amp; "" WHERE "" &amp; vlookup(row"&amp;"s($A$1:$A512),Reference!$O:$P,2,false) &amp;
"" &gt;= "" &amp; Reference!$R$2)) * M513,"""")"),"")</f>
        <v/>
      </c>
      <c r="O513" s="84" t="str">
        <f t="shared" si="2"/>
        <v/>
      </c>
    </row>
    <row r="514">
      <c r="A514" s="84"/>
      <c r="B514" s="84"/>
      <c r="C514" s="85"/>
      <c r="D514" s="86"/>
      <c r="E514" s="87"/>
      <c r="F514" s="86"/>
      <c r="G514" s="87"/>
      <c r="H514" s="86"/>
      <c r="I514" s="86"/>
      <c r="J514" s="86"/>
      <c r="K514" s="84"/>
      <c r="L514" s="84" t="str">
        <f>IFERROR(__xludf.DUMMYFUNCTION("IF(A514="""","""", COUNT(SPLIT(K514,"";"")))"),"")</f>
        <v/>
      </c>
      <c r="M514" s="84" t="str">
        <f t="shared" si="1"/>
        <v/>
      </c>
      <c r="N514" s="84" t="str">
        <f>IFERROR(__xludf.DUMMYFUNCTION("IFERROR(AVERAGE(query(INDIRECT(""'FR Table'!"" &amp; vlookup(rows($A$1:$A513),Reference!$O:$P,2,false) &amp; ""3:"" &amp; vlookup(rows($A$1:$A513),Reference!$O:$P,2,false)), 
""SELECT "" &amp; vlookup(rows($A$1:$A513),Reference!$O:$P,2,false) 
&amp; "" WHERE "" &amp; vlookup(row"&amp;"s($A$1:$A513),Reference!$O:$P,2,false) &amp;
"" &gt;= "" &amp; Reference!$R$2)) * M514,"""")"),"")</f>
        <v/>
      </c>
      <c r="O514" s="84" t="str">
        <f t="shared" si="2"/>
        <v/>
      </c>
    </row>
    <row r="515">
      <c r="A515" s="84"/>
      <c r="B515" s="84"/>
      <c r="C515" s="85"/>
      <c r="D515" s="86"/>
      <c r="E515" s="87"/>
      <c r="F515" s="86"/>
      <c r="G515" s="87"/>
      <c r="H515" s="86"/>
      <c r="I515" s="86"/>
      <c r="J515" s="86"/>
      <c r="K515" s="84"/>
      <c r="L515" s="84" t="str">
        <f>IFERROR(__xludf.DUMMYFUNCTION("IF(A515="""","""", COUNT(SPLIT(K515,"";"")))"),"")</f>
        <v/>
      </c>
      <c r="M515" s="84" t="str">
        <f t="shared" si="1"/>
        <v/>
      </c>
      <c r="N515" s="84" t="str">
        <f>IFERROR(__xludf.DUMMYFUNCTION("IFERROR(AVERAGE(query(INDIRECT(""'FR Table'!"" &amp; vlookup(rows($A$1:$A514),Reference!$O:$P,2,false) &amp; ""3:"" &amp; vlookup(rows($A$1:$A514),Reference!$O:$P,2,false)), 
""SELECT "" &amp; vlookup(rows($A$1:$A514),Reference!$O:$P,2,false) 
&amp; "" WHERE "" &amp; vlookup(row"&amp;"s($A$1:$A514),Reference!$O:$P,2,false) &amp;
"" &gt;= "" &amp; Reference!$R$2)) * M515,"""")"),"")</f>
        <v/>
      </c>
      <c r="O515" s="84" t="str">
        <f t="shared" si="2"/>
        <v/>
      </c>
    </row>
    <row r="516">
      <c r="A516" s="84"/>
      <c r="B516" s="84"/>
      <c r="C516" s="85"/>
      <c r="D516" s="86"/>
      <c r="E516" s="87"/>
      <c r="F516" s="86"/>
      <c r="G516" s="87"/>
      <c r="H516" s="86"/>
      <c r="I516" s="86"/>
      <c r="J516" s="86"/>
      <c r="K516" s="84"/>
      <c r="L516" s="84" t="str">
        <f>IFERROR(__xludf.DUMMYFUNCTION("IF(A516="""","""", COUNT(SPLIT(K516,"";"")))"),"")</f>
        <v/>
      </c>
      <c r="M516" s="84" t="str">
        <f t="shared" si="1"/>
        <v/>
      </c>
      <c r="N516" s="84" t="str">
        <f>IFERROR(__xludf.DUMMYFUNCTION("IFERROR(AVERAGE(query(INDIRECT(""'FR Table'!"" &amp; vlookup(rows($A$1:$A515),Reference!$O:$P,2,false) &amp; ""3:"" &amp; vlookup(rows($A$1:$A515),Reference!$O:$P,2,false)), 
""SELECT "" &amp; vlookup(rows($A$1:$A515),Reference!$O:$P,2,false) 
&amp; "" WHERE "" &amp; vlookup(row"&amp;"s($A$1:$A515),Reference!$O:$P,2,false) &amp;
"" &gt;= "" &amp; Reference!$R$2)) * M516,"""")"),"")</f>
        <v/>
      </c>
      <c r="O516" s="84" t="str">
        <f t="shared" si="2"/>
        <v/>
      </c>
    </row>
    <row r="517">
      <c r="A517" s="84"/>
      <c r="B517" s="84"/>
      <c r="C517" s="85"/>
      <c r="D517" s="86"/>
      <c r="E517" s="87"/>
      <c r="F517" s="86"/>
      <c r="G517" s="87"/>
      <c r="H517" s="86"/>
      <c r="I517" s="86"/>
      <c r="J517" s="86"/>
      <c r="K517" s="84"/>
      <c r="L517" s="84" t="str">
        <f>IFERROR(__xludf.DUMMYFUNCTION("IF(A517="""","""", COUNT(SPLIT(K517,"";"")))"),"")</f>
        <v/>
      </c>
      <c r="M517" s="84" t="str">
        <f t="shared" si="1"/>
        <v/>
      </c>
      <c r="N517" s="84" t="str">
        <f>IFERROR(__xludf.DUMMYFUNCTION("IFERROR(AVERAGE(query(INDIRECT(""'FR Table'!"" &amp; vlookup(rows($A$1:$A516),Reference!$O:$P,2,false) &amp; ""3:"" &amp; vlookup(rows($A$1:$A516),Reference!$O:$P,2,false)), 
""SELECT "" &amp; vlookup(rows($A$1:$A516),Reference!$O:$P,2,false) 
&amp; "" WHERE "" &amp; vlookup(row"&amp;"s($A$1:$A516),Reference!$O:$P,2,false) &amp;
"" &gt;= "" &amp; Reference!$R$2)) * M517,"""")"),"")</f>
        <v/>
      </c>
      <c r="O517" s="84" t="str">
        <f t="shared" si="2"/>
        <v/>
      </c>
    </row>
    <row r="518">
      <c r="A518" s="84"/>
      <c r="B518" s="84"/>
      <c r="C518" s="85"/>
      <c r="D518" s="86"/>
      <c r="E518" s="87"/>
      <c r="F518" s="86"/>
      <c r="G518" s="87"/>
      <c r="H518" s="86"/>
      <c r="I518" s="86"/>
      <c r="J518" s="86"/>
      <c r="K518" s="84"/>
      <c r="L518" s="84" t="str">
        <f>IFERROR(__xludf.DUMMYFUNCTION("IF(A518="""","""", COUNT(SPLIT(K518,"";"")))"),"")</f>
        <v/>
      </c>
      <c r="M518" s="84" t="str">
        <f t="shared" si="1"/>
        <v/>
      </c>
      <c r="N518" s="84" t="str">
        <f>IFERROR(__xludf.DUMMYFUNCTION("IFERROR(AVERAGE(query(INDIRECT(""'FR Table'!"" &amp; vlookup(rows($A$1:$A517),Reference!$O:$P,2,false) &amp; ""3:"" &amp; vlookup(rows($A$1:$A517),Reference!$O:$P,2,false)), 
""SELECT "" &amp; vlookup(rows($A$1:$A517),Reference!$O:$P,2,false) 
&amp; "" WHERE "" &amp; vlookup(row"&amp;"s($A$1:$A517),Reference!$O:$P,2,false) &amp;
"" &gt;= "" &amp; Reference!$R$2)) * M518,"""")"),"")</f>
        <v/>
      </c>
      <c r="O518" s="84" t="str">
        <f t="shared" si="2"/>
        <v/>
      </c>
    </row>
    <row r="519">
      <c r="A519" s="84"/>
      <c r="B519" s="84"/>
      <c r="C519" s="85"/>
      <c r="D519" s="86"/>
      <c r="E519" s="87"/>
      <c r="F519" s="86"/>
      <c r="G519" s="87"/>
      <c r="H519" s="86"/>
      <c r="I519" s="86"/>
      <c r="J519" s="86"/>
      <c r="K519" s="84"/>
      <c r="L519" s="84" t="str">
        <f>IFERROR(__xludf.DUMMYFUNCTION("IF(A519="""","""", COUNT(SPLIT(K519,"";"")))"),"")</f>
        <v/>
      </c>
      <c r="M519" s="84" t="str">
        <f t="shared" si="1"/>
        <v/>
      </c>
      <c r="N519" s="84" t="str">
        <f>IFERROR(__xludf.DUMMYFUNCTION("IFERROR(AVERAGE(query(INDIRECT(""'FR Table'!"" &amp; vlookup(rows($A$1:$A518),Reference!$O:$P,2,false) &amp; ""3:"" &amp; vlookup(rows($A$1:$A518),Reference!$O:$P,2,false)), 
""SELECT "" &amp; vlookup(rows($A$1:$A518),Reference!$O:$P,2,false) 
&amp; "" WHERE "" &amp; vlookup(row"&amp;"s($A$1:$A518),Reference!$O:$P,2,false) &amp;
"" &gt;= "" &amp; Reference!$R$2)) * M519,"""")"),"")</f>
        <v/>
      </c>
      <c r="O519" s="84" t="str">
        <f t="shared" si="2"/>
        <v/>
      </c>
    </row>
    <row r="520">
      <c r="A520" s="84"/>
      <c r="B520" s="84"/>
      <c r="C520" s="85"/>
      <c r="D520" s="86"/>
      <c r="E520" s="87"/>
      <c r="F520" s="86"/>
      <c r="G520" s="87"/>
      <c r="H520" s="86"/>
      <c r="I520" s="86"/>
      <c r="J520" s="86"/>
      <c r="K520" s="84"/>
      <c r="L520" s="84" t="str">
        <f>IFERROR(__xludf.DUMMYFUNCTION("IF(A520="""","""", COUNT(SPLIT(K520,"";"")))"),"")</f>
        <v/>
      </c>
      <c r="M520" s="84" t="str">
        <f t="shared" si="1"/>
        <v/>
      </c>
      <c r="N520" s="84" t="str">
        <f>IFERROR(__xludf.DUMMYFUNCTION("IFERROR(AVERAGE(query(INDIRECT(""'FR Table'!"" &amp; vlookup(rows($A$1:$A519),Reference!$O:$P,2,false) &amp; ""3:"" &amp; vlookup(rows($A$1:$A519),Reference!$O:$P,2,false)), 
""SELECT "" &amp; vlookup(rows($A$1:$A519),Reference!$O:$P,2,false) 
&amp; "" WHERE "" &amp; vlookup(row"&amp;"s($A$1:$A519),Reference!$O:$P,2,false) &amp;
"" &gt;= "" &amp; Reference!$R$2)) * M520,"""")"),"")</f>
        <v/>
      </c>
      <c r="O520" s="84" t="str">
        <f t="shared" si="2"/>
        <v/>
      </c>
    </row>
    <row r="521">
      <c r="A521" s="84"/>
      <c r="B521" s="84"/>
      <c r="C521" s="85"/>
      <c r="D521" s="86"/>
      <c r="E521" s="87"/>
      <c r="F521" s="86"/>
      <c r="G521" s="87"/>
      <c r="H521" s="86"/>
      <c r="I521" s="86"/>
      <c r="J521" s="86"/>
      <c r="K521" s="84"/>
      <c r="L521" s="84" t="str">
        <f>IFERROR(__xludf.DUMMYFUNCTION("IF(A521="""","""", COUNT(SPLIT(K521,"";"")))"),"")</f>
        <v/>
      </c>
      <c r="M521" s="84" t="str">
        <f t="shared" si="1"/>
        <v/>
      </c>
      <c r="N521" s="84" t="str">
        <f>IFERROR(__xludf.DUMMYFUNCTION("IFERROR(AVERAGE(query(INDIRECT(""'FR Table'!"" &amp; vlookup(rows($A$1:$A520),Reference!$O:$P,2,false) &amp; ""3:"" &amp; vlookup(rows($A$1:$A520),Reference!$O:$P,2,false)), 
""SELECT "" &amp; vlookup(rows($A$1:$A520),Reference!$O:$P,2,false) 
&amp; "" WHERE "" &amp; vlookup(row"&amp;"s($A$1:$A520),Reference!$O:$P,2,false) &amp;
"" &gt;= "" &amp; Reference!$R$2)) * M521,"""")"),"")</f>
        <v/>
      </c>
      <c r="O521" s="84" t="str">
        <f t="shared" si="2"/>
        <v/>
      </c>
    </row>
    <row r="522">
      <c r="A522" s="84"/>
      <c r="B522" s="84"/>
      <c r="C522" s="85"/>
      <c r="D522" s="86"/>
      <c r="E522" s="87"/>
      <c r="F522" s="86"/>
      <c r="G522" s="87"/>
      <c r="H522" s="86"/>
      <c r="I522" s="86"/>
      <c r="J522" s="86"/>
      <c r="K522" s="84"/>
      <c r="L522" s="84" t="str">
        <f>IFERROR(__xludf.DUMMYFUNCTION("IF(A522="""","""", COUNT(SPLIT(K522,"";"")))"),"")</f>
        <v/>
      </c>
      <c r="M522" s="84" t="str">
        <f t="shared" si="1"/>
        <v/>
      </c>
      <c r="N522" s="84" t="str">
        <f>IFERROR(__xludf.DUMMYFUNCTION("IFERROR(AVERAGE(query(INDIRECT(""'FR Table'!"" &amp; vlookup(rows($A$1:$A521),Reference!$O:$P,2,false) &amp; ""3:"" &amp; vlookup(rows($A$1:$A521),Reference!$O:$P,2,false)), 
""SELECT "" &amp; vlookup(rows($A$1:$A521),Reference!$O:$P,2,false) 
&amp; "" WHERE "" &amp; vlookup(row"&amp;"s($A$1:$A521),Reference!$O:$P,2,false) &amp;
"" &gt;= "" &amp; Reference!$R$2)) * M522,"""")"),"")</f>
        <v/>
      </c>
      <c r="O522" s="84" t="str">
        <f t="shared" si="2"/>
        <v/>
      </c>
    </row>
    <row r="523">
      <c r="A523" s="84"/>
      <c r="B523" s="84"/>
      <c r="C523" s="85"/>
      <c r="D523" s="86"/>
      <c r="E523" s="87"/>
      <c r="F523" s="86"/>
      <c r="G523" s="87"/>
      <c r="H523" s="86"/>
      <c r="I523" s="86"/>
      <c r="J523" s="86"/>
      <c r="K523" s="84"/>
      <c r="L523" s="84" t="str">
        <f>IFERROR(__xludf.DUMMYFUNCTION("IF(A523="""","""", COUNT(SPLIT(K523,"";"")))"),"")</f>
        <v/>
      </c>
      <c r="M523" s="84" t="str">
        <f t="shared" si="1"/>
        <v/>
      </c>
      <c r="N523" s="84" t="str">
        <f>IFERROR(__xludf.DUMMYFUNCTION("IFERROR(AVERAGE(query(INDIRECT(""'FR Table'!"" &amp; vlookup(rows($A$1:$A522),Reference!$O:$P,2,false) &amp; ""3:"" &amp; vlookup(rows($A$1:$A522),Reference!$O:$P,2,false)), 
""SELECT "" &amp; vlookup(rows($A$1:$A522),Reference!$O:$P,2,false) 
&amp; "" WHERE "" &amp; vlookup(row"&amp;"s($A$1:$A522),Reference!$O:$P,2,false) &amp;
"" &gt;= "" &amp; Reference!$R$2)) * M523,"""")"),"")</f>
        <v/>
      </c>
      <c r="O523" s="84" t="str">
        <f t="shared" si="2"/>
        <v/>
      </c>
    </row>
    <row r="524">
      <c r="A524" s="84"/>
      <c r="B524" s="84"/>
      <c r="C524" s="85"/>
      <c r="D524" s="86"/>
      <c r="E524" s="87"/>
      <c r="F524" s="86"/>
      <c r="G524" s="87"/>
      <c r="H524" s="86"/>
      <c r="I524" s="86"/>
      <c r="J524" s="86"/>
      <c r="K524" s="84"/>
      <c r="L524" s="84" t="str">
        <f>IFERROR(__xludf.DUMMYFUNCTION("IF(A524="""","""", COUNT(SPLIT(K524,"";"")))"),"")</f>
        <v/>
      </c>
      <c r="M524" s="84" t="str">
        <f t="shared" si="1"/>
        <v/>
      </c>
      <c r="N524" s="84" t="str">
        <f>IFERROR(__xludf.DUMMYFUNCTION("IFERROR(AVERAGE(query(INDIRECT(""'FR Table'!"" &amp; vlookup(rows($A$1:$A523),Reference!$O:$P,2,false) &amp; ""3:"" &amp; vlookup(rows($A$1:$A523),Reference!$O:$P,2,false)), 
""SELECT "" &amp; vlookup(rows($A$1:$A523),Reference!$O:$P,2,false) 
&amp; "" WHERE "" &amp; vlookup(row"&amp;"s($A$1:$A523),Reference!$O:$P,2,false) &amp;
"" &gt;= "" &amp; Reference!$R$2)) * M524,"""")"),"")</f>
        <v/>
      </c>
      <c r="O524" s="84" t="str">
        <f t="shared" si="2"/>
        <v/>
      </c>
    </row>
    <row r="525">
      <c r="A525" s="84"/>
      <c r="B525" s="84"/>
      <c r="C525" s="85"/>
      <c r="D525" s="86"/>
      <c r="E525" s="87"/>
      <c r="F525" s="86"/>
      <c r="G525" s="87"/>
      <c r="H525" s="86"/>
      <c r="I525" s="86"/>
      <c r="J525" s="86"/>
      <c r="K525" s="84"/>
      <c r="L525" s="84" t="str">
        <f>IFERROR(__xludf.DUMMYFUNCTION("IF(A525="""","""", COUNT(SPLIT(K525,"";"")))"),"")</f>
        <v/>
      </c>
      <c r="M525" s="84" t="str">
        <f t="shared" si="1"/>
        <v/>
      </c>
      <c r="N525" s="84" t="str">
        <f>IFERROR(__xludf.DUMMYFUNCTION("IFERROR(AVERAGE(query(INDIRECT(""'FR Table'!"" &amp; vlookup(rows($A$1:$A524),Reference!$O:$P,2,false) &amp; ""3:"" &amp; vlookup(rows($A$1:$A524),Reference!$O:$P,2,false)), 
""SELECT "" &amp; vlookup(rows($A$1:$A524),Reference!$O:$P,2,false) 
&amp; "" WHERE "" &amp; vlookup(row"&amp;"s($A$1:$A524),Reference!$O:$P,2,false) &amp;
"" &gt;= "" &amp; Reference!$R$2)) * M525,"""")"),"")</f>
        <v/>
      </c>
      <c r="O525" s="84" t="str">
        <f t="shared" si="2"/>
        <v/>
      </c>
    </row>
    <row r="526">
      <c r="A526" s="84"/>
      <c r="B526" s="84"/>
      <c r="C526" s="85"/>
      <c r="D526" s="86"/>
      <c r="E526" s="87"/>
      <c r="F526" s="86"/>
      <c r="G526" s="87"/>
      <c r="H526" s="86"/>
      <c r="I526" s="86"/>
      <c r="J526" s="86"/>
      <c r="K526" s="84"/>
      <c r="L526" s="84" t="str">
        <f>IFERROR(__xludf.DUMMYFUNCTION("IF(A526="""","""", COUNT(SPLIT(K526,"";"")))"),"")</f>
        <v/>
      </c>
      <c r="M526" s="84" t="str">
        <f t="shared" si="1"/>
        <v/>
      </c>
      <c r="N526" s="84" t="str">
        <f>IFERROR(__xludf.DUMMYFUNCTION("IFERROR(AVERAGE(query(INDIRECT(""'FR Table'!"" &amp; vlookup(rows($A$1:$A525),Reference!$O:$P,2,false) &amp; ""3:"" &amp; vlookup(rows($A$1:$A525),Reference!$O:$P,2,false)), 
""SELECT "" &amp; vlookup(rows($A$1:$A525),Reference!$O:$P,2,false) 
&amp; "" WHERE "" &amp; vlookup(row"&amp;"s($A$1:$A525),Reference!$O:$P,2,false) &amp;
"" &gt;= "" &amp; Reference!$R$2)) * M526,"""")"),"")</f>
        <v/>
      </c>
      <c r="O526" s="84" t="str">
        <f t="shared" si="2"/>
        <v/>
      </c>
    </row>
    <row r="527">
      <c r="A527" s="84"/>
      <c r="B527" s="84"/>
      <c r="C527" s="85"/>
      <c r="D527" s="86"/>
      <c r="E527" s="87"/>
      <c r="F527" s="86"/>
      <c r="G527" s="87"/>
      <c r="H527" s="86"/>
      <c r="I527" s="86"/>
      <c r="J527" s="86"/>
      <c r="K527" s="84"/>
      <c r="L527" s="84" t="str">
        <f>IFERROR(__xludf.DUMMYFUNCTION("IF(A527="""","""", COUNT(SPLIT(K527,"";"")))"),"")</f>
        <v/>
      </c>
      <c r="M527" s="84" t="str">
        <f t="shared" si="1"/>
        <v/>
      </c>
      <c r="N527" s="84" t="str">
        <f>IFERROR(__xludf.DUMMYFUNCTION("IFERROR(AVERAGE(query(INDIRECT(""'FR Table'!"" &amp; vlookup(rows($A$1:$A526),Reference!$O:$P,2,false) &amp; ""3:"" &amp; vlookup(rows($A$1:$A526),Reference!$O:$P,2,false)), 
""SELECT "" &amp; vlookup(rows($A$1:$A526),Reference!$O:$P,2,false) 
&amp; "" WHERE "" &amp; vlookup(row"&amp;"s($A$1:$A526),Reference!$O:$P,2,false) &amp;
"" &gt;= "" &amp; Reference!$R$2)) * M527,"""")"),"")</f>
        <v/>
      </c>
      <c r="O527" s="84" t="str">
        <f t="shared" si="2"/>
        <v/>
      </c>
    </row>
    <row r="528">
      <c r="A528" s="84"/>
      <c r="B528" s="84"/>
      <c r="C528" s="85"/>
      <c r="D528" s="86"/>
      <c r="E528" s="87"/>
      <c r="F528" s="86"/>
      <c r="G528" s="87"/>
      <c r="H528" s="86"/>
      <c r="I528" s="86"/>
      <c r="J528" s="86"/>
      <c r="K528" s="84"/>
      <c r="L528" s="84" t="str">
        <f>IFERROR(__xludf.DUMMYFUNCTION("IF(A528="""","""", COUNT(SPLIT(K528,"";"")))"),"")</f>
        <v/>
      </c>
      <c r="M528" s="84" t="str">
        <f t="shared" si="1"/>
        <v/>
      </c>
      <c r="N528" s="84" t="str">
        <f>IFERROR(__xludf.DUMMYFUNCTION("IFERROR(AVERAGE(query(INDIRECT(""'FR Table'!"" &amp; vlookup(rows($A$1:$A527),Reference!$O:$P,2,false) &amp; ""3:"" &amp; vlookup(rows($A$1:$A527),Reference!$O:$P,2,false)), 
""SELECT "" &amp; vlookup(rows($A$1:$A527),Reference!$O:$P,2,false) 
&amp; "" WHERE "" &amp; vlookup(row"&amp;"s($A$1:$A527),Reference!$O:$P,2,false) &amp;
"" &gt;= "" &amp; Reference!$R$2)) * M528,"""")"),"")</f>
        <v/>
      </c>
      <c r="O528" s="84" t="str">
        <f t="shared" si="2"/>
        <v/>
      </c>
    </row>
    <row r="529">
      <c r="A529" s="84"/>
      <c r="B529" s="84"/>
      <c r="C529" s="85"/>
      <c r="D529" s="86"/>
      <c r="E529" s="87"/>
      <c r="F529" s="86"/>
      <c r="G529" s="87"/>
      <c r="H529" s="86"/>
      <c r="I529" s="86"/>
      <c r="J529" s="86"/>
      <c r="K529" s="84"/>
      <c r="L529" s="84" t="str">
        <f>IFERROR(__xludf.DUMMYFUNCTION("IF(A529="""","""", COUNT(SPLIT(K529,"";"")))"),"")</f>
        <v/>
      </c>
      <c r="M529" s="84" t="str">
        <f t="shared" si="1"/>
        <v/>
      </c>
      <c r="N529" s="84" t="str">
        <f>IFERROR(__xludf.DUMMYFUNCTION("IFERROR(AVERAGE(query(INDIRECT(""'FR Table'!"" &amp; vlookup(rows($A$1:$A528),Reference!$O:$P,2,false) &amp; ""3:"" &amp; vlookup(rows($A$1:$A528),Reference!$O:$P,2,false)), 
""SELECT "" &amp; vlookup(rows($A$1:$A528),Reference!$O:$P,2,false) 
&amp; "" WHERE "" &amp; vlookup(row"&amp;"s($A$1:$A528),Reference!$O:$P,2,false) &amp;
"" &gt;= "" &amp; Reference!$R$2)) * M529,"""")"),"")</f>
        <v/>
      </c>
      <c r="O529" s="84" t="str">
        <f t="shared" si="2"/>
        <v/>
      </c>
    </row>
    <row r="530">
      <c r="A530" s="84"/>
      <c r="B530" s="84"/>
      <c r="C530" s="85"/>
      <c r="D530" s="86"/>
      <c r="E530" s="87"/>
      <c r="F530" s="86"/>
      <c r="G530" s="87"/>
      <c r="H530" s="86"/>
      <c r="I530" s="86"/>
      <c r="J530" s="86"/>
      <c r="K530" s="84"/>
      <c r="L530" s="84" t="str">
        <f>IFERROR(__xludf.DUMMYFUNCTION("IF(A530="""","""", COUNT(SPLIT(K530,"";"")))"),"")</f>
        <v/>
      </c>
      <c r="M530" s="84" t="str">
        <f t="shared" si="1"/>
        <v/>
      </c>
      <c r="N530" s="84" t="str">
        <f>IFERROR(__xludf.DUMMYFUNCTION("IFERROR(AVERAGE(query(INDIRECT(""'FR Table'!"" &amp; vlookup(rows($A$1:$A529),Reference!$O:$P,2,false) &amp; ""3:"" &amp; vlookup(rows($A$1:$A529),Reference!$O:$P,2,false)), 
""SELECT "" &amp; vlookup(rows($A$1:$A529),Reference!$O:$P,2,false) 
&amp; "" WHERE "" &amp; vlookup(row"&amp;"s($A$1:$A529),Reference!$O:$P,2,false) &amp;
"" &gt;= "" &amp; Reference!$R$2)) * M530,"""")"),"")</f>
        <v/>
      </c>
      <c r="O530" s="84" t="str">
        <f t="shared" si="2"/>
        <v/>
      </c>
    </row>
    <row r="531">
      <c r="A531" s="84"/>
      <c r="B531" s="84"/>
      <c r="C531" s="85"/>
      <c r="D531" s="86"/>
      <c r="E531" s="87"/>
      <c r="F531" s="86"/>
      <c r="G531" s="87"/>
      <c r="H531" s="86"/>
      <c r="I531" s="86"/>
      <c r="J531" s="86"/>
      <c r="K531" s="84"/>
      <c r="L531" s="84" t="str">
        <f>IFERROR(__xludf.DUMMYFUNCTION("IF(A531="""","""", COUNT(SPLIT(K531,"";"")))"),"")</f>
        <v/>
      </c>
      <c r="M531" s="84" t="str">
        <f t="shared" si="1"/>
        <v/>
      </c>
      <c r="N531" s="84" t="str">
        <f>IFERROR(__xludf.DUMMYFUNCTION("IFERROR(AVERAGE(query(INDIRECT(""'FR Table'!"" &amp; vlookup(rows($A$1:$A530),Reference!$O:$P,2,false) &amp; ""3:"" &amp; vlookup(rows($A$1:$A530),Reference!$O:$P,2,false)), 
""SELECT "" &amp; vlookup(rows($A$1:$A530),Reference!$O:$P,2,false) 
&amp; "" WHERE "" &amp; vlookup(row"&amp;"s($A$1:$A530),Reference!$O:$P,2,false) &amp;
"" &gt;= "" &amp; Reference!$R$2)) * M531,"""")"),"")</f>
        <v/>
      </c>
      <c r="O531" s="84" t="str">
        <f t="shared" si="2"/>
        <v/>
      </c>
    </row>
    <row r="532">
      <c r="A532" s="84"/>
      <c r="B532" s="84"/>
      <c r="C532" s="85"/>
      <c r="D532" s="86"/>
      <c r="E532" s="87"/>
      <c r="F532" s="86"/>
      <c r="G532" s="87"/>
      <c r="H532" s="86"/>
      <c r="I532" s="86"/>
      <c r="J532" s="86"/>
      <c r="K532" s="84"/>
      <c r="L532" s="84" t="str">
        <f>IFERROR(__xludf.DUMMYFUNCTION("IF(A532="""","""", COUNT(SPLIT(K532,"";"")))"),"")</f>
        <v/>
      </c>
      <c r="M532" s="84" t="str">
        <f t="shared" si="1"/>
        <v/>
      </c>
      <c r="N532" s="84" t="str">
        <f>IFERROR(__xludf.DUMMYFUNCTION("IFERROR(AVERAGE(query(INDIRECT(""'FR Table'!"" &amp; vlookup(rows($A$1:$A531),Reference!$O:$P,2,false) &amp; ""3:"" &amp; vlookup(rows($A$1:$A531),Reference!$O:$P,2,false)), 
""SELECT "" &amp; vlookup(rows($A$1:$A531),Reference!$O:$P,2,false) 
&amp; "" WHERE "" &amp; vlookup(row"&amp;"s($A$1:$A531),Reference!$O:$P,2,false) &amp;
"" &gt;= "" &amp; Reference!$R$2)) * M532,"""")"),"")</f>
        <v/>
      </c>
      <c r="O532" s="84" t="str">
        <f t="shared" si="2"/>
        <v/>
      </c>
    </row>
    <row r="533">
      <c r="A533" s="84"/>
      <c r="B533" s="84"/>
      <c r="C533" s="85"/>
      <c r="D533" s="86"/>
      <c r="E533" s="87"/>
      <c r="F533" s="86"/>
      <c r="G533" s="87"/>
      <c r="H533" s="86"/>
      <c r="I533" s="86"/>
      <c r="J533" s="86"/>
      <c r="K533" s="84"/>
      <c r="L533" s="84" t="str">
        <f>IFERROR(__xludf.DUMMYFUNCTION("IF(A533="""","""", COUNT(SPLIT(K533,"";"")))"),"")</f>
        <v/>
      </c>
      <c r="M533" s="84" t="str">
        <f t="shared" si="1"/>
        <v/>
      </c>
      <c r="N533" s="84" t="str">
        <f>IFERROR(__xludf.DUMMYFUNCTION("IFERROR(AVERAGE(query(INDIRECT(""'FR Table'!"" &amp; vlookup(rows($A$1:$A532),Reference!$O:$P,2,false) &amp; ""3:"" &amp; vlookup(rows($A$1:$A532),Reference!$O:$P,2,false)), 
""SELECT "" &amp; vlookup(rows($A$1:$A532),Reference!$O:$P,2,false) 
&amp; "" WHERE "" &amp; vlookup(row"&amp;"s($A$1:$A532),Reference!$O:$P,2,false) &amp;
"" &gt;= "" &amp; Reference!$R$2)) * M533,"""")"),"")</f>
        <v/>
      </c>
      <c r="O533" s="84" t="str">
        <f t="shared" si="2"/>
        <v/>
      </c>
    </row>
    <row r="534">
      <c r="A534" s="84"/>
      <c r="B534" s="84"/>
      <c r="C534" s="85"/>
      <c r="D534" s="86"/>
      <c r="E534" s="87"/>
      <c r="F534" s="86"/>
      <c r="G534" s="87"/>
      <c r="H534" s="86"/>
      <c r="I534" s="86"/>
      <c r="J534" s="86"/>
      <c r="K534" s="84"/>
      <c r="L534" s="84" t="str">
        <f>IFERROR(__xludf.DUMMYFUNCTION("IF(A534="""","""", COUNT(SPLIT(K534,"";"")))"),"")</f>
        <v/>
      </c>
      <c r="M534" s="84" t="str">
        <f t="shared" si="1"/>
        <v/>
      </c>
      <c r="N534" s="84" t="str">
        <f>IFERROR(__xludf.DUMMYFUNCTION("IFERROR(AVERAGE(query(INDIRECT(""'FR Table'!"" &amp; vlookup(rows($A$1:$A533),Reference!$O:$P,2,false) &amp; ""3:"" &amp; vlookup(rows($A$1:$A533),Reference!$O:$P,2,false)), 
""SELECT "" &amp; vlookup(rows($A$1:$A533),Reference!$O:$P,2,false) 
&amp; "" WHERE "" &amp; vlookup(row"&amp;"s($A$1:$A533),Reference!$O:$P,2,false) &amp;
"" &gt;= "" &amp; Reference!$R$2)) * M534,"""")"),"")</f>
        <v/>
      </c>
      <c r="O534" s="84" t="str">
        <f t="shared" si="2"/>
        <v/>
      </c>
    </row>
    <row r="535">
      <c r="A535" s="84"/>
      <c r="B535" s="84"/>
      <c r="C535" s="85"/>
      <c r="D535" s="86"/>
      <c r="E535" s="87"/>
      <c r="F535" s="86"/>
      <c r="G535" s="87"/>
      <c r="H535" s="86"/>
      <c r="I535" s="86"/>
      <c r="J535" s="86"/>
      <c r="K535" s="84"/>
      <c r="L535" s="84" t="str">
        <f>IFERROR(__xludf.DUMMYFUNCTION("IF(A535="""","""", COUNT(SPLIT(K535,"";"")))"),"")</f>
        <v/>
      </c>
      <c r="M535" s="84" t="str">
        <f t="shared" si="1"/>
        <v/>
      </c>
      <c r="N535" s="84" t="str">
        <f>IFERROR(__xludf.DUMMYFUNCTION("IFERROR(AVERAGE(query(INDIRECT(""'FR Table'!"" &amp; vlookup(rows($A$1:$A534),Reference!$O:$P,2,false) &amp; ""3:"" &amp; vlookup(rows($A$1:$A534),Reference!$O:$P,2,false)), 
""SELECT "" &amp; vlookup(rows($A$1:$A534),Reference!$O:$P,2,false) 
&amp; "" WHERE "" &amp; vlookup(row"&amp;"s($A$1:$A534),Reference!$O:$P,2,false) &amp;
"" &gt;= "" &amp; Reference!$R$2)) * M535,"""")"),"")</f>
        <v/>
      </c>
      <c r="O535" s="84" t="str">
        <f t="shared" si="2"/>
        <v/>
      </c>
    </row>
    <row r="536">
      <c r="A536" s="84"/>
      <c r="B536" s="84"/>
      <c r="C536" s="85"/>
      <c r="D536" s="86"/>
      <c r="E536" s="87"/>
      <c r="F536" s="86"/>
      <c r="G536" s="87"/>
      <c r="H536" s="86"/>
      <c r="I536" s="86"/>
      <c r="J536" s="86"/>
      <c r="K536" s="84"/>
      <c r="L536" s="84" t="str">
        <f>IFERROR(__xludf.DUMMYFUNCTION("IF(A536="""","""", COUNT(SPLIT(K536,"";"")))"),"")</f>
        <v/>
      </c>
      <c r="M536" s="84" t="str">
        <f t="shared" si="1"/>
        <v/>
      </c>
      <c r="N536" s="84" t="str">
        <f>IFERROR(__xludf.DUMMYFUNCTION("IFERROR(AVERAGE(query(INDIRECT(""'FR Table'!"" &amp; vlookup(rows($A$1:$A535),Reference!$O:$P,2,false) &amp; ""3:"" &amp; vlookup(rows($A$1:$A535),Reference!$O:$P,2,false)), 
""SELECT "" &amp; vlookup(rows($A$1:$A535),Reference!$O:$P,2,false) 
&amp; "" WHERE "" &amp; vlookup(row"&amp;"s($A$1:$A535),Reference!$O:$P,2,false) &amp;
"" &gt;= "" &amp; Reference!$R$2)) * M536,"""")"),"")</f>
        <v/>
      </c>
      <c r="O536" s="84" t="str">
        <f t="shared" si="2"/>
        <v/>
      </c>
    </row>
    <row r="537">
      <c r="A537" s="84"/>
      <c r="B537" s="84"/>
      <c r="C537" s="85"/>
      <c r="D537" s="86"/>
      <c r="E537" s="87"/>
      <c r="F537" s="86"/>
      <c r="G537" s="87"/>
      <c r="H537" s="86"/>
      <c r="I537" s="86"/>
      <c r="J537" s="86"/>
      <c r="K537" s="84"/>
      <c r="L537" s="84" t="str">
        <f>IFERROR(__xludf.DUMMYFUNCTION("IF(A537="""","""", COUNT(SPLIT(K537,"";"")))"),"")</f>
        <v/>
      </c>
      <c r="M537" s="84" t="str">
        <f t="shared" si="1"/>
        <v/>
      </c>
      <c r="N537" s="84" t="str">
        <f>IFERROR(__xludf.DUMMYFUNCTION("IFERROR(AVERAGE(query(INDIRECT(""'FR Table'!"" &amp; vlookup(rows($A$1:$A536),Reference!$O:$P,2,false) &amp; ""3:"" &amp; vlookup(rows($A$1:$A536),Reference!$O:$P,2,false)), 
""SELECT "" &amp; vlookup(rows($A$1:$A536),Reference!$O:$P,2,false) 
&amp; "" WHERE "" &amp; vlookup(row"&amp;"s($A$1:$A536),Reference!$O:$P,2,false) &amp;
"" &gt;= "" &amp; Reference!$R$2)) * M537,"""")"),"")</f>
        <v/>
      </c>
      <c r="O537" s="84" t="str">
        <f t="shared" si="2"/>
        <v/>
      </c>
    </row>
    <row r="538">
      <c r="A538" s="84"/>
      <c r="B538" s="84"/>
      <c r="C538" s="85"/>
      <c r="D538" s="86"/>
      <c r="E538" s="87"/>
      <c r="F538" s="86"/>
      <c r="G538" s="87"/>
      <c r="H538" s="86"/>
      <c r="I538" s="86"/>
      <c r="J538" s="86"/>
      <c r="K538" s="84"/>
      <c r="L538" s="84" t="str">
        <f>IFERROR(__xludf.DUMMYFUNCTION("IF(A538="""","""", COUNT(SPLIT(K538,"";"")))"),"")</f>
        <v/>
      </c>
      <c r="M538" s="84" t="str">
        <f t="shared" si="1"/>
        <v/>
      </c>
      <c r="N538" s="84" t="str">
        <f>IFERROR(__xludf.DUMMYFUNCTION("IFERROR(AVERAGE(query(INDIRECT(""'FR Table'!"" &amp; vlookup(rows($A$1:$A537),Reference!$O:$P,2,false) &amp; ""3:"" &amp; vlookup(rows($A$1:$A537),Reference!$O:$P,2,false)), 
""SELECT "" &amp; vlookup(rows($A$1:$A537),Reference!$O:$P,2,false) 
&amp; "" WHERE "" &amp; vlookup(row"&amp;"s($A$1:$A537),Reference!$O:$P,2,false) &amp;
"" &gt;= "" &amp; Reference!$R$2)) * M538,"""")"),"")</f>
        <v/>
      </c>
      <c r="O538" s="84" t="str">
        <f t="shared" si="2"/>
        <v/>
      </c>
    </row>
    <row r="539">
      <c r="A539" s="84"/>
      <c r="B539" s="84"/>
      <c r="C539" s="85"/>
      <c r="D539" s="86"/>
      <c r="E539" s="87"/>
      <c r="F539" s="86"/>
      <c r="G539" s="87"/>
      <c r="H539" s="86"/>
      <c r="I539" s="86"/>
      <c r="J539" s="86"/>
      <c r="K539" s="84"/>
      <c r="L539" s="84" t="str">
        <f>IFERROR(__xludf.DUMMYFUNCTION("IF(A539="""","""", COUNT(SPLIT(K539,"";"")))"),"")</f>
        <v/>
      </c>
      <c r="M539" s="84" t="str">
        <f t="shared" si="1"/>
        <v/>
      </c>
      <c r="N539" s="84" t="str">
        <f>IFERROR(__xludf.DUMMYFUNCTION("IFERROR(AVERAGE(query(INDIRECT(""'FR Table'!"" &amp; vlookup(rows($A$1:$A538),Reference!$O:$P,2,false) &amp; ""3:"" &amp; vlookup(rows($A$1:$A538),Reference!$O:$P,2,false)), 
""SELECT "" &amp; vlookup(rows($A$1:$A538),Reference!$O:$P,2,false) 
&amp; "" WHERE "" &amp; vlookup(row"&amp;"s($A$1:$A538),Reference!$O:$P,2,false) &amp;
"" &gt;= "" &amp; Reference!$R$2)) * M539,"""")"),"")</f>
        <v/>
      </c>
      <c r="O539" s="84" t="str">
        <f t="shared" si="2"/>
        <v/>
      </c>
    </row>
    <row r="540">
      <c r="A540" s="84"/>
      <c r="B540" s="84"/>
      <c r="C540" s="85"/>
      <c r="D540" s="86"/>
      <c r="E540" s="87"/>
      <c r="F540" s="86"/>
      <c r="G540" s="87"/>
      <c r="H540" s="86"/>
      <c r="I540" s="86"/>
      <c r="J540" s="86"/>
      <c r="K540" s="84"/>
      <c r="L540" s="84" t="str">
        <f>IFERROR(__xludf.DUMMYFUNCTION("IF(A540="""","""", COUNT(SPLIT(K540,"";"")))"),"")</f>
        <v/>
      </c>
      <c r="M540" s="84" t="str">
        <f t="shared" si="1"/>
        <v/>
      </c>
      <c r="N540" s="84" t="str">
        <f>IFERROR(__xludf.DUMMYFUNCTION("IFERROR(AVERAGE(query(INDIRECT(""'FR Table'!"" &amp; vlookup(rows($A$1:$A539),Reference!$O:$P,2,false) &amp; ""3:"" &amp; vlookup(rows($A$1:$A539),Reference!$O:$P,2,false)), 
""SELECT "" &amp; vlookup(rows($A$1:$A539),Reference!$O:$P,2,false) 
&amp; "" WHERE "" &amp; vlookup(row"&amp;"s($A$1:$A539),Reference!$O:$P,2,false) &amp;
"" &gt;= "" &amp; Reference!$R$2)) * M540,"""")"),"")</f>
        <v/>
      </c>
      <c r="O540" s="84" t="str">
        <f t="shared" si="2"/>
        <v/>
      </c>
    </row>
    <row r="541">
      <c r="A541" s="84"/>
      <c r="B541" s="84"/>
      <c r="C541" s="85"/>
      <c r="D541" s="86"/>
      <c r="E541" s="87"/>
      <c r="F541" s="86"/>
      <c r="G541" s="87"/>
      <c r="H541" s="86"/>
      <c r="I541" s="86"/>
      <c r="J541" s="86"/>
      <c r="K541" s="84"/>
      <c r="L541" s="84" t="str">
        <f>IFERROR(__xludf.DUMMYFUNCTION("IF(A541="""","""", COUNT(SPLIT(K541,"";"")))"),"")</f>
        <v/>
      </c>
      <c r="M541" s="84" t="str">
        <f t="shared" si="1"/>
        <v/>
      </c>
      <c r="N541" s="84" t="str">
        <f>IFERROR(__xludf.DUMMYFUNCTION("IFERROR(AVERAGE(query(INDIRECT(""'FR Table'!"" &amp; vlookup(rows($A$1:$A540),Reference!$O:$P,2,false) &amp; ""3:"" &amp; vlookup(rows($A$1:$A540),Reference!$O:$P,2,false)), 
""SELECT "" &amp; vlookup(rows($A$1:$A540),Reference!$O:$P,2,false) 
&amp; "" WHERE "" &amp; vlookup(row"&amp;"s($A$1:$A540),Reference!$O:$P,2,false) &amp;
"" &gt;= "" &amp; Reference!$R$2)) * M541,"""")"),"")</f>
        <v/>
      </c>
      <c r="O541" s="84" t="str">
        <f t="shared" si="2"/>
        <v/>
      </c>
    </row>
    <row r="542">
      <c r="A542" s="84"/>
      <c r="B542" s="84"/>
      <c r="C542" s="85"/>
      <c r="D542" s="86"/>
      <c r="E542" s="87"/>
      <c r="F542" s="86"/>
      <c r="G542" s="87"/>
      <c r="H542" s="86"/>
      <c r="I542" s="86"/>
      <c r="J542" s="86"/>
      <c r="K542" s="84"/>
      <c r="L542" s="84" t="str">
        <f>IFERROR(__xludf.DUMMYFUNCTION("IF(A542="""","""", COUNT(SPLIT(K542,"";"")))"),"")</f>
        <v/>
      </c>
      <c r="M542" s="84" t="str">
        <f t="shared" si="1"/>
        <v/>
      </c>
      <c r="N542" s="84" t="str">
        <f>IFERROR(__xludf.DUMMYFUNCTION("IFERROR(AVERAGE(query(INDIRECT(""'FR Table'!"" &amp; vlookup(rows($A$1:$A541),Reference!$O:$P,2,false) &amp; ""3:"" &amp; vlookup(rows($A$1:$A541),Reference!$O:$P,2,false)), 
""SELECT "" &amp; vlookup(rows($A$1:$A541),Reference!$O:$P,2,false) 
&amp; "" WHERE "" &amp; vlookup(row"&amp;"s($A$1:$A541),Reference!$O:$P,2,false) &amp;
"" &gt;= "" &amp; Reference!$R$2)) * M542,"""")"),"")</f>
        <v/>
      </c>
      <c r="O542" s="84" t="str">
        <f t="shared" si="2"/>
        <v/>
      </c>
    </row>
    <row r="543">
      <c r="A543" s="84"/>
      <c r="B543" s="84"/>
      <c r="C543" s="85"/>
      <c r="D543" s="86"/>
      <c r="E543" s="87"/>
      <c r="F543" s="86"/>
      <c r="G543" s="87"/>
      <c r="H543" s="86"/>
      <c r="I543" s="86"/>
      <c r="J543" s="86"/>
      <c r="K543" s="84"/>
      <c r="L543" s="84" t="str">
        <f>IFERROR(__xludf.DUMMYFUNCTION("IF(A543="""","""", COUNT(SPLIT(K543,"";"")))"),"")</f>
        <v/>
      </c>
      <c r="M543" s="84" t="str">
        <f t="shared" si="1"/>
        <v/>
      </c>
      <c r="N543" s="84" t="str">
        <f>IFERROR(__xludf.DUMMYFUNCTION("IFERROR(AVERAGE(query(INDIRECT(""'FR Table'!"" &amp; vlookup(rows($A$1:$A542),Reference!$O:$P,2,false) &amp; ""3:"" &amp; vlookup(rows($A$1:$A542),Reference!$O:$P,2,false)), 
""SELECT "" &amp; vlookup(rows($A$1:$A542),Reference!$O:$P,2,false) 
&amp; "" WHERE "" &amp; vlookup(row"&amp;"s($A$1:$A542),Reference!$O:$P,2,false) &amp;
"" &gt;= "" &amp; Reference!$R$2)) * M543,"""")"),"")</f>
        <v/>
      </c>
      <c r="O543" s="84" t="str">
        <f t="shared" si="2"/>
        <v/>
      </c>
    </row>
    <row r="544">
      <c r="A544" s="84"/>
      <c r="B544" s="84"/>
      <c r="C544" s="85"/>
      <c r="D544" s="86"/>
      <c r="E544" s="87"/>
      <c r="F544" s="86"/>
      <c r="G544" s="87"/>
      <c r="H544" s="86"/>
      <c r="I544" s="86"/>
      <c r="J544" s="86"/>
      <c r="K544" s="84"/>
      <c r="L544" s="84" t="str">
        <f>IFERROR(__xludf.DUMMYFUNCTION("IF(A544="""","""", COUNT(SPLIT(K544,"";"")))"),"")</f>
        <v/>
      </c>
      <c r="M544" s="84" t="str">
        <f t="shared" si="1"/>
        <v/>
      </c>
      <c r="N544" s="84" t="str">
        <f>IFERROR(__xludf.DUMMYFUNCTION("IFERROR(AVERAGE(query(INDIRECT(""'FR Table'!"" &amp; vlookup(rows($A$1:$A543),Reference!$O:$P,2,false) &amp; ""3:"" &amp; vlookup(rows($A$1:$A543),Reference!$O:$P,2,false)), 
""SELECT "" &amp; vlookup(rows($A$1:$A543),Reference!$O:$P,2,false) 
&amp; "" WHERE "" &amp; vlookup(row"&amp;"s($A$1:$A543),Reference!$O:$P,2,false) &amp;
"" &gt;= "" &amp; Reference!$R$2)) * M544,"""")"),"")</f>
        <v/>
      </c>
      <c r="O544" s="84" t="str">
        <f t="shared" si="2"/>
        <v/>
      </c>
    </row>
    <row r="545">
      <c r="A545" s="84"/>
      <c r="B545" s="84"/>
      <c r="C545" s="85"/>
      <c r="D545" s="86"/>
      <c r="E545" s="87"/>
      <c r="F545" s="86"/>
      <c r="G545" s="87"/>
      <c r="H545" s="86"/>
      <c r="I545" s="86"/>
      <c r="J545" s="86"/>
      <c r="K545" s="84"/>
      <c r="L545" s="84" t="str">
        <f>IFERROR(__xludf.DUMMYFUNCTION("IF(A545="""","""", COUNT(SPLIT(K545,"";"")))"),"")</f>
        <v/>
      </c>
      <c r="M545" s="84" t="str">
        <f t="shared" si="1"/>
        <v/>
      </c>
      <c r="N545" s="84" t="str">
        <f>IFERROR(__xludf.DUMMYFUNCTION("IFERROR(AVERAGE(query(INDIRECT(""'FR Table'!"" &amp; vlookup(rows($A$1:$A544),Reference!$O:$P,2,false) &amp; ""3:"" &amp; vlookup(rows($A$1:$A544),Reference!$O:$P,2,false)), 
""SELECT "" &amp; vlookup(rows($A$1:$A544),Reference!$O:$P,2,false) 
&amp; "" WHERE "" &amp; vlookup(row"&amp;"s($A$1:$A544),Reference!$O:$P,2,false) &amp;
"" &gt;= "" &amp; Reference!$R$2)) * M545,"""")"),"")</f>
        <v/>
      </c>
      <c r="O545" s="84" t="str">
        <f t="shared" si="2"/>
        <v/>
      </c>
    </row>
    <row r="546">
      <c r="A546" s="84"/>
      <c r="B546" s="84"/>
      <c r="C546" s="85"/>
      <c r="D546" s="86"/>
      <c r="E546" s="87"/>
      <c r="F546" s="86"/>
      <c r="G546" s="87"/>
      <c r="H546" s="86"/>
      <c r="I546" s="86"/>
      <c r="J546" s="86"/>
      <c r="K546" s="84"/>
      <c r="L546" s="84" t="str">
        <f>IFERROR(__xludf.DUMMYFUNCTION("IF(A546="""","""", COUNT(SPLIT(K546,"";"")))"),"")</f>
        <v/>
      </c>
      <c r="M546" s="84" t="str">
        <f t="shared" si="1"/>
        <v/>
      </c>
      <c r="N546" s="84" t="str">
        <f>IFERROR(__xludf.DUMMYFUNCTION("IFERROR(AVERAGE(query(INDIRECT(""'FR Table'!"" &amp; vlookup(rows($A$1:$A545),Reference!$O:$P,2,false) &amp; ""3:"" &amp; vlookup(rows($A$1:$A545),Reference!$O:$P,2,false)), 
""SELECT "" &amp; vlookup(rows($A$1:$A545),Reference!$O:$P,2,false) 
&amp; "" WHERE "" &amp; vlookup(row"&amp;"s($A$1:$A545),Reference!$O:$P,2,false) &amp;
"" &gt;= "" &amp; Reference!$R$2)) * M546,"""")"),"")</f>
        <v/>
      </c>
      <c r="O546" s="84" t="str">
        <f t="shared" si="2"/>
        <v/>
      </c>
    </row>
    <row r="547">
      <c r="A547" s="84"/>
      <c r="B547" s="84"/>
      <c r="C547" s="85"/>
      <c r="D547" s="86"/>
      <c r="E547" s="87"/>
      <c r="F547" s="86"/>
      <c r="G547" s="87"/>
      <c r="H547" s="86"/>
      <c r="I547" s="86"/>
      <c r="J547" s="86"/>
      <c r="K547" s="84"/>
      <c r="L547" s="84" t="str">
        <f>IFERROR(__xludf.DUMMYFUNCTION("IF(A547="""","""", COUNT(SPLIT(K547,"";"")))"),"")</f>
        <v/>
      </c>
      <c r="M547" s="84" t="str">
        <f t="shared" si="1"/>
        <v/>
      </c>
      <c r="N547" s="84" t="str">
        <f>IFERROR(__xludf.DUMMYFUNCTION("IFERROR(AVERAGE(query(INDIRECT(""'FR Table'!"" &amp; vlookup(rows($A$1:$A546),Reference!$O:$P,2,false) &amp; ""3:"" &amp; vlookup(rows($A$1:$A546),Reference!$O:$P,2,false)), 
""SELECT "" &amp; vlookup(rows($A$1:$A546),Reference!$O:$P,2,false) 
&amp; "" WHERE "" &amp; vlookup(row"&amp;"s($A$1:$A546),Reference!$O:$P,2,false) &amp;
"" &gt;= "" &amp; Reference!$R$2)) * M547,"""")"),"")</f>
        <v/>
      </c>
      <c r="O547" s="84" t="str">
        <f t="shared" si="2"/>
        <v/>
      </c>
    </row>
    <row r="548">
      <c r="A548" s="84"/>
      <c r="B548" s="84"/>
      <c r="C548" s="85"/>
      <c r="D548" s="86"/>
      <c r="E548" s="87"/>
      <c r="F548" s="86"/>
      <c r="G548" s="87"/>
      <c r="H548" s="86"/>
      <c r="I548" s="86"/>
      <c r="J548" s="86"/>
      <c r="K548" s="84"/>
      <c r="L548" s="84" t="str">
        <f>IFERROR(__xludf.DUMMYFUNCTION("IF(A548="""","""", COUNT(SPLIT(K548,"";"")))"),"")</f>
        <v/>
      </c>
      <c r="M548" s="84" t="str">
        <f t="shared" si="1"/>
        <v/>
      </c>
      <c r="N548" s="84" t="str">
        <f>IFERROR(__xludf.DUMMYFUNCTION("IFERROR(AVERAGE(query(INDIRECT(""'FR Table'!"" &amp; vlookup(rows($A$1:$A547),Reference!$O:$P,2,false) &amp; ""3:"" &amp; vlookup(rows($A$1:$A547),Reference!$O:$P,2,false)), 
""SELECT "" &amp; vlookup(rows($A$1:$A547),Reference!$O:$P,2,false) 
&amp; "" WHERE "" &amp; vlookup(row"&amp;"s($A$1:$A547),Reference!$O:$P,2,false) &amp;
"" &gt;= "" &amp; Reference!$R$2)) * M548,"""")"),"")</f>
        <v/>
      </c>
      <c r="O548" s="84" t="str">
        <f t="shared" si="2"/>
        <v/>
      </c>
    </row>
    <row r="549">
      <c r="A549" s="84"/>
      <c r="B549" s="84"/>
      <c r="C549" s="85"/>
      <c r="D549" s="86"/>
      <c r="E549" s="87"/>
      <c r="F549" s="86"/>
      <c r="G549" s="87"/>
      <c r="H549" s="86"/>
      <c r="I549" s="86"/>
      <c r="J549" s="86"/>
      <c r="K549" s="84"/>
      <c r="L549" s="84" t="str">
        <f>IFERROR(__xludf.DUMMYFUNCTION("IF(A549="""","""", COUNT(SPLIT(K549,"";"")))"),"")</f>
        <v/>
      </c>
      <c r="M549" s="84" t="str">
        <f t="shared" si="1"/>
        <v/>
      </c>
      <c r="N549" s="84" t="str">
        <f>IFERROR(__xludf.DUMMYFUNCTION("IFERROR(AVERAGE(query(INDIRECT(""'FR Table'!"" &amp; vlookup(rows($A$1:$A548),Reference!$O:$P,2,false) &amp; ""3:"" &amp; vlookup(rows($A$1:$A548),Reference!$O:$P,2,false)), 
""SELECT "" &amp; vlookup(rows($A$1:$A548),Reference!$O:$P,2,false) 
&amp; "" WHERE "" &amp; vlookup(row"&amp;"s($A$1:$A548),Reference!$O:$P,2,false) &amp;
"" &gt;= "" &amp; Reference!$R$2)) * M549,"""")"),"")</f>
        <v/>
      </c>
      <c r="O549" s="84" t="str">
        <f t="shared" si="2"/>
        <v/>
      </c>
    </row>
    <row r="550">
      <c r="A550" s="84"/>
      <c r="B550" s="84"/>
      <c r="C550" s="85"/>
      <c r="D550" s="86"/>
      <c r="E550" s="87"/>
      <c r="F550" s="86"/>
      <c r="G550" s="87"/>
      <c r="H550" s="86"/>
      <c r="I550" s="86"/>
      <c r="J550" s="86"/>
      <c r="K550" s="84"/>
      <c r="L550" s="84" t="str">
        <f>IFERROR(__xludf.DUMMYFUNCTION("IF(A550="""","""", COUNT(SPLIT(K550,"";"")))"),"")</f>
        <v/>
      </c>
      <c r="M550" s="84" t="str">
        <f t="shared" si="1"/>
        <v/>
      </c>
      <c r="N550" s="84" t="str">
        <f>IFERROR(__xludf.DUMMYFUNCTION("IFERROR(AVERAGE(query(INDIRECT(""'FR Table'!"" &amp; vlookup(rows($A$1:$A549),Reference!$O:$P,2,false) &amp; ""3:"" &amp; vlookup(rows($A$1:$A549),Reference!$O:$P,2,false)), 
""SELECT "" &amp; vlookup(rows($A$1:$A549),Reference!$O:$P,2,false) 
&amp; "" WHERE "" &amp; vlookup(row"&amp;"s($A$1:$A549),Reference!$O:$P,2,false) &amp;
"" &gt;= "" &amp; Reference!$R$2)) * M550,"""")"),"")</f>
        <v/>
      </c>
      <c r="O550" s="84" t="str">
        <f t="shared" si="2"/>
        <v/>
      </c>
    </row>
    <row r="551">
      <c r="A551" s="84"/>
      <c r="B551" s="84"/>
      <c r="C551" s="85"/>
      <c r="D551" s="86"/>
      <c r="E551" s="87"/>
      <c r="F551" s="86"/>
      <c r="G551" s="87"/>
      <c r="H551" s="86"/>
      <c r="I551" s="86"/>
      <c r="J551" s="86"/>
      <c r="K551" s="84"/>
      <c r="L551" s="84" t="str">
        <f>IFERROR(__xludf.DUMMYFUNCTION("IF(A551="""","""", COUNT(SPLIT(K551,"";"")))"),"")</f>
        <v/>
      </c>
      <c r="M551" s="84" t="str">
        <f t="shared" si="1"/>
        <v/>
      </c>
      <c r="N551" s="84" t="str">
        <f>IFERROR(__xludf.DUMMYFUNCTION("IFERROR(AVERAGE(query(INDIRECT(""'FR Table'!"" &amp; vlookup(rows($A$1:$A550),Reference!$O:$P,2,false) &amp; ""3:"" &amp; vlookup(rows($A$1:$A550),Reference!$O:$P,2,false)), 
""SELECT "" &amp; vlookup(rows($A$1:$A550),Reference!$O:$P,2,false) 
&amp; "" WHERE "" &amp; vlookup(row"&amp;"s($A$1:$A550),Reference!$O:$P,2,false) &amp;
"" &gt;= "" &amp; Reference!$R$2)) * M551,"""")"),"")</f>
        <v/>
      </c>
      <c r="O551" s="84" t="str">
        <f t="shared" si="2"/>
        <v/>
      </c>
    </row>
    <row r="552">
      <c r="A552" s="84"/>
      <c r="B552" s="84"/>
      <c r="C552" s="85"/>
      <c r="D552" s="86"/>
      <c r="E552" s="87"/>
      <c r="F552" s="86"/>
      <c r="G552" s="87"/>
      <c r="H552" s="86"/>
      <c r="I552" s="86"/>
      <c r="J552" s="86"/>
      <c r="K552" s="84"/>
      <c r="L552" s="84" t="str">
        <f>IFERROR(__xludf.DUMMYFUNCTION("IF(A552="""","""", COUNT(SPLIT(K552,"";"")))"),"")</f>
        <v/>
      </c>
      <c r="M552" s="84" t="str">
        <f t="shared" si="1"/>
        <v/>
      </c>
      <c r="N552" s="84" t="str">
        <f>IFERROR(__xludf.DUMMYFUNCTION("IFERROR(AVERAGE(query(INDIRECT(""'FR Table'!"" &amp; vlookup(rows($A$1:$A551),Reference!$O:$P,2,false) &amp; ""3:"" &amp; vlookup(rows($A$1:$A551),Reference!$O:$P,2,false)), 
""SELECT "" &amp; vlookup(rows($A$1:$A551),Reference!$O:$P,2,false) 
&amp; "" WHERE "" &amp; vlookup(row"&amp;"s($A$1:$A551),Reference!$O:$P,2,false) &amp;
"" &gt;= "" &amp; Reference!$R$2)) * M552,"""")"),"")</f>
        <v/>
      </c>
      <c r="O552" s="84" t="str">
        <f t="shared" si="2"/>
        <v/>
      </c>
    </row>
    <row r="553">
      <c r="A553" s="84"/>
      <c r="B553" s="84"/>
      <c r="C553" s="85"/>
      <c r="D553" s="86"/>
      <c r="E553" s="87"/>
      <c r="F553" s="86"/>
      <c r="G553" s="87"/>
      <c r="H553" s="86"/>
      <c r="I553" s="86"/>
      <c r="J553" s="86"/>
      <c r="K553" s="84"/>
      <c r="L553" s="84" t="str">
        <f>IFERROR(__xludf.DUMMYFUNCTION("IF(A553="""","""", COUNT(SPLIT(K553,"";"")))"),"")</f>
        <v/>
      </c>
      <c r="M553" s="84" t="str">
        <f t="shared" si="1"/>
        <v/>
      </c>
      <c r="N553" s="84" t="str">
        <f>IFERROR(__xludf.DUMMYFUNCTION("IFERROR(AVERAGE(query(INDIRECT(""'FR Table'!"" &amp; vlookup(rows($A$1:$A552),Reference!$O:$P,2,false) &amp; ""3:"" &amp; vlookup(rows($A$1:$A552),Reference!$O:$P,2,false)), 
""SELECT "" &amp; vlookup(rows($A$1:$A552),Reference!$O:$P,2,false) 
&amp; "" WHERE "" &amp; vlookup(row"&amp;"s($A$1:$A552),Reference!$O:$P,2,false) &amp;
"" &gt;= "" &amp; Reference!$R$2)) * M553,"""")"),"")</f>
        <v/>
      </c>
      <c r="O553" s="84" t="str">
        <f t="shared" si="2"/>
        <v/>
      </c>
    </row>
    <row r="554">
      <c r="A554" s="84"/>
      <c r="B554" s="84"/>
      <c r="C554" s="85"/>
      <c r="D554" s="86"/>
      <c r="E554" s="87"/>
      <c r="F554" s="86"/>
      <c r="G554" s="87"/>
      <c r="H554" s="86"/>
      <c r="I554" s="86"/>
      <c r="J554" s="86"/>
      <c r="K554" s="84"/>
      <c r="L554" s="84" t="str">
        <f>IFERROR(__xludf.DUMMYFUNCTION("IF(A554="""","""", COUNT(SPLIT(K554,"";"")))"),"")</f>
        <v/>
      </c>
      <c r="M554" s="84" t="str">
        <f t="shared" si="1"/>
        <v/>
      </c>
      <c r="N554" s="84" t="str">
        <f>IFERROR(__xludf.DUMMYFUNCTION("IFERROR(AVERAGE(query(INDIRECT(""'FR Table'!"" &amp; vlookup(rows($A$1:$A553),Reference!$O:$P,2,false) &amp; ""3:"" &amp; vlookup(rows($A$1:$A553),Reference!$O:$P,2,false)), 
""SELECT "" &amp; vlookup(rows($A$1:$A553),Reference!$O:$P,2,false) 
&amp; "" WHERE "" &amp; vlookup(row"&amp;"s($A$1:$A553),Reference!$O:$P,2,false) &amp;
"" &gt;= "" &amp; Reference!$R$2)) * M554,"""")"),"")</f>
        <v/>
      </c>
      <c r="O554" s="84" t="str">
        <f t="shared" si="2"/>
        <v/>
      </c>
    </row>
    <row r="555">
      <c r="A555" s="84"/>
      <c r="B555" s="84"/>
      <c r="C555" s="85"/>
      <c r="D555" s="86"/>
      <c r="E555" s="87"/>
      <c r="F555" s="86"/>
      <c r="G555" s="87"/>
      <c r="H555" s="86"/>
      <c r="I555" s="86"/>
      <c r="J555" s="86"/>
      <c r="K555" s="84"/>
      <c r="L555" s="84" t="str">
        <f>IFERROR(__xludf.DUMMYFUNCTION("IF(A555="""","""", COUNT(SPLIT(K555,"";"")))"),"")</f>
        <v/>
      </c>
      <c r="M555" s="84" t="str">
        <f t="shared" si="1"/>
        <v/>
      </c>
      <c r="N555" s="84" t="str">
        <f>IFERROR(__xludf.DUMMYFUNCTION("IFERROR(AVERAGE(query(INDIRECT(""'FR Table'!"" &amp; vlookup(rows($A$1:$A554),Reference!$O:$P,2,false) &amp; ""3:"" &amp; vlookup(rows($A$1:$A554),Reference!$O:$P,2,false)), 
""SELECT "" &amp; vlookup(rows($A$1:$A554),Reference!$O:$P,2,false) 
&amp; "" WHERE "" &amp; vlookup(row"&amp;"s($A$1:$A554),Reference!$O:$P,2,false) &amp;
"" &gt;= "" &amp; Reference!$R$2)) * M555,"""")"),"")</f>
        <v/>
      </c>
      <c r="O555" s="84" t="str">
        <f t="shared" si="2"/>
        <v/>
      </c>
    </row>
    <row r="556">
      <c r="A556" s="84"/>
      <c r="B556" s="84"/>
      <c r="C556" s="85"/>
      <c r="D556" s="86"/>
      <c r="E556" s="87"/>
      <c r="F556" s="86"/>
      <c r="G556" s="87"/>
      <c r="H556" s="86"/>
      <c r="I556" s="86"/>
      <c r="J556" s="86"/>
      <c r="K556" s="84"/>
      <c r="L556" s="84" t="str">
        <f>IFERROR(__xludf.DUMMYFUNCTION("IF(A556="""","""", COUNT(SPLIT(K556,"";"")))"),"")</f>
        <v/>
      </c>
      <c r="M556" s="84" t="str">
        <f t="shared" si="1"/>
        <v/>
      </c>
      <c r="N556" s="84" t="str">
        <f>IFERROR(__xludf.DUMMYFUNCTION("IFERROR(AVERAGE(query(INDIRECT(""'FR Table'!"" &amp; vlookup(rows($A$1:$A555),Reference!$O:$P,2,false) &amp; ""3:"" &amp; vlookup(rows($A$1:$A555),Reference!$O:$P,2,false)), 
""SELECT "" &amp; vlookup(rows($A$1:$A555),Reference!$O:$P,2,false) 
&amp; "" WHERE "" &amp; vlookup(row"&amp;"s($A$1:$A555),Reference!$O:$P,2,false) &amp;
"" &gt;= "" &amp; Reference!$R$2)) * M556,"""")"),"")</f>
        <v/>
      </c>
      <c r="O556" s="84" t="str">
        <f t="shared" si="2"/>
        <v/>
      </c>
    </row>
    <row r="557">
      <c r="A557" s="84"/>
      <c r="B557" s="84"/>
      <c r="C557" s="85"/>
      <c r="D557" s="86"/>
      <c r="E557" s="87"/>
      <c r="F557" s="86"/>
      <c r="G557" s="87"/>
      <c r="H557" s="86"/>
      <c r="I557" s="86"/>
      <c r="J557" s="86"/>
      <c r="K557" s="84"/>
      <c r="L557" s="84" t="str">
        <f>IFERROR(__xludf.DUMMYFUNCTION("IF(A557="""","""", COUNT(SPLIT(K557,"";"")))"),"")</f>
        <v/>
      </c>
      <c r="M557" s="84" t="str">
        <f t="shared" si="1"/>
        <v/>
      </c>
      <c r="N557" s="84" t="str">
        <f>IFERROR(__xludf.DUMMYFUNCTION("IFERROR(AVERAGE(query(INDIRECT(""'FR Table'!"" &amp; vlookup(rows($A$1:$A556),Reference!$O:$P,2,false) &amp; ""3:"" &amp; vlookup(rows($A$1:$A556),Reference!$O:$P,2,false)), 
""SELECT "" &amp; vlookup(rows($A$1:$A556),Reference!$O:$P,2,false) 
&amp; "" WHERE "" &amp; vlookup(row"&amp;"s($A$1:$A556),Reference!$O:$P,2,false) &amp;
"" &gt;= "" &amp; Reference!$R$2)) * M557,"""")"),"")</f>
        <v/>
      </c>
      <c r="O557" s="84" t="str">
        <f t="shared" si="2"/>
        <v/>
      </c>
    </row>
    <row r="558">
      <c r="A558" s="84"/>
      <c r="B558" s="84"/>
      <c r="C558" s="85"/>
      <c r="D558" s="86"/>
      <c r="E558" s="87"/>
      <c r="F558" s="86"/>
      <c r="G558" s="87"/>
      <c r="H558" s="86"/>
      <c r="I558" s="86"/>
      <c r="J558" s="86"/>
      <c r="K558" s="84"/>
      <c r="L558" s="84" t="str">
        <f>IFERROR(__xludf.DUMMYFUNCTION("IF(A558="""","""", COUNT(SPLIT(K558,"";"")))"),"")</f>
        <v/>
      </c>
      <c r="M558" s="84" t="str">
        <f t="shared" si="1"/>
        <v/>
      </c>
      <c r="N558" s="84" t="str">
        <f>IFERROR(__xludf.DUMMYFUNCTION("IFERROR(AVERAGE(query(INDIRECT(""'FR Table'!"" &amp; vlookup(rows($A$1:$A557),Reference!$O:$P,2,false) &amp; ""3:"" &amp; vlookup(rows($A$1:$A557),Reference!$O:$P,2,false)), 
""SELECT "" &amp; vlookup(rows($A$1:$A557),Reference!$O:$P,2,false) 
&amp; "" WHERE "" &amp; vlookup(row"&amp;"s($A$1:$A557),Reference!$O:$P,2,false) &amp;
"" &gt;= "" &amp; Reference!$R$2)) * M558,"""")"),"")</f>
        <v/>
      </c>
      <c r="O558" s="84" t="str">
        <f t="shared" si="2"/>
        <v/>
      </c>
    </row>
    <row r="559">
      <c r="A559" s="84"/>
      <c r="B559" s="84"/>
      <c r="C559" s="85"/>
      <c r="D559" s="86"/>
      <c r="E559" s="87"/>
      <c r="F559" s="86"/>
      <c r="G559" s="87"/>
      <c r="H559" s="86"/>
      <c r="I559" s="86"/>
      <c r="J559" s="86"/>
      <c r="K559" s="84"/>
      <c r="L559" s="84" t="str">
        <f>IFERROR(__xludf.DUMMYFUNCTION("IF(A559="""","""", COUNT(SPLIT(K559,"";"")))"),"")</f>
        <v/>
      </c>
      <c r="M559" s="84" t="str">
        <f t="shared" si="1"/>
        <v/>
      </c>
      <c r="N559" s="84" t="str">
        <f>IFERROR(__xludf.DUMMYFUNCTION("IFERROR(AVERAGE(query(INDIRECT(""'FR Table'!"" &amp; vlookup(rows($A$1:$A558),Reference!$O:$P,2,false) &amp; ""3:"" &amp; vlookup(rows($A$1:$A558),Reference!$O:$P,2,false)), 
""SELECT "" &amp; vlookup(rows($A$1:$A558),Reference!$O:$P,2,false) 
&amp; "" WHERE "" &amp; vlookup(row"&amp;"s($A$1:$A558),Reference!$O:$P,2,false) &amp;
"" &gt;= "" &amp; Reference!$R$2)) * M559,"""")"),"")</f>
        <v/>
      </c>
      <c r="O559" s="84" t="str">
        <f t="shared" si="2"/>
        <v/>
      </c>
    </row>
    <row r="560">
      <c r="A560" s="84"/>
      <c r="B560" s="84"/>
      <c r="C560" s="85"/>
      <c r="D560" s="86"/>
      <c r="E560" s="87"/>
      <c r="F560" s="86"/>
      <c r="G560" s="87"/>
      <c r="H560" s="86"/>
      <c r="I560" s="86"/>
      <c r="J560" s="86"/>
      <c r="K560" s="84"/>
      <c r="L560" s="84" t="str">
        <f>IFERROR(__xludf.DUMMYFUNCTION("IF(A560="""","""", COUNT(SPLIT(K560,"";"")))"),"")</f>
        <v/>
      </c>
      <c r="M560" s="84" t="str">
        <f t="shared" si="1"/>
        <v/>
      </c>
      <c r="N560" s="84" t="str">
        <f>IFERROR(__xludf.DUMMYFUNCTION("IFERROR(AVERAGE(query(INDIRECT(""'FR Table'!"" &amp; vlookup(rows($A$1:$A559),Reference!$O:$P,2,false) &amp; ""3:"" &amp; vlookup(rows($A$1:$A559),Reference!$O:$P,2,false)), 
""SELECT "" &amp; vlookup(rows($A$1:$A559),Reference!$O:$P,2,false) 
&amp; "" WHERE "" &amp; vlookup(row"&amp;"s($A$1:$A559),Reference!$O:$P,2,false) &amp;
"" &gt;= "" &amp; Reference!$R$2)) * M560,"""")"),"")</f>
        <v/>
      </c>
      <c r="O560" s="84" t="str">
        <f t="shared" si="2"/>
        <v/>
      </c>
    </row>
    <row r="561">
      <c r="A561" s="84"/>
      <c r="B561" s="84"/>
      <c r="C561" s="85"/>
      <c r="D561" s="86"/>
      <c r="E561" s="87"/>
      <c r="F561" s="86"/>
      <c r="G561" s="87"/>
      <c r="H561" s="86"/>
      <c r="I561" s="86"/>
      <c r="J561" s="86"/>
      <c r="K561" s="84"/>
      <c r="L561" s="84" t="str">
        <f>IFERROR(__xludf.DUMMYFUNCTION("IF(A561="""","""", COUNT(SPLIT(K561,"";"")))"),"")</f>
        <v/>
      </c>
      <c r="M561" s="84" t="str">
        <f t="shared" si="1"/>
        <v/>
      </c>
      <c r="N561" s="84" t="str">
        <f>IFERROR(__xludf.DUMMYFUNCTION("IFERROR(AVERAGE(query(INDIRECT(""'FR Table'!"" &amp; vlookup(rows($A$1:$A560),Reference!$O:$P,2,false) &amp; ""3:"" &amp; vlookup(rows($A$1:$A560),Reference!$O:$P,2,false)), 
""SELECT "" &amp; vlookup(rows($A$1:$A560),Reference!$O:$P,2,false) 
&amp; "" WHERE "" &amp; vlookup(row"&amp;"s($A$1:$A560),Reference!$O:$P,2,false) &amp;
"" &gt;= "" &amp; Reference!$R$2)) * M561,"""")"),"")</f>
        <v/>
      </c>
      <c r="O561" s="84" t="str">
        <f t="shared" si="2"/>
        <v/>
      </c>
    </row>
    <row r="562">
      <c r="A562" s="84"/>
      <c r="B562" s="84"/>
      <c r="C562" s="85"/>
      <c r="D562" s="86"/>
      <c r="E562" s="87"/>
      <c r="F562" s="86"/>
      <c r="G562" s="87"/>
      <c r="H562" s="86"/>
      <c r="I562" s="86"/>
      <c r="J562" s="86"/>
      <c r="K562" s="84"/>
      <c r="L562" s="84" t="str">
        <f>IFERROR(__xludf.DUMMYFUNCTION("IF(A562="""","""", COUNT(SPLIT(K562,"";"")))"),"")</f>
        <v/>
      </c>
      <c r="M562" s="84" t="str">
        <f t="shared" si="1"/>
        <v/>
      </c>
      <c r="N562" s="84" t="str">
        <f>IFERROR(__xludf.DUMMYFUNCTION("IFERROR(AVERAGE(query(INDIRECT(""'FR Table'!"" &amp; vlookup(rows($A$1:$A561),Reference!$O:$P,2,false) &amp; ""3:"" &amp; vlookup(rows($A$1:$A561),Reference!$O:$P,2,false)), 
""SELECT "" &amp; vlookup(rows($A$1:$A561),Reference!$O:$P,2,false) 
&amp; "" WHERE "" &amp; vlookup(row"&amp;"s($A$1:$A561),Reference!$O:$P,2,false) &amp;
"" &gt;= "" &amp; Reference!$R$2)) * M562,"""")"),"")</f>
        <v/>
      </c>
      <c r="O562" s="84" t="str">
        <f t="shared" si="2"/>
        <v/>
      </c>
    </row>
    <row r="563">
      <c r="A563" s="84"/>
      <c r="B563" s="84"/>
      <c r="C563" s="85"/>
      <c r="D563" s="86"/>
      <c r="E563" s="87"/>
      <c r="F563" s="86"/>
      <c r="G563" s="87"/>
      <c r="H563" s="86"/>
      <c r="I563" s="86"/>
      <c r="J563" s="86"/>
      <c r="K563" s="84"/>
      <c r="L563" s="84" t="str">
        <f>IFERROR(__xludf.DUMMYFUNCTION("IF(A563="""","""", COUNT(SPLIT(K563,"";"")))"),"")</f>
        <v/>
      </c>
      <c r="M563" s="84" t="str">
        <f t="shared" si="1"/>
        <v/>
      </c>
      <c r="N563" s="84" t="str">
        <f>IFERROR(__xludf.DUMMYFUNCTION("IFERROR(AVERAGE(query(INDIRECT(""'FR Table'!"" &amp; vlookup(rows($A$1:$A562),Reference!$O:$P,2,false) &amp; ""3:"" &amp; vlookup(rows($A$1:$A562),Reference!$O:$P,2,false)), 
""SELECT "" &amp; vlookup(rows($A$1:$A562),Reference!$O:$P,2,false) 
&amp; "" WHERE "" &amp; vlookup(row"&amp;"s($A$1:$A562),Reference!$O:$P,2,false) &amp;
"" &gt;= "" &amp; Reference!$R$2)) * M563,"""")"),"")</f>
        <v/>
      </c>
      <c r="O563" s="84" t="str">
        <f t="shared" si="2"/>
        <v/>
      </c>
    </row>
    <row r="564">
      <c r="A564" s="84"/>
      <c r="B564" s="84"/>
      <c r="C564" s="85"/>
      <c r="D564" s="86"/>
      <c r="E564" s="87"/>
      <c r="F564" s="86"/>
      <c r="G564" s="87"/>
      <c r="H564" s="86"/>
      <c r="I564" s="86"/>
      <c r="J564" s="86"/>
      <c r="K564" s="84"/>
      <c r="L564" s="84" t="str">
        <f>IFERROR(__xludf.DUMMYFUNCTION("IF(A564="""","""", COUNT(SPLIT(K564,"";"")))"),"")</f>
        <v/>
      </c>
      <c r="M564" s="84" t="str">
        <f t="shared" si="1"/>
        <v/>
      </c>
      <c r="N564" s="84" t="str">
        <f>IFERROR(__xludf.DUMMYFUNCTION("IFERROR(AVERAGE(query(INDIRECT(""'FR Table'!"" &amp; vlookup(rows($A$1:$A563),Reference!$O:$P,2,false) &amp; ""3:"" &amp; vlookup(rows($A$1:$A563),Reference!$O:$P,2,false)), 
""SELECT "" &amp; vlookup(rows($A$1:$A563),Reference!$O:$P,2,false) 
&amp; "" WHERE "" &amp; vlookup(row"&amp;"s($A$1:$A563),Reference!$O:$P,2,false) &amp;
"" &gt;= "" &amp; Reference!$R$2)) * M564,"""")"),"")</f>
        <v/>
      </c>
      <c r="O564" s="84" t="str">
        <f t="shared" si="2"/>
        <v/>
      </c>
    </row>
    <row r="565">
      <c r="A565" s="84"/>
      <c r="B565" s="84"/>
      <c r="C565" s="85"/>
      <c r="D565" s="86"/>
      <c r="E565" s="87"/>
      <c r="F565" s="86"/>
      <c r="G565" s="87"/>
      <c r="H565" s="86"/>
      <c r="I565" s="86"/>
      <c r="J565" s="86"/>
      <c r="K565" s="84"/>
      <c r="L565" s="84" t="str">
        <f>IFERROR(__xludf.DUMMYFUNCTION("IF(A565="""","""", COUNT(SPLIT(K565,"";"")))"),"")</f>
        <v/>
      </c>
      <c r="M565" s="84" t="str">
        <f t="shared" si="1"/>
        <v/>
      </c>
      <c r="N565" s="84" t="str">
        <f>IFERROR(__xludf.DUMMYFUNCTION("IFERROR(AVERAGE(query(INDIRECT(""'FR Table'!"" &amp; vlookup(rows($A$1:$A564),Reference!$O:$P,2,false) &amp; ""3:"" &amp; vlookup(rows($A$1:$A564),Reference!$O:$P,2,false)), 
""SELECT "" &amp; vlookup(rows($A$1:$A564),Reference!$O:$P,2,false) 
&amp; "" WHERE "" &amp; vlookup(row"&amp;"s($A$1:$A564),Reference!$O:$P,2,false) &amp;
"" &gt;= "" &amp; Reference!$R$2)) * M565,"""")"),"")</f>
        <v/>
      </c>
      <c r="O565" s="84" t="str">
        <f t="shared" si="2"/>
        <v/>
      </c>
    </row>
    <row r="566">
      <c r="A566" s="84"/>
      <c r="B566" s="84"/>
      <c r="C566" s="85"/>
      <c r="D566" s="86"/>
      <c r="E566" s="87"/>
      <c r="F566" s="86"/>
      <c r="G566" s="87"/>
      <c r="H566" s="86"/>
      <c r="I566" s="86"/>
      <c r="J566" s="86"/>
      <c r="K566" s="84"/>
      <c r="L566" s="84" t="str">
        <f>IFERROR(__xludf.DUMMYFUNCTION("IF(A566="""","""", COUNT(SPLIT(K566,"";"")))"),"")</f>
        <v/>
      </c>
      <c r="M566" s="84" t="str">
        <f t="shared" si="1"/>
        <v/>
      </c>
      <c r="N566" s="84" t="str">
        <f>IFERROR(__xludf.DUMMYFUNCTION("IFERROR(AVERAGE(query(INDIRECT(""'FR Table'!"" &amp; vlookup(rows($A$1:$A565),Reference!$O:$P,2,false) &amp; ""3:"" &amp; vlookup(rows($A$1:$A565),Reference!$O:$P,2,false)), 
""SELECT "" &amp; vlookup(rows($A$1:$A565),Reference!$O:$P,2,false) 
&amp; "" WHERE "" &amp; vlookup(row"&amp;"s($A$1:$A565),Reference!$O:$P,2,false) &amp;
"" &gt;= "" &amp; Reference!$R$2)) * M566,"""")"),"")</f>
        <v/>
      </c>
      <c r="O566" s="84" t="str">
        <f t="shared" si="2"/>
        <v/>
      </c>
    </row>
    <row r="567">
      <c r="A567" s="84"/>
      <c r="B567" s="84"/>
      <c r="C567" s="85"/>
      <c r="D567" s="86"/>
      <c r="E567" s="87"/>
      <c r="F567" s="86"/>
      <c r="G567" s="87"/>
      <c r="H567" s="86"/>
      <c r="I567" s="86"/>
      <c r="J567" s="86"/>
      <c r="K567" s="84"/>
      <c r="L567" s="84" t="str">
        <f>IFERROR(__xludf.DUMMYFUNCTION("IF(A567="""","""", COUNT(SPLIT(K567,"";"")))"),"")</f>
        <v/>
      </c>
      <c r="M567" s="84" t="str">
        <f t="shared" si="1"/>
        <v/>
      </c>
      <c r="N567" s="84" t="str">
        <f>IFERROR(__xludf.DUMMYFUNCTION("IFERROR(AVERAGE(query(INDIRECT(""'FR Table'!"" &amp; vlookup(rows($A$1:$A566),Reference!$O:$P,2,false) &amp; ""3:"" &amp; vlookup(rows($A$1:$A566),Reference!$O:$P,2,false)), 
""SELECT "" &amp; vlookup(rows($A$1:$A566),Reference!$O:$P,2,false) 
&amp; "" WHERE "" &amp; vlookup(row"&amp;"s($A$1:$A566),Reference!$O:$P,2,false) &amp;
"" &gt;= "" &amp; Reference!$R$2)) * M567,"""")"),"")</f>
        <v/>
      </c>
      <c r="O567" s="84" t="str">
        <f t="shared" si="2"/>
        <v/>
      </c>
    </row>
    <row r="568">
      <c r="A568" s="84"/>
      <c r="B568" s="84"/>
      <c r="C568" s="85"/>
      <c r="D568" s="86"/>
      <c r="E568" s="87"/>
      <c r="F568" s="86"/>
      <c r="G568" s="87"/>
      <c r="H568" s="86"/>
      <c r="I568" s="86"/>
      <c r="J568" s="86"/>
      <c r="K568" s="84"/>
      <c r="L568" s="84" t="str">
        <f>IFERROR(__xludf.DUMMYFUNCTION("IF(A568="""","""", COUNT(SPLIT(K568,"";"")))"),"")</f>
        <v/>
      </c>
      <c r="M568" s="84" t="str">
        <f t="shared" si="1"/>
        <v/>
      </c>
      <c r="N568" s="84" t="str">
        <f>IFERROR(__xludf.DUMMYFUNCTION("IFERROR(AVERAGE(query(INDIRECT(""'FR Table'!"" &amp; vlookup(rows($A$1:$A567),Reference!$O:$P,2,false) &amp; ""3:"" &amp; vlookup(rows($A$1:$A567),Reference!$O:$P,2,false)), 
""SELECT "" &amp; vlookup(rows($A$1:$A567),Reference!$O:$P,2,false) 
&amp; "" WHERE "" &amp; vlookup(row"&amp;"s($A$1:$A567),Reference!$O:$P,2,false) &amp;
"" &gt;= "" &amp; Reference!$R$2)) * M568,"""")"),"")</f>
        <v/>
      </c>
      <c r="O568" s="84" t="str">
        <f t="shared" si="2"/>
        <v/>
      </c>
    </row>
    <row r="569">
      <c r="A569" s="84"/>
      <c r="B569" s="84"/>
      <c r="C569" s="85"/>
      <c r="D569" s="86"/>
      <c r="E569" s="87"/>
      <c r="F569" s="86"/>
      <c r="G569" s="87"/>
      <c r="H569" s="86"/>
      <c r="I569" s="86"/>
      <c r="J569" s="86"/>
      <c r="K569" s="84"/>
      <c r="L569" s="84" t="str">
        <f>IFERROR(__xludf.DUMMYFUNCTION("IF(A569="""","""", COUNT(SPLIT(K569,"";"")))"),"")</f>
        <v/>
      </c>
      <c r="M569" s="84" t="str">
        <f t="shared" si="1"/>
        <v/>
      </c>
      <c r="N569" s="84" t="str">
        <f>IFERROR(__xludf.DUMMYFUNCTION("IFERROR(AVERAGE(query(INDIRECT(""'FR Table'!"" &amp; vlookup(rows($A$1:$A568),Reference!$O:$P,2,false) &amp; ""3:"" &amp; vlookup(rows($A$1:$A568),Reference!$O:$P,2,false)), 
""SELECT "" &amp; vlookup(rows($A$1:$A568),Reference!$O:$P,2,false) 
&amp; "" WHERE "" &amp; vlookup(row"&amp;"s($A$1:$A568),Reference!$O:$P,2,false) &amp;
"" &gt;= "" &amp; Reference!$R$2)) * M569,"""")"),"")</f>
        <v/>
      </c>
      <c r="O569" s="84" t="str">
        <f t="shared" si="2"/>
        <v/>
      </c>
    </row>
    <row r="570">
      <c r="A570" s="84"/>
      <c r="B570" s="84"/>
      <c r="C570" s="85"/>
      <c r="D570" s="86"/>
      <c r="E570" s="87"/>
      <c r="F570" s="86"/>
      <c r="G570" s="87"/>
      <c r="H570" s="86"/>
      <c r="I570" s="86"/>
      <c r="J570" s="86"/>
      <c r="K570" s="84"/>
      <c r="L570" s="84" t="str">
        <f>IFERROR(__xludf.DUMMYFUNCTION("IF(A570="""","""", COUNT(SPLIT(K570,"";"")))"),"")</f>
        <v/>
      </c>
      <c r="M570" s="84" t="str">
        <f t="shared" si="1"/>
        <v/>
      </c>
      <c r="N570" s="84" t="str">
        <f>IFERROR(__xludf.DUMMYFUNCTION("IFERROR(AVERAGE(query(INDIRECT(""'FR Table'!"" &amp; vlookup(rows($A$1:$A569),Reference!$O:$P,2,false) &amp; ""3:"" &amp; vlookup(rows($A$1:$A569),Reference!$O:$P,2,false)), 
""SELECT "" &amp; vlookup(rows($A$1:$A569),Reference!$O:$P,2,false) 
&amp; "" WHERE "" &amp; vlookup(row"&amp;"s($A$1:$A569),Reference!$O:$P,2,false) &amp;
"" &gt;= "" &amp; Reference!$R$2)) * M570,"""")"),"")</f>
        <v/>
      </c>
      <c r="O570" s="84" t="str">
        <f t="shared" si="2"/>
        <v/>
      </c>
    </row>
    <row r="571">
      <c r="A571" s="84"/>
      <c r="B571" s="84"/>
      <c r="C571" s="85"/>
      <c r="D571" s="86"/>
      <c r="E571" s="87"/>
      <c r="F571" s="86"/>
      <c r="G571" s="87"/>
      <c r="H571" s="86"/>
      <c r="I571" s="86"/>
      <c r="J571" s="86"/>
      <c r="K571" s="84"/>
      <c r="L571" s="84" t="str">
        <f>IFERROR(__xludf.DUMMYFUNCTION("IF(A571="""","""", COUNT(SPLIT(K571,"";"")))"),"")</f>
        <v/>
      </c>
      <c r="M571" s="84" t="str">
        <f t="shared" si="1"/>
        <v/>
      </c>
      <c r="N571" s="84" t="str">
        <f>IFERROR(__xludf.DUMMYFUNCTION("IFERROR(AVERAGE(query(INDIRECT(""'FR Table'!"" &amp; vlookup(rows($A$1:$A570),Reference!$O:$P,2,false) &amp; ""3:"" &amp; vlookup(rows($A$1:$A570),Reference!$O:$P,2,false)), 
""SELECT "" &amp; vlookup(rows($A$1:$A570),Reference!$O:$P,2,false) 
&amp; "" WHERE "" &amp; vlookup(row"&amp;"s($A$1:$A570),Reference!$O:$P,2,false) &amp;
"" &gt;= "" &amp; Reference!$R$2)) * M571,"""")"),"")</f>
        <v/>
      </c>
      <c r="O571" s="84" t="str">
        <f t="shared" si="2"/>
        <v/>
      </c>
    </row>
    <row r="572">
      <c r="A572" s="84"/>
      <c r="B572" s="84"/>
      <c r="C572" s="85"/>
      <c r="D572" s="86"/>
      <c r="E572" s="87"/>
      <c r="F572" s="86"/>
      <c r="G572" s="87"/>
      <c r="H572" s="86"/>
      <c r="I572" s="86"/>
      <c r="J572" s="86"/>
      <c r="K572" s="84"/>
      <c r="L572" s="84" t="str">
        <f>IFERROR(__xludf.DUMMYFUNCTION("IF(A572="""","""", COUNT(SPLIT(K572,"";"")))"),"")</f>
        <v/>
      </c>
      <c r="M572" s="84" t="str">
        <f t="shared" si="1"/>
        <v/>
      </c>
      <c r="N572" s="84" t="str">
        <f>IFERROR(__xludf.DUMMYFUNCTION("IFERROR(AVERAGE(query(INDIRECT(""'FR Table'!"" &amp; vlookup(rows($A$1:$A571),Reference!$O:$P,2,false) &amp; ""3:"" &amp; vlookup(rows($A$1:$A571),Reference!$O:$P,2,false)), 
""SELECT "" &amp; vlookup(rows($A$1:$A571),Reference!$O:$P,2,false) 
&amp; "" WHERE "" &amp; vlookup(row"&amp;"s($A$1:$A571),Reference!$O:$P,2,false) &amp;
"" &gt;= "" &amp; Reference!$R$2)) * M572,"""")"),"")</f>
        <v/>
      </c>
      <c r="O572" s="84" t="str">
        <f t="shared" si="2"/>
        <v/>
      </c>
    </row>
    <row r="573">
      <c r="A573" s="84"/>
      <c r="B573" s="84"/>
      <c r="C573" s="85"/>
      <c r="D573" s="86"/>
      <c r="E573" s="87"/>
      <c r="F573" s="86"/>
      <c r="G573" s="87"/>
      <c r="H573" s="86"/>
      <c r="I573" s="86"/>
      <c r="J573" s="86"/>
      <c r="K573" s="84"/>
      <c r="L573" s="84" t="str">
        <f>IFERROR(__xludf.DUMMYFUNCTION("IF(A573="""","""", COUNT(SPLIT(K573,"";"")))"),"")</f>
        <v/>
      </c>
      <c r="M573" s="84" t="str">
        <f t="shared" si="1"/>
        <v/>
      </c>
      <c r="N573" s="84" t="str">
        <f>IFERROR(__xludf.DUMMYFUNCTION("IFERROR(AVERAGE(query(INDIRECT(""'FR Table'!"" &amp; vlookup(rows($A$1:$A572),Reference!$O:$P,2,false) &amp; ""3:"" &amp; vlookup(rows($A$1:$A572),Reference!$O:$P,2,false)), 
""SELECT "" &amp; vlookup(rows($A$1:$A572),Reference!$O:$P,2,false) 
&amp; "" WHERE "" &amp; vlookup(row"&amp;"s($A$1:$A572),Reference!$O:$P,2,false) &amp;
"" &gt;= "" &amp; Reference!$R$2)) * M573,"""")"),"")</f>
        <v/>
      </c>
      <c r="O573" s="84" t="str">
        <f t="shared" si="2"/>
        <v/>
      </c>
    </row>
    <row r="574">
      <c r="A574" s="84"/>
      <c r="B574" s="84"/>
      <c r="C574" s="85"/>
      <c r="D574" s="86"/>
      <c r="E574" s="87"/>
      <c r="F574" s="86"/>
      <c r="G574" s="87"/>
      <c r="H574" s="86"/>
      <c r="I574" s="86"/>
      <c r="J574" s="86"/>
      <c r="K574" s="84"/>
      <c r="L574" s="84" t="str">
        <f>IFERROR(__xludf.DUMMYFUNCTION("IF(A574="""","""", COUNT(SPLIT(K574,"";"")))"),"")</f>
        <v/>
      </c>
      <c r="M574" s="84" t="str">
        <f t="shared" si="1"/>
        <v/>
      </c>
      <c r="N574" s="84" t="str">
        <f>IFERROR(__xludf.DUMMYFUNCTION("IFERROR(AVERAGE(query(INDIRECT(""'FR Table'!"" &amp; vlookup(rows($A$1:$A573),Reference!$O:$P,2,false) &amp; ""3:"" &amp; vlookup(rows($A$1:$A573),Reference!$O:$P,2,false)), 
""SELECT "" &amp; vlookup(rows($A$1:$A573),Reference!$O:$P,2,false) 
&amp; "" WHERE "" &amp; vlookup(row"&amp;"s($A$1:$A573),Reference!$O:$P,2,false) &amp;
"" &gt;= "" &amp; Reference!$R$2)) * M574,"""")"),"")</f>
        <v/>
      </c>
      <c r="O574" s="84" t="str">
        <f t="shared" si="2"/>
        <v/>
      </c>
    </row>
    <row r="575">
      <c r="A575" s="84"/>
      <c r="B575" s="84"/>
      <c r="C575" s="85"/>
      <c r="D575" s="86"/>
      <c r="E575" s="87"/>
      <c r="F575" s="86"/>
      <c r="G575" s="87"/>
      <c r="H575" s="86"/>
      <c r="I575" s="86"/>
      <c r="J575" s="86"/>
      <c r="K575" s="84"/>
      <c r="L575" s="84" t="str">
        <f>IFERROR(__xludf.DUMMYFUNCTION("IF(A575="""","""", COUNT(SPLIT(K575,"";"")))"),"")</f>
        <v/>
      </c>
      <c r="M575" s="84" t="str">
        <f t="shared" si="1"/>
        <v/>
      </c>
      <c r="N575" s="84" t="str">
        <f>IFERROR(__xludf.DUMMYFUNCTION("IFERROR(AVERAGE(query(INDIRECT(""'FR Table'!"" &amp; vlookup(rows($A$1:$A574),Reference!$O:$P,2,false) &amp; ""3:"" &amp; vlookup(rows($A$1:$A574),Reference!$O:$P,2,false)), 
""SELECT "" &amp; vlookup(rows($A$1:$A574),Reference!$O:$P,2,false) 
&amp; "" WHERE "" &amp; vlookup(row"&amp;"s($A$1:$A574),Reference!$O:$P,2,false) &amp;
"" &gt;= "" &amp; Reference!$R$2)) * M575,"""")"),"")</f>
        <v/>
      </c>
      <c r="O575" s="84" t="str">
        <f t="shared" si="2"/>
        <v/>
      </c>
    </row>
    <row r="576">
      <c r="A576" s="84"/>
      <c r="B576" s="84"/>
      <c r="C576" s="85"/>
      <c r="D576" s="86"/>
      <c r="E576" s="87"/>
      <c r="F576" s="86"/>
      <c r="G576" s="87"/>
      <c r="H576" s="86"/>
      <c r="I576" s="86"/>
      <c r="J576" s="86"/>
      <c r="K576" s="84"/>
      <c r="L576" s="84" t="str">
        <f>IFERROR(__xludf.DUMMYFUNCTION("IF(A576="""","""", COUNT(SPLIT(K576,"";"")))"),"")</f>
        <v/>
      </c>
      <c r="M576" s="84" t="str">
        <f t="shared" si="1"/>
        <v/>
      </c>
      <c r="N576" s="84" t="str">
        <f>IFERROR(__xludf.DUMMYFUNCTION("IFERROR(AVERAGE(query(INDIRECT(""'FR Table'!"" &amp; vlookup(rows($A$1:$A575),Reference!$O:$P,2,false) &amp; ""3:"" &amp; vlookup(rows($A$1:$A575),Reference!$O:$P,2,false)), 
""SELECT "" &amp; vlookup(rows($A$1:$A575),Reference!$O:$P,2,false) 
&amp; "" WHERE "" &amp; vlookup(row"&amp;"s($A$1:$A575),Reference!$O:$P,2,false) &amp;
"" &gt;= "" &amp; Reference!$R$2)) * M576,"""")"),"")</f>
        <v/>
      </c>
      <c r="O576" s="84" t="str">
        <f t="shared" si="2"/>
        <v/>
      </c>
    </row>
    <row r="577">
      <c r="A577" s="84"/>
      <c r="B577" s="84"/>
      <c r="C577" s="85"/>
      <c r="D577" s="86"/>
      <c r="E577" s="87"/>
      <c r="F577" s="86"/>
      <c r="G577" s="87"/>
      <c r="H577" s="86"/>
      <c r="I577" s="86"/>
      <c r="J577" s="86"/>
      <c r="K577" s="84"/>
      <c r="L577" s="84" t="str">
        <f>IFERROR(__xludf.DUMMYFUNCTION("IF(A577="""","""", COUNT(SPLIT(K577,"";"")))"),"")</f>
        <v/>
      </c>
      <c r="M577" s="84" t="str">
        <f t="shared" si="1"/>
        <v/>
      </c>
      <c r="N577" s="84" t="str">
        <f>IFERROR(__xludf.DUMMYFUNCTION("IFERROR(AVERAGE(query(INDIRECT(""'FR Table'!"" &amp; vlookup(rows($A$1:$A576),Reference!$O:$P,2,false) &amp; ""3:"" &amp; vlookup(rows($A$1:$A576),Reference!$O:$P,2,false)), 
""SELECT "" &amp; vlookup(rows($A$1:$A576),Reference!$O:$P,2,false) 
&amp; "" WHERE "" &amp; vlookup(row"&amp;"s($A$1:$A576),Reference!$O:$P,2,false) &amp;
"" &gt;= "" &amp; Reference!$R$2)) * M577,"""")"),"")</f>
        <v/>
      </c>
      <c r="O577" s="84" t="str">
        <f t="shared" si="2"/>
        <v/>
      </c>
    </row>
    <row r="578">
      <c r="A578" s="84"/>
      <c r="B578" s="84"/>
      <c r="C578" s="85"/>
      <c r="D578" s="86"/>
      <c r="E578" s="87"/>
      <c r="F578" s="86"/>
      <c r="G578" s="87"/>
      <c r="H578" s="86"/>
      <c r="I578" s="86"/>
      <c r="J578" s="86"/>
      <c r="K578" s="84"/>
      <c r="L578" s="84" t="str">
        <f>IFERROR(__xludf.DUMMYFUNCTION("IF(A578="""","""", COUNT(SPLIT(K578,"";"")))"),"")</f>
        <v/>
      </c>
      <c r="M578" s="84" t="str">
        <f t="shared" si="1"/>
        <v/>
      </c>
      <c r="N578" s="84" t="str">
        <f>IFERROR(__xludf.DUMMYFUNCTION("IFERROR(AVERAGE(query(INDIRECT(""'FR Table'!"" &amp; vlookup(rows($A$1:$A577),Reference!$O:$P,2,false) &amp; ""3:"" &amp; vlookup(rows($A$1:$A577),Reference!$O:$P,2,false)), 
""SELECT "" &amp; vlookup(rows($A$1:$A577),Reference!$O:$P,2,false) 
&amp; "" WHERE "" &amp; vlookup(row"&amp;"s($A$1:$A577),Reference!$O:$P,2,false) &amp;
"" &gt;= "" &amp; Reference!$R$2)) * M578,"""")"),"")</f>
        <v/>
      </c>
      <c r="O578" s="84" t="str">
        <f t="shared" si="2"/>
        <v/>
      </c>
    </row>
    <row r="579">
      <c r="A579" s="84"/>
      <c r="B579" s="84"/>
      <c r="C579" s="85"/>
      <c r="D579" s="86"/>
      <c r="E579" s="87"/>
      <c r="F579" s="86"/>
      <c r="G579" s="87"/>
      <c r="H579" s="86"/>
      <c r="I579" s="86"/>
      <c r="J579" s="86"/>
      <c r="K579" s="84"/>
      <c r="L579" s="84" t="str">
        <f>IFERROR(__xludf.DUMMYFUNCTION("IF(A579="""","""", COUNT(SPLIT(K579,"";"")))"),"")</f>
        <v/>
      </c>
      <c r="M579" s="84" t="str">
        <f t="shared" si="1"/>
        <v/>
      </c>
      <c r="N579" s="84" t="str">
        <f>IFERROR(__xludf.DUMMYFUNCTION("IFERROR(AVERAGE(query(INDIRECT(""'FR Table'!"" &amp; vlookup(rows($A$1:$A578),Reference!$O:$P,2,false) &amp; ""3:"" &amp; vlookup(rows($A$1:$A578),Reference!$O:$P,2,false)), 
""SELECT "" &amp; vlookup(rows($A$1:$A578),Reference!$O:$P,2,false) 
&amp; "" WHERE "" &amp; vlookup(row"&amp;"s($A$1:$A578),Reference!$O:$P,2,false) &amp;
"" &gt;= "" &amp; Reference!$R$2)) * M579,"""")"),"")</f>
        <v/>
      </c>
      <c r="O579" s="84" t="str">
        <f t="shared" si="2"/>
        <v/>
      </c>
    </row>
    <row r="580">
      <c r="A580" s="84"/>
      <c r="B580" s="84"/>
      <c r="C580" s="85"/>
      <c r="D580" s="86"/>
      <c r="E580" s="87"/>
      <c r="F580" s="86"/>
      <c r="G580" s="87"/>
      <c r="H580" s="86"/>
      <c r="I580" s="86"/>
      <c r="J580" s="86"/>
      <c r="K580" s="84"/>
      <c r="L580" s="84" t="str">
        <f>IFERROR(__xludf.DUMMYFUNCTION("IF(A580="""","""", COUNT(SPLIT(K580,"";"")))"),"")</f>
        <v/>
      </c>
      <c r="M580" s="84" t="str">
        <f t="shared" si="1"/>
        <v/>
      </c>
      <c r="N580" s="84" t="str">
        <f>IFERROR(__xludf.DUMMYFUNCTION("IFERROR(AVERAGE(query(INDIRECT(""'FR Table'!"" &amp; vlookup(rows($A$1:$A579),Reference!$O:$P,2,false) &amp; ""3:"" &amp; vlookup(rows($A$1:$A579),Reference!$O:$P,2,false)), 
""SELECT "" &amp; vlookup(rows($A$1:$A579),Reference!$O:$P,2,false) 
&amp; "" WHERE "" &amp; vlookup(row"&amp;"s($A$1:$A579),Reference!$O:$P,2,false) &amp;
"" &gt;= "" &amp; Reference!$R$2)) * M580,"""")"),"")</f>
        <v/>
      </c>
      <c r="O580" s="84" t="str">
        <f t="shared" si="2"/>
        <v/>
      </c>
    </row>
    <row r="581">
      <c r="A581" s="84"/>
      <c r="B581" s="84"/>
      <c r="C581" s="85"/>
      <c r="D581" s="86"/>
      <c r="E581" s="87"/>
      <c r="F581" s="86"/>
      <c r="G581" s="87"/>
      <c r="H581" s="86"/>
      <c r="I581" s="86"/>
      <c r="J581" s="86"/>
      <c r="K581" s="84"/>
      <c r="L581" s="84" t="str">
        <f>IFERROR(__xludf.DUMMYFUNCTION("IF(A581="""","""", COUNT(SPLIT(K581,"";"")))"),"")</f>
        <v/>
      </c>
      <c r="M581" s="84" t="str">
        <f t="shared" si="1"/>
        <v/>
      </c>
      <c r="N581" s="84" t="str">
        <f>IFERROR(__xludf.DUMMYFUNCTION("IFERROR(AVERAGE(query(INDIRECT(""'FR Table'!"" &amp; vlookup(rows($A$1:$A580),Reference!$O:$P,2,false) &amp; ""3:"" &amp; vlookup(rows($A$1:$A580),Reference!$O:$P,2,false)), 
""SELECT "" &amp; vlookup(rows($A$1:$A580),Reference!$O:$P,2,false) 
&amp; "" WHERE "" &amp; vlookup(row"&amp;"s($A$1:$A580),Reference!$O:$P,2,false) &amp;
"" &gt;= "" &amp; Reference!$R$2)) * M581,"""")"),"")</f>
        <v/>
      </c>
      <c r="O581" s="84" t="str">
        <f t="shared" si="2"/>
        <v/>
      </c>
    </row>
    <row r="582">
      <c r="A582" s="84"/>
      <c r="B582" s="84"/>
      <c r="C582" s="85"/>
      <c r="D582" s="86"/>
      <c r="E582" s="87"/>
      <c r="F582" s="86"/>
      <c r="G582" s="87"/>
      <c r="H582" s="86"/>
      <c r="I582" s="86"/>
      <c r="J582" s="86"/>
      <c r="K582" s="84"/>
      <c r="L582" s="84" t="str">
        <f>IFERROR(__xludf.DUMMYFUNCTION("IF(A582="""","""", COUNT(SPLIT(K582,"";"")))"),"")</f>
        <v/>
      </c>
      <c r="M582" s="84" t="str">
        <f t="shared" si="1"/>
        <v/>
      </c>
      <c r="N582" s="84" t="str">
        <f>IFERROR(__xludf.DUMMYFUNCTION("IFERROR(AVERAGE(query(INDIRECT(""'FR Table'!"" &amp; vlookup(rows($A$1:$A581),Reference!$O:$P,2,false) &amp; ""3:"" &amp; vlookup(rows($A$1:$A581),Reference!$O:$P,2,false)), 
""SELECT "" &amp; vlookup(rows($A$1:$A581),Reference!$O:$P,2,false) 
&amp; "" WHERE "" &amp; vlookup(row"&amp;"s($A$1:$A581),Reference!$O:$P,2,false) &amp;
"" &gt;= "" &amp; Reference!$R$2)) * M582,"""")"),"")</f>
        <v/>
      </c>
      <c r="O582" s="84" t="str">
        <f t="shared" si="2"/>
        <v/>
      </c>
    </row>
    <row r="583">
      <c r="A583" s="84"/>
      <c r="B583" s="84"/>
      <c r="C583" s="85"/>
      <c r="D583" s="86"/>
      <c r="E583" s="87"/>
      <c r="F583" s="86"/>
      <c r="G583" s="87"/>
      <c r="H583" s="86"/>
      <c r="I583" s="86"/>
      <c r="J583" s="86"/>
      <c r="K583" s="84"/>
      <c r="L583" s="84" t="str">
        <f>IFERROR(__xludf.DUMMYFUNCTION("IF(A583="""","""", COUNT(SPLIT(K583,"";"")))"),"")</f>
        <v/>
      </c>
      <c r="M583" s="84" t="str">
        <f t="shared" si="1"/>
        <v/>
      </c>
      <c r="N583" s="84" t="str">
        <f>IFERROR(__xludf.DUMMYFUNCTION("IFERROR(AVERAGE(query(INDIRECT(""'FR Table'!"" &amp; vlookup(rows($A$1:$A582),Reference!$O:$P,2,false) &amp; ""3:"" &amp; vlookup(rows($A$1:$A582),Reference!$O:$P,2,false)), 
""SELECT "" &amp; vlookup(rows($A$1:$A582),Reference!$O:$P,2,false) 
&amp; "" WHERE "" &amp; vlookup(row"&amp;"s($A$1:$A582),Reference!$O:$P,2,false) &amp;
"" &gt;= "" &amp; Reference!$R$2)) * M583,"""")"),"")</f>
        <v/>
      </c>
      <c r="O583" s="84" t="str">
        <f t="shared" si="2"/>
        <v/>
      </c>
    </row>
    <row r="584">
      <c r="A584" s="84"/>
      <c r="B584" s="84"/>
      <c r="C584" s="85"/>
      <c r="D584" s="86"/>
      <c r="E584" s="87"/>
      <c r="F584" s="86"/>
      <c r="G584" s="87"/>
      <c r="H584" s="86"/>
      <c r="I584" s="86"/>
      <c r="J584" s="86"/>
      <c r="K584" s="84"/>
      <c r="L584" s="84" t="str">
        <f>IFERROR(__xludf.DUMMYFUNCTION("IF(A584="""","""", COUNT(SPLIT(K584,"";"")))"),"")</f>
        <v/>
      </c>
      <c r="M584" s="84" t="str">
        <f t="shared" si="1"/>
        <v/>
      </c>
      <c r="N584" s="84" t="str">
        <f>IFERROR(__xludf.DUMMYFUNCTION("IFERROR(AVERAGE(query(INDIRECT(""'FR Table'!"" &amp; vlookup(rows($A$1:$A583),Reference!$O:$P,2,false) &amp; ""3:"" &amp; vlookup(rows($A$1:$A583),Reference!$O:$P,2,false)), 
""SELECT "" &amp; vlookup(rows($A$1:$A583),Reference!$O:$P,2,false) 
&amp; "" WHERE "" &amp; vlookup(row"&amp;"s($A$1:$A583),Reference!$O:$P,2,false) &amp;
"" &gt;= "" &amp; Reference!$R$2)) * M584,"""")"),"")</f>
        <v/>
      </c>
      <c r="O584" s="84" t="str">
        <f t="shared" si="2"/>
        <v/>
      </c>
    </row>
    <row r="585">
      <c r="A585" s="84"/>
      <c r="B585" s="84"/>
      <c r="C585" s="85"/>
      <c r="D585" s="86"/>
      <c r="E585" s="87"/>
      <c r="F585" s="86"/>
      <c r="G585" s="87"/>
      <c r="H585" s="86"/>
      <c r="I585" s="86"/>
      <c r="J585" s="86"/>
      <c r="K585" s="84"/>
      <c r="L585" s="84" t="str">
        <f>IFERROR(__xludf.DUMMYFUNCTION("IF(A585="""","""", COUNT(SPLIT(K585,"";"")))"),"")</f>
        <v/>
      </c>
      <c r="M585" s="84" t="str">
        <f t="shared" si="1"/>
        <v/>
      </c>
      <c r="N585" s="84" t="str">
        <f>IFERROR(__xludf.DUMMYFUNCTION("IFERROR(AVERAGE(query(INDIRECT(""'FR Table'!"" &amp; vlookup(rows($A$1:$A584),Reference!$O:$P,2,false) &amp; ""3:"" &amp; vlookup(rows($A$1:$A584),Reference!$O:$P,2,false)), 
""SELECT "" &amp; vlookup(rows($A$1:$A584),Reference!$O:$P,2,false) 
&amp; "" WHERE "" &amp; vlookup(row"&amp;"s($A$1:$A584),Reference!$O:$P,2,false) &amp;
"" &gt;= "" &amp; Reference!$R$2)) * M585,"""")"),"")</f>
        <v/>
      </c>
      <c r="O585" s="84" t="str">
        <f t="shared" si="2"/>
        <v/>
      </c>
    </row>
    <row r="586">
      <c r="A586" s="84"/>
      <c r="B586" s="84"/>
      <c r="C586" s="85"/>
      <c r="D586" s="86"/>
      <c r="E586" s="87"/>
      <c r="F586" s="86"/>
      <c r="G586" s="87"/>
      <c r="H586" s="86"/>
      <c r="I586" s="86"/>
      <c r="J586" s="86"/>
      <c r="K586" s="84"/>
      <c r="L586" s="84" t="str">
        <f>IFERROR(__xludf.DUMMYFUNCTION("IF(A586="""","""", COUNT(SPLIT(K586,"";"")))"),"")</f>
        <v/>
      </c>
      <c r="M586" s="84" t="str">
        <f t="shared" si="1"/>
        <v/>
      </c>
      <c r="N586" s="84" t="str">
        <f>IFERROR(__xludf.DUMMYFUNCTION("IFERROR(AVERAGE(query(INDIRECT(""'FR Table'!"" &amp; vlookup(rows($A$1:$A585),Reference!$O:$P,2,false) &amp; ""3:"" &amp; vlookup(rows($A$1:$A585),Reference!$O:$P,2,false)), 
""SELECT "" &amp; vlookup(rows($A$1:$A585),Reference!$O:$P,2,false) 
&amp; "" WHERE "" &amp; vlookup(row"&amp;"s($A$1:$A585),Reference!$O:$P,2,false) &amp;
"" &gt;= "" &amp; Reference!$R$2)) * M586,"""")"),"")</f>
        <v/>
      </c>
      <c r="O586" s="84" t="str">
        <f t="shared" si="2"/>
        <v/>
      </c>
    </row>
    <row r="587">
      <c r="A587" s="84"/>
      <c r="B587" s="84"/>
      <c r="C587" s="85"/>
      <c r="D587" s="86"/>
      <c r="E587" s="87"/>
      <c r="F587" s="86"/>
      <c r="G587" s="87"/>
      <c r="H587" s="86"/>
      <c r="I587" s="86"/>
      <c r="J587" s="86"/>
      <c r="K587" s="84"/>
      <c r="L587" s="84" t="str">
        <f>IFERROR(__xludf.DUMMYFUNCTION("IF(A587="""","""", COUNT(SPLIT(K587,"";"")))"),"")</f>
        <v/>
      </c>
      <c r="M587" s="84" t="str">
        <f t="shared" si="1"/>
        <v/>
      </c>
      <c r="N587" s="84" t="str">
        <f>IFERROR(__xludf.DUMMYFUNCTION("IFERROR(AVERAGE(query(INDIRECT(""'FR Table'!"" &amp; vlookup(rows($A$1:$A586),Reference!$O:$P,2,false) &amp; ""3:"" &amp; vlookup(rows($A$1:$A586),Reference!$O:$P,2,false)), 
""SELECT "" &amp; vlookup(rows($A$1:$A586),Reference!$O:$P,2,false) 
&amp; "" WHERE "" &amp; vlookup(row"&amp;"s($A$1:$A586),Reference!$O:$P,2,false) &amp;
"" &gt;= "" &amp; Reference!$R$2)) * M587,"""")"),"")</f>
        <v/>
      </c>
      <c r="O587" s="84" t="str">
        <f t="shared" si="2"/>
        <v/>
      </c>
    </row>
    <row r="588">
      <c r="A588" s="84"/>
      <c r="B588" s="84"/>
      <c r="C588" s="85"/>
      <c r="D588" s="86"/>
      <c r="E588" s="87"/>
      <c r="F588" s="86"/>
      <c r="G588" s="87"/>
      <c r="H588" s="86"/>
      <c r="I588" s="86"/>
      <c r="J588" s="86"/>
      <c r="K588" s="84"/>
      <c r="L588" s="84" t="str">
        <f>IFERROR(__xludf.DUMMYFUNCTION("IF(A588="""","""", COUNT(SPLIT(K588,"";"")))"),"")</f>
        <v/>
      </c>
      <c r="M588" s="84" t="str">
        <f t="shared" si="1"/>
        <v/>
      </c>
      <c r="N588" s="84" t="str">
        <f>IFERROR(__xludf.DUMMYFUNCTION("IFERROR(AVERAGE(query(INDIRECT(""'FR Table'!"" &amp; vlookup(rows($A$1:$A587),Reference!$O:$P,2,false) &amp; ""3:"" &amp; vlookup(rows($A$1:$A587),Reference!$O:$P,2,false)), 
""SELECT "" &amp; vlookup(rows($A$1:$A587),Reference!$O:$P,2,false) 
&amp; "" WHERE "" &amp; vlookup(row"&amp;"s($A$1:$A587),Reference!$O:$P,2,false) &amp;
"" &gt;= "" &amp; Reference!$R$2)) * M588,"""")"),"")</f>
        <v/>
      </c>
      <c r="O588" s="84" t="str">
        <f t="shared" si="2"/>
        <v/>
      </c>
    </row>
    <row r="589">
      <c r="A589" s="84"/>
      <c r="B589" s="84"/>
      <c r="C589" s="85"/>
      <c r="D589" s="86"/>
      <c r="E589" s="87"/>
      <c r="F589" s="86"/>
      <c r="G589" s="87"/>
      <c r="H589" s="86"/>
      <c r="I589" s="86"/>
      <c r="J589" s="86"/>
      <c r="K589" s="84"/>
      <c r="L589" s="84" t="str">
        <f>IFERROR(__xludf.DUMMYFUNCTION("IF(A589="""","""", COUNT(SPLIT(K589,"";"")))"),"")</f>
        <v/>
      </c>
      <c r="M589" s="84" t="str">
        <f t="shared" si="1"/>
        <v/>
      </c>
      <c r="N589" s="84" t="str">
        <f>IFERROR(__xludf.DUMMYFUNCTION("IFERROR(AVERAGE(query(INDIRECT(""'FR Table'!"" &amp; vlookup(rows($A$1:$A588),Reference!$O:$P,2,false) &amp; ""3:"" &amp; vlookup(rows($A$1:$A588),Reference!$O:$P,2,false)), 
""SELECT "" &amp; vlookup(rows($A$1:$A588),Reference!$O:$P,2,false) 
&amp; "" WHERE "" &amp; vlookup(row"&amp;"s($A$1:$A588),Reference!$O:$P,2,false) &amp;
"" &gt;= "" &amp; Reference!$R$2)) * M589,"""")"),"")</f>
        <v/>
      </c>
      <c r="O589" s="84" t="str">
        <f t="shared" si="2"/>
        <v/>
      </c>
    </row>
    <row r="590">
      <c r="A590" s="84"/>
      <c r="B590" s="84"/>
      <c r="C590" s="85"/>
      <c r="D590" s="86"/>
      <c r="E590" s="87"/>
      <c r="F590" s="86"/>
      <c r="G590" s="87"/>
      <c r="H590" s="86"/>
      <c r="I590" s="86"/>
      <c r="J590" s="86"/>
      <c r="K590" s="84"/>
      <c r="L590" s="84" t="str">
        <f>IFERROR(__xludf.DUMMYFUNCTION("IF(A590="""","""", COUNT(SPLIT(K590,"";"")))"),"")</f>
        <v/>
      </c>
      <c r="M590" s="84" t="str">
        <f t="shared" si="1"/>
        <v/>
      </c>
      <c r="N590" s="84" t="str">
        <f>IFERROR(__xludf.DUMMYFUNCTION("IFERROR(AVERAGE(query(INDIRECT(""'FR Table'!"" &amp; vlookup(rows($A$1:$A589),Reference!$O:$P,2,false) &amp; ""3:"" &amp; vlookup(rows($A$1:$A589),Reference!$O:$P,2,false)), 
""SELECT "" &amp; vlookup(rows($A$1:$A589),Reference!$O:$P,2,false) 
&amp; "" WHERE "" &amp; vlookup(row"&amp;"s($A$1:$A589),Reference!$O:$P,2,false) &amp;
"" &gt;= "" &amp; Reference!$R$2)) * M590,"""")"),"")</f>
        <v/>
      </c>
      <c r="O590" s="84" t="str">
        <f t="shared" si="2"/>
        <v/>
      </c>
    </row>
    <row r="591">
      <c r="A591" s="84"/>
      <c r="B591" s="84"/>
      <c r="C591" s="85"/>
      <c r="D591" s="86"/>
      <c r="E591" s="87"/>
      <c r="F591" s="86"/>
      <c r="G591" s="87"/>
      <c r="H591" s="86"/>
      <c r="I591" s="86"/>
      <c r="J591" s="86"/>
      <c r="K591" s="84"/>
      <c r="L591" s="84" t="str">
        <f>IFERROR(__xludf.DUMMYFUNCTION("IF(A591="""","""", COUNT(SPLIT(K591,"";"")))"),"")</f>
        <v/>
      </c>
      <c r="M591" s="84" t="str">
        <f t="shared" si="1"/>
        <v/>
      </c>
      <c r="N591" s="84" t="str">
        <f>IFERROR(__xludf.DUMMYFUNCTION("IFERROR(AVERAGE(query(INDIRECT(""'FR Table'!"" &amp; vlookup(rows($A$1:$A590),Reference!$O:$P,2,false) &amp; ""3:"" &amp; vlookup(rows($A$1:$A590),Reference!$O:$P,2,false)), 
""SELECT "" &amp; vlookup(rows($A$1:$A590),Reference!$O:$P,2,false) 
&amp; "" WHERE "" &amp; vlookup(row"&amp;"s($A$1:$A590),Reference!$O:$P,2,false) &amp;
"" &gt;= "" &amp; Reference!$R$2)) * M591,"""")"),"")</f>
        <v/>
      </c>
      <c r="O591" s="84" t="str">
        <f t="shared" si="2"/>
        <v/>
      </c>
    </row>
    <row r="592">
      <c r="A592" s="84"/>
      <c r="B592" s="84"/>
      <c r="C592" s="85"/>
      <c r="D592" s="86"/>
      <c r="E592" s="87"/>
      <c r="F592" s="86"/>
      <c r="G592" s="87"/>
      <c r="H592" s="86"/>
      <c r="I592" s="86"/>
      <c r="J592" s="86"/>
      <c r="K592" s="84"/>
      <c r="L592" s="84" t="str">
        <f>IFERROR(__xludf.DUMMYFUNCTION("IF(A592="""","""", COUNT(SPLIT(K592,"";"")))"),"")</f>
        <v/>
      </c>
      <c r="M592" s="84" t="str">
        <f t="shared" si="1"/>
        <v/>
      </c>
      <c r="N592" s="84" t="str">
        <f>IFERROR(__xludf.DUMMYFUNCTION("IFERROR(AVERAGE(query(INDIRECT(""'FR Table'!"" &amp; vlookup(rows($A$1:$A591),Reference!$O:$P,2,false) &amp; ""3:"" &amp; vlookup(rows($A$1:$A591),Reference!$O:$P,2,false)), 
""SELECT "" &amp; vlookup(rows($A$1:$A591),Reference!$O:$P,2,false) 
&amp; "" WHERE "" &amp; vlookup(row"&amp;"s($A$1:$A591),Reference!$O:$P,2,false) &amp;
"" &gt;= "" &amp; Reference!$R$2)) * M592,"""")"),"")</f>
        <v/>
      </c>
      <c r="O592" s="84" t="str">
        <f t="shared" si="2"/>
        <v/>
      </c>
    </row>
    <row r="593">
      <c r="A593" s="84"/>
      <c r="B593" s="84"/>
      <c r="C593" s="85"/>
      <c r="D593" s="86"/>
      <c r="E593" s="87"/>
      <c r="F593" s="86"/>
      <c r="G593" s="87"/>
      <c r="H593" s="86"/>
      <c r="I593" s="86"/>
      <c r="J593" s="86"/>
      <c r="K593" s="84"/>
      <c r="L593" s="84" t="str">
        <f>IFERROR(__xludf.DUMMYFUNCTION("IF(A593="""","""", COUNT(SPLIT(K593,"";"")))"),"")</f>
        <v/>
      </c>
      <c r="M593" s="84" t="str">
        <f t="shared" si="1"/>
        <v/>
      </c>
      <c r="N593" s="84" t="str">
        <f>IFERROR(__xludf.DUMMYFUNCTION("IFERROR(AVERAGE(query(INDIRECT(""'FR Table'!"" &amp; vlookup(rows($A$1:$A592),Reference!$O:$P,2,false) &amp; ""3:"" &amp; vlookup(rows($A$1:$A592),Reference!$O:$P,2,false)), 
""SELECT "" &amp; vlookup(rows($A$1:$A592),Reference!$O:$P,2,false) 
&amp; "" WHERE "" &amp; vlookup(row"&amp;"s($A$1:$A592),Reference!$O:$P,2,false) &amp;
"" &gt;= "" &amp; Reference!$R$2)) * M593,"""")"),"")</f>
        <v/>
      </c>
      <c r="O593" s="84" t="str">
        <f t="shared" si="2"/>
        <v/>
      </c>
    </row>
    <row r="594">
      <c r="A594" s="84"/>
      <c r="B594" s="84"/>
      <c r="C594" s="85"/>
      <c r="D594" s="86"/>
      <c r="E594" s="87"/>
      <c r="F594" s="86"/>
      <c r="G594" s="87"/>
      <c r="H594" s="86"/>
      <c r="I594" s="86"/>
      <c r="J594" s="86"/>
      <c r="K594" s="84"/>
      <c r="L594" s="84" t="str">
        <f>IFERROR(__xludf.DUMMYFUNCTION("IF(A594="""","""", COUNT(SPLIT(K594,"";"")))"),"")</f>
        <v/>
      </c>
      <c r="M594" s="84" t="str">
        <f t="shared" si="1"/>
        <v/>
      </c>
      <c r="N594" s="84" t="str">
        <f>IFERROR(__xludf.DUMMYFUNCTION("IFERROR(AVERAGE(query(INDIRECT(""'FR Table'!"" &amp; vlookup(rows($A$1:$A593),Reference!$O:$P,2,false) &amp; ""3:"" &amp; vlookup(rows($A$1:$A593),Reference!$O:$P,2,false)), 
""SELECT "" &amp; vlookup(rows($A$1:$A593),Reference!$O:$P,2,false) 
&amp; "" WHERE "" &amp; vlookup(row"&amp;"s($A$1:$A593),Reference!$O:$P,2,false) &amp;
"" &gt;= "" &amp; Reference!$R$2)) * M594,"""")"),"")</f>
        <v/>
      </c>
      <c r="O594" s="84" t="str">
        <f t="shared" si="2"/>
        <v/>
      </c>
    </row>
    <row r="595">
      <c r="A595" s="84"/>
      <c r="B595" s="84"/>
      <c r="C595" s="85"/>
      <c r="D595" s="86"/>
      <c r="E595" s="87"/>
      <c r="F595" s="86"/>
      <c r="G595" s="87"/>
      <c r="H595" s="86"/>
      <c r="I595" s="86"/>
      <c r="J595" s="86"/>
      <c r="K595" s="84"/>
      <c r="L595" s="84" t="str">
        <f>IFERROR(__xludf.DUMMYFUNCTION("IF(A595="""","""", COUNT(SPLIT(K595,"";"")))"),"")</f>
        <v/>
      </c>
      <c r="M595" s="84" t="str">
        <f t="shared" si="1"/>
        <v/>
      </c>
      <c r="N595" s="84" t="str">
        <f>IFERROR(__xludf.DUMMYFUNCTION("IFERROR(AVERAGE(query(INDIRECT(""'FR Table'!"" &amp; vlookup(rows($A$1:$A594),Reference!$O:$P,2,false) &amp; ""3:"" &amp; vlookup(rows($A$1:$A594),Reference!$O:$P,2,false)), 
""SELECT "" &amp; vlookup(rows($A$1:$A594),Reference!$O:$P,2,false) 
&amp; "" WHERE "" &amp; vlookup(row"&amp;"s($A$1:$A594),Reference!$O:$P,2,false) &amp;
"" &gt;= "" &amp; Reference!$R$2)) * M595,"""")"),"")</f>
        <v/>
      </c>
      <c r="O595" s="84" t="str">
        <f t="shared" si="2"/>
        <v/>
      </c>
    </row>
    <row r="596">
      <c r="A596" s="84"/>
      <c r="B596" s="84"/>
      <c r="C596" s="85"/>
      <c r="D596" s="86"/>
      <c r="E596" s="87"/>
      <c r="F596" s="86"/>
      <c r="G596" s="87"/>
      <c r="H596" s="86"/>
      <c r="I596" s="86"/>
      <c r="J596" s="86"/>
      <c r="K596" s="84"/>
      <c r="L596" s="84" t="str">
        <f>IFERROR(__xludf.DUMMYFUNCTION("IF(A596="""","""", COUNT(SPLIT(K596,"";"")))"),"")</f>
        <v/>
      </c>
      <c r="M596" s="84" t="str">
        <f t="shared" si="1"/>
        <v/>
      </c>
      <c r="N596" s="84" t="str">
        <f>IFERROR(__xludf.DUMMYFUNCTION("IFERROR(AVERAGE(query(INDIRECT(""'FR Table'!"" &amp; vlookup(rows($A$1:$A595),Reference!$O:$P,2,false) &amp; ""3:"" &amp; vlookup(rows($A$1:$A595),Reference!$O:$P,2,false)), 
""SELECT "" &amp; vlookup(rows($A$1:$A595),Reference!$O:$P,2,false) 
&amp; "" WHERE "" &amp; vlookup(row"&amp;"s($A$1:$A595),Reference!$O:$P,2,false) &amp;
"" &gt;= "" &amp; Reference!$R$2)) * M596,"""")"),"")</f>
        <v/>
      </c>
      <c r="O596" s="84" t="str">
        <f t="shared" si="2"/>
        <v/>
      </c>
    </row>
    <row r="597">
      <c r="A597" s="84"/>
      <c r="B597" s="84"/>
      <c r="C597" s="85"/>
      <c r="D597" s="86"/>
      <c r="E597" s="87"/>
      <c r="F597" s="86"/>
      <c r="G597" s="87"/>
      <c r="H597" s="86"/>
      <c r="I597" s="86"/>
      <c r="J597" s="86"/>
      <c r="K597" s="84"/>
      <c r="L597" s="84" t="str">
        <f>IFERROR(__xludf.DUMMYFUNCTION("IF(A597="""","""", COUNT(SPLIT(K597,"";"")))"),"")</f>
        <v/>
      </c>
      <c r="M597" s="84" t="str">
        <f t="shared" si="1"/>
        <v/>
      </c>
      <c r="N597" s="84" t="str">
        <f>IFERROR(__xludf.DUMMYFUNCTION("IFERROR(AVERAGE(query(INDIRECT(""'FR Table'!"" &amp; vlookup(rows($A$1:$A596),Reference!$O:$P,2,false) &amp; ""3:"" &amp; vlookup(rows($A$1:$A596),Reference!$O:$P,2,false)), 
""SELECT "" &amp; vlookup(rows($A$1:$A596),Reference!$O:$P,2,false) 
&amp; "" WHERE "" &amp; vlookup(row"&amp;"s($A$1:$A596),Reference!$O:$P,2,false) &amp;
"" &gt;= "" &amp; Reference!$R$2)) * M597,"""")"),"")</f>
        <v/>
      </c>
      <c r="O597" s="84" t="str">
        <f t="shared" si="2"/>
        <v/>
      </c>
    </row>
    <row r="598">
      <c r="A598" s="84"/>
      <c r="B598" s="84"/>
      <c r="C598" s="85"/>
      <c r="D598" s="86"/>
      <c r="E598" s="87"/>
      <c r="F598" s="86"/>
      <c r="G598" s="87"/>
      <c r="H598" s="86"/>
      <c r="I598" s="86"/>
      <c r="J598" s="86"/>
      <c r="K598" s="84"/>
      <c r="L598" s="84" t="str">
        <f>IFERROR(__xludf.DUMMYFUNCTION("IF(A598="""","""", COUNT(SPLIT(K598,"";"")))"),"")</f>
        <v/>
      </c>
      <c r="M598" s="84" t="str">
        <f t="shared" si="1"/>
        <v/>
      </c>
      <c r="N598" s="84" t="str">
        <f>IFERROR(__xludf.DUMMYFUNCTION("IFERROR(AVERAGE(query(INDIRECT(""'FR Table'!"" &amp; vlookup(rows($A$1:$A597),Reference!$O:$P,2,false) &amp; ""3:"" &amp; vlookup(rows($A$1:$A597),Reference!$O:$P,2,false)), 
""SELECT "" &amp; vlookup(rows($A$1:$A597),Reference!$O:$P,2,false) 
&amp; "" WHERE "" &amp; vlookup(row"&amp;"s($A$1:$A597),Reference!$O:$P,2,false) &amp;
"" &gt;= "" &amp; Reference!$R$2)) * M598,"""")"),"")</f>
        <v/>
      </c>
      <c r="O598" s="84" t="str">
        <f t="shared" si="2"/>
        <v/>
      </c>
    </row>
    <row r="599">
      <c r="A599" s="84"/>
      <c r="B599" s="84"/>
      <c r="C599" s="85"/>
      <c r="D599" s="86"/>
      <c r="E599" s="87"/>
      <c r="F599" s="86"/>
      <c r="G599" s="87"/>
      <c r="H599" s="86"/>
      <c r="I599" s="86"/>
      <c r="J599" s="86"/>
      <c r="K599" s="84"/>
      <c r="L599" s="84" t="str">
        <f>IFERROR(__xludf.DUMMYFUNCTION("IF(A599="""","""", COUNT(SPLIT(K599,"";"")))"),"")</f>
        <v/>
      </c>
      <c r="M599" s="84" t="str">
        <f t="shared" si="1"/>
        <v/>
      </c>
      <c r="N599" s="84" t="str">
        <f>IFERROR(__xludf.DUMMYFUNCTION("IFERROR(AVERAGE(query(INDIRECT(""'FR Table'!"" &amp; vlookup(rows($A$1:$A598),Reference!$O:$P,2,false) &amp; ""3:"" &amp; vlookup(rows($A$1:$A598),Reference!$O:$P,2,false)), 
""SELECT "" &amp; vlookup(rows($A$1:$A598),Reference!$O:$P,2,false) 
&amp; "" WHERE "" &amp; vlookup(row"&amp;"s($A$1:$A598),Reference!$O:$P,2,false) &amp;
"" &gt;= "" &amp; Reference!$R$2)) * M599,"""")"),"")</f>
        <v/>
      </c>
      <c r="O599" s="84" t="str">
        <f t="shared" si="2"/>
        <v/>
      </c>
    </row>
    <row r="600">
      <c r="A600" s="84"/>
      <c r="B600" s="84"/>
      <c r="C600" s="85"/>
      <c r="D600" s="86"/>
      <c r="E600" s="87"/>
      <c r="F600" s="86"/>
      <c r="G600" s="87"/>
      <c r="H600" s="86"/>
      <c r="I600" s="86"/>
      <c r="J600" s="86"/>
      <c r="K600" s="84"/>
      <c r="L600" s="84" t="str">
        <f>IFERROR(__xludf.DUMMYFUNCTION("IF(A600="""","""", COUNT(SPLIT(K600,"";"")))"),"")</f>
        <v/>
      </c>
      <c r="M600" s="84" t="str">
        <f t="shared" si="1"/>
        <v/>
      </c>
      <c r="N600" s="84" t="str">
        <f>IFERROR(__xludf.DUMMYFUNCTION("IFERROR(AVERAGE(query(INDIRECT(""'FR Table'!"" &amp; vlookup(rows($A$1:$A599),Reference!$O:$P,2,false) &amp; ""3:"" &amp; vlookup(rows($A$1:$A599),Reference!$O:$P,2,false)), 
""SELECT "" &amp; vlookup(rows($A$1:$A599),Reference!$O:$P,2,false) 
&amp; "" WHERE "" &amp; vlookup(row"&amp;"s($A$1:$A599),Reference!$O:$P,2,false) &amp;
"" &gt;= "" &amp; Reference!$R$2)) * M600,"""")"),"")</f>
        <v/>
      </c>
      <c r="O600" s="84" t="str">
        <f t="shared" si="2"/>
        <v/>
      </c>
    </row>
    <row r="601">
      <c r="A601" s="84"/>
      <c r="B601" s="84"/>
      <c r="C601" s="85"/>
      <c r="D601" s="86"/>
      <c r="E601" s="87"/>
      <c r="F601" s="86"/>
      <c r="G601" s="87"/>
      <c r="H601" s="86"/>
      <c r="I601" s="86"/>
      <c r="J601" s="86"/>
      <c r="K601" s="84"/>
      <c r="L601" s="84" t="str">
        <f>IFERROR(__xludf.DUMMYFUNCTION("IF(A601="""","""", COUNT(SPLIT(K601,"";"")))"),"")</f>
        <v/>
      </c>
      <c r="M601" s="84" t="str">
        <f t="shared" si="1"/>
        <v/>
      </c>
      <c r="N601" s="84" t="str">
        <f>IFERROR(__xludf.DUMMYFUNCTION("IFERROR(AVERAGE(query(INDIRECT(""'FR Table'!"" &amp; vlookup(rows($A$1:$A600),Reference!$O:$P,2,false) &amp; ""3:"" &amp; vlookup(rows($A$1:$A600),Reference!$O:$P,2,false)), 
""SELECT "" &amp; vlookup(rows($A$1:$A600),Reference!$O:$P,2,false) 
&amp; "" WHERE "" &amp; vlookup(row"&amp;"s($A$1:$A600),Reference!$O:$P,2,false) &amp;
"" &gt;= "" &amp; Reference!$R$2)) * M601,"""")"),"")</f>
        <v/>
      </c>
      <c r="O601" s="84" t="str">
        <f t="shared" si="2"/>
        <v/>
      </c>
    </row>
    <row r="602">
      <c r="A602" s="84"/>
      <c r="B602" s="84"/>
      <c r="C602" s="85"/>
      <c r="D602" s="86"/>
      <c r="E602" s="87"/>
      <c r="F602" s="86"/>
      <c r="G602" s="87"/>
      <c r="H602" s="86"/>
      <c r="I602" s="86"/>
      <c r="J602" s="86"/>
      <c r="K602" s="84"/>
      <c r="L602" s="84" t="str">
        <f>IFERROR(__xludf.DUMMYFUNCTION("IF(A602="""","""", COUNT(SPLIT(K602,"";"")))"),"")</f>
        <v/>
      </c>
      <c r="M602" s="84" t="str">
        <f t="shared" si="1"/>
        <v/>
      </c>
      <c r="N602" s="84" t="str">
        <f>IFERROR(__xludf.DUMMYFUNCTION("IFERROR(AVERAGE(query(INDIRECT(""'FR Table'!"" &amp; vlookup(rows($A$1:$A601),Reference!$O:$P,2,false) &amp; ""3:"" &amp; vlookup(rows($A$1:$A601),Reference!$O:$P,2,false)), 
""SELECT "" &amp; vlookup(rows($A$1:$A601),Reference!$O:$P,2,false) 
&amp; "" WHERE "" &amp; vlookup(row"&amp;"s($A$1:$A601),Reference!$O:$P,2,false) &amp;
"" &gt;= "" &amp; Reference!$R$2)) * M602,"""")"),"")</f>
        <v/>
      </c>
      <c r="O602" s="84" t="str">
        <f t="shared" si="2"/>
        <v/>
      </c>
    </row>
    <row r="603">
      <c r="A603" s="84"/>
      <c r="B603" s="84"/>
      <c r="C603" s="85"/>
      <c r="D603" s="86"/>
      <c r="E603" s="87"/>
      <c r="F603" s="86"/>
      <c r="G603" s="87"/>
      <c r="H603" s="86"/>
      <c r="I603" s="86"/>
      <c r="J603" s="86"/>
      <c r="K603" s="84"/>
      <c r="L603" s="84" t="str">
        <f>IFERROR(__xludf.DUMMYFUNCTION("IF(A603="""","""", COUNT(SPLIT(K603,"";"")))"),"")</f>
        <v/>
      </c>
      <c r="M603" s="84" t="str">
        <f t="shared" si="1"/>
        <v/>
      </c>
      <c r="N603" s="84" t="str">
        <f>IFERROR(__xludf.DUMMYFUNCTION("IFERROR(AVERAGE(query(INDIRECT(""'FR Table'!"" &amp; vlookup(rows($A$1:$A602),Reference!$O:$P,2,false) &amp; ""3:"" &amp; vlookup(rows($A$1:$A602),Reference!$O:$P,2,false)), 
""SELECT "" &amp; vlookup(rows($A$1:$A602),Reference!$O:$P,2,false) 
&amp; "" WHERE "" &amp; vlookup(row"&amp;"s($A$1:$A602),Reference!$O:$P,2,false) &amp;
"" &gt;= "" &amp; Reference!$R$2)) * M603,"""")"),"")</f>
        <v/>
      </c>
      <c r="O603" s="84" t="str">
        <f t="shared" si="2"/>
        <v/>
      </c>
    </row>
    <row r="604">
      <c r="A604" s="84"/>
      <c r="B604" s="84"/>
      <c r="C604" s="85"/>
      <c r="D604" s="86"/>
      <c r="E604" s="87"/>
      <c r="F604" s="86"/>
      <c r="G604" s="87"/>
      <c r="H604" s="86"/>
      <c r="I604" s="86"/>
      <c r="J604" s="86"/>
      <c r="K604" s="84"/>
      <c r="L604" s="84" t="str">
        <f>IFERROR(__xludf.DUMMYFUNCTION("IF(A604="""","""", COUNT(SPLIT(K604,"";"")))"),"")</f>
        <v/>
      </c>
      <c r="M604" s="84" t="str">
        <f t="shared" si="1"/>
        <v/>
      </c>
      <c r="N604" s="84" t="str">
        <f>IFERROR(__xludf.DUMMYFUNCTION("IFERROR(AVERAGE(query(INDIRECT(""'FR Table'!"" &amp; vlookup(rows($A$1:$A603),Reference!$O:$P,2,false) &amp; ""3:"" &amp; vlookup(rows($A$1:$A603),Reference!$O:$P,2,false)), 
""SELECT "" &amp; vlookup(rows($A$1:$A603),Reference!$O:$P,2,false) 
&amp; "" WHERE "" &amp; vlookup(row"&amp;"s($A$1:$A603),Reference!$O:$P,2,false) &amp;
"" &gt;= "" &amp; Reference!$R$2)) * M604,"""")"),"")</f>
        <v/>
      </c>
      <c r="O604" s="84" t="str">
        <f t="shared" si="2"/>
        <v/>
      </c>
    </row>
    <row r="605">
      <c r="A605" s="84"/>
      <c r="B605" s="84"/>
      <c r="C605" s="85"/>
      <c r="D605" s="86"/>
      <c r="E605" s="87"/>
      <c r="F605" s="86"/>
      <c r="G605" s="87"/>
      <c r="H605" s="86"/>
      <c r="I605" s="86"/>
      <c r="J605" s="86"/>
      <c r="K605" s="84"/>
      <c r="L605" s="84" t="str">
        <f>IFERROR(__xludf.DUMMYFUNCTION("IF(A605="""","""", COUNT(SPLIT(K605,"";"")))"),"")</f>
        <v/>
      </c>
      <c r="M605" s="84" t="str">
        <f t="shared" si="1"/>
        <v/>
      </c>
      <c r="N605" s="84" t="str">
        <f>IFERROR(__xludf.DUMMYFUNCTION("IFERROR(AVERAGE(query(INDIRECT(""'FR Table'!"" &amp; vlookup(rows($A$1:$A604),Reference!$O:$P,2,false) &amp; ""3:"" &amp; vlookup(rows($A$1:$A604),Reference!$O:$P,2,false)), 
""SELECT "" &amp; vlookup(rows($A$1:$A604),Reference!$O:$P,2,false) 
&amp; "" WHERE "" &amp; vlookup(row"&amp;"s($A$1:$A604),Reference!$O:$P,2,false) &amp;
"" &gt;= "" &amp; Reference!$R$2)) * M605,"""")"),"")</f>
        <v/>
      </c>
      <c r="O605" s="84" t="str">
        <f t="shared" si="2"/>
        <v/>
      </c>
    </row>
    <row r="606">
      <c r="A606" s="84"/>
      <c r="B606" s="84"/>
      <c r="C606" s="85"/>
      <c r="D606" s="86"/>
      <c r="E606" s="87"/>
      <c r="F606" s="86"/>
      <c r="G606" s="87"/>
      <c r="H606" s="86"/>
      <c r="I606" s="86"/>
      <c r="J606" s="86"/>
      <c r="K606" s="84"/>
      <c r="L606" s="84" t="str">
        <f>IFERROR(__xludf.DUMMYFUNCTION("IF(A606="""","""", COUNT(SPLIT(K606,"";"")))"),"")</f>
        <v/>
      </c>
      <c r="M606" s="84" t="str">
        <f t="shared" si="1"/>
        <v/>
      </c>
      <c r="N606" s="84" t="str">
        <f>IFERROR(__xludf.DUMMYFUNCTION("IFERROR(AVERAGE(query(INDIRECT(""'FR Table'!"" &amp; vlookup(rows($A$1:$A605),Reference!$O:$P,2,false) &amp; ""3:"" &amp; vlookup(rows($A$1:$A605),Reference!$O:$P,2,false)), 
""SELECT "" &amp; vlookup(rows($A$1:$A605),Reference!$O:$P,2,false) 
&amp; "" WHERE "" &amp; vlookup(row"&amp;"s($A$1:$A605),Reference!$O:$P,2,false) &amp;
"" &gt;= "" &amp; Reference!$R$2)) * M606,"""")"),"")</f>
        <v/>
      </c>
      <c r="O606" s="84" t="str">
        <f t="shared" si="2"/>
        <v/>
      </c>
    </row>
    <row r="607">
      <c r="A607" s="84"/>
      <c r="B607" s="84"/>
      <c r="C607" s="85"/>
      <c r="D607" s="86"/>
      <c r="E607" s="87"/>
      <c r="F607" s="86"/>
      <c r="G607" s="87"/>
      <c r="H607" s="86"/>
      <c r="I607" s="86"/>
      <c r="J607" s="86"/>
      <c r="K607" s="84"/>
      <c r="L607" s="84" t="str">
        <f>IFERROR(__xludf.DUMMYFUNCTION("IF(A607="""","""", COUNT(SPLIT(K607,"";"")))"),"")</f>
        <v/>
      </c>
      <c r="M607" s="84" t="str">
        <f t="shared" si="1"/>
        <v/>
      </c>
      <c r="N607" s="84" t="str">
        <f>IFERROR(__xludf.DUMMYFUNCTION("IFERROR(AVERAGE(query(INDIRECT(""'FR Table'!"" &amp; vlookup(rows($A$1:$A606),Reference!$O:$P,2,false) &amp; ""3:"" &amp; vlookup(rows($A$1:$A606),Reference!$O:$P,2,false)), 
""SELECT "" &amp; vlookup(rows($A$1:$A606),Reference!$O:$P,2,false) 
&amp; "" WHERE "" &amp; vlookup(row"&amp;"s($A$1:$A606),Reference!$O:$P,2,false) &amp;
"" &gt;= "" &amp; Reference!$R$2)) * M607,"""")"),"")</f>
        <v/>
      </c>
      <c r="O607" s="84" t="str">
        <f t="shared" si="2"/>
        <v/>
      </c>
    </row>
    <row r="608">
      <c r="A608" s="84"/>
      <c r="B608" s="84"/>
      <c r="C608" s="85"/>
      <c r="D608" s="86"/>
      <c r="E608" s="87"/>
      <c r="F608" s="86"/>
      <c r="G608" s="87"/>
      <c r="H608" s="86"/>
      <c r="I608" s="86"/>
      <c r="J608" s="86"/>
      <c r="K608" s="84"/>
      <c r="L608" s="84" t="str">
        <f>IFERROR(__xludf.DUMMYFUNCTION("IF(A608="""","""", COUNT(SPLIT(K608,"";"")))"),"")</f>
        <v/>
      </c>
      <c r="M608" s="84" t="str">
        <f t="shared" si="1"/>
        <v/>
      </c>
      <c r="N608" s="84" t="str">
        <f>IFERROR(__xludf.DUMMYFUNCTION("IFERROR(AVERAGE(query(INDIRECT(""'FR Table'!"" &amp; vlookup(rows($A$1:$A607),Reference!$O:$P,2,false) &amp; ""3:"" &amp; vlookup(rows($A$1:$A607),Reference!$O:$P,2,false)), 
""SELECT "" &amp; vlookup(rows($A$1:$A607),Reference!$O:$P,2,false) 
&amp; "" WHERE "" &amp; vlookup(row"&amp;"s($A$1:$A607),Reference!$O:$P,2,false) &amp;
"" &gt;= "" &amp; Reference!$R$2)) * M608,"""")"),"")</f>
        <v/>
      </c>
      <c r="O608" s="84" t="str">
        <f t="shared" si="2"/>
        <v/>
      </c>
    </row>
    <row r="609">
      <c r="A609" s="84"/>
      <c r="B609" s="84"/>
      <c r="C609" s="85"/>
      <c r="D609" s="86"/>
      <c r="E609" s="87"/>
      <c r="F609" s="86"/>
      <c r="G609" s="87"/>
      <c r="H609" s="86"/>
      <c r="I609" s="86"/>
      <c r="J609" s="86"/>
      <c r="K609" s="84"/>
      <c r="L609" s="84" t="str">
        <f>IFERROR(__xludf.DUMMYFUNCTION("IF(A609="""","""", COUNT(SPLIT(K609,"";"")))"),"")</f>
        <v/>
      </c>
      <c r="M609" s="84" t="str">
        <f t="shared" si="1"/>
        <v/>
      </c>
      <c r="N609" s="84" t="str">
        <f>IFERROR(__xludf.DUMMYFUNCTION("IFERROR(AVERAGE(query(INDIRECT(""'FR Table'!"" &amp; vlookup(rows($A$1:$A608),Reference!$O:$P,2,false) &amp; ""3:"" &amp; vlookup(rows($A$1:$A608),Reference!$O:$P,2,false)), 
""SELECT "" &amp; vlookup(rows($A$1:$A608),Reference!$O:$P,2,false) 
&amp; "" WHERE "" &amp; vlookup(row"&amp;"s($A$1:$A608),Reference!$O:$P,2,false) &amp;
"" &gt;= "" &amp; Reference!$R$2)) * M609,"""")"),"")</f>
        <v/>
      </c>
      <c r="O609" s="84" t="str">
        <f t="shared" si="2"/>
        <v/>
      </c>
    </row>
    <row r="610">
      <c r="A610" s="84"/>
      <c r="B610" s="84"/>
      <c r="C610" s="85"/>
      <c r="D610" s="86"/>
      <c r="E610" s="87"/>
      <c r="F610" s="86"/>
      <c r="G610" s="87"/>
      <c r="H610" s="86"/>
      <c r="I610" s="86"/>
      <c r="J610" s="86"/>
      <c r="K610" s="84"/>
      <c r="L610" s="84" t="str">
        <f>IFERROR(__xludf.DUMMYFUNCTION("IF(A610="""","""", COUNT(SPLIT(K610,"";"")))"),"")</f>
        <v/>
      </c>
      <c r="M610" s="84" t="str">
        <f t="shared" si="1"/>
        <v/>
      </c>
      <c r="N610" s="84" t="str">
        <f>IFERROR(__xludf.DUMMYFUNCTION("IFERROR(AVERAGE(query(INDIRECT(""'FR Table'!"" &amp; vlookup(rows($A$1:$A609),Reference!$O:$P,2,false) &amp; ""3:"" &amp; vlookup(rows($A$1:$A609),Reference!$O:$P,2,false)), 
""SELECT "" &amp; vlookup(rows($A$1:$A609),Reference!$O:$P,2,false) 
&amp; "" WHERE "" &amp; vlookup(row"&amp;"s($A$1:$A609),Reference!$O:$P,2,false) &amp;
"" &gt;= "" &amp; Reference!$R$2)) * M610,"""")"),"")</f>
        <v/>
      </c>
      <c r="O610" s="84" t="str">
        <f t="shared" si="2"/>
        <v/>
      </c>
    </row>
    <row r="611">
      <c r="A611" s="84"/>
      <c r="B611" s="84"/>
      <c r="C611" s="85"/>
      <c r="D611" s="86"/>
      <c r="E611" s="87"/>
      <c r="F611" s="86"/>
      <c r="G611" s="87"/>
      <c r="H611" s="86"/>
      <c r="I611" s="86"/>
      <c r="J611" s="86"/>
      <c r="K611" s="84"/>
      <c r="L611" s="84" t="str">
        <f>IFERROR(__xludf.DUMMYFUNCTION("IF(A611="""","""", COUNT(SPLIT(K611,"";"")))"),"")</f>
        <v/>
      </c>
      <c r="M611" s="84" t="str">
        <f t="shared" si="1"/>
        <v/>
      </c>
      <c r="N611" s="84" t="str">
        <f>IFERROR(__xludf.DUMMYFUNCTION("IFERROR(AVERAGE(query(INDIRECT(""'FR Table'!"" &amp; vlookup(rows($A$1:$A610),Reference!$O:$P,2,false) &amp; ""3:"" &amp; vlookup(rows($A$1:$A610),Reference!$O:$P,2,false)), 
""SELECT "" &amp; vlookup(rows($A$1:$A610),Reference!$O:$P,2,false) 
&amp; "" WHERE "" &amp; vlookup(row"&amp;"s($A$1:$A610),Reference!$O:$P,2,false) &amp;
"" &gt;= "" &amp; Reference!$R$2)) * M611,"""")"),"")</f>
        <v/>
      </c>
      <c r="O611" s="84" t="str">
        <f t="shared" si="2"/>
        <v/>
      </c>
    </row>
    <row r="612">
      <c r="A612" s="84"/>
      <c r="B612" s="84"/>
      <c r="C612" s="85"/>
      <c r="D612" s="86"/>
      <c r="E612" s="87"/>
      <c r="F612" s="86"/>
      <c r="G612" s="87"/>
      <c r="H612" s="86"/>
      <c r="I612" s="86"/>
      <c r="J612" s="86"/>
      <c r="K612" s="84"/>
      <c r="L612" s="84" t="str">
        <f>IFERROR(__xludf.DUMMYFUNCTION("IF(A612="""","""", COUNT(SPLIT(K612,"";"")))"),"")</f>
        <v/>
      </c>
      <c r="M612" s="84" t="str">
        <f t="shared" si="1"/>
        <v/>
      </c>
      <c r="N612" s="84" t="str">
        <f>IFERROR(__xludf.DUMMYFUNCTION("IFERROR(AVERAGE(query(INDIRECT(""'FR Table'!"" &amp; vlookup(rows($A$1:$A611),Reference!$O:$P,2,false) &amp; ""3:"" &amp; vlookup(rows($A$1:$A611),Reference!$O:$P,2,false)), 
""SELECT "" &amp; vlookup(rows($A$1:$A611),Reference!$O:$P,2,false) 
&amp; "" WHERE "" &amp; vlookup(row"&amp;"s($A$1:$A611),Reference!$O:$P,2,false) &amp;
"" &gt;= "" &amp; Reference!$R$2)) * M612,"""")"),"")</f>
        <v/>
      </c>
      <c r="O612" s="84" t="str">
        <f t="shared" si="2"/>
        <v/>
      </c>
    </row>
    <row r="613">
      <c r="A613" s="84"/>
      <c r="B613" s="84"/>
      <c r="C613" s="85"/>
      <c r="D613" s="86"/>
      <c r="E613" s="87"/>
      <c r="F613" s="86"/>
      <c r="G613" s="87"/>
      <c r="H613" s="86"/>
      <c r="I613" s="86"/>
      <c r="J613" s="86"/>
      <c r="K613" s="84"/>
      <c r="L613" s="84" t="str">
        <f>IFERROR(__xludf.DUMMYFUNCTION("IF(A613="""","""", COUNT(SPLIT(K613,"";"")))"),"")</f>
        <v/>
      </c>
      <c r="M613" s="84" t="str">
        <f t="shared" si="1"/>
        <v/>
      </c>
      <c r="N613" s="84" t="str">
        <f>IFERROR(__xludf.DUMMYFUNCTION("IFERROR(AVERAGE(query(INDIRECT(""'FR Table'!"" &amp; vlookup(rows($A$1:$A612),Reference!$O:$P,2,false) &amp; ""3:"" &amp; vlookup(rows($A$1:$A612),Reference!$O:$P,2,false)), 
""SELECT "" &amp; vlookup(rows($A$1:$A612),Reference!$O:$P,2,false) 
&amp; "" WHERE "" &amp; vlookup(row"&amp;"s($A$1:$A612),Reference!$O:$P,2,false) &amp;
"" &gt;= "" &amp; Reference!$R$2)) * M613,"""")"),"")</f>
        <v/>
      </c>
      <c r="O613" s="84" t="str">
        <f t="shared" si="2"/>
        <v/>
      </c>
    </row>
    <row r="614">
      <c r="A614" s="84"/>
      <c r="B614" s="84"/>
      <c r="C614" s="85"/>
      <c r="D614" s="86"/>
      <c r="E614" s="87"/>
      <c r="F614" s="86"/>
      <c r="G614" s="87"/>
      <c r="H614" s="86"/>
      <c r="I614" s="86"/>
      <c r="J614" s="86"/>
      <c r="K614" s="84"/>
      <c r="L614" s="84" t="str">
        <f>IFERROR(__xludf.DUMMYFUNCTION("IF(A614="""","""", COUNT(SPLIT(K614,"";"")))"),"")</f>
        <v/>
      </c>
      <c r="M614" s="84" t="str">
        <f t="shared" si="1"/>
        <v/>
      </c>
      <c r="N614" s="84" t="str">
        <f>IFERROR(__xludf.DUMMYFUNCTION("IFERROR(AVERAGE(query(INDIRECT(""'FR Table'!"" &amp; vlookup(rows($A$1:$A613),Reference!$O:$P,2,false) &amp; ""3:"" &amp; vlookup(rows($A$1:$A613),Reference!$O:$P,2,false)), 
""SELECT "" &amp; vlookup(rows($A$1:$A613),Reference!$O:$P,2,false) 
&amp; "" WHERE "" &amp; vlookup(row"&amp;"s($A$1:$A613),Reference!$O:$P,2,false) &amp;
"" &gt;= "" &amp; Reference!$R$2)) * M614,"""")"),"")</f>
        <v/>
      </c>
      <c r="O614" s="84" t="str">
        <f t="shared" si="2"/>
        <v/>
      </c>
    </row>
    <row r="615">
      <c r="A615" s="84"/>
      <c r="B615" s="84"/>
      <c r="C615" s="85"/>
      <c r="D615" s="86"/>
      <c r="E615" s="87"/>
      <c r="F615" s="86"/>
      <c r="G615" s="87"/>
      <c r="H615" s="86"/>
      <c r="I615" s="86"/>
      <c r="J615" s="86"/>
      <c r="K615" s="84"/>
      <c r="L615" s="84" t="str">
        <f>IFERROR(__xludf.DUMMYFUNCTION("IF(A615="""","""", COUNT(SPLIT(K615,"";"")))"),"")</f>
        <v/>
      </c>
      <c r="M615" s="84" t="str">
        <f t="shared" si="1"/>
        <v/>
      </c>
      <c r="N615" s="84" t="str">
        <f>IFERROR(__xludf.DUMMYFUNCTION("IFERROR(AVERAGE(query(INDIRECT(""'FR Table'!"" &amp; vlookup(rows($A$1:$A614),Reference!$O:$P,2,false) &amp; ""3:"" &amp; vlookup(rows($A$1:$A614),Reference!$O:$P,2,false)), 
""SELECT "" &amp; vlookup(rows($A$1:$A614),Reference!$O:$P,2,false) 
&amp; "" WHERE "" &amp; vlookup(row"&amp;"s($A$1:$A614),Reference!$O:$P,2,false) &amp;
"" &gt;= "" &amp; Reference!$R$2)) * M615,"""")"),"")</f>
        <v/>
      </c>
      <c r="O615" s="84" t="str">
        <f t="shared" si="2"/>
        <v/>
      </c>
    </row>
    <row r="616">
      <c r="A616" s="84"/>
      <c r="B616" s="84"/>
      <c r="C616" s="85"/>
      <c r="D616" s="86"/>
      <c r="E616" s="87"/>
      <c r="F616" s="86"/>
      <c r="G616" s="87"/>
      <c r="H616" s="86"/>
      <c r="I616" s="86"/>
      <c r="J616" s="86"/>
      <c r="K616" s="84"/>
      <c r="L616" s="84" t="str">
        <f>IFERROR(__xludf.DUMMYFUNCTION("IF(A616="""","""", COUNT(SPLIT(K616,"";"")))"),"")</f>
        <v/>
      </c>
      <c r="M616" s="84" t="str">
        <f t="shared" si="1"/>
        <v/>
      </c>
      <c r="N616" s="84" t="str">
        <f>IFERROR(__xludf.DUMMYFUNCTION("IFERROR(AVERAGE(query(INDIRECT(""'FR Table'!"" &amp; vlookup(rows($A$1:$A615),Reference!$O:$P,2,false) &amp; ""3:"" &amp; vlookup(rows($A$1:$A615),Reference!$O:$P,2,false)), 
""SELECT "" &amp; vlookup(rows($A$1:$A615),Reference!$O:$P,2,false) 
&amp; "" WHERE "" &amp; vlookup(row"&amp;"s($A$1:$A615),Reference!$O:$P,2,false) &amp;
"" &gt;= "" &amp; Reference!$R$2)) * M616,"""")"),"")</f>
        <v/>
      </c>
      <c r="O616" s="84" t="str">
        <f t="shared" si="2"/>
        <v/>
      </c>
    </row>
    <row r="617">
      <c r="A617" s="84"/>
      <c r="B617" s="84"/>
      <c r="C617" s="85"/>
      <c r="D617" s="86"/>
      <c r="E617" s="87"/>
      <c r="F617" s="86"/>
      <c r="G617" s="87"/>
      <c r="H617" s="86"/>
      <c r="I617" s="86"/>
      <c r="J617" s="86"/>
      <c r="K617" s="84"/>
      <c r="L617" s="84" t="str">
        <f>IFERROR(__xludf.DUMMYFUNCTION("IF(A617="""","""", COUNT(SPLIT(K617,"";"")))"),"")</f>
        <v/>
      </c>
      <c r="M617" s="84" t="str">
        <f t="shared" si="1"/>
        <v/>
      </c>
      <c r="N617" s="84" t="str">
        <f>IFERROR(__xludf.DUMMYFUNCTION("IFERROR(AVERAGE(query(INDIRECT(""'FR Table'!"" &amp; vlookup(rows($A$1:$A616),Reference!$O:$P,2,false) &amp; ""3:"" &amp; vlookup(rows($A$1:$A616),Reference!$O:$P,2,false)), 
""SELECT "" &amp; vlookup(rows($A$1:$A616),Reference!$O:$P,2,false) 
&amp; "" WHERE "" &amp; vlookup(row"&amp;"s($A$1:$A616),Reference!$O:$P,2,false) &amp;
"" &gt;= "" &amp; Reference!$R$2)) * M617,"""")"),"")</f>
        <v/>
      </c>
      <c r="O617" s="84" t="str">
        <f t="shared" si="2"/>
        <v/>
      </c>
    </row>
    <row r="618">
      <c r="A618" s="84"/>
      <c r="B618" s="84"/>
      <c r="C618" s="85"/>
      <c r="D618" s="86"/>
      <c r="E618" s="87"/>
      <c r="F618" s="86"/>
      <c r="G618" s="87"/>
      <c r="H618" s="86"/>
      <c r="I618" s="86"/>
      <c r="J618" s="86"/>
      <c r="K618" s="84"/>
      <c r="L618" s="84" t="str">
        <f>IFERROR(__xludf.DUMMYFUNCTION("IF(A618="""","""", COUNT(SPLIT(K618,"";"")))"),"")</f>
        <v/>
      </c>
      <c r="M618" s="84" t="str">
        <f t="shared" si="1"/>
        <v/>
      </c>
      <c r="N618" s="84" t="str">
        <f>IFERROR(__xludf.DUMMYFUNCTION("IFERROR(AVERAGE(query(INDIRECT(""'FR Table'!"" &amp; vlookup(rows($A$1:$A617),Reference!$O:$P,2,false) &amp; ""3:"" &amp; vlookup(rows($A$1:$A617),Reference!$O:$P,2,false)), 
""SELECT "" &amp; vlookup(rows($A$1:$A617),Reference!$O:$P,2,false) 
&amp; "" WHERE "" &amp; vlookup(row"&amp;"s($A$1:$A617),Reference!$O:$P,2,false) &amp;
"" &gt;= "" &amp; Reference!$R$2)) * M618,"""")"),"")</f>
        <v/>
      </c>
      <c r="O618" s="84" t="str">
        <f t="shared" si="2"/>
        <v/>
      </c>
    </row>
    <row r="619">
      <c r="A619" s="84"/>
      <c r="B619" s="84"/>
      <c r="C619" s="85"/>
      <c r="D619" s="86"/>
      <c r="E619" s="87"/>
      <c r="F619" s="86"/>
      <c r="G619" s="87"/>
      <c r="H619" s="86"/>
      <c r="I619" s="86"/>
      <c r="J619" s="86"/>
      <c r="K619" s="84"/>
      <c r="L619" s="84" t="str">
        <f>IFERROR(__xludf.DUMMYFUNCTION("IF(A619="""","""", COUNT(SPLIT(K619,"";"")))"),"")</f>
        <v/>
      </c>
      <c r="M619" s="84" t="str">
        <f t="shared" si="1"/>
        <v/>
      </c>
      <c r="N619" s="84" t="str">
        <f>IFERROR(__xludf.DUMMYFUNCTION("IFERROR(AVERAGE(query(INDIRECT(""'FR Table'!"" &amp; vlookup(rows($A$1:$A618),Reference!$O:$P,2,false) &amp; ""3:"" &amp; vlookup(rows($A$1:$A618),Reference!$O:$P,2,false)), 
""SELECT "" &amp; vlookup(rows($A$1:$A618),Reference!$O:$P,2,false) 
&amp; "" WHERE "" &amp; vlookup(row"&amp;"s($A$1:$A618),Reference!$O:$P,2,false) &amp;
"" &gt;= "" &amp; Reference!$R$2)) * M619,"""")"),"")</f>
        <v/>
      </c>
      <c r="O619" s="84" t="str">
        <f t="shared" si="2"/>
        <v/>
      </c>
    </row>
    <row r="620">
      <c r="A620" s="84"/>
      <c r="B620" s="84"/>
      <c r="C620" s="85"/>
      <c r="D620" s="86"/>
      <c r="E620" s="87"/>
      <c r="F620" s="86"/>
      <c r="G620" s="87"/>
      <c r="H620" s="86"/>
      <c r="I620" s="86"/>
      <c r="J620" s="86"/>
      <c r="K620" s="84"/>
      <c r="L620" s="84" t="str">
        <f>IFERROR(__xludf.DUMMYFUNCTION("IF(A620="""","""", COUNT(SPLIT(K620,"";"")))"),"")</f>
        <v/>
      </c>
      <c r="M620" s="84" t="str">
        <f t="shared" si="1"/>
        <v/>
      </c>
      <c r="N620" s="84" t="str">
        <f>IFERROR(__xludf.DUMMYFUNCTION("IFERROR(AVERAGE(query(INDIRECT(""'FR Table'!"" &amp; vlookup(rows($A$1:$A619),Reference!$O:$P,2,false) &amp; ""3:"" &amp; vlookup(rows($A$1:$A619),Reference!$O:$P,2,false)), 
""SELECT "" &amp; vlookup(rows($A$1:$A619),Reference!$O:$P,2,false) 
&amp; "" WHERE "" &amp; vlookup(row"&amp;"s($A$1:$A619),Reference!$O:$P,2,false) &amp;
"" &gt;= "" &amp; Reference!$R$2)) * M620,"""")"),"")</f>
        <v/>
      </c>
      <c r="O620" s="84" t="str">
        <f t="shared" si="2"/>
        <v/>
      </c>
    </row>
    <row r="621">
      <c r="A621" s="84"/>
      <c r="B621" s="84"/>
      <c r="C621" s="85"/>
      <c r="D621" s="86"/>
      <c r="E621" s="87"/>
      <c r="F621" s="86"/>
      <c r="G621" s="87"/>
      <c r="H621" s="86"/>
      <c r="I621" s="86"/>
      <c r="J621" s="86"/>
      <c r="K621" s="84"/>
      <c r="L621" s="84" t="str">
        <f>IFERROR(__xludf.DUMMYFUNCTION("IF(A621="""","""", COUNT(SPLIT(K621,"";"")))"),"")</f>
        <v/>
      </c>
      <c r="M621" s="84" t="str">
        <f t="shared" si="1"/>
        <v/>
      </c>
      <c r="N621" s="84" t="str">
        <f>IFERROR(__xludf.DUMMYFUNCTION("IFERROR(AVERAGE(query(INDIRECT(""'FR Table'!"" &amp; vlookup(rows($A$1:$A620),Reference!$O:$P,2,false) &amp; ""3:"" &amp; vlookup(rows($A$1:$A620),Reference!$O:$P,2,false)), 
""SELECT "" &amp; vlookup(rows($A$1:$A620),Reference!$O:$P,2,false) 
&amp; "" WHERE "" &amp; vlookup(row"&amp;"s($A$1:$A620),Reference!$O:$P,2,false) &amp;
"" &gt;= "" &amp; Reference!$R$2)) * M621,"""")"),"")</f>
        <v/>
      </c>
      <c r="O621" s="84" t="str">
        <f t="shared" si="2"/>
        <v/>
      </c>
    </row>
    <row r="622">
      <c r="A622" s="84"/>
      <c r="B622" s="84"/>
      <c r="C622" s="85"/>
      <c r="D622" s="86"/>
      <c r="E622" s="87"/>
      <c r="F622" s="86"/>
      <c r="G622" s="87"/>
      <c r="H622" s="86"/>
      <c r="I622" s="86"/>
      <c r="J622" s="86"/>
      <c r="K622" s="84"/>
      <c r="L622" s="84" t="str">
        <f>IFERROR(__xludf.DUMMYFUNCTION("IF(A622="""","""", COUNT(SPLIT(K622,"";"")))"),"")</f>
        <v/>
      </c>
      <c r="M622" s="84" t="str">
        <f t="shared" si="1"/>
        <v/>
      </c>
      <c r="N622" s="84" t="str">
        <f>IFERROR(__xludf.DUMMYFUNCTION("IFERROR(AVERAGE(query(INDIRECT(""'FR Table'!"" &amp; vlookup(rows($A$1:$A621),Reference!$O:$P,2,false) &amp; ""3:"" &amp; vlookup(rows($A$1:$A621),Reference!$O:$P,2,false)), 
""SELECT "" &amp; vlookup(rows($A$1:$A621),Reference!$O:$P,2,false) 
&amp; "" WHERE "" &amp; vlookup(row"&amp;"s($A$1:$A621),Reference!$O:$P,2,false) &amp;
"" &gt;= "" &amp; Reference!$R$2)) * M622,"""")"),"")</f>
        <v/>
      </c>
      <c r="O622" s="84" t="str">
        <f t="shared" si="2"/>
        <v/>
      </c>
    </row>
    <row r="623">
      <c r="A623" s="84"/>
      <c r="B623" s="84"/>
      <c r="C623" s="85"/>
      <c r="D623" s="86"/>
      <c r="E623" s="87"/>
      <c r="F623" s="86"/>
      <c r="G623" s="87"/>
      <c r="H623" s="86"/>
      <c r="I623" s="86"/>
      <c r="J623" s="86"/>
      <c r="K623" s="84"/>
      <c r="L623" s="84" t="str">
        <f>IFERROR(__xludf.DUMMYFUNCTION("IF(A623="""","""", COUNT(SPLIT(K623,"";"")))"),"")</f>
        <v/>
      </c>
      <c r="M623" s="84" t="str">
        <f t="shared" si="1"/>
        <v/>
      </c>
      <c r="N623" s="84" t="str">
        <f>IFERROR(__xludf.DUMMYFUNCTION("IFERROR(AVERAGE(query(INDIRECT(""'FR Table'!"" &amp; vlookup(rows($A$1:$A622),Reference!$O:$P,2,false) &amp; ""3:"" &amp; vlookup(rows($A$1:$A622),Reference!$O:$P,2,false)), 
""SELECT "" &amp; vlookup(rows($A$1:$A622),Reference!$O:$P,2,false) 
&amp; "" WHERE "" &amp; vlookup(row"&amp;"s($A$1:$A622),Reference!$O:$P,2,false) &amp;
"" &gt;= "" &amp; Reference!$R$2)) * M623,"""")"),"")</f>
        <v/>
      </c>
      <c r="O623" s="84" t="str">
        <f t="shared" si="2"/>
        <v/>
      </c>
    </row>
    <row r="624">
      <c r="A624" s="84"/>
      <c r="B624" s="84"/>
      <c r="C624" s="85"/>
      <c r="D624" s="86"/>
      <c r="E624" s="87"/>
      <c r="F624" s="86"/>
      <c r="G624" s="87"/>
      <c r="H624" s="86"/>
      <c r="I624" s="86"/>
      <c r="J624" s="86"/>
      <c r="K624" s="84"/>
      <c r="L624" s="84" t="str">
        <f>IFERROR(__xludf.DUMMYFUNCTION("IF(A624="""","""", COUNT(SPLIT(K624,"";"")))"),"")</f>
        <v/>
      </c>
      <c r="M624" s="84" t="str">
        <f t="shared" si="1"/>
        <v/>
      </c>
      <c r="N624" s="84" t="str">
        <f>IFERROR(__xludf.DUMMYFUNCTION("IFERROR(AVERAGE(query(INDIRECT(""'FR Table'!"" &amp; vlookup(rows($A$1:$A623),Reference!$O:$P,2,false) &amp; ""3:"" &amp; vlookup(rows($A$1:$A623),Reference!$O:$P,2,false)), 
""SELECT "" &amp; vlookup(rows($A$1:$A623),Reference!$O:$P,2,false) 
&amp; "" WHERE "" &amp; vlookup(row"&amp;"s($A$1:$A623),Reference!$O:$P,2,false) &amp;
"" &gt;= "" &amp; Reference!$R$2)) * M624,"""")"),"")</f>
        <v/>
      </c>
      <c r="O624" s="84" t="str">
        <f t="shared" si="2"/>
        <v/>
      </c>
    </row>
    <row r="625">
      <c r="A625" s="84"/>
      <c r="B625" s="84"/>
      <c r="C625" s="85"/>
      <c r="D625" s="86"/>
      <c r="E625" s="87"/>
      <c r="F625" s="86"/>
      <c r="G625" s="87"/>
      <c r="H625" s="86"/>
      <c r="I625" s="86"/>
      <c r="J625" s="86"/>
      <c r="K625" s="84"/>
      <c r="L625" s="84" t="str">
        <f>IFERROR(__xludf.DUMMYFUNCTION("IF(A625="""","""", COUNT(SPLIT(K625,"";"")))"),"")</f>
        <v/>
      </c>
      <c r="M625" s="84" t="str">
        <f t="shared" si="1"/>
        <v/>
      </c>
      <c r="N625" s="84" t="str">
        <f>IFERROR(__xludf.DUMMYFUNCTION("IFERROR(AVERAGE(query(INDIRECT(""'FR Table'!"" &amp; vlookup(rows($A$1:$A624),Reference!$O:$P,2,false) &amp; ""3:"" &amp; vlookup(rows($A$1:$A624),Reference!$O:$P,2,false)), 
""SELECT "" &amp; vlookup(rows($A$1:$A624),Reference!$O:$P,2,false) 
&amp; "" WHERE "" &amp; vlookup(row"&amp;"s($A$1:$A624),Reference!$O:$P,2,false) &amp;
"" &gt;= "" &amp; Reference!$R$2)) * M625,"""")"),"")</f>
        <v/>
      </c>
      <c r="O625" s="84" t="str">
        <f t="shared" si="2"/>
        <v/>
      </c>
    </row>
    <row r="626">
      <c r="A626" s="84"/>
      <c r="B626" s="84"/>
      <c r="C626" s="85"/>
      <c r="D626" s="86"/>
      <c r="E626" s="87"/>
      <c r="F626" s="86"/>
      <c r="G626" s="87"/>
      <c r="H626" s="86"/>
      <c r="I626" s="86"/>
      <c r="J626" s="86"/>
      <c r="K626" s="84"/>
      <c r="L626" s="84" t="str">
        <f>IFERROR(__xludf.DUMMYFUNCTION("IF(A626="""","""", COUNT(SPLIT(K626,"";"")))"),"")</f>
        <v/>
      </c>
      <c r="M626" s="84" t="str">
        <f t="shared" si="1"/>
        <v/>
      </c>
      <c r="N626" s="84" t="str">
        <f>IFERROR(__xludf.DUMMYFUNCTION("IFERROR(AVERAGE(query(INDIRECT(""'FR Table'!"" &amp; vlookup(rows($A$1:$A625),Reference!$O:$P,2,false) &amp; ""3:"" &amp; vlookup(rows($A$1:$A625),Reference!$O:$P,2,false)), 
""SELECT "" &amp; vlookup(rows($A$1:$A625),Reference!$O:$P,2,false) 
&amp; "" WHERE "" &amp; vlookup(row"&amp;"s($A$1:$A625),Reference!$O:$P,2,false) &amp;
"" &gt;= "" &amp; Reference!$R$2)) * M626,"""")"),"")</f>
        <v/>
      </c>
      <c r="O626" s="84" t="str">
        <f t="shared" si="2"/>
        <v/>
      </c>
    </row>
    <row r="627">
      <c r="A627" s="84"/>
      <c r="B627" s="84"/>
      <c r="C627" s="85"/>
      <c r="D627" s="86"/>
      <c r="E627" s="87"/>
      <c r="F627" s="86"/>
      <c r="G627" s="87"/>
      <c r="H627" s="86"/>
      <c r="I627" s="86"/>
      <c r="J627" s="86"/>
      <c r="K627" s="84"/>
      <c r="L627" s="84" t="str">
        <f>IFERROR(__xludf.DUMMYFUNCTION("IF(A627="""","""", COUNT(SPLIT(K627,"";"")))"),"")</f>
        <v/>
      </c>
      <c r="M627" s="84" t="str">
        <f t="shared" si="1"/>
        <v/>
      </c>
      <c r="N627" s="84" t="str">
        <f>IFERROR(__xludf.DUMMYFUNCTION("IFERROR(AVERAGE(query(INDIRECT(""'FR Table'!"" &amp; vlookup(rows($A$1:$A626),Reference!$O:$P,2,false) &amp; ""3:"" &amp; vlookup(rows($A$1:$A626),Reference!$O:$P,2,false)), 
""SELECT "" &amp; vlookup(rows($A$1:$A626),Reference!$O:$P,2,false) 
&amp; "" WHERE "" &amp; vlookup(row"&amp;"s($A$1:$A626),Reference!$O:$P,2,false) &amp;
"" &gt;= "" &amp; Reference!$R$2)) * M627,"""")"),"")</f>
        <v/>
      </c>
      <c r="O627" s="84" t="str">
        <f t="shared" si="2"/>
        <v/>
      </c>
    </row>
    <row r="628">
      <c r="A628" s="84"/>
      <c r="B628" s="84"/>
      <c r="C628" s="85"/>
      <c r="D628" s="86"/>
      <c r="E628" s="87"/>
      <c r="F628" s="86"/>
      <c r="G628" s="87"/>
      <c r="H628" s="86"/>
      <c r="I628" s="86"/>
      <c r="J628" s="86"/>
      <c r="K628" s="84"/>
      <c r="L628" s="84" t="str">
        <f>IFERROR(__xludf.DUMMYFUNCTION("IF(A628="""","""", COUNT(SPLIT(K628,"";"")))"),"")</f>
        <v/>
      </c>
      <c r="M628" s="84" t="str">
        <f t="shared" si="1"/>
        <v/>
      </c>
      <c r="N628" s="84" t="str">
        <f>IFERROR(__xludf.DUMMYFUNCTION("IFERROR(AVERAGE(query(INDIRECT(""'FR Table'!"" &amp; vlookup(rows($A$1:$A627),Reference!$O:$P,2,false) &amp; ""3:"" &amp; vlookup(rows($A$1:$A627),Reference!$O:$P,2,false)), 
""SELECT "" &amp; vlookup(rows($A$1:$A627),Reference!$O:$P,2,false) 
&amp; "" WHERE "" &amp; vlookup(row"&amp;"s($A$1:$A627),Reference!$O:$P,2,false) &amp;
"" &gt;= "" &amp; Reference!$R$2)) * M628,"""")"),"")</f>
        <v/>
      </c>
      <c r="O628" s="84" t="str">
        <f t="shared" si="2"/>
        <v/>
      </c>
    </row>
    <row r="629">
      <c r="A629" s="84"/>
      <c r="B629" s="84"/>
      <c r="C629" s="85"/>
      <c r="D629" s="86"/>
      <c r="E629" s="87"/>
      <c r="F629" s="86"/>
      <c r="G629" s="87"/>
      <c r="H629" s="86"/>
      <c r="I629" s="86"/>
      <c r="J629" s="86"/>
      <c r="K629" s="84"/>
      <c r="L629" s="84" t="str">
        <f>IFERROR(__xludf.DUMMYFUNCTION("IF(A629="""","""", COUNT(SPLIT(K629,"";"")))"),"")</f>
        <v/>
      </c>
      <c r="M629" s="84" t="str">
        <f t="shared" si="1"/>
        <v/>
      </c>
      <c r="N629" s="84" t="str">
        <f>IFERROR(__xludf.DUMMYFUNCTION("IFERROR(AVERAGE(query(INDIRECT(""'FR Table'!"" &amp; vlookup(rows($A$1:$A628),Reference!$O:$P,2,false) &amp; ""3:"" &amp; vlookup(rows($A$1:$A628),Reference!$O:$P,2,false)), 
""SELECT "" &amp; vlookup(rows($A$1:$A628),Reference!$O:$P,2,false) 
&amp; "" WHERE "" &amp; vlookup(row"&amp;"s($A$1:$A628),Reference!$O:$P,2,false) &amp;
"" &gt;= "" &amp; Reference!$R$2)) * M629,"""")"),"")</f>
        <v/>
      </c>
      <c r="O629" s="84" t="str">
        <f t="shared" si="2"/>
        <v/>
      </c>
    </row>
    <row r="630">
      <c r="A630" s="84"/>
      <c r="B630" s="84"/>
      <c r="C630" s="85"/>
      <c r="D630" s="86"/>
      <c r="E630" s="87"/>
      <c r="F630" s="86"/>
      <c r="G630" s="87"/>
      <c r="H630" s="86"/>
      <c r="I630" s="86"/>
      <c r="J630" s="86"/>
      <c r="K630" s="84"/>
      <c r="L630" s="84" t="str">
        <f>IFERROR(__xludf.DUMMYFUNCTION("IF(A630="""","""", COUNT(SPLIT(K630,"";"")))"),"")</f>
        <v/>
      </c>
      <c r="M630" s="84" t="str">
        <f t="shared" si="1"/>
        <v/>
      </c>
      <c r="N630" s="84" t="str">
        <f>IFERROR(__xludf.DUMMYFUNCTION("IFERROR(AVERAGE(query(INDIRECT(""'FR Table'!"" &amp; vlookup(rows($A$1:$A629),Reference!$O:$P,2,false) &amp; ""3:"" &amp; vlookup(rows($A$1:$A629),Reference!$O:$P,2,false)), 
""SELECT "" &amp; vlookup(rows($A$1:$A629),Reference!$O:$P,2,false) 
&amp; "" WHERE "" &amp; vlookup(row"&amp;"s($A$1:$A629),Reference!$O:$P,2,false) &amp;
"" &gt;= "" &amp; Reference!$R$2)) * M630,"""")"),"")</f>
        <v/>
      </c>
      <c r="O630" s="84" t="str">
        <f t="shared" si="2"/>
        <v/>
      </c>
    </row>
    <row r="631">
      <c r="A631" s="84"/>
      <c r="B631" s="84"/>
      <c r="C631" s="85"/>
      <c r="D631" s="86"/>
      <c r="E631" s="87"/>
      <c r="F631" s="86"/>
      <c r="G631" s="87"/>
      <c r="H631" s="86"/>
      <c r="I631" s="86"/>
      <c r="J631" s="86"/>
      <c r="K631" s="84"/>
      <c r="L631" s="84" t="str">
        <f>IFERROR(__xludf.DUMMYFUNCTION("IF(A631="""","""", COUNT(SPLIT(K631,"";"")))"),"")</f>
        <v/>
      </c>
      <c r="M631" s="84" t="str">
        <f t="shared" si="1"/>
        <v/>
      </c>
      <c r="N631" s="84" t="str">
        <f>IFERROR(__xludf.DUMMYFUNCTION("IFERROR(AVERAGE(query(INDIRECT(""'FR Table'!"" &amp; vlookup(rows($A$1:$A630),Reference!$O:$P,2,false) &amp; ""3:"" &amp; vlookup(rows($A$1:$A630),Reference!$O:$P,2,false)), 
""SELECT "" &amp; vlookup(rows($A$1:$A630),Reference!$O:$P,2,false) 
&amp; "" WHERE "" &amp; vlookup(row"&amp;"s($A$1:$A630),Reference!$O:$P,2,false) &amp;
"" &gt;= "" &amp; Reference!$R$2)) * M631,"""")"),"")</f>
        <v/>
      </c>
      <c r="O631" s="84" t="str">
        <f t="shared" si="2"/>
        <v/>
      </c>
    </row>
    <row r="632">
      <c r="A632" s="84"/>
      <c r="B632" s="84"/>
      <c r="C632" s="85"/>
      <c r="D632" s="86"/>
      <c r="E632" s="87"/>
      <c r="F632" s="86"/>
      <c r="G632" s="87"/>
      <c r="H632" s="86"/>
      <c r="I632" s="86"/>
      <c r="J632" s="86"/>
      <c r="K632" s="84"/>
      <c r="L632" s="84" t="str">
        <f>IFERROR(__xludf.DUMMYFUNCTION("IF(A632="""","""", COUNT(SPLIT(K632,"";"")))"),"")</f>
        <v/>
      </c>
      <c r="M632" s="84" t="str">
        <f t="shared" si="1"/>
        <v/>
      </c>
      <c r="N632" s="84" t="str">
        <f>IFERROR(__xludf.DUMMYFUNCTION("IFERROR(AVERAGE(query(INDIRECT(""'FR Table'!"" &amp; vlookup(rows($A$1:$A631),Reference!$O:$P,2,false) &amp; ""3:"" &amp; vlookup(rows($A$1:$A631),Reference!$O:$P,2,false)), 
""SELECT "" &amp; vlookup(rows($A$1:$A631),Reference!$O:$P,2,false) 
&amp; "" WHERE "" &amp; vlookup(row"&amp;"s($A$1:$A631),Reference!$O:$P,2,false) &amp;
"" &gt;= "" &amp; Reference!$R$2)) * M632,"""")"),"")</f>
        <v/>
      </c>
      <c r="O632" s="84" t="str">
        <f t="shared" si="2"/>
        <v/>
      </c>
    </row>
    <row r="633">
      <c r="A633" s="84"/>
      <c r="B633" s="84"/>
      <c r="C633" s="85"/>
      <c r="D633" s="86"/>
      <c r="E633" s="87"/>
      <c r="F633" s="86"/>
      <c r="G633" s="87"/>
      <c r="H633" s="86"/>
      <c r="I633" s="86"/>
      <c r="J633" s="86"/>
      <c r="K633" s="84"/>
      <c r="L633" s="84" t="str">
        <f>IFERROR(__xludf.DUMMYFUNCTION("IF(A633="""","""", COUNT(SPLIT(K633,"";"")))"),"")</f>
        <v/>
      </c>
      <c r="M633" s="84" t="str">
        <f t="shared" si="1"/>
        <v/>
      </c>
      <c r="N633" s="84" t="str">
        <f>IFERROR(__xludf.DUMMYFUNCTION("IFERROR(AVERAGE(query(INDIRECT(""'FR Table'!"" &amp; vlookup(rows($A$1:$A632),Reference!$O:$P,2,false) &amp; ""3:"" &amp; vlookup(rows($A$1:$A632),Reference!$O:$P,2,false)), 
""SELECT "" &amp; vlookup(rows($A$1:$A632),Reference!$O:$P,2,false) 
&amp; "" WHERE "" &amp; vlookup(row"&amp;"s($A$1:$A632),Reference!$O:$P,2,false) &amp;
"" &gt;= "" &amp; Reference!$R$2)) * M633,"""")"),"")</f>
        <v/>
      </c>
      <c r="O633" s="84" t="str">
        <f t="shared" si="2"/>
        <v/>
      </c>
    </row>
    <row r="634">
      <c r="A634" s="84"/>
      <c r="B634" s="84"/>
      <c r="C634" s="85"/>
      <c r="D634" s="86"/>
      <c r="E634" s="87"/>
      <c r="F634" s="86"/>
      <c r="G634" s="87"/>
      <c r="H634" s="86"/>
      <c r="I634" s="86"/>
      <c r="J634" s="86"/>
      <c r="K634" s="84"/>
      <c r="L634" s="84" t="str">
        <f>IFERROR(__xludf.DUMMYFUNCTION("IF(A634="""","""", COUNT(SPLIT(K634,"";"")))"),"")</f>
        <v/>
      </c>
      <c r="M634" s="84" t="str">
        <f t="shared" si="1"/>
        <v/>
      </c>
      <c r="N634" s="84" t="str">
        <f>IFERROR(__xludf.DUMMYFUNCTION("IFERROR(AVERAGE(query(INDIRECT(""'FR Table'!"" &amp; vlookup(rows($A$1:$A633),Reference!$O:$P,2,false) &amp; ""3:"" &amp; vlookup(rows($A$1:$A633),Reference!$O:$P,2,false)), 
""SELECT "" &amp; vlookup(rows($A$1:$A633),Reference!$O:$P,2,false) 
&amp; "" WHERE "" &amp; vlookup(row"&amp;"s($A$1:$A633),Reference!$O:$P,2,false) &amp;
"" &gt;= "" &amp; Reference!$R$2)) * M634,"""")"),"")</f>
        <v/>
      </c>
      <c r="O634" s="84" t="str">
        <f t="shared" si="2"/>
        <v/>
      </c>
    </row>
    <row r="635">
      <c r="A635" s="84"/>
      <c r="B635" s="84"/>
      <c r="C635" s="85"/>
      <c r="D635" s="86"/>
      <c r="E635" s="87"/>
      <c r="F635" s="86"/>
      <c r="G635" s="87"/>
      <c r="H635" s="86"/>
      <c r="I635" s="86"/>
      <c r="J635" s="86"/>
      <c r="K635" s="84"/>
      <c r="L635" s="84" t="str">
        <f>IFERROR(__xludf.DUMMYFUNCTION("IF(A635="""","""", COUNT(SPLIT(K635,"";"")))"),"")</f>
        <v/>
      </c>
      <c r="M635" s="84" t="str">
        <f t="shared" si="1"/>
        <v/>
      </c>
      <c r="N635" s="84" t="str">
        <f>IFERROR(__xludf.DUMMYFUNCTION("IFERROR(AVERAGE(query(INDIRECT(""'FR Table'!"" &amp; vlookup(rows($A$1:$A634),Reference!$O:$P,2,false) &amp; ""3:"" &amp; vlookup(rows($A$1:$A634),Reference!$O:$P,2,false)), 
""SELECT "" &amp; vlookup(rows($A$1:$A634),Reference!$O:$P,2,false) 
&amp; "" WHERE "" &amp; vlookup(row"&amp;"s($A$1:$A634),Reference!$O:$P,2,false) &amp;
"" &gt;= "" &amp; Reference!$R$2)) * M635,"""")"),"")</f>
        <v/>
      </c>
      <c r="O635" s="84" t="str">
        <f t="shared" si="2"/>
        <v/>
      </c>
    </row>
    <row r="636">
      <c r="A636" s="84"/>
      <c r="B636" s="84"/>
      <c r="C636" s="85"/>
      <c r="D636" s="86"/>
      <c r="E636" s="87"/>
      <c r="F636" s="86"/>
      <c r="G636" s="87"/>
      <c r="H636" s="86"/>
      <c r="I636" s="86"/>
      <c r="J636" s="86"/>
      <c r="K636" s="84"/>
      <c r="L636" s="84" t="str">
        <f>IFERROR(__xludf.DUMMYFUNCTION("IF(A636="""","""", COUNT(SPLIT(K636,"";"")))"),"")</f>
        <v/>
      </c>
      <c r="M636" s="84" t="str">
        <f t="shared" si="1"/>
        <v/>
      </c>
      <c r="N636" s="84" t="str">
        <f>IFERROR(__xludf.DUMMYFUNCTION("IFERROR(AVERAGE(query(INDIRECT(""'FR Table'!"" &amp; vlookup(rows($A$1:$A635),Reference!$O:$P,2,false) &amp; ""3:"" &amp; vlookup(rows($A$1:$A635),Reference!$O:$P,2,false)), 
""SELECT "" &amp; vlookup(rows($A$1:$A635),Reference!$O:$P,2,false) 
&amp; "" WHERE "" &amp; vlookup(row"&amp;"s($A$1:$A635),Reference!$O:$P,2,false) &amp;
"" &gt;= "" &amp; Reference!$R$2)) * M636,"""")"),"")</f>
        <v/>
      </c>
      <c r="O636" s="84" t="str">
        <f t="shared" si="2"/>
        <v/>
      </c>
    </row>
    <row r="637">
      <c r="A637" s="84"/>
      <c r="B637" s="84"/>
      <c r="C637" s="85"/>
      <c r="D637" s="86"/>
      <c r="E637" s="87"/>
      <c r="F637" s="86"/>
      <c r="G637" s="87"/>
      <c r="H637" s="86"/>
      <c r="I637" s="86"/>
      <c r="J637" s="86"/>
      <c r="K637" s="84"/>
      <c r="L637" s="84" t="str">
        <f>IFERROR(__xludf.DUMMYFUNCTION("IF(A637="""","""", COUNT(SPLIT(K637,"";"")))"),"")</f>
        <v/>
      </c>
      <c r="M637" s="84" t="str">
        <f t="shared" si="1"/>
        <v/>
      </c>
      <c r="N637" s="84" t="str">
        <f>IFERROR(__xludf.DUMMYFUNCTION("IFERROR(AVERAGE(query(INDIRECT(""'FR Table'!"" &amp; vlookup(rows($A$1:$A636),Reference!$O:$P,2,false) &amp; ""3:"" &amp; vlookup(rows($A$1:$A636),Reference!$O:$P,2,false)), 
""SELECT "" &amp; vlookup(rows($A$1:$A636),Reference!$O:$P,2,false) 
&amp; "" WHERE "" &amp; vlookup(row"&amp;"s($A$1:$A636),Reference!$O:$P,2,false) &amp;
"" &gt;= "" &amp; Reference!$R$2)) * M637,"""")"),"")</f>
        <v/>
      </c>
      <c r="O637" s="84" t="str">
        <f t="shared" si="2"/>
        <v/>
      </c>
    </row>
    <row r="638">
      <c r="A638" s="84"/>
      <c r="B638" s="84"/>
      <c r="C638" s="85"/>
      <c r="D638" s="86"/>
      <c r="E638" s="87"/>
      <c r="F638" s="86"/>
      <c r="G638" s="87"/>
      <c r="H638" s="86"/>
      <c r="I638" s="86"/>
      <c r="J638" s="86"/>
      <c r="K638" s="84"/>
      <c r="L638" s="84" t="str">
        <f>IFERROR(__xludf.DUMMYFUNCTION("IF(A638="""","""", COUNT(SPLIT(K638,"";"")))"),"")</f>
        <v/>
      </c>
      <c r="M638" s="84" t="str">
        <f t="shared" si="1"/>
        <v/>
      </c>
      <c r="N638" s="84" t="str">
        <f>IFERROR(__xludf.DUMMYFUNCTION("IFERROR(AVERAGE(query(INDIRECT(""'FR Table'!"" &amp; vlookup(rows($A$1:$A637),Reference!$O:$P,2,false) &amp; ""3:"" &amp; vlookup(rows($A$1:$A637),Reference!$O:$P,2,false)), 
""SELECT "" &amp; vlookup(rows($A$1:$A637),Reference!$O:$P,2,false) 
&amp; "" WHERE "" &amp; vlookup(row"&amp;"s($A$1:$A637),Reference!$O:$P,2,false) &amp;
"" &gt;= "" &amp; Reference!$R$2)) * M638,"""")"),"")</f>
        <v/>
      </c>
      <c r="O638" s="84" t="str">
        <f t="shared" si="2"/>
        <v/>
      </c>
    </row>
    <row r="639">
      <c r="A639" s="84"/>
      <c r="B639" s="84"/>
      <c r="C639" s="85"/>
      <c r="D639" s="86"/>
      <c r="E639" s="87"/>
      <c r="F639" s="86"/>
      <c r="G639" s="87"/>
      <c r="H639" s="86"/>
      <c r="I639" s="86"/>
      <c r="J639" s="86"/>
      <c r="K639" s="84"/>
      <c r="L639" s="84" t="str">
        <f>IFERROR(__xludf.DUMMYFUNCTION("IF(A639="""","""", COUNT(SPLIT(K639,"";"")))"),"")</f>
        <v/>
      </c>
      <c r="M639" s="84" t="str">
        <f t="shared" si="1"/>
        <v/>
      </c>
      <c r="N639" s="84" t="str">
        <f>IFERROR(__xludf.DUMMYFUNCTION("IFERROR(AVERAGE(query(INDIRECT(""'FR Table'!"" &amp; vlookup(rows($A$1:$A638),Reference!$O:$P,2,false) &amp; ""3:"" &amp; vlookup(rows($A$1:$A638),Reference!$O:$P,2,false)), 
""SELECT "" &amp; vlookup(rows($A$1:$A638),Reference!$O:$P,2,false) 
&amp; "" WHERE "" &amp; vlookup(row"&amp;"s($A$1:$A638),Reference!$O:$P,2,false) &amp;
"" &gt;= "" &amp; Reference!$R$2)) * M639,"""")"),"")</f>
        <v/>
      </c>
      <c r="O639" s="84" t="str">
        <f t="shared" si="2"/>
        <v/>
      </c>
    </row>
    <row r="640">
      <c r="A640" s="84"/>
      <c r="B640" s="84"/>
      <c r="C640" s="85"/>
      <c r="D640" s="86"/>
      <c r="E640" s="87"/>
      <c r="F640" s="86"/>
      <c r="G640" s="87"/>
      <c r="H640" s="86"/>
      <c r="I640" s="86"/>
      <c r="J640" s="86"/>
      <c r="K640" s="84"/>
      <c r="L640" s="84" t="str">
        <f>IFERROR(__xludf.DUMMYFUNCTION("IF(A640="""","""", COUNT(SPLIT(K640,"";"")))"),"")</f>
        <v/>
      </c>
      <c r="M640" s="84" t="str">
        <f t="shared" si="1"/>
        <v/>
      </c>
      <c r="N640" s="84" t="str">
        <f>IFERROR(__xludf.DUMMYFUNCTION("IFERROR(AVERAGE(query(INDIRECT(""'FR Table'!"" &amp; vlookup(rows($A$1:$A639),Reference!$O:$P,2,false) &amp; ""3:"" &amp; vlookup(rows($A$1:$A639),Reference!$O:$P,2,false)), 
""SELECT "" &amp; vlookup(rows($A$1:$A639),Reference!$O:$P,2,false) 
&amp; "" WHERE "" &amp; vlookup(row"&amp;"s($A$1:$A639),Reference!$O:$P,2,false) &amp;
"" &gt;= "" &amp; Reference!$R$2)) * M640,"""")"),"")</f>
        <v/>
      </c>
      <c r="O640" s="84" t="str">
        <f t="shared" si="2"/>
        <v/>
      </c>
    </row>
    <row r="641">
      <c r="A641" s="84"/>
      <c r="B641" s="84"/>
      <c r="C641" s="85"/>
      <c r="D641" s="86"/>
      <c r="E641" s="87"/>
      <c r="F641" s="86"/>
      <c r="G641" s="87"/>
      <c r="H641" s="86"/>
      <c r="I641" s="86"/>
      <c r="J641" s="86"/>
      <c r="K641" s="84"/>
      <c r="L641" s="84" t="str">
        <f>IFERROR(__xludf.DUMMYFUNCTION("IF(A641="""","""", COUNT(SPLIT(K641,"";"")))"),"")</f>
        <v/>
      </c>
      <c r="M641" s="84" t="str">
        <f t="shared" si="1"/>
        <v/>
      </c>
      <c r="N641" s="84" t="str">
        <f>IFERROR(__xludf.DUMMYFUNCTION("IFERROR(AVERAGE(query(INDIRECT(""'FR Table'!"" &amp; vlookup(rows($A$1:$A640),Reference!$O:$P,2,false) &amp; ""3:"" &amp; vlookup(rows($A$1:$A640),Reference!$O:$P,2,false)), 
""SELECT "" &amp; vlookup(rows($A$1:$A640),Reference!$O:$P,2,false) 
&amp; "" WHERE "" &amp; vlookup(row"&amp;"s($A$1:$A640),Reference!$O:$P,2,false) &amp;
"" &gt;= "" &amp; Reference!$R$2)) * M641,"""")"),"")</f>
        <v/>
      </c>
      <c r="O641" s="84" t="str">
        <f t="shared" si="2"/>
        <v/>
      </c>
    </row>
    <row r="642">
      <c r="A642" s="84"/>
      <c r="B642" s="84"/>
      <c r="C642" s="85"/>
      <c r="D642" s="86"/>
      <c r="E642" s="87"/>
      <c r="F642" s="86"/>
      <c r="G642" s="87"/>
      <c r="H642" s="86"/>
      <c r="I642" s="86"/>
      <c r="J642" s="86"/>
      <c r="K642" s="84"/>
      <c r="L642" s="84" t="str">
        <f>IFERROR(__xludf.DUMMYFUNCTION("IF(A642="""","""", COUNT(SPLIT(K642,"";"")))"),"")</f>
        <v/>
      </c>
      <c r="M642" s="84" t="str">
        <f t="shared" si="1"/>
        <v/>
      </c>
      <c r="N642" s="84" t="str">
        <f>IFERROR(__xludf.DUMMYFUNCTION("IFERROR(AVERAGE(query(INDIRECT(""'FR Table'!"" &amp; vlookup(rows($A$1:$A641),Reference!$O:$P,2,false) &amp; ""3:"" &amp; vlookup(rows($A$1:$A641),Reference!$O:$P,2,false)), 
""SELECT "" &amp; vlookup(rows($A$1:$A641),Reference!$O:$P,2,false) 
&amp; "" WHERE "" &amp; vlookup(row"&amp;"s($A$1:$A641),Reference!$O:$P,2,false) &amp;
"" &gt;= "" &amp; Reference!$R$2)) * M642,"""")"),"")</f>
        <v/>
      </c>
      <c r="O642" s="84" t="str">
        <f t="shared" si="2"/>
        <v/>
      </c>
    </row>
    <row r="643">
      <c r="A643" s="84"/>
      <c r="B643" s="84"/>
      <c r="C643" s="85"/>
      <c r="D643" s="86"/>
      <c r="E643" s="87"/>
      <c r="F643" s="86"/>
      <c r="G643" s="87"/>
      <c r="H643" s="86"/>
      <c r="I643" s="86"/>
      <c r="J643" s="86"/>
      <c r="K643" s="84"/>
      <c r="L643" s="84" t="str">
        <f>IFERROR(__xludf.DUMMYFUNCTION("IF(A643="""","""", COUNT(SPLIT(K643,"";"")))"),"")</f>
        <v/>
      </c>
      <c r="M643" s="84" t="str">
        <f t="shared" si="1"/>
        <v/>
      </c>
      <c r="N643" s="84" t="str">
        <f>IFERROR(__xludf.DUMMYFUNCTION("IFERROR(AVERAGE(query(INDIRECT(""'FR Table'!"" &amp; vlookup(rows($A$1:$A642),Reference!$O:$P,2,false) &amp; ""3:"" &amp; vlookup(rows($A$1:$A642),Reference!$O:$P,2,false)), 
""SELECT "" &amp; vlookup(rows($A$1:$A642),Reference!$O:$P,2,false) 
&amp; "" WHERE "" &amp; vlookup(row"&amp;"s($A$1:$A642),Reference!$O:$P,2,false) &amp;
"" &gt;= "" &amp; Reference!$R$2)) * M643,"""")"),"")</f>
        <v/>
      </c>
      <c r="O643" s="84" t="str">
        <f t="shared" si="2"/>
        <v/>
      </c>
    </row>
    <row r="644">
      <c r="A644" s="84"/>
      <c r="B644" s="84"/>
      <c r="C644" s="85"/>
      <c r="D644" s="86"/>
      <c r="E644" s="87"/>
      <c r="F644" s="86"/>
      <c r="G644" s="87"/>
      <c r="H644" s="86"/>
      <c r="I644" s="86"/>
      <c r="J644" s="86"/>
      <c r="K644" s="84"/>
      <c r="L644" s="84" t="str">
        <f>IFERROR(__xludf.DUMMYFUNCTION("IF(A644="""","""", COUNT(SPLIT(K644,"";"")))"),"")</f>
        <v/>
      </c>
      <c r="M644" s="84" t="str">
        <f t="shared" si="1"/>
        <v/>
      </c>
      <c r="N644" s="84" t="str">
        <f>IFERROR(__xludf.DUMMYFUNCTION("IFERROR(AVERAGE(query(INDIRECT(""'FR Table'!"" &amp; vlookup(rows($A$1:$A643),Reference!$O:$P,2,false) &amp; ""3:"" &amp; vlookup(rows($A$1:$A643),Reference!$O:$P,2,false)), 
""SELECT "" &amp; vlookup(rows($A$1:$A643),Reference!$O:$P,2,false) 
&amp; "" WHERE "" &amp; vlookup(row"&amp;"s($A$1:$A643),Reference!$O:$P,2,false) &amp;
"" &gt;= "" &amp; Reference!$R$2)) * M644,"""")"),"")</f>
        <v/>
      </c>
      <c r="O644" s="84" t="str">
        <f t="shared" si="2"/>
        <v/>
      </c>
    </row>
    <row r="645">
      <c r="A645" s="84"/>
      <c r="B645" s="84"/>
      <c r="C645" s="85"/>
      <c r="D645" s="86"/>
      <c r="E645" s="87"/>
      <c r="F645" s="86"/>
      <c r="G645" s="87"/>
      <c r="H645" s="86"/>
      <c r="I645" s="86"/>
      <c r="J645" s="86"/>
      <c r="K645" s="84"/>
      <c r="L645" s="84" t="str">
        <f>IFERROR(__xludf.DUMMYFUNCTION("IF(A645="""","""", COUNT(SPLIT(K645,"";"")))"),"")</f>
        <v/>
      </c>
      <c r="M645" s="84" t="str">
        <f t="shared" si="1"/>
        <v/>
      </c>
      <c r="N645" s="84" t="str">
        <f>IFERROR(__xludf.DUMMYFUNCTION("IFERROR(AVERAGE(query(INDIRECT(""'FR Table'!"" &amp; vlookup(rows($A$1:$A644),Reference!$O:$P,2,false) &amp; ""3:"" &amp; vlookup(rows($A$1:$A644),Reference!$O:$P,2,false)), 
""SELECT "" &amp; vlookup(rows($A$1:$A644),Reference!$O:$P,2,false) 
&amp; "" WHERE "" &amp; vlookup(row"&amp;"s($A$1:$A644),Reference!$O:$P,2,false) &amp;
"" &gt;= "" &amp; Reference!$R$2)) * M645,"""")"),"")</f>
        <v/>
      </c>
      <c r="O645" s="84" t="str">
        <f t="shared" si="2"/>
        <v/>
      </c>
    </row>
    <row r="646">
      <c r="A646" s="84"/>
      <c r="B646" s="84"/>
      <c r="C646" s="85"/>
      <c r="D646" s="86"/>
      <c r="E646" s="87"/>
      <c r="F646" s="86"/>
      <c r="G646" s="87"/>
      <c r="H646" s="86"/>
      <c r="I646" s="86"/>
      <c r="J646" s="86"/>
      <c r="K646" s="84"/>
      <c r="L646" s="84" t="str">
        <f>IFERROR(__xludf.DUMMYFUNCTION("IF(A646="""","""", COUNT(SPLIT(K646,"";"")))"),"")</f>
        <v/>
      </c>
      <c r="M646" s="84" t="str">
        <f t="shared" si="1"/>
        <v/>
      </c>
      <c r="N646" s="84" t="str">
        <f>IFERROR(__xludf.DUMMYFUNCTION("IFERROR(AVERAGE(query(INDIRECT(""'FR Table'!"" &amp; vlookup(rows($A$1:$A645),Reference!$O:$P,2,false) &amp; ""3:"" &amp; vlookup(rows($A$1:$A645),Reference!$O:$P,2,false)), 
""SELECT "" &amp; vlookup(rows($A$1:$A645),Reference!$O:$P,2,false) 
&amp; "" WHERE "" &amp; vlookup(row"&amp;"s($A$1:$A645),Reference!$O:$P,2,false) &amp;
"" &gt;= "" &amp; Reference!$R$2)) * M646,"""")"),"")</f>
        <v/>
      </c>
      <c r="O646" s="84" t="str">
        <f t="shared" si="2"/>
        <v/>
      </c>
    </row>
    <row r="647">
      <c r="A647" s="84"/>
      <c r="B647" s="84"/>
      <c r="C647" s="85"/>
      <c r="D647" s="86"/>
      <c r="E647" s="87"/>
      <c r="F647" s="86"/>
      <c r="G647" s="87"/>
      <c r="H647" s="86"/>
      <c r="I647" s="86"/>
      <c r="J647" s="86"/>
      <c r="K647" s="84"/>
      <c r="L647" s="84" t="str">
        <f>IFERROR(__xludf.DUMMYFUNCTION("IF(A647="""","""", COUNT(SPLIT(K647,"";"")))"),"")</f>
        <v/>
      </c>
      <c r="M647" s="84" t="str">
        <f t="shared" si="1"/>
        <v/>
      </c>
      <c r="N647" s="84" t="str">
        <f>IFERROR(__xludf.DUMMYFUNCTION("IFERROR(AVERAGE(query(INDIRECT(""'FR Table'!"" &amp; vlookup(rows($A$1:$A646),Reference!$O:$P,2,false) &amp; ""3:"" &amp; vlookup(rows($A$1:$A646),Reference!$O:$P,2,false)), 
""SELECT "" &amp; vlookup(rows($A$1:$A646),Reference!$O:$P,2,false) 
&amp; "" WHERE "" &amp; vlookup(row"&amp;"s($A$1:$A646),Reference!$O:$P,2,false) &amp;
"" &gt;= "" &amp; Reference!$R$2)) * M647,"""")"),"")</f>
        <v/>
      </c>
      <c r="O647" s="84" t="str">
        <f t="shared" si="2"/>
        <v/>
      </c>
    </row>
    <row r="648">
      <c r="A648" s="84"/>
      <c r="B648" s="84"/>
      <c r="C648" s="85"/>
      <c r="D648" s="86"/>
      <c r="E648" s="87"/>
      <c r="F648" s="86"/>
      <c r="G648" s="87"/>
      <c r="H648" s="86"/>
      <c r="I648" s="86"/>
      <c r="J648" s="86"/>
      <c r="K648" s="84"/>
      <c r="L648" s="84" t="str">
        <f>IFERROR(__xludf.DUMMYFUNCTION("IF(A648="""","""", COUNT(SPLIT(K648,"";"")))"),"")</f>
        <v/>
      </c>
      <c r="M648" s="84" t="str">
        <f t="shared" si="1"/>
        <v/>
      </c>
      <c r="N648" s="84" t="str">
        <f>IFERROR(__xludf.DUMMYFUNCTION("IFERROR(AVERAGE(query(INDIRECT(""'FR Table'!"" &amp; vlookup(rows($A$1:$A647),Reference!$O:$P,2,false) &amp; ""3:"" &amp; vlookup(rows($A$1:$A647),Reference!$O:$P,2,false)), 
""SELECT "" &amp; vlookup(rows($A$1:$A647),Reference!$O:$P,2,false) 
&amp; "" WHERE "" &amp; vlookup(row"&amp;"s($A$1:$A647),Reference!$O:$P,2,false) &amp;
"" &gt;= "" &amp; Reference!$R$2)) * M648,"""")"),"")</f>
        <v/>
      </c>
      <c r="O648" s="84" t="str">
        <f t="shared" si="2"/>
        <v/>
      </c>
    </row>
    <row r="649">
      <c r="A649" s="84"/>
      <c r="B649" s="84"/>
      <c r="C649" s="85"/>
      <c r="D649" s="86"/>
      <c r="E649" s="87"/>
      <c r="F649" s="86"/>
      <c r="G649" s="87"/>
      <c r="H649" s="86"/>
      <c r="I649" s="86"/>
      <c r="J649" s="86"/>
      <c r="K649" s="84"/>
      <c r="L649" s="84" t="str">
        <f>IFERROR(__xludf.DUMMYFUNCTION("IF(A649="""","""", COUNT(SPLIT(K649,"";"")))"),"")</f>
        <v/>
      </c>
      <c r="M649" s="84" t="str">
        <f t="shared" si="1"/>
        <v/>
      </c>
      <c r="N649" s="84" t="str">
        <f>IFERROR(__xludf.DUMMYFUNCTION("IFERROR(AVERAGE(query(INDIRECT(""'FR Table'!"" &amp; vlookup(rows($A$1:$A648),Reference!$O:$P,2,false) &amp; ""3:"" &amp; vlookup(rows($A$1:$A648),Reference!$O:$P,2,false)), 
""SELECT "" &amp; vlookup(rows($A$1:$A648),Reference!$O:$P,2,false) 
&amp; "" WHERE "" &amp; vlookup(row"&amp;"s($A$1:$A648),Reference!$O:$P,2,false) &amp;
"" &gt;= "" &amp; Reference!$R$2)) * M649,"""")"),"")</f>
        <v/>
      </c>
      <c r="O649" s="84" t="str">
        <f t="shared" si="2"/>
        <v/>
      </c>
    </row>
    <row r="650">
      <c r="A650" s="84"/>
      <c r="B650" s="84"/>
      <c r="C650" s="85"/>
      <c r="D650" s="86"/>
      <c r="E650" s="87"/>
      <c r="F650" s="86"/>
      <c r="G650" s="87"/>
      <c r="H650" s="86"/>
      <c r="I650" s="86"/>
      <c r="J650" s="86"/>
      <c r="K650" s="84"/>
      <c r="L650" s="84" t="str">
        <f>IFERROR(__xludf.DUMMYFUNCTION("IF(A650="""","""", COUNT(SPLIT(K650,"";"")))"),"")</f>
        <v/>
      </c>
      <c r="M650" s="84" t="str">
        <f t="shared" si="1"/>
        <v/>
      </c>
      <c r="N650" s="84" t="str">
        <f>IFERROR(__xludf.DUMMYFUNCTION("IFERROR(AVERAGE(query(INDIRECT(""'FR Table'!"" &amp; vlookup(rows($A$1:$A649),Reference!$O:$P,2,false) &amp; ""3:"" &amp; vlookup(rows($A$1:$A649),Reference!$O:$P,2,false)), 
""SELECT "" &amp; vlookup(rows($A$1:$A649),Reference!$O:$P,2,false) 
&amp; "" WHERE "" &amp; vlookup(row"&amp;"s($A$1:$A649),Reference!$O:$P,2,false) &amp;
"" &gt;= "" &amp; Reference!$R$2)) * M650,"""")"),"")</f>
        <v/>
      </c>
      <c r="O650" s="84" t="str">
        <f t="shared" si="2"/>
        <v/>
      </c>
    </row>
    <row r="651">
      <c r="A651" s="84"/>
      <c r="B651" s="84"/>
      <c r="C651" s="85"/>
      <c r="D651" s="86"/>
      <c r="E651" s="87"/>
      <c r="F651" s="86"/>
      <c r="G651" s="87"/>
      <c r="H651" s="86"/>
      <c r="I651" s="86"/>
      <c r="J651" s="86"/>
      <c r="K651" s="84"/>
      <c r="L651" s="84" t="str">
        <f>IFERROR(__xludf.DUMMYFUNCTION("IF(A651="""","""", COUNT(SPLIT(K651,"";"")))"),"")</f>
        <v/>
      </c>
      <c r="M651" s="84" t="str">
        <f t="shared" si="1"/>
        <v/>
      </c>
      <c r="N651" s="84" t="str">
        <f>IFERROR(__xludf.DUMMYFUNCTION("IFERROR(AVERAGE(query(INDIRECT(""'FR Table'!"" &amp; vlookup(rows($A$1:$A650),Reference!$O:$P,2,false) &amp; ""3:"" &amp; vlookup(rows($A$1:$A650),Reference!$O:$P,2,false)), 
""SELECT "" &amp; vlookup(rows($A$1:$A650),Reference!$O:$P,2,false) 
&amp; "" WHERE "" &amp; vlookup(row"&amp;"s($A$1:$A650),Reference!$O:$P,2,false) &amp;
"" &gt;= "" &amp; Reference!$R$2)) * M651,"""")"),"")</f>
        <v/>
      </c>
      <c r="O651" s="84" t="str">
        <f t="shared" si="2"/>
        <v/>
      </c>
    </row>
    <row r="652">
      <c r="A652" s="84"/>
      <c r="B652" s="84"/>
      <c r="C652" s="85"/>
      <c r="D652" s="86"/>
      <c r="E652" s="87"/>
      <c r="F652" s="86"/>
      <c r="G652" s="87"/>
      <c r="H652" s="86"/>
      <c r="I652" s="86"/>
      <c r="J652" s="86"/>
      <c r="K652" s="84"/>
      <c r="L652" s="84" t="str">
        <f>IFERROR(__xludf.DUMMYFUNCTION("IF(A652="""","""", COUNT(SPLIT(K652,"";"")))"),"")</f>
        <v/>
      </c>
      <c r="M652" s="84" t="str">
        <f t="shared" si="1"/>
        <v/>
      </c>
      <c r="N652" s="84" t="str">
        <f>IFERROR(__xludf.DUMMYFUNCTION("IFERROR(AVERAGE(query(INDIRECT(""'FR Table'!"" &amp; vlookup(rows($A$1:$A651),Reference!$O:$P,2,false) &amp; ""3:"" &amp; vlookup(rows($A$1:$A651),Reference!$O:$P,2,false)), 
""SELECT "" &amp; vlookup(rows($A$1:$A651),Reference!$O:$P,2,false) 
&amp; "" WHERE "" &amp; vlookup(row"&amp;"s($A$1:$A651),Reference!$O:$P,2,false) &amp;
"" &gt;= "" &amp; Reference!$R$2)) * M652,"""")"),"")</f>
        <v/>
      </c>
      <c r="O652" s="84" t="str">
        <f t="shared" si="2"/>
        <v/>
      </c>
    </row>
    <row r="653">
      <c r="A653" s="84"/>
      <c r="B653" s="84"/>
      <c r="C653" s="85"/>
      <c r="D653" s="86"/>
      <c r="E653" s="87"/>
      <c r="F653" s="86"/>
      <c r="G653" s="87"/>
      <c r="H653" s="86"/>
      <c r="I653" s="86"/>
      <c r="J653" s="86"/>
      <c r="K653" s="84"/>
      <c r="L653" s="84" t="str">
        <f>IFERROR(__xludf.DUMMYFUNCTION("IF(A653="""","""", COUNT(SPLIT(K653,"";"")))"),"")</f>
        <v/>
      </c>
      <c r="M653" s="84" t="str">
        <f t="shared" si="1"/>
        <v/>
      </c>
      <c r="N653" s="84" t="str">
        <f>IFERROR(__xludf.DUMMYFUNCTION("IFERROR(AVERAGE(query(INDIRECT(""'FR Table'!"" &amp; vlookup(rows($A$1:$A652),Reference!$O:$P,2,false) &amp; ""3:"" &amp; vlookup(rows($A$1:$A652),Reference!$O:$P,2,false)), 
""SELECT "" &amp; vlookup(rows($A$1:$A652),Reference!$O:$P,2,false) 
&amp; "" WHERE "" &amp; vlookup(row"&amp;"s($A$1:$A652),Reference!$O:$P,2,false) &amp;
"" &gt;= "" &amp; Reference!$R$2)) * M653,"""")"),"")</f>
        <v/>
      </c>
      <c r="O653" s="84" t="str">
        <f t="shared" si="2"/>
        <v/>
      </c>
    </row>
    <row r="654">
      <c r="A654" s="84"/>
      <c r="B654" s="84"/>
      <c r="C654" s="85"/>
      <c r="D654" s="86"/>
      <c r="E654" s="87"/>
      <c r="F654" s="86"/>
      <c r="G654" s="87"/>
      <c r="H654" s="86"/>
      <c r="I654" s="86"/>
      <c r="J654" s="86"/>
      <c r="K654" s="84"/>
      <c r="L654" s="84" t="str">
        <f>IFERROR(__xludf.DUMMYFUNCTION("IF(A654="""","""", COUNT(SPLIT(K654,"";"")))"),"")</f>
        <v/>
      </c>
      <c r="M654" s="84" t="str">
        <f t="shared" si="1"/>
        <v/>
      </c>
      <c r="N654" s="84" t="str">
        <f>IFERROR(__xludf.DUMMYFUNCTION("IFERROR(AVERAGE(query(INDIRECT(""'FR Table'!"" &amp; vlookup(rows($A$1:$A653),Reference!$O:$P,2,false) &amp; ""3:"" &amp; vlookup(rows($A$1:$A653),Reference!$O:$P,2,false)), 
""SELECT "" &amp; vlookup(rows($A$1:$A653),Reference!$O:$P,2,false) 
&amp; "" WHERE "" &amp; vlookup(row"&amp;"s($A$1:$A653),Reference!$O:$P,2,false) &amp;
"" &gt;= "" &amp; Reference!$R$2)) * M654,"""")"),"")</f>
        <v/>
      </c>
      <c r="O654" s="84" t="str">
        <f t="shared" si="2"/>
        <v/>
      </c>
    </row>
    <row r="655">
      <c r="A655" s="84"/>
      <c r="B655" s="84"/>
      <c r="C655" s="85"/>
      <c r="D655" s="86"/>
      <c r="E655" s="87"/>
      <c r="F655" s="86"/>
      <c r="G655" s="87"/>
      <c r="H655" s="86"/>
      <c r="I655" s="86"/>
      <c r="J655" s="86"/>
      <c r="K655" s="84"/>
      <c r="L655" s="84" t="str">
        <f>IFERROR(__xludf.DUMMYFUNCTION("IF(A655="""","""", COUNT(SPLIT(K655,"";"")))"),"")</f>
        <v/>
      </c>
      <c r="M655" s="84" t="str">
        <f t="shared" si="1"/>
        <v/>
      </c>
      <c r="N655" s="84" t="str">
        <f>IFERROR(__xludf.DUMMYFUNCTION("IFERROR(AVERAGE(query(INDIRECT(""'FR Table'!"" &amp; vlookup(rows($A$1:$A654),Reference!$O:$P,2,false) &amp; ""3:"" &amp; vlookup(rows($A$1:$A654),Reference!$O:$P,2,false)), 
""SELECT "" &amp; vlookup(rows($A$1:$A654),Reference!$O:$P,2,false) 
&amp; "" WHERE "" &amp; vlookup(row"&amp;"s($A$1:$A654),Reference!$O:$P,2,false) &amp;
"" &gt;= "" &amp; Reference!$R$2)) * M655,"""")"),"")</f>
        <v/>
      </c>
      <c r="O655" s="84" t="str">
        <f t="shared" si="2"/>
        <v/>
      </c>
    </row>
    <row r="656">
      <c r="A656" s="84"/>
      <c r="B656" s="84"/>
      <c r="C656" s="85"/>
      <c r="D656" s="86"/>
      <c r="E656" s="87"/>
      <c r="F656" s="86"/>
      <c r="G656" s="87"/>
      <c r="H656" s="86"/>
      <c r="I656" s="86"/>
      <c r="J656" s="86"/>
      <c r="K656" s="84"/>
      <c r="L656" s="84" t="str">
        <f>IFERROR(__xludf.DUMMYFUNCTION("IF(A656="""","""", COUNT(SPLIT(K656,"";"")))"),"")</f>
        <v/>
      </c>
      <c r="M656" s="84" t="str">
        <f t="shared" si="1"/>
        <v/>
      </c>
      <c r="N656" s="84" t="str">
        <f>IFERROR(__xludf.DUMMYFUNCTION("IFERROR(AVERAGE(query(INDIRECT(""'FR Table'!"" &amp; vlookup(rows($A$1:$A655),Reference!$O:$P,2,false) &amp; ""3:"" &amp; vlookup(rows($A$1:$A655),Reference!$O:$P,2,false)), 
""SELECT "" &amp; vlookup(rows($A$1:$A655),Reference!$O:$P,2,false) 
&amp; "" WHERE "" &amp; vlookup(row"&amp;"s($A$1:$A655),Reference!$O:$P,2,false) &amp;
"" &gt;= "" &amp; Reference!$R$2)) * M656,"""")"),"")</f>
        <v/>
      </c>
      <c r="O656" s="84" t="str">
        <f t="shared" si="2"/>
        <v/>
      </c>
    </row>
    <row r="657">
      <c r="A657" s="84"/>
      <c r="B657" s="84"/>
      <c r="C657" s="85"/>
      <c r="D657" s="86"/>
      <c r="E657" s="87"/>
      <c r="F657" s="86"/>
      <c r="G657" s="87"/>
      <c r="H657" s="86"/>
      <c r="I657" s="86"/>
      <c r="J657" s="86"/>
      <c r="K657" s="84"/>
      <c r="L657" s="84" t="str">
        <f>IFERROR(__xludf.DUMMYFUNCTION("IF(A657="""","""", COUNT(SPLIT(K657,"";"")))"),"")</f>
        <v/>
      </c>
      <c r="M657" s="84" t="str">
        <f t="shared" si="1"/>
        <v/>
      </c>
      <c r="N657" s="84" t="str">
        <f>IFERROR(__xludf.DUMMYFUNCTION("IFERROR(AVERAGE(query(INDIRECT(""'FR Table'!"" &amp; vlookup(rows($A$1:$A656),Reference!$O:$P,2,false) &amp; ""3:"" &amp; vlookup(rows($A$1:$A656),Reference!$O:$P,2,false)), 
""SELECT "" &amp; vlookup(rows($A$1:$A656),Reference!$O:$P,2,false) 
&amp; "" WHERE "" &amp; vlookup(row"&amp;"s($A$1:$A656),Reference!$O:$P,2,false) &amp;
"" &gt;= "" &amp; Reference!$R$2)) * M657,"""")"),"")</f>
        <v/>
      </c>
      <c r="O657" s="84" t="str">
        <f t="shared" si="2"/>
        <v/>
      </c>
    </row>
    <row r="658">
      <c r="A658" s="84"/>
      <c r="B658" s="84"/>
      <c r="C658" s="85"/>
      <c r="D658" s="86"/>
      <c r="E658" s="87"/>
      <c r="F658" s="86"/>
      <c r="G658" s="87"/>
      <c r="H658" s="86"/>
      <c r="I658" s="86"/>
      <c r="J658" s="86"/>
      <c r="K658" s="84"/>
      <c r="L658" s="84" t="str">
        <f>IFERROR(__xludf.DUMMYFUNCTION("IF(A658="""","""", COUNT(SPLIT(K658,"";"")))"),"")</f>
        <v/>
      </c>
      <c r="M658" s="84" t="str">
        <f t="shared" si="1"/>
        <v/>
      </c>
      <c r="N658" s="84" t="str">
        <f>IFERROR(__xludf.DUMMYFUNCTION("IFERROR(AVERAGE(query(INDIRECT(""'FR Table'!"" &amp; vlookup(rows($A$1:$A657),Reference!$O:$P,2,false) &amp; ""3:"" &amp; vlookup(rows($A$1:$A657),Reference!$O:$P,2,false)), 
""SELECT "" &amp; vlookup(rows($A$1:$A657),Reference!$O:$P,2,false) 
&amp; "" WHERE "" &amp; vlookup(row"&amp;"s($A$1:$A657),Reference!$O:$P,2,false) &amp;
"" &gt;= "" &amp; Reference!$R$2)) * M658,"""")"),"")</f>
        <v/>
      </c>
      <c r="O658" s="84" t="str">
        <f t="shared" si="2"/>
        <v/>
      </c>
    </row>
    <row r="659">
      <c r="A659" s="84"/>
      <c r="B659" s="84"/>
      <c r="C659" s="85"/>
      <c r="D659" s="86"/>
      <c r="E659" s="87"/>
      <c r="F659" s="86"/>
      <c r="G659" s="87"/>
      <c r="H659" s="86"/>
      <c r="I659" s="86"/>
      <c r="J659" s="86"/>
      <c r="K659" s="84"/>
      <c r="L659" s="84" t="str">
        <f>IFERROR(__xludf.DUMMYFUNCTION("IF(A659="""","""", COUNT(SPLIT(K659,"";"")))"),"")</f>
        <v/>
      </c>
      <c r="M659" s="84" t="str">
        <f t="shared" si="1"/>
        <v/>
      </c>
      <c r="N659" s="84" t="str">
        <f>IFERROR(__xludf.DUMMYFUNCTION("IFERROR(AVERAGE(query(INDIRECT(""'FR Table'!"" &amp; vlookup(rows($A$1:$A658),Reference!$O:$P,2,false) &amp; ""3:"" &amp; vlookup(rows($A$1:$A658),Reference!$O:$P,2,false)), 
""SELECT "" &amp; vlookup(rows($A$1:$A658),Reference!$O:$P,2,false) 
&amp; "" WHERE "" &amp; vlookup(row"&amp;"s($A$1:$A658),Reference!$O:$P,2,false) &amp;
"" &gt;= "" &amp; Reference!$R$2)) * M659,"""")"),"")</f>
        <v/>
      </c>
      <c r="O659" s="84" t="str">
        <f t="shared" si="2"/>
        <v/>
      </c>
    </row>
    <row r="660">
      <c r="A660" s="84"/>
      <c r="B660" s="84"/>
      <c r="C660" s="85"/>
      <c r="D660" s="86"/>
      <c r="E660" s="87"/>
      <c r="F660" s="86"/>
      <c r="G660" s="87"/>
      <c r="H660" s="86"/>
      <c r="I660" s="86"/>
      <c r="J660" s="86"/>
      <c r="K660" s="84"/>
      <c r="L660" s="84" t="str">
        <f>IFERROR(__xludf.DUMMYFUNCTION("IF(A660="""","""", COUNT(SPLIT(K660,"";"")))"),"")</f>
        <v/>
      </c>
      <c r="M660" s="84" t="str">
        <f t="shared" si="1"/>
        <v/>
      </c>
      <c r="N660" s="84" t="str">
        <f>IFERROR(__xludf.DUMMYFUNCTION("IFERROR(AVERAGE(query(INDIRECT(""'FR Table'!"" &amp; vlookup(rows($A$1:$A659),Reference!$O:$P,2,false) &amp; ""3:"" &amp; vlookup(rows($A$1:$A659),Reference!$O:$P,2,false)), 
""SELECT "" &amp; vlookup(rows($A$1:$A659),Reference!$O:$P,2,false) 
&amp; "" WHERE "" &amp; vlookup(row"&amp;"s($A$1:$A659),Reference!$O:$P,2,false) &amp;
"" &gt;= "" &amp; Reference!$R$2)) * M660,"""")"),"")</f>
        <v/>
      </c>
      <c r="O660" s="84" t="str">
        <f t="shared" si="2"/>
        <v/>
      </c>
    </row>
    <row r="661">
      <c r="A661" s="84"/>
      <c r="B661" s="84"/>
      <c r="C661" s="85"/>
      <c r="D661" s="86"/>
      <c r="E661" s="87"/>
      <c r="F661" s="86"/>
      <c r="G661" s="87"/>
      <c r="H661" s="86"/>
      <c r="I661" s="86"/>
      <c r="J661" s="86"/>
      <c r="K661" s="84"/>
      <c r="L661" s="84" t="str">
        <f>IFERROR(__xludf.DUMMYFUNCTION("IF(A661="""","""", COUNT(SPLIT(K661,"";"")))"),"")</f>
        <v/>
      </c>
      <c r="M661" s="84" t="str">
        <f t="shared" si="1"/>
        <v/>
      </c>
      <c r="N661" s="84" t="str">
        <f>IFERROR(__xludf.DUMMYFUNCTION("IFERROR(AVERAGE(query(INDIRECT(""'FR Table'!"" &amp; vlookup(rows($A$1:$A660),Reference!$O:$P,2,false) &amp; ""3:"" &amp; vlookup(rows($A$1:$A660),Reference!$O:$P,2,false)), 
""SELECT "" &amp; vlookup(rows($A$1:$A660),Reference!$O:$P,2,false) 
&amp; "" WHERE "" &amp; vlookup(row"&amp;"s($A$1:$A660),Reference!$O:$P,2,false) &amp;
"" &gt;= "" &amp; Reference!$R$2)) * M661,"""")"),"")</f>
        <v/>
      </c>
      <c r="O661" s="84" t="str">
        <f t="shared" si="2"/>
        <v/>
      </c>
    </row>
    <row r="662">
      <c r="A662" s="84"/>
      <c r="B662" s="84"/>
      <c r="C662" s="85"/>
      <c r="D662" s="86"/>
      <c r="E662" s="87"/>
      <c r="F662" s="86"/>
      <c r="G662" s="87"/>
      <c r="H662" s="86"/>
      <c r="I662" s="86"/>
      <c r="J662" s="86"/>
      <c r="K662" s="84"/>
      <c r="L662" s="84" t="str">
        <f>IFERROR(__xludf.DUMMYFUNCTION("IF(A662="""","""", COUNT(SPLIT(K662,"";"")))"),"")</f>
        <v/>
      </c>
      <c r="M662" s="84" t="str">
        <f t="shared" si="1"/>
        <v/>
      </c>
      <c r="N662" s="84" t="str">
        <f>IFERROR(__xludf.DUMMYFUNCTION("IFERROR(AVERAGE(query(INDIRECT(""'FR Table'!"" &amp; vlookup(rows($A$1:$A661),Reference!$O:$P,2,false) &amp; ""3:"" &amp; vlookup(rows($A$1:$A661),Reference!$O:$P,2,false)), 
""SELECT "" &amp; vlookup(rows($A$1:$A661),Reference!$O:$P,2,false) 
&amp; "" WHERE "" &amp; vlookup(row"&amp;"s($A$1:$A661),Reference!$O:$P,2,false) &amp;
"" &gt;= "" &amp; Reference!$R$2)) * M662,"""")"),"")</f>
        <v/>
      </c>
      <c r="O662" s="84" t="str">
        <f t="shared" si="2"/>
        <v/>
      </c>
    </row>
    <row r="663">
      <c r="A663" s="84"/>
      <c r="B663" s="84"/>
      <c r="C663" s="85"/>
      <c r="D663" s="86"/>
      <c r="E663" s="87"/>
      <c r="F663" s="86"/>
      <c r="G663" s="87"/>
      <c r="H663" s="86"/>
      <c r="I663" s="86"/>
      <c r="J663" s="86"/>
      <c r="K663" s="84"/>
      <c r="L663" s="84" t="str">
        <f>IFERROR(__xludf.DUMMYFUNCTION("IF(A663="""","""", COUNT(SPLIT(K663,"";"")))"),"")</f>
        <v/>
      </c>
      <c r="M663" s="84" t="str">
        <f t="shared" si="1"/>
        <v/>
      </c>
      <c r="N663" s="84" t="str">
        <f>IFERROR(__xludf.DUMMYFUNCTION("IFERROR(AVERAGE(query(INDIRECT(""'FR Table'!"" &amp; vlookup(rows($A$1:$A662),Reference!$O:$P,2,false) &amp; ""3:"" &amp; vlookup(rows($A$1:$A662),Reference!$O:$P,2,false)), 
""SELECT "" &amp; vlookup(rows($A$1:$A662),Reference!$O:$P,2,false) 
&amp; "" WHERE "" &amp; vlookup(row"&amp;"s($A$1:$A662),Reference!$O:$P,2,false) &amp;
"" &gt;= "" &amp; Reference!$R$2)) * M663,"""")"),"")</f>
        <v/>
      </c>
      <c r="O663" s="84" t="str">
        <f t="shared" si="2"/>
        <v/>
      </c>
    </row>
    <row r="664">
      <c r="A664" s="84"/>
      <c r="B664" s="84"/>
      <c r="C664" s="85"/>
      <c r="D664" s="86"/>
      <c r="E664" s="87"/>
      <c r="F664" s="86"/>
      <c r="G664" s="87"/>
      <c r="H664" s="86"/>
      <c r="I664" s="86"/>
      <c r="J664" s="86"/>
      <c r="K664" s="84"/>
      <c r="L664" s="84" t="str">
        <f>IFERROR(__xludf.DUMMYFUNCTION("IF(A664="""","""", COUNT(SPLIT(K664,"";"")))"),"")</f>
        <v/>
      </c>
      <c r="M664" s="84" t="str">
        <f t="shared" si="1"/>
        <v/>
      </c>
      <c r="N664" s="84" t="str">
        <f>IFERROR(__xludf.DUMMYFUNCTION("IFERROR(AVERAGE(query(INDIRECT(""'FR Table'!"" &amp; vlookup(rows($A$1:$A663),Reference!$O:$P,2,false) &amp; ""3:"" &amp; vlookup(rows($A$1:$A663),Reference!$O:$P,2,false)), 
""SELECT "" &amp; vlookup(rows($A$1:$A663),Reference!$O:$P,2,false) 
&amp; "" WHERE "" &amp; vlookup(row"&amp;"s($A$1:$A663),Reference!$O:$P,2,false) &amp;
"" &gt;= "" &amp; Reference!$R$2)) * M664,"""")"),"")</f>
        <v/>
      </c>
      <c r="O664" s="84" t="str">
        <f t="shared" si="2"/>
        <v/>
      </c>
    </row>
    <row r="665">
      <c r="A665" s="84"/>
      <c r="B665" s="84"/>
      <c r="C665" s="85"/>
      <c r="D665" s="86"/>
      <c r="E665" s="87"/>
      <c r="F665" s="86"/>
      <c r="G665" s="87"/>
      <c r="H665" s="86"/>
      <c r="I665" s="86"/>
      <c r="J665" s="86"/>
      <c r="K665" s="84"/>
      <c r="L665" s="84" t="str">
        <f>IFERROR(__xludf.DUMMYFUNCTION("IF(A665="""","""", COUNT(SPLIT(K665,"";"")))"),"")</f>
        <v/>
      </c>
      <c r="M665" s="84" t="str">
        <f t="shared" si="1"/>
        <v/>
      </c>
      <c r="N665" s="84" t="str">
        <f>IFERROR(__xludf.DUMMYFUNCTION("IFERROR(AVERAGE(query(INDIRECT(""'FR Table'!"" &amp; vlookup(rows($A$1:$A664),Reference!$O:$P,2,false) &amp; ""3:"" &amp; vlookup(rows($A$1:$A664),Reference!$O:$P,2,false)), 
""SELECT "" &amp; vlookup(rows($A$1:$A664),Reference!$O:$P,2,false) 
&amp; "" WHERE "" &amp; vlookup(row"&amp;"s($A$1:$A664),Reference!$O:$P,2,false) &amp;
"" &gt;= "" &amp; Reference!$R$2)) * M665,"""")"),"")</f>
        <v/>
      </c>
      <c r="O665" s="84" t="str">
        <f t="shared" si="2"/>
        <v/>
      </c>
    </row>
    <row r="666">
      <c r="A666" s="84"/>
      <c r="B666" s="84"/>
      <c r="C666" s="85"/>
      <c r="D666" s="86"/>
      <c r="E666" s="87"/>
      <c r="F666" s="86"/>
      <c r="G666" s="87"/>
      <c r="H666" s="86"/>
      <c r="I666" s="86"/>
      <c r="J666" s="86"/>
      <c r="K666" s="84"/>
      <c r="L666" s="84" t="str">
        <f>IFERROR(__xludf.DUMMYFUNCTION("IF(A666="""","""", COUNT(SPLIT(K666,"";"")))"),"")</f>
        <v/>
      </c>
      <c r="M666" s="84" t="str">
        <f t="shared" si="1"/>
        <v/>
      </c>
      <c r="N666" s="84" t="str">
        <f>IFERROR(__xludf.DUMMYFUNCTION("IFERROR(AVERAGE(query(INDIRECT(""'FR Table'!"" &amp; vlookup(rows($A$1:$A665),Reference!$O:$P,2,false) &amp; ""3:"" &amp; vlookup(rows($A$1:$A665),Reference!$O:$P,2,false)), 
""SELECT "" &amp; vlookup(rows($A$1:$A665),Reference!$O:$P,2,false) 
&amp; "" WHERE "" &amp; vlookup(row"&amp;"s($A$1:$A665),Reference!$O:$P,2,false) &amp;
"" &gt;= "" &amp; Reference!$R$2)) * M666,"""")"),"")</f>
        <v/>
      </c>
      <c r="O666" s="84" t="str">
        <f t="shared" si="2"/>
        <v/>
      </c>
    </row>
    <row r="667">
      <c r="A667" s="84"/>
      <c r="B667" s="84"/>
      <c r="C667" s="85"/>
      <c r="D667" s="86"/>
      <c r="E667" s="87"/>
      <c r="F667" s="86"/>
      <c r="G667" s="87"/>
      <c r="H667" s="86"/>
      <c r="I667" s="86"/>
      <c r="J667" s="86"/>
      <c r="K667" s="84"/>
      <c r="L667" s="84" t="str">
        <f>IFERROR(__xludf.DUMMYFUNCTION("IF(A667="""","""", COUNT(SPLIT(K667,"";"")))"),"")</f>
        <v/>
      </c>
      <c r="M667" s="84" t="str">
        <f t="shared" si="1"/>
        <v/>
      </c>
      <c r="N667" s="84" t="str">
        <f>IFERROR(__xludf.DUMMYFUNCTION("IFERROR(AVERAGE(query(INDIRECT(""'FR Table'!"" &amp; vlookup(rows($A$1:$A666),Reference!$O:$P,2,false) &amp; ""3:"" &amp; vlookup(rows($A$1:$A666),Reference!$O:$P,2,false)), 
""SELECT "" &amp; vlookup(rows($A$1:$A666),Reference!$O:$P,2,false) 
&amp; "" WHERE "" &amp; vlookup(row"&amp;"s($A$1:$A666),Reference!$O:$P,2,false) &amp;
"" &gt;= "" &amp; Reference!$R$2)) * M667,"""")"),"")</f>
        <v/>
      </c>
      <c r="O667" s="84" t="str">
        <f t="shared" si="2"/>
        <v/>
      </c>
    </row>
    <row r="668">
      <c r="A668" s="84"/>
      <c r="B668" s="84"/>
      <c r="C668" s="85"/>
      <c r="D668" s="86"/>
      <c r="E668" s="87"/>
      <c r="F668" s="86"/>
      <c r="G668" s="87"/>
      <c r="H668" s="86"/>
      <c r="I668" s="86"/>
      <c r="J668" s="86"/>
      <c r="K668" s="84"/>
      <c r="L668" s="84" t="str">
        <f>IFERROR(__xludf.DUMMYFUNCTION("IF(A668="""","""", COUNT(SPLIT(K668,"";"")))"),"")</f>
        <v/>
      </c>
      <c r="M668" s="84" t="str">
        <f t="shared" si="1"/>
        <v/>
      </c>
      <c r="N668" s="84" t="str">
        <f>IFERROR(__xludf.DUMMYFUNCTION("IFERROR(AVERAGE(query(INDIRECT(""'FR Table'!"" &amp; vlookup(rows($A$1:$A667),Reference!$O:$P,2,false) &amp; ""3:"" &amp; vlookup(rows($A$1:$A667),Reference!$O:$P,2,false)), 
""SELECT "" &amp; vlookup(rows($A$1:$A667),Reference!$O:$P,2,false) 
&amp; "" WHERE "" &amp; vlookup(row"&amp;"s($A$1:$A667),Reference!$O:$P,2,false) &amp;
"" &gt;= "" &amp; Reference!$R$2)) * M668,"""")"),"")</f>
        <v/>
      </c>
      <c r="O668" s="84" t="str">
        <f t="shared" si="2"/>
        <v/>
      </c>
    </row>
    <row r="669">
      <c r="A669" s="84"/>
      <c r="B669" s="84"/>
      <c r="C669" s="85"/>
      <c r="D669" s="86"/>
      <c r="E669" s="87"/>
      <c r="F669" s="86"/>
      <c r="G669" s="87"/>
      <c r="H669" s="86"/>
      <c r="I669" s="86"/>
      <c r="J669" s="86"/>
      <c r="K669" s="84"/>
      <c r="L669" s="84" t="str">
        <f>IFERROR(__xludf.DUMMYFUNCTION("IF(A669="""","""", COUNT(SPLIT(K669,"";"")))"),"")</f>
        <v/>
      </c>
      <c r="M669" s="84" t="str">
        <f t="shared" si="1"/>
        <v/>
      </c>
      <c r="N669" s="84" t="str">
        <f>IFERROR(__xludf.DUMMYFUNCTION("IFERROR(AVERAGE(query(INDIRECT(""'FR Table'!"" &amp; vlookup(rows($A$1:$A668),Reference!$O:$P,2,false) &amp; ""3:"" &amp; vlookup(rows($A$1:$A668),Reference!$O:$P,2,false)), 
""SELECT "" &amp; vlookup(rows($A$1:$A668),Reference!$O:$P,2,false) 
&amp; "" WHERE "" &amp; vlookup(row"&amp;"s($A$1:$A668),Reference!$O:$P,2,false) &amp;
"" &gt;= "" &amp; Reference!$R$2)) * M669,"""")"),"")</f>
        <v/>
      </c>
      <c r="O669" s="84" t="str">
        <f t="shared" si="2"/>
        <v/>
      </c>
    </row>
    <row r="670">
      <c r="A670" s="84"/>
      <c r="B670" s="84"/>
      <c r="C670" s="85"/>
      <c r="D670" s="86"/>
      <c r="E670" s="87"/>
      <c r="F670" s="86"/>
      <c r="G670" s="87"/>
      <c r="H670" s="86"/>
      <c r="I670" s="86"/>
      <c r="J670" s="86"/>
      <c r="K670" s="84"/>
      <c r="L670" s="84" t="str">
        <f>IFERROR(__xludf.DUMMYFUNCTION("IF(A670="""","""", COUNT(SPLIT(K670,"";"")))"),"")</f>
        <v/>
      </c>
      <c r="M670" s="84" t="str">
        <f t="shared" si="1"/>
        <v/>
      </c>
      <c r="N670" s="84" t="str">
        <f>IFERROR(__xludf.DUMMYFUNCTION("IFERROR(AVERAGE(query(INDIRECT(""'FR Table'!"" &amp; vlookup(rows($A$1:$A669),Reference!$O:$P,2,false) &amp; ""3:"" &amp; vlookup(rows($A$1:$A669),Reference!$O:$P,2,false)), 
""SELECT "" &amp; vlookup(rows($A$1:$A669),Reference!$O:$P,2,false) 
&amp; "" WHERE "" &amp; vlookup(row"&amp;"s($A$1:$A669),Reference!$O:$P,2,false) &amp;
"" &gt;= "" &amp; Reference!$R$2)) * M670,"""")"),"")</f>
        <v/>
      </c>
      <c r="O670" s="84" t="str">
        <f t="shared" si="2"/>
        <v/>
      </c>
    </row>
    <row r="671">
      <c r="A671" s="84"/>
      <c r="B671" s="84"/>
      <c r="C671" s="85"/>
      <c r="D671" s="86"/>
      <c r="E671" s="87"/>
      <c r="F671" s="86"/>
      <c r="G671" s="87"/>
      <c r="H671" s="86"/>
      <c r="I671" s="86"/>
      <c r="J671" s="86"/>
      <c r="K671" s="84"/>
      <c r="L671" s="84" t="str">
        <f>IFERROR(__xludf.DUMMYFUNCTION("IF(A671="""","""", COUNT(SPLIT(K671,"";"")))"),"")</f>
        <v/>
      </c>
      <c r="M671" s="84" t="str">
        <f t="shared" si="1"/>
        <v/>
      </c>
      <c r="N671" s="84" t="str">
        <f>IFERROR(__xludf.DUMMYFUNCTION("IFERROR(AVERAGE(query(INDIRECT(""'FR Table'!"" &amp; vlookup(rows($A$1:$A670),Reference!$O:$P,2,false) &amp; ""3:"" &amp; vlookup(rows($A$1:$A670),Reference!$O:$P,2,false)), 
""SELECT "" &amp; vlookup(rows($A$1:$A670),Reference!$O:$P,2,false) 
&amp; "" WHERE "" &amp; vlookup(row"&amp;"s($A$1:$A670),Reference!$O:$P,2,false) &amp;
"" &gt;= "" &amp; Reference!$R$2)) * M671,"""")"),"")</f>
        <v/>
      </c>
      <c r="O671" s="84" t="str">
        <f t="shared" si="2"/>
        <v/>
      </c>
    </row>
    <row r="672">
      <c r="A672" s="84"/>
      <c r="B672" s="84"/>
      <c r="C672" s="85"/>
      <c r="D672" s="86"/>
      <c r="E672" s="87"/>
      <c r="F672" s="86"/>
      <c r="G672" s="87"/>
      <c r="H672" s="86"/>
      <c r="I672" s="86"/>
      <c r="J672" s="86"/>
      <c r="K672" s="84"/>
      <c r="L672" s="84" t="str">
        <f>IFERROR(__xludf.DUMMYFUNCTION("IF(A672="""","""", COUNT(SPLIT(K672,"";"")))"),"")</f>
        <v/>
      </c>
      <c r="M672" s="84" t="str">
        <f t="shared" si="1"/>
        <v/>
      </c>
      <c r="N672" s="84" t="str">
        <f>IFERROR(__xludf.DUMMYFUNCTION("IFERROR(AVERAGE(query(INDIRECT(""'FR Table'!"" &amp; vlookup(rows($A$1:$A671),Reference!$O:$P,2,false) &amp; ""3:"" &amp; vlookup(rows($A$1:$A671),Reference!$O:$P,2,false)), 
""SELECT "" &amp; vlookup(rows($A$1:$A671),Reference!$O:$P,2,false) 
&amp; "" WHERE "" &amp; vlookup(row"&amp;"s($A$1:$A671),Reference!$O:$P,2,false) &amp;
"" &gt;= "" &amp; Reference!$R$2)) * M672,"""")"),"")</f>
        <v/>
      </c>
      <c r="O672" s="84" t="str">
        <f t="shared" si="2"/>
        <v/>
      </c>
    </row>
    <row r="673">
      <c r="A673" s="84"/>
      <c r="B673" s="84"/>
      <c r="C673" s="85"/>
      <c r="D673" s="86"/>
      <c r="E673" s="87"/>
      <c r="F673" s="86"/>
      <c r="G673" s="87"/>
      <c r="H673" s="86"/>
      <c r="I673" s="86"/>
      <c r="J673" s="86"/>
      <c r="K673" s="84"/>
      <c r="L673" s="84" t="str">
        <f>IFERROR(__xludf.DUMMYFUNCTION("IF(A673="""","""", COUNT(SPLIT(K673,"";"")))"),"")</f>
        <v/>
      </c>
      <c r="M673" s="84" t="str">
        <f t="shared" si="1"/>
        <v/>
      </c>
      <c r="N673" s="84" t="str">
        <f>IFERROR(__xludf.DUMMYFUNCTION("IFERROR(AVERAGE(query(INDIRECT(""'FR Table'!"" &amp; vlookup(rows($A$1:$A672),Reference!$O:$P,2,false) &amp; ""3:"" &amp; vlookup(rows($A$1:$A672),Reference!$O:$P,2,false)), 
""SELECT "" &amp; vlookup(rows($A$1:$A672),Reference!$O:$P,2,false) 
&amp; "" WHERE "" &amp; vlookup(row"&amp;"s($A$1:$A672),Reference!$O:$P,2,false) &amp;
"" &gt;= "" &amp; Reference!$R$2)) * M673,"""")"),"")</f>
        <v/>
      </c>
      <c r="O673" s="84" t="str">
        <f t="shared" si="2"/>
        <v/>
      </c>
    </row>
    <row r="674">
      <c r="A674" s="84"/>
      <c r="B674" s="84"/>
      <c r="C674" s="85"/>
      <c r="D674" s="86"/>
      <c r="E674" s="87"/>
      <c r="F674" s="86"/>
      <c r="G674" s="87"/>
      <c r="H674" s="86"/>
      <c r="I674" s="86"/>
      <c r="J674" s="86"/>
      <c r="K674" s="84"/>
      <c r="L674" s="84" t="str">
        <f>IFERROR(__xludf.DUMMYFUNCTION("IF(A674="""","""", COUNT(SPLIT(K674,"";"")))"),"")</f>
        <v/>
      </c>
      <c r="M674" s="84" t="str">
        <f t="shared" si="1"/>
        <v/>
      </c>
      <c r="N674" s="84" t="str">
        <f>IFERROR(__xludf.DUMMYFUNCTION("IFERROR(AVERAGE(query(INDIRECT(""'FR Table'!"" &amp; vlookup(rows($A$1:$A673),Reference!$O:$P,2,false) &amp; ""3:"" &amp; vlookup(rows($A$1:$A673),Reference!$O:$P,2,false)), 
""SELECT "" &amp; vlookup(rows($A$1:$A673),Reference!$O:$P,2,false) 
&amp; "" WHERE "" &amp; vlookup(row"&amp;"s($A$1:$A673),Reference!$O:$P,2,false) &amp;
"" &gt;= "" &amp; Reference!$R$2)) * M674,"""")"),"")</f>
        <v/>
      </c>
      <c r="O674" s="84" t="str">
        <f t="shared" si="2"/>
        <v/>
      </c>
    </row>
    <row r="675">
      <c r="A675" s="84"/>
      <c r="B675" s="84"/>
      <c r="C675" s="85"/>
      <c r="D675" s="86"/>
      <c r="E675" s="87"/>
      <c r="F675" s="86"/>
      <c r="G675" s="87"/>
      <c r="H675" s="86"/>
      <c r="I675" s="86"/>
      <c r="J675" s="86"/>
      <c r="K675" s="84"/>
      <c r="L675" s="84" t="str">
        <f>IFERROR(__xludf.DUMMYFUNCTION("IF(A675="""","""", COUNT(SPLIT(K675,"";"")))"),"")</f>
        <v/>
      </c>
      <c r="M675" s="84" t="str">
        <f t="shared" si="1"/>
        <v/>
      </c>
      <c r="N675" s="84" t="str">
        <f>IFERROR(__xludf.DUMMYFUNCTION("IFERROR(AVERAGE(query(INDIRECT(""'FR Table'!"" &amp; vlookup(rows($A$1:$A674),Reference!$O:$P,2,false) &amp; ""3:"" &amp; vlookup(rows($A$1:$A674),Reference!$O:$P,2,false)), 
""SELECT "" &amp; vlookup(rows($A$1:$A674),Reference!$O:$P,2,false) 
&amp; "" WHERE "" &amp; vlookup(row"&amp;"s($A$1:$A674),Reference!$O:$P,2,false) &amp;
"" &gt;= "" &amp; Reference!$R$2)) * M675,"""")"),"")</f>
        <v/>
      </c>
      <c r="O675" s="84" t="str">
        <f t="shared" si="2"/>
        <v/>
      </c>
    </row>
    <row r="676">
      <c r="A676" s="84"/>
      <c r="B676" s="84"/>
      <c r="C676" s="85"/>
      <c r="D676" s="86"/>
      <c r="E676" s="87"/>
      <c r="F676" s="86"/>
      <c r="G676" s="87"/>
      <c r="H676" s="86"/>
      <c r="I676" s="86"/>
      <c r="J676" s="86"/>
      <c r="K676" s="84"/>
      <c r="L676" s="84" t="str">
        <f>IFERROR(__xludf.DUMMYFUNCTION("IF(A676="""","""", COUNT(SPLIT(K676,"";"")))"),"")</f>
        <v/>
      </c>
      <c r="M676" s="84" t="str">
        <f t="shared" si="1"/>
        <v/>
      </c>
      <c r="N676" s="84" t="str">
        <f>IFERROR(__xludf.DUMMYFUNCTION("IFERROR(AVERAGE(query(INDIRECT(""'FR Table'!"" &amp; vlookup(rows($A$1:$A675),Reference!$O:$P,2,false) &amp; ""3:"" &amp; vlookup(rows($A$1:$A675),Reference!$O:$P,2,false)), 
""SELECT "" &amp; vlookup(rows($A$1:$A675),Reference!$O:$P,2,false) 
&amp; "" WHERE "" &amp; vlookup(row"&amp;"s($A$1:$A675),Reference!$O:$P,2,false) &amp;
"" &gt;= "" &amp; Reference!$R$2)) * M676,"""")"),"")</f>
        <v/>
      </c>
      <c r="O676" s="84" t="str">
        <f t="shared" si="2"/>
        <v/>
      </c>
    </row>
    <row r="677">
      <c r="A677" s="84"/>
      <c r="B677" s="84"/>
      <c r="C677" s="85"/>
      <c r="D677" s="86"/>
      <c r="E677" s="87"/>
      <c r="F677" s="86"/>
      <c r="G677" s="87"/>
      <c r="H677" s="86"/>
      <c r="I677" s="86"/>
      <c r="J677" s="86"/>
      <c r="K677" s="84"/>
      <c r="L677" s="84" t="str">
        <f>IFERROR(__xludf.DUMMYFUNCTION("IF(A677="""","""", COUNT(SPLIT(K677,"";"")))"),"")</f>
        <v/>
      </c>
      <c r="M677" s="84" t="str">
        <f t="shared" si="1"/>
        <v/>
      </c>
      <c r="N677" s="84" t="str">
        <f>IFERROR(__xludf.DUMMYFUNCTION("IFERROR(AVERAGE(query(INDIRECT(""'FR Table'!"" &amp; vlookup(rows($A$1:$A676),Reference!$O:$P,2,false) &amp; ""3:"" &amp; vlookup(rows($A$1:$A676),Reference!$O:$P,2,false)), 
""SELECT "" &amp; vlookup(rows($A$1:$A676),Reference!$O:$P,2,false) 
&amp; "" WHERE "" &amp; vlookup(row"&amp;"s($A$1:$A676),Reference!$O:$P,2,false) &amp;
"" &gt;= "" &amp; Reference!$R$2)) * M677,"""")"),"")</f>
        <v/>
      </c>
      <c r="O677" s="84" t="str">
        <f t="shared" si="2"/>
        <v/>
      </c>
    </row>
    <row r="678">
      <c r="A678" s="84"/>
      <c r="B678" s="84"/>
      <c r="C678" s="85"/>
      <c r="D678" s="86"/>
      <c r="E678" s="87"/>
      <c r="F678" s="86"/>
      <c r="G678" s="87"/>
      <c r="H678" s="86"/>
      <c r="I678" s="86"/>
      <c r="J678" s="86"/>
      <c r="K678" s="84"/>
      <c r="L678" s="84" t="str">
        <f>IFERROR(__xludf.DUMMYFUNCTION("IF(A678="""","""", COUNT(SPLIT(K678,"";"")))"),"")</f>
        <v/>
      </c>
      <c r="M678" s="84" t="str">
        <f t="shared" si="1"/>
        <v/>
      </c>
      <c r="N678" s="84" t="str">
        <f>IFERROR(__xludf.DUMMYFUNCTION("IFERROR(AVERAGE(query(INDIRECT(""'FR Table'!"" &amp; vlookup(rows($A$1:$A677),Reference!$O:$P,2,false) &amp; ""3:"" &amp; vlookup(rows($A$1:$A677),Reference!$O:$P,2,false)), 
""SELECT "" &amp; vlookup(rows($A$1:$A677),Reference!$O:$P,2,false) 
&amp; "" WHERE "" &amp; vlookup(row"&amp;"s($A$1:$A677),Reference!$O:$P,2,false) &amp;
"" &gt;= "" &amp; Reference!$R$2)) * M678,"""")"),"")</f>
        <v/>
      </c>
      <c r="O678" s="84" t="str">
        <f t="shared" si="2"/>
        <v/>
      </c>
    </row>
    <row r="679">
      <c r="A679" s="84"/>
      <c r="B679" s="84"/>
      <c r="C679" s="85"/>
      <c r="D679" s="86"/>
      <c r="E679" s="87"/>
      <c r="F679" s="86"/>
      <c r="G679" s="87"/>
      <c r="H679" s="86"/>
      <c r="I679" s="86"/>
      <c r="J679" s="86"/>
      <c r="K679" s="84"/>
      <c r="L679" s="84" t="str">
        <f>IFERROR(__xludf.DUMMYFUNCTION("IF(A679="""","""", COUNT(SPLIT(K679,"";"")))"),"")</f>
        <v/>
      </c>
      <c r="M679" s="84" t="str">
        <f t="shared" si="1"/>
        <v/>
      </c>
      <c r="N679" s="84" t="str">
        <f>IFERROR(__xludf.DUMMYFUNCTION("IFERROR(AVERAGE(query(INDIRECT(""'FR Table'!"" &amp; vlookup(rows($A$1:$A678),Reference!$O:$P,2,false) &amp; ""3:"" &amp; vlookup(rows($A$1:$A678),Reference!$O:$P,2,false)), 
""SELECT "" &amp; vlookup(rows($A$1:$A678),Reference!$O:$P,2,false) 
&amp; "" WHERE "" &amp; vlookup(row"&amp;"s($A$1:$A678),Reference!$O:$P,2,false) &amp;
"" &gt;= "" &amp; Reference!$R$2)) * M679,"""")"),"")</f>
        <v/>
      </c>
      <c r="O679" s="84" t="str">
        <f t="shared" si="2"/>
        <v/>
      </c>
    </row>
    <row r="680">
      <c r="A680" s="84"/>
      <c r="B680" s="84"/>
      <c r="C680" s="85"/>
      <c r="D680" s="86"/>
      <c r="E680" s="87"/>
      <c r="F680" s="86"/>
      <c r="G680" s="87"/>
      <c r="H680" s="86"/>
      <c r="I680" s="86"/>
      <c r="J680" s="86"/>
      <c r="K680" s="84"/>
      <c r="L680" s="84" t="str">
        <f>IFERROR(__xludf.DUMMYFUNCTION("IF(A680="""","""", COUNT(SPLIT(K680,"";"")))"),"")</f>
        <v/>
      </c>
      <c r="M680" s="84" t="str">
        <f t="shared" si="1"/>
        <v/>
      </c>
      <c r="N680" s="84" t="str">
        <f>IFERROR(__xludf.DUMMYFUNCTION("IFERROR(AVERAGE(query(INDIRECT(""'FR Table'!"" &amp; vlookup(rows($A$1:$A679),Reference!$O:$P,2,false) &amp; ""3:"" &amp; vlookup(rows($A$1:$A679),Reference!$O:$P,2,false)), 
""SELECT "" &amp; vlookup(rows($A$1:$A679),Reference!$O:$P,2,false) 
&amp; "" WHERE "" &amp; vlookup(row"&amp;"s($A$1:$A679),Reference!$O:$P,2,false) &amp;
"" &gt;= "" &amp; Reference!$R$2)) * M680,"""")"),"")</f>
        <v/>
      </c>
      <c r="O680" s="84" t="str">
        <f t="shared" si="2"/>
        <v/>
      </c>
    </row>
    <row r="681">
      <c r="A681" s="84"/>
      <c r="B681" s="84"/>
      <c r="C681" s="85"/>
      <c r="D681" s="86"/>
      <c r="E681" s="87"/>
      <c r="F681" s="86"/>
      <c r="G681" s="87"/>
      <c r="H681" s="86"/>
      <c r="I681" s="86"/>
      <c r="J681" s="86"/>
      <c r="K681" s="84"/>
      <c r="L681" s="84" t="str">
        <f>IFERROR(__xludf.DUMMYFUNCTION("IF(A681="""","""", COUNT(SPLIT(K681,"";"")))"),"")</f>
        <v/>
      </c>
      <c r="M681" s="84" t="str">
        <f t="shared" si="1"/>
        <v/>
      </c>
      <c r="N681" s="84" t="str">
        <f>IFERROR(__xludf.DUMMYFUNCTION("IFERROR(AVERAGE(query(INDIRECT(""'FR Table'!"" &amp; vlookup(rows($A$1:$A680),Reference!$O:$P,2,false) &amp; ""3:"" &amp; vlookup(rows($A$1:$A680),Reference!$O:$P,2,false)), 
""SELECT "" &amp; vlookup(rows($A$1:$A680),Reference!$O:$P,2,false) 
&amp; "" WHERE "" &amp; vlookup(row"&amp;"s($A$1:$A680),Reference!$O:$P,2,false) &amp;
"" &gt;= "" &amp; Reference!$R$2)) * M681,"""")"),"")</f>
        <v/>
      </c>
      <c r="O681" s="84" t="str">
        <f t="shared" si="2"/>
        <v/>
      </c>
    </row>
    <row r="682">
      <c r="A682" s="84"/>
      <c r="B682" s="84"/>
      <c r="C682" s="85"/>
      <c r="D682" s="86"/>
      <c r="E682" s="87"/>
      <c r="F682" s="86"/>
      <c r="G682" s="87"/>
      <c r="H682" s="86"/>
      <c r="I682" s="86"/>
      <c r="J682" s="86"/>
      <c r="K682" s="84"/>
      <c r="L682" s="84" t="str">
        <f>IFERROR(__xludf.DUMMYFUNCTION("IF(A682="""","""", COUNT(SPLIT(K682,"";"")))"),"")</f>
        <v/>
      </c>
      <c r="M682" s="84" t="str">
        <f t="shared" si="1"/>
        <v/>
      </c>
      <c r="N682" s="84" t="str">
        <f>IFERROR(__xludf.DUMMYFUNCTION("IFERROR(AVERAGE(query(INDIRECT(""'FR Table'!"" &amp; vlookup(rows($A$1:$A681),Reference!$O:$P,2,false) &amp; ""3:"" &amp; vlookup(rows($A$1:$A681),Reference!$O:$P,2,false)), 
""SELECT "" &amp; vlookup(rows($A$1:$A681),Reference!$O:$P,2,false) 
&amp; "" WHERE "" &amp; vlookup(row"&amp;"s($A$1:$A681),Reference!$O:$P,2,false) &amp;
"" &gt;= "" &amp; Reference!$R$2)) * M682,"""")"),"")</f>
        <v/>
      </c>
      <c r="O682" s="84" t="str">
        <f t="shared" si="2"/>
        <v/>
      </c>
    </row>
    <row r="683">
      <c r="A683" s="84"/>
      <c r="B683" s="84"/>
      <c r="C683" s="85"/>
      <c r="D683" s="86"/>
      <c r="E683" s="87"/>
      <c r="F683" s="86"/>
      <c r="G683" s="87"/>
      <c r="H683" s="86"/>
      <c r="I683" s="86"/>
      <c r="J683" s="86"/>
      <c r="K683" s="84"/>
      <c r="L683" s="84" t="str">
        <f>IFERROR(__xludf.DUMMYFUNCTION("IF(A683="""","""", COUNT(SPLIT(K683,"";"")))"),"")</f>
        <v/>
      </c>
      <c r="M683" s="84" t="str">
        <f t="shared" si="1"/>
        <v/>
      </c>
      <c r="N683" s="84" t="str">
        <f>IFERROR(__xludf.DUMMYFUNCTION("IFERROR(AVERAGE(query(INDIRECT(""'FR Table'!"" &amp; vlookup(rows($A$1:$A682),Reference!$O:$P,2,false) &amp; ""3:"" &amp; vlookup(rows($A$1:$A682),Reference!$O:$P,2,false)), 
""SELECT "" &amp; vlookup(rows($A$1:$A682),Reference!$O:$P,2,false) 
&amp; "" WHERE "" &amp; vlookup(row"&amp;"s($A$1:$A682),Reference!$O:$P,2,false) &amp;
"" &gt;= "" &amp; Reference!$R$2)) * M683,"""")"),"")</f>
        <v/>
      </c>
      <c r="O683" s="84" t="str">
        <f t="shared" si="2"/>
        <v/>
      </c>
    </row>
    <row r="684">
      <c r="A684" s="84"/>
      <c r="B684" s="84"/>
      <c r="C684" s="85"/>
      <c r="D684" s="86"/>
      <c r="E684" s="87"/>
      <c r="F684" s="86"/>
      <c r="G684" s="87"/>
      <c r="H684" s="86"/>
      <c r="I684" s="86"/>
      <c r="J684" s="86"/>
      <c r="K684" s="84"/>
      <c r="L684" s="84" t="str">
        <f>IFERROR(__xludf.DUMMYFUNCTION("IF(A684="""","""", COUNT(SPLIT(K684,"";"")))"),"")</f>
        <v/>
      </c>
      <c r="M684" s="84" t="str">
        <f t="shared" si="1"/>
        <v/>
      </c>
      <c r="N684" s="84" t="str">
        <f>IFERROR(__xludf.DUMMYFUNCTION("IFERROR(AVERAGE(query(INDIRECT(""'FR Table'!"" &amp; vlookup(rows($A$1:$A683),Reference!$O:$P,2,false) &amp; ""3:"" &amp; vlookup(rows($A$1:$A683),Reference!$O:$P,2,false)), 
""SELECT "" &amp; vlookup(rows($A$1:$A683),Reference!$O:$P,2,false) 
&amp; "" WHERE "" &amp; vlookup(row"&amp;"s($A$1:$A683),Reference!$O:$P,2,false) &amp;
"" &gt;= "" &amp; Reference!$R$2)) * M684,"""")"),"")</f>
        <v/>
      </c>
      <c r="O684" s="84" t="str">
        <f t="shared" si="2"/>
        <v/>
      </c>
    </row>
    <row r="685">
      <c r="A685" s="84"/>
      <c r="B685" s="84"/>
      <c r="C685" s="85"/>
      <c r="D685" s="86"/>
      <c r="E685" s="87"/>
      <c r="F685" s="86"/>
      <c r="G685" s="87"/>
      <c r="H685" s="86"/>
      <c r="I685" s="86"/>
      <c r="J685" s="86"/>
      <c r="K685" s="84"/>
      <c r="L685" s="84" t="str">
        <f>IFERROR(__xludf.DUMMYFUNCTION("IF(A685="""","""", COUNT(SPLIT(K685,"";"")))"),"")</f>
        <v/>
      </c>
      <c r="M685" s="84" t="str">
        <f t="shared" si="1"/>
        <v/>
      </c>
      <c r="N685" s="84" t="str">
        <f>IFERROR(__xludf.DUMMYFUNCTION("IFERROR(AVERAGE(query(INDIRECT(""'FR Table'!"" &amp; vlookup(rows($A$1:$A684),Reference!$O:$P,2,false) &amp; ""3:"" &amp; vlookup(rows($A$1:$A684),Reference!$O:$P,2,false)), 
""SELECT "" &amp; vlookup(rows($A$1:$A684),Reference!$O:$P,2,false) 
&amp; "" WHERE "" &amp; vlookup(row"&amp;"s($A$1:$A684),Reference!$O:$P,2,false) &amp;
"" &gt;= "" &amp; Reference!$R$2)) * M685,"""")"),"")</f>
        <v/>
      </c>
      <c r="O685" s="84" t="str">
        <f t="shared" si="2"/>
        <v/>
      </c>
    </row>
    <row r="686">
      <c r="A686" s="84"/>
      <c r="B686" s="84"/>
      <c r="C686" s="85"/>
      <c r="D686" s="86"/>
      <c r="E686" s="87"/>
      <c r="F686" s="86"/>
      <c r="G686" s="87"/>
      <c r="H686" s="86"/>
      <c r="I686" s="86"/>
      <c r="J686" s="86"/>
      <c r="K686" s="84"/>
      <c r="L686" s="84" t="str">
        <f>IFERROR(__xludf.DUMMYFUNCTION("IF(A686="""","""", COUNT(SPLIT(K686,"";"")))"),"")</f>
        <v/>
      </c>
      <c r="M686" s="84" t="str">
        <f t="shared" si="1"/>
        <v/>
      </c>
      <c r="N686" s="84" t="str">
        <f>IFERROR(__xludf.DUMMYFUNCTION("IFERROR(AVERAGE(query(INDIRECT(""'FR Table'!"" &amp; vlookup(rows($A$1:$A685),Reference!$O:$P,2,false) &amp; ""3:"" &amp; vlookup(rows($A$1:$A685),Reference!$O:$P,2,false)), 
""SELECT "" &amp; vlookup(rows($A$1:$A685),Reference!$O:$P,2,false) 
&amp; "" WHERE "" &amp; vlookup(row"&amp;"s($A$1:$A685),Reference!$O:$P,2,false) &amp;
"" &gt;= "" &amp; Reference!$R$2)) * M686,"""")"),"")</f>
        <v/>
      </c>
      <c r="O686" s="84" t="str">
        <f t="shared" si="2"/>
        <v/>
      </c>
    </row>
    <row r="687">
      <c r="A687" s="84"/>
      <c r="B687" s="84"/>
      <c r="C687" s="85"/>
      <c r="D687" s="86"/>
      <c r="E687" s="87"/>
      <c r="F687" s="86"/>
      <c r="G687" s="87"/>
      <c r="H687" s="86"/>
      <c r="I687" s="86"/>
      <c r="J687" s="86"/>
      <c r="K687" s="84"/>
      <c r="L687" s="84" t="str">
        <f>IFERROR(__xludf.DUMMYFUNCTION("IF(A687="""","""", COUNT(SPLIT(K687,"";"")))"),"")</f>
        <v/>
      </c>
      <c r="M687" s="84" t="str">
        <f t="shared" si="1"/>
        <v/>
      </c>
      <c r="N687" s="84" t="str">
        <f>IFERROR(__xludf.DUMMYFUNCTION("IFERROR(AVERAGE(query(INDIRECT(""'FR Table'!"" &amp; vlookup(rows($A$1:$A686),Reference!$O:$P,2,false) &amp; ""3:"" &amp; vlookup(rows($A$1:$A686),Reference!$O:$P,2,false)), 
""SELECT "" &amp; vlookup(rows($A$1:$A686),Reference!$O:$P,2,false) 
&amp; "" WHERE "" &amp; vlookup(row"&amp;"s($A$1:$A686),Reference!$O:$P,2,false) &amp;
"" &gt;= "" &amp; Reference!$R$2)) * M687,"""")"),"")</f>
        <v/>
      </c>
      <c r="O687" s="84" t="str">
        <f t="shared" si="2"/>
        <v/>
      </c>
    </row>
    <row r="688">
      <c r="A688" s="84"/>
      <c r="B688" s="84"/>
      <c r="C688" s="85"/>
      <c r="D688" s="86"/>
      <c r="E688" s="87"/>
      <c r="F688" s="86"/>
      <c r="G688" s="87"/>
      <c r="H688" s="86"/>
      <c r="I688" s="86"/>
      <c r="J688" s="86"/>
      <c r="K688" s="84"/>
      <c r="L688" s="84" t="str">
        <f>IFERROR(__xludf.DUMMYFUNCTION("IF(A688="""","""", COUNT(SPLIT(K688,"";"")))"),"")</f>
        <v/>
      </c>
      <c r="M688" s="84" t="str">
        <f t="shared" si="1"/>
        <v/>
      </c>
      <c r="N688" s="84" t="str">
        <f>IFERROR(__xludf.DUMMYFUNCTION("IFERROR(AVERAGE(query(INDIRECT(""'FR Table'!"" &amp; vlookup(rows($A$1:$A687),Reference!$O:$P,2,false) &amp; ""3:"" &amp; vlookup(rows($A$1:$A687),Reference!$O:$P,2,false)), 
""SELECT "" &amp; vlookup(rows($A$1:$A687),Reference!$O:$P,2,false) 
&amp; "" WHERE "" &amp; vlookup(row"&amp;"s($A$1:$A687),Reference!$O:$P,2,false) &amp;
"" &gt;= "" &amp; Reference!$R$2)) * M688,"""")"),"")</f>
        <v/>
      </c>
      <c r="O688" s="84" t="str">
        <f t="shared" si="2"/>
        <v/>
      </c>
    </row>
    <row r="689">
      <c r="A689" s="84"/>
      <c r="B689" s="84"/>
      <c r="C689" s="85"/>
      <c r="D689" s="86"/>
      <c r="E689" s="87"/>
      <c r="F689" s="86"/>
      <c r="G689" s="87"/>
      <c r="H689" s="86"/>
      <c r="I689" s="86"/>
      <c r="J689" s="86"/>
      <c r="K689" s="84"/>
      <c r="L689" s="84" t="str">
        <f>IFERROR(__xludf.DUMMYFUNCTION("IF(A689="""","""", COUNT(SPLIT(K689,"";"")))"),"")</f>
        <v/>
      </c>
      <c r="M689" s="84" t="str">
        <f t="shared" si="1"/>
        <v/>
      </c>
      <c r="N689" s="84" t="str">
        <f>IFERROR(__xludf.DUMMYFUNCTION("IFERROR(AVERAGE(query(INDIRECT(""'FR Table'!"" &amp; vlookup(rows($A$1:$A688),Reference!$O:$P,2,false) &amp; ""3:"" &amp; vlookup(rows($A$1:$A688),Reference!$O:$P,2,false)), 
""SELECT "" &amp; vlookup(rows($A$1:$A688),Reference!$O:$P,2,false) 
&amp; "" WHERE "" &amp; vlookup(row"&amp;"s($A$1:$A688),Reference!$O:$P,2,false) &amp;
"" &gt;= "" &amp; Reference!$R$2)) * M689,"""")"),"")</f>
        <v/>
      </c>
      <c r="O689" s="84" t="str">
        <f t="shared" si="2"/>
        <v/>
      </c>
    </row>
    <row r="690">
      <c r="A690" s="84"/>
      <c r="B690" s="84"/>
      <c r="C690" s="85"/>
      <c r="D690" s="86"/>
      <c r="E690" s="87"/>
      <c r="F690" s="86"/>
      <c r="G690" s="87"/>
      <c r="H690" s="86"/>
      <c r="I690" s="86"/>
      <c r="J690" s="86"/>
      <c r="K690" s="84"/>
      <c r="L690" s="84" t="str">
        <f>IFERROR(__xludf.DUMMYFUNCTION("IF(A690="""","""", COUNT(SPLIT(K690,"";"")))"),"")</f>
        <v/>
      </c>
      <c r="M690" s="84" t="str">
        <f t="shared" si="1"/>
        <v/>
      </c>
      <c r="N690" s="84" t="str">
        <f>IFERROR(__xludf.DUMMYFUNCTION("IFERROR(AVERAGE(query(INDIRECT(""'FR Table'!"" &amp; vlookup(rows($A$1:$A689),Reference!$O:$P,2,false) &amp; ""3:"" &amp; vlookup(rows($A$1:$A689),Reference!$O:$P,2,false)), 
""SELECT "" &amp; vlookup(rows($A$1:$A689),Reference!$O:$P,2,false) 
&amp; "" WHERE "" &amp; vlookup(row"&amp;"s($A$1:$A689),Reference!$O:$P,2,false) &amp;
"" &gt;= "" &amp; Reference!$R$2)) * M690,"""")"),"")</f>
        <v/>
      </c>
      <c r="O690" s="84" t="str">
        <f t="shared" si="2"/>
        <v/>
      </c>
    </row>
    <row r="691">
      <c r="A691" s="84"/>
      <c r="B691" s="84"/>
      <c r="C691" s="85"/>
      <c r="D691" s="86"/>
      <c r="E691" s="87"/>
      <c r="F691" s="86"/>
      <c r="G691" s="87"/>
      <c r="H691" s="86"/>
      <c r="I691" s="86"/>
      <c r="J691" s="86"/>
      <c r="K691" s="84"/>
      <c r="L691" s="84" t="str">
        <f>IFERROR(__xludf.DUMMYFUNCTION("IF(A691="""","""", COUNT(SPLIT(K691,"";"")))"),"")</f>
        <v/>
      </c>
      <c r="M691" s="84" t="str">
        <f t="shared" si="1"/>
        <v/>
      </c>
      <c r="N691" s="84" t="str">
        <f>IFERROR(__xludf.DUMMYFUNCTION("IFERROR(AVERAGE(query(INDIRECT(""'FR Table'!"" &amp; vlookup(rows($A$1:$A690),Reference!$O:$P,2,false) &amp; ""3:"" &amp; vlookup(rows($A$1:$A690),Reference!$O:$P,2,false)), 
""SELECT "" &amp; vlookup(rows($A$1:$A690),Reference!$O:$P,2,false) 
&amp; "" WHERE "" &amp; vlookup(row"&amp;"s($A$1:$A690),Reference!$O:$P,2,false) &amp;
"" &gt;= "" &amp; Reference!$R$2)) * M691,"""")"),"")</f>
        <v/>
      </c>
      <c r="O691" s="84" t="str">
        <f t="shared" si="2"/>
        <v/>
      </c>
    </row>
    <row r="692">
      <c r="A692" s="84"/>
      <c r="B692" s="84"/>
      <c r="C692" s="85"/>
      <c r="D692" s="86"/>
      <c r="E692" s="87"/>
      <c r="F692" s="86"/>
      <c r="G692" s="87"/>
      <c r="H692" s="86"/>
      <c r="I692" s="86"/>
      <c r="J692" s="86"/>
      <c r="K692" s="84"/>
      <c r="L692" s="84" t="str">
        <f>IFERROR(__xludf.DUMMYFUNCTION("IF(A692="""","""", COUNT(SPLIT(K692,"";"")))"),"")</f>
        <v/>
      </c>
      <c r="M692" s="84" t="str">
        <f t="shared" si="1"/>
        <v/>
      </c>
      <c r="N692" s="84" t="str">
        <f>IFERROR(__xludf.DUMMYFUNCTION("IFERROR(AVERAGE(query(INDIRECT(""'FR Table'!"" &amp; vlookup(rows($A$1:$A691),Reference!$O:$P,2,false) &amp; ""3:"" &amp; vlookup(rows($A$1:$A691),Reference!$O:$P,2,false)), 
""SELECT "" &amp; vlookup(rows($A$1:$A691),Reference!$O:$P,2,false) 
&amp; "" WHERE "" &amp; vlookup(row"&amp;"s($A$1:$A691),Reference!$O:$P,2,false) &amp;
"" &gt;= "" &amp; Reference!$R$2)) * M692,"""")"),"")</f>
        <v/>
      </c>
      <c r="O692" s="84" t="str">
        <f t="shared" si="2"/>
        <v/>
      </c>
    </row>
    <row r="693">
      <c r="A693" s="84"/>
      <c r="B693" s="84"/>
      <c r="C693" s="85"/>
      <c r="D693" s="86"/>
      <c r="E693" s="87"/>
      <c r="F693" s="86"/>
      <c r="G693" s="87"/>
      <c r="H693" s="86"/>
      <c r="I693" s="86"/>
      <c r="J693" s="86"/>
      <c r="K693" s="84"/>
      <c r="L693" s="84" t="str">
        <f>IFERROR(__xludf.DUMMYFUNCTION("IF(A693="""","""", COUNT(SPLIT(K693,"";"")))"),"")</f>
        <v/>
      </c>
      <c r="M693" s="84" t="str">
        <f t="shared" si="1"/>
        <v/>
      </c>
      <c r="N693" s="84" t="str">
        <f>IFERROR(__xludf.DUMMYFUNCTION("IFERROR(AVERAGE(query(INDIRECT(""'FR Table'!"" &amp; vlookup(rows($A$1:$A692),Reference!$O:$P,2,false) &amp; ""3:"" &amp; vlookup(rows($A$1:$A692),Reference!$O:$P,2,false)), 
""SELECT "" &amp; vlookup(rows($A$1:$A692),Reference!$O:$P,2,false) 
&amp; "" WHERE "" &amp; vlookup(row"&amp;"s($A$1:$A692),Reference!$O:$P,2,false) &amp;
"" &gt;= "" &amp; Reference!$R$2)) * M693,"""")"),"")</f>
        <v/>
      </c>
      <c r="O693" s="84" t="str">
        <f t="shared" si="2"/>
        <v/>
      </c>
    </row>
    <row r="694">
      <c r="A694" s="84"/>
      <c r="B694" s="84"/>
      <c r="C694" s="85"/>
      <c r="D694" s="86"/>
      <c r="E694" s="87"/>
      <c r="F694" s="86"/>
      <c r="G694" s="87"/>
      <c r="H694" s="86"/>
      <c r="I694" s="86"/>
      <c r="J694" s="86"/>
      <c r="K694" s="84"/>
      <c r="L694" s="84" t="str">
        <f>IFERROR(__xludf.DUMMYFUNCTION("IF(A694="""","""", COUNT(SPLIT(K694,"";"")))"),"")</f>
        <v/>
      </c>
      <c r="M694" s="84" t="str">
        <f t="shared" si="1"/>
        <v/>
      </c>
      <c r="N694" s="84" t="str">
        <f>IFERROR(__xludf.DUMMYFUNCTION("IFERROR(AVERAGE(query(INDIRECT(""'FR Table'!"" &amp; vlookup(rows($A$1:$A693),Reference!$O:$P,2,false) &amp; ""3:"" &amp; vlookup(rows($A$1:$A693),Reference!$O:$P,2,false)), 
""SELECT "" &amp; vlookup(rows($A$1:$A693),Reference!$O:$P,2,false) 
&amp; "" WHERE "" &amp; vlookup(row"&amp;"s($A$1:$A693),Reference!$O:$P,2,false) &amp;
"" &gt;= "" &amp; Reference!$R$2)) * M694,"""")"),"")</f>
        <v/>
      </c>
      <c r="O694" s="84" t="str">
        <f t="shared" si="2"/>
        <v/>
      </c>
    </row>
    <row r="695">
      <c r="A695" s="84"/>
      <c r="B695" s="84"/>
      <c r="C695" s="85"/>
      <c r="D695" s="86"/>
      <c r="E695" s="87"/>
      <c r="F695" s="86"/>
      <c r="G695" s="87"/>
      <c r="H695" s="86"/>
      <c r="I695" s="86"/>
      <c r="J695" s="86"/>
      <c r="K695" s="84"/>
      <c r="L695" s="84" t="str">
        <f>IFERROR(__xludf.DUMMYFUNCTION("IF(A695="""","""", COUNT(SPLIT(K695,"";"")))"),"")</f>
        <v/>
      </c>
      <c r="M695" s="84" t="str">
        <f t="shared" si="1"/>
        <v/>
      </c>
      <c r="N695" s="84" t="str">
        <f>IFERROR(__xludf.DUMMYFUNCTION("IFERROR(AVERAGE(query(INDIRECT(""'FR Table'!"" &amp; vlookup(rows($A$1:$A694),Reference!$O:$P,2,false) &amp; ""3:"" &amp; vlookup(rows($A$1:$A694),Reference!$O:$P,2,false)), 
""SELECT "" &amp; vlookup(rows($A$1:$A694),Reference!$O:$P,2,false) 
&amp; "" WHERE "" &amp; vlookup(row"&amp;"s($A$1:$A694),Reference!$O:$P,2,false) &amp;
"" &gt;= "" &amp; Reference!$R$2)) * M695,"""")"),"")</f>
        <v/>
      </c>
      <c r="O695" s="84" t="str">
        <f t="shared" si="2"/>
        <v/>
      </c>
    </row>
    <row r="696">
      <c r="A696" s="84"/>
      <c r="B696" s="84"/>
      <c r="C696" s="85"/>
      <c r="D696" s="86"/>
      <c r="E696" s="87"/>
      <c r="F696" s="86"/>
      <c r="G696" s="87"/>
      <c r="H696" s="86"/>
      <c r="I696" s="86"/>
      <c r="J696" s="86"/>
      <c r="K696" s="84"/>
      <c r="L696" s="84" t="str">
        <f>IFERROR(__xludf.DUMMYFUNCTION("IF(A696="""","""", COUNT(SPLIT(K696,"";"")))"),"")</f>
        <v/>
      </c>
      <c r="M696" s="84" t="str">
        <f t="shared" si="1"/>
        <v/>
      </c>
      <c r="N696" s="84" t="str">
        <f>IFERROR(__xludf.DUMMYFUNCTION("IFERROR(AVERAGE(query(INDIRECT(""'FR Table'!"" &amp; vlookup(rows($A$1:$A695),Reference!$O:$P,2,false) &amp; ""3:"" &amp; vlookup(rows($A$1:$A695),Reference!$O:$P,2,false)), 
""SELECT "" &amp; vlookup(rows($A$1:$A695),Reference!$O:$P,2,false) 
&amp; "" WHERE "" &amp; vlookup(row"&amp;"s($A$1:$A695),Reference!$O:$P,2,false) &amp;
"" &gt;= "" &amp; Reference!$R$2)) * M696,"""")"),"")</f>
        <v/>
      </c>
      <c r="O696" s="84" t="str">
        <f t="shared" si="2"/>
        <v/>
      </c>
    </row>
    <row r="697">
      <c r="A697" s="84"/>
      <c r="B697" s="84"/>
      <c r="C697" s="85"/>
      <c r="D697" s="86"/>
      <c r="E697" s="87"/>
      <c r="F697" s="86"/>
      <c r="G697" s="87"/>
      <c r="H697" s="86"/>
      <c r="I697" s="86"/>
      <c r="J697" s="86"/>
      <c r="K697" s="84"/>
      <c r="L697" s="84" t="str">
        <f>IFERROR(__xludf.DUMMYFUNCTION("IF(A697="""","""", COUNT(SPLIT(K697,"";"")))"),"")</f>
        <v/>
      </c>
      <c r="M697" s="84" t="str">
        <f t="shared" si="1"/>
        <v/>
      </c>
      <c r="N697" s="84" t="str">
        <f>IFERROR(__xludf.DUMMYFUNCTION("IFERROR(AVERAGE(query(INDIRECT(""'FR Table'!"" &amp; vlookup(rows($A$1:$A696),Reference!$O:$P,2,false) &amp; ""3:"" &amp; vlookup(rows($A$1:$A696),Reference!$O:$P,2,false)), 
""SELECT "" &amp; vlookup(rows($A$1:$A696),Reference!$O:$P,2,false) 
&amp; "" WHERE "" &amp; vlookup(row"&amp;"s($A$1:$A696),Reference!$O:$P,2,false) &amp;
"" &gt;= "" &amp; Reference!$R$2)) * M697,"""")"),"")</f>
        <v/>
      </c>
      <c r="O697" s="84" t="str">
        <f t="shared" si="2"/>
        <v/>
      </c>
    </row>
    <row r="698">
      <c r="A698" s="84"/>
      <c r="B698" s="84"/>
      <c r="C698" s="85"/>
      <c r="D698" s="86"/>
      <c r="E698" s="87"/>
      <c r="F698" s="86"/>
      <c r="G698" s="87"/>
      <c r="H698" s="86"/>
      <c r="I698" s="86"/>
      <c r="J698" s="86"/>
      <c r="K698" s="84"/>
      <c r="L698" s="84" t="str">
        <f>IFERROR(__xludf.DUMMYFUNCTION("IF(A698="""","""", COUNT(SPLIT(K698,"";"")))"),"")</f>
        <v/>
      </c>
      <c r="M698" s="84" t="str">
        <f t="shared" si="1"/>
        <v/>
      </c>
      <c r="N698" s="84" t="str">
        <f>IFERROR(__xludf.DUMMYFUNCTION("IFERROR(AVERAGE(query(INDIRECT(""'FR Table'!"" &amp; vlookup(rows($A$1:$A697),Reference!$O:$P,2,false) &amp; ""3:"" &amp; vlookup(rows($A$1:$A697),Reference!$O:$P,2,false)), 
""SELECT "" &amp; vlookup(rows($A$1:$A697),Reference!$O:$P,2,false) 
&amp; "" WHERE "" &amp; vlookup(row"&amp;"s($A$1:$A697),Reference!$O:$P,2,false) &amp;
"" &gt;= "" &amp; Reference!$R$2)) * M698,"""")"),"")</f>
        <v/>
      </c>
      <c r="O698" s="84" t="str">
        <f t="shared" si="2"/>
        <v/>
      </c>
    </row>
    <row r="699">
      <c r="A699" s="84"/>
      <c r="B699" s="84"/>
      <c r="C699" s="85"/>
      <c r="D699" s="86"/>
      <c r="E699" s="87"/>
      <c r="F699" s="86"/>
      <c r="G699" s="87"/>
      <c r="H699" s="86"/>
      <c r="I699" s="86"/>
      <c r="J699" s="86"/>
      <c r="K699" s="84"/>
      <c r="L699" s="84" t="str">
        <f>IFERROR(__xludf.DUMMYFUNCTION("IF(A699="""","""", COUNT(SPLIT(K699,"";"")))"),"")</f>
        <v/>
      </c>
      <c r="M699" s="84" t="str">
        <f t="shared" si="1"/>
        <v/>
      </c>
      <c r="N699" s="84" t="str">
        <f>IFERROR(__xludf.DUMMYFUNCTION("IFERROR(AVERAGE(query(INDIRECT(""'FR Table'!"" &amp; vlookup(rows($A$1:$A698),Reference!$O:$P,2,false) &amp; ""3:"" &amp; vlookup(rows($A$1:$A698),Reference!$O:$P,2,false)), 
""SELECT "" &amp; vlookup(rows($A$1:$A698),Reference!$O:$P,2,false) 
&amp; "" WHERE "" &amp; vlookup(row"&amp;"s($A$1:$A698),Reference!$O:$P,2,false) &amp;
"" &gt;= "" &amp; Reference!$R$2)) * M699,"""")"),"")</f>
        <v/>
      </c>
      <c r="O699" s="84" t="str">
        <f t="shared" si="2"/>
        <v/>
      </c>
    </row>
    <row r="700">
      <c r="A700" s="84"/>
      <c r="B700" s="84"/>
      <c r="C700" s="85"/>
      <c r="D700" s="86"/>
      <c r="E700" s="87"/>
      <c r="F700" s="86"/>
      <c r="G700" s="87"/>
      <c r="H700" s="86"/>
      <c r="I700" s="86"/>
      <c r="J700" s="86"/>
      <c r="K700" s="84"/>
      <c r="L700" s="84" t="str">
        <f>IFERROR(__xludf.DUMMYFUNCTION("IF(A700="""","""", COUNT(SPLIT(K700,"";"")))"),"")</f>
        <v/>
      </c>
      <c r="M700" s="84" t="str">
        <f t="shared" si="1"/>
        <v/>
      </c>
      <c r="N700" s="84" t="str">
        <f>IFERROR(__xludf.DUMMYFUNCTION("IFERROR(AVERAGE(query(INDIRECT(""'FR Table'!"" &amp; vlookup(rows($A$1:$A699),Reference!$O:$P,2,false) &amp; ""3:"" &amp; vlookup(rows($A$1:$A699),Reference!$O:$P,2,false)), 
""SELECT "" &amp; vlookup(rows($A$1:$A699),Reference!$O:$P,2,false) 
&amp; "" WHERE "" &amp; vlookup(row"&amp;"s($A$1:$A699),Reference!$O:$P,2,false) &amp;
"" &gt;= "" &amp; Reference!$R$2)) * M700,"""")"),"")</f>
        <v/>
      </c>
      <c r="O700" s="84" t="str">
        <f t="shared" si="2"/>
        <v/>
      </c>
    </row>
    <row r="701">
      <c r="A701" s="84"/>
      <c r="B701" s="84"/>
      <c r="C701" s="85"/>
      <c r="D701" s="86"/>
      <c r="E701" s="87"/>
      <c r="F701" s="86"/>
      <c r="G701" s="87"/>
      <c r="H701" s="86"/>
      <c r="I701" s="86"/>
      <c r="J701" s="86"/>
      <c r="K701" s="84"/>
      <c r="L701" s="84" t="str">
        <f>IFERROR(__xludf.DUMMYFUNCTION("IF(A701="""","""", COUNT(SPLIT(K701,"";"")))"),"")</f>
        <v/>
      </c>
      <c r="M701" s="84" t="str">
        <f t="shared" si="1"/>
        <v/>
      </c>
      <c r="N701" s="84" t="str">
        <f>IFERROR(__xludf.DUMMYFUNCTION("IFERROR(AVERAGE(query(INDIRECT(""'FR Table'!"" &amp; vlookup(rows($A$1:$A700),Reference!$O:$P,2,false) &amp; ""3:"" &amp; vlookup(rows($A$1:$A700),Reference!$O:$P,2,false)), 
""SELECT "" &amp; vlookup(rows($A$1:$A700),Reference!$O:$P,2,false) 
&amp; "" WHERE "" &amp; vlookup(row"&amp;"s($A$1:$A700),Reference!$O:$P,2,false) &amp;
"" &gt;= "" &amp; Reference!$R$2)) * M701,"""")"),"")</f>
        <v/>
      </c>
      <c r="O701" s="84" t="str">
        <f t="shared" si="2"/>
        <v/>
      </c>
    </row>
    <row r="702">
      <c r="A702" s="84"/>
      <c r="B702" s="84"/>
      <c r="C702" s="85"/>
      <c r="D702" s="86"/>
      <c r="E702" s="87"/>
      <c r="F702" s="86"/>
      <c r="G702" s="87"/>
      <c r="H702" s="86"/>
      <c r="I702" s="86"/>
      <c r="J702" s="86"/>
      <c r="K702" s="84"/>
      <c r="L702" s="84" t="str">
        <f>IFERROR(__xludf.DUMMYFUNCTION("IF(A702="""","""", COUNT(SPLIT(K702,"";"")))"),"")</f>
        <v/>
      </c>
      <c r="M702" s="84" t="str">
        <f t="shared" si="1"/>
        <v/>
      </c>
      <c r="N702" s="84" t="str">
        <f>IFERROR(__xludf.DUMMYFUNCTION("IFERROR(AVERAGE(query(INDIRECT(""'FR Table'!"" &amp; vlookup(rows($A$1:$A701),Reference!$O:$P,2,false) &amp; ""3:"" &amp; vlookup(rows($A$1:$A701),Reference!$O:$P,2,false)), 
""SELECT "" &amp; vlookup(rows($A$1:$A701),Reference!$O:$P,2,false) 
&amp; "" WHERE "" &amp; vlookup(row"&amp;"s($A$1:$A701),Reference!$O:$P,2,false) &amp;
"" &gt;= "" &amp; Reference!$R$2)) * M702,"""")"),"")</f>
        <v/>
      </c>
      <c r="O702" s="84" t="str">
        <f t="shared" si="2"/>
        <v/>
      </c>
    </row>
    <row r="703">
      <c r="A703" s="84"/>
      <c r="B703" s="84"/>
      <c r="C703" s="85"/>
      <c r="D703" s="86"/>
      <c r="E703" s="87"/>
      <c r="F703" s="86"/>
      <c r="G703" s="87"/>
      <c r="H703" s="86"/>
      <c r="I703" s="86"/>
      <c r="J703" s="86"/>
      <c r="K703" s="84"/>
      <c r="L703" s="84" t="str">
        <f>IFERROR(__xludf.DUMMYFUNCTION("IF(A703="""","""", COUNT(SPLIT(K703,"";"")))"),"")</f>
        <v/>
      </c>
      <c r="M703" s="84" t="str">
        <f t="shared" si="1"/>
        <v/>
      </c>
      <c r="N703" s="84" t="str">
        <f>IFERROR(__xludf.DUMMYFUNCTION("IFERROR(AVERAGE(query(INDIRECT(""'FR Table'!"" &amp; vlookup(rows($A$1:$A702),Reference!$O:$P,2,false) &amp; ""3:"" &amp; vlookup(rows($A$1:$A702),Reference!$O:$P,2,false)), 
""SELECT "" &amp; vlookup(rows($A$1:$A702),Reference!$O:$P,2,false) 
&amp; "" WHERE "" &amp; vlookup(row"&amp;"s($A$1:$A702),Reference!$O:$P,2,false) &amp;
"" &gt;= "" &amp; Reference!$R$2)) * M703,"""")"),"")</f>
        <v/>
      </c>
      <c r="O703" s="84" t="str">
        <f t="shared" si="2"/>
        <v/>
      </c>
    </row>
    <row r="704">
      <c r="A704" s="84"/>
      <c r="B704" s="84"/>
      <c r="C704" s="85"/>
      <c r="D704" s="86"/>
      <c r="E704" s="87"/>
      <c r="F704" s="86"/>
      <c r="G704" s="87"/>
      <c r="H704" s="86"/>
      <c r="I704" s="86"/>
      <c r="J704" s="86"/>
      <c r="K704" s="84"/>
      <c r="L704" s="84" t="str">
        <f>IFERROR(__xludf.DUMMYFUNCTION("IF(A704="""","""", COUNT(SPLIT(K704,"";"")))"),"")</f>
        <v/>
      </c>
      <c r="M704" s="84" t="str">
        <f t="shared" si="1"/>
        <v/>
      </c>
      <c r="N704" s="84" t="str">
        <f>IFERROR(__xludf.DUMMYFUNCTION("IFERROR(AVERAGE(query(INDIRECT(""'FR Table'!"" &amp; vlookup(rows($A$1:$A703),Reference!$O:$P,2,false) &amp; ""3:"" &amp; vlookup(rows($A$1:$A703),Reference!$O:$P,2,false)), 
""SELECT "" &amp; vlookup(rows($A$1:$A703),Reference!$O:$P,2,false) 
&amp; "" WHERE "" &amp; vlookup(row"&amp;"s($A$1:$A703),Reference!$O:$P,2,false) &amp;
"" &gt;= "" &amp; Reference!$R$2)) * M704,"""")"),"")</f>
        <v/>
      </c>
      <c r="O704" s="84" t="str">
        <f t="shared" si="2"/>
        <v/>
      </c>
    </row>
    <row r="705">
      <c r="A705" s="84"/>
      <c r="B705" s="84"/>
      <c r="C705" s="85"/>
      <c r="D705" s="86"/>
      <c r="E705" s="87"/>
      <c r="F705" s="86"/>
      <c r="G705" s="87"/>
      <c r="H705" s="86"/>
      <c r="I705" s="86"/>
      <c r="J705" s="86"/>
      <c r="K705" s="84"/>
      <c r="L705" s="84" t="str">
        <f>IFERROR(__xludf.DUMMYFUNCTION("IF(A705="""","""", COUNT(SPLIT(K705,"";"")))"),"")</f>
        <v/>
      </c>
      <c r="M705" s="84" t="str">
        <f t="shared" si="1"/>
        <v/>
      </c>
      <c r="N705" s="84" t="str">
        <f>IFERROR(__xludf.DUMMYFUNCTION("IFERROR(AVERAGE(query(INDIRECT(""'FR Table'!"" &amp; vlookup(rows($A$1:$A704),Reference!$O:$P,2,false) &amp; ""3:"" &amp; vlookup(rows($A$1:$A704),Reference!$O:$P,2,false)), 
""SELECT "" &amp; vlookup(rows($A$1:$A704),Reference!$O:$P,2,false) 
&amp; "" WHERE "" &amp; vlookup(row"&amp;"s($A$1:$A704),Reference!$O:$P,2,false) &amp;
"" &gt;= "" &amp; Reference!$R$2)) * M705,"""")"),"")</f>
        <v/>
      </c>
      <c r="O705" s="84" t="str">
        <f t="shared" si="2"/>
        <v/>
      </c>
    </row>
    <row r="706">
      <c r="A706" s="84"/>
      <c r="B706" s="84"/>
      <c r="C706" s="85"/>
      <c r="D706" s="86"/>
      <c r="E706" s="87"/>
      <c r="F706" s="86"/>
      <c r="G706" s="87"/>
      <c r="H706" s="86"/>
      <c r="I706" s="86"/>
      <c r="J706" s="86"/>
      <c r="K706" s="84"/>
      <c r="L706" s="84" t="str">
        <f>IFERROR(__xludf.DUMMYFUNCTION("IF(A706="""","""", COUNT(SPLIT(K706,"";"")))"),"")</f>
        <v/>
      </c>
      <c r="M706" s="84" t="str">
        <f t="shared" si="1"/>
        <v/>
      </c>
      <c r="N706" s="84" t="str">
        <f>IFERROR(__xludf.DUMMYFUNCTION("IFERROR(AVERAGE(query(INDIRECT(""'FR Table'!"" &amp; vlookup(rows($A$1:$A705),Reference!$O:$P,2,false) &amp; ""3:"" &amp; vlookup(rows($A$1:$A705),Reference!$O:$P,2,false)), 
""SELECT "" &amp; vlookup(rows($A$1:$A705),Reference!$O:$P,2,false) 
&amp; "" WHERE "" &amp; vlookup(row"&amp;"s($A$1:$A705),Reference!$O:$P,2,false) &amp;
"" &gt;= "" &amp; Reference!$R$2)) * M706,"""")"),"")</f>
        <v/>
      </c>
      <c r="O706" s="84" t="str">
        <f t="shared" si="2"/>
        <v/>
      </c>
    </row>
    <row r="707">
      <c r="A707" s="84"/>
      <c r="B707" s="84"/>
      <c r="C707" s="85"/>
      <c r="D707" s="86"/>
      <c r="E707" s="87"/>
      <c r="F707" s="86"/>
      <c r="G707" s="87"/>
      <c r="H707" s="86"/>
      <c r="I707" s="86"/>
      <c r="J707" s="86"/>
      <c r="K707" s="84"/>
      <c r="L707" s="84" t="str">
        <f>IFERROR(__xludf.DUMMYFUNCTION("IF(A707="""","""", COUNT(SPLIT(K707,"";"")))"),"")</f>
        <v/>
      </c>
      <c r="M707" s="84" t="str">
        <f t="shared" si="1"/>
        <v/>
      </c>
      <c r="N707" s="84" t="str">
        <f>IFERROR(__xludf.DUMMYFUNCTION("IFERROR(AVERAGE(query(INDIRECT(""'FR Table'!"" &amp; vlookup(rows($A$1:$A706),Reference!$O:$P,2,false) &amp; ""3:"" &amp; vlookup(rows($A$1:$A706),Reference!$O:$P,2,false)), 
""SELECT "" &amp; vlookup(rows($A$1:$A706),Reference!$O:$P,2,false) 
&amp; "" WHERE "" &amp; vlookup(row"&amp;"s($A$1:$A706),Reference!$O:$P,2,false) &amp;
"" &gt;= "" &amp; Reference!$R$2)) * M707,"""")"),"")</f>
        <v/>
      </c>
      <c r="O707" s="84" t="str">
        <f t="shared" si="2"/>
        <v/>
      </c>
    </row>
    <row r="708">
      <c r="A708" s="84"/>
      <c r="B708" s="84"/>
      <c r="C708" s="85"/>
      <c r="D708" s="86"/>
      <c r="E708" s="87"/>
      <c r="F708" s="86"/>
      <c r="G708" s="87"/>
      <c r="H708" s="86"/>
      <c r="I708" s="86"/>
      <c r="J708" s="86"/>
      <c r="K708" s="84"/>
      <c r="L708" s="84" t="str">
        <f>IFERROR(__xludf.DUMMYFUNCTION("IF(A708="""","""", COUNT(SPLIT(K708,"";"")))"),"")</f>
        <v/>
      </c>
      <c r="M708" s="84" t="str">
        <f t="shared" si="1"/>
        <v/>
      </c>
      <c r="N708" s="84" t="str">
        <f>IFERROR(__xludf.DUMMYFUNCTION("IFERROR(AVERAGE(query(INDIRECT(""'FR Table'!"" &amp; vlookup(rows($A$1:$A707),Reference!$O:$P,2,false) &amp; ""3:"" &amp; vlookup(rows($A$1:$A707),Reference!$O:$P,2,false)), 
""SELECT "" &amp; vlookup(rows($A$1:$A707),Reference!$O:$P,2,false) 
&amp; "" WHERE "" &amp; vlookup(row"&amp;"s($A$1:$A707),Reference!$O:$P,2,false) &amp;
"" &gt;= "" &amp; Reference!$R$2)) * M708,"""")"),"")</f>
        <v/>
      </c>
      <c r="O708" s="84" t="str">
        <f t="shared" si="2"/>
        <v/>
      </c>
    </row>
    <row r="709">
      <c r="A709" s="84"/>
      <c r="B709" s="84"/>
      <c r="C709" s="85"/>
      <c r="D709" s="86"/>
      <c r="E709" s="87"/>
      <c r="F709" s="86"/>
      <c r="G709" s="87"/>
      <c r="H709" s="86"/>
      <c r="I709" s="86"/>
      <c r="J709" s="86"/>
      <c r="K709" s="84"/>
      <c r="L709" s="84" t="str">
        <f>IFERROR(__xludf.DUMMYFUNCTION("IF(A709="""","""", COUNT(SPLIT(K709,"";"")))"),"")</f>
        <v/>
      </c>
      <c r="M709" s="84" t="str">
        <f t="shared" si="1"/>
        <v/>
      </c>
      <c r="N709" s="84" t="str">
        <f>IFERROR(__xludf.DUMMYFUNCTION("IFERROR(AVERAGE(query(INDIRECT(""'FR Table'!"" &amp; vlookup(rows($A$1:$A708),Reference!$O:$P,2,false) &amp; ""3:"" &amp; vlookup(rows($A$1:$A708),Reference!$O:$P,2,false)), 
""SELECT "" &amp; vlookup(rows($A$1:$A708),Reference!$O:$P,2,false) 
&amp; "" WHERE "" &amp; vlookup(row"&amp;"s($A$1:$A708),Reference!$O:$P,2,false) &amp;
"" &gt;= "" &amp; Reference!$R$2)) * M709,"""")"),"")</f>
        <v/>
      </c>
      <c r="O709" s="84" t="str">
        <f t="shared" si="2"/>
        <v/>
      </c>
    </row>
    <row r="710">
      <c r="A710" s="84"/>
      <c r="B710" s="84"/>
      <c r="C710" s="85"/>
      <c r="D710" s="86"/>
      <c r="E710" s="87"/>
      <c r="F710" s="86"/>
      <c r="G710" s="87"/>
      <c r="H710" s="86"/>
      <c r="I710" s="86"/>
      <c r="J710" s="86"/>
      <c r="K710" s="84"/>
      <c r="L710" s="84" t="str">
        <f>IFERROR(__xludf.DUMMYFUNCTION("IF(A710="""","""", COUNT(SPLIT(K710,"";"")))"),"")</f>
        <v/>
      </c>
      <c r="M710" s="84" t="str">
        <f t="shared" si="1"/>
        <v/>
      </c>
      <c r="N710" s="84" t="str">
        <f>IFERROR(__xludf.DUMMYFUNCTION("IFERROR(AVERAGE(query(INDIRECT(""'FR Table'!"" &amp; vlookup(rows($A$1:$A709),Reference!$O:$P,2,false) &amp; ""3:"" &amp; vlookup(rows($A$1:$A709),Reference!$O:$P,2,false)), 
""SELECT "" &amp; vlookup(rows($A$1:$A709),Reference!$O:$P,2,false) 
&amp; "" WHERE "" &amp; vlookup(row"&amp;"s($A$1:$A709),Reference!$O:$P,2,false) &amp;
"" &gt;= "" &amp; Reference!$R$2)) * M710,"""")"),"")</f>
        <v/>
      </c>
      <c r="O710" s="84" t="str">
        <f t="shared" si="2"/>
        <v/>
      </c>
    </row>
    <row r="711">
      <c r="A711" s="84"/>
      <c r="B711" s="84"/>
      <c r="C711" s="85"/>
      <c r="D711" s="86"/>
      <c r="E711" s="87"/>
      <c r="F711" s="86"/>
      <c r="G711" s="87"/>
      <c r="H711" s="86"/>
      <c r="I711" s="86"/>
      <c r="J711" s="86"/>
      <c r="K711" s="84"/>
      <c r="L711" s="84" t="str">
        <f>IFERROR(__xludf.DUMMYFUNCTION("IF(A711="""","""", COUNT(SPLIT(K711,"";"")))"),"")</f>
        <v/>
      </c>
      <c r="M711" s="84" t="str">
        <f t="shared" si="1"/>
        <v/>
      </c>
      <c r="N711" s="84" t="str">
        <f>IFERROR(__xludf.DUMMYFUNCTION("IFERROR(AVERAGE(query(INDIRECT(""'FR Table'!"" &amp; vlookup(rows($A$1:$A710),Reference!$O:$P,2,false) &amp; ""3:"" &amp; vlookup(rows($A$1:$A710),Reference!$O:$P,2,false)), 
""SELECT "" &amp; vlookup(rows($A$1:$A710),Reference!$O:$P,2,false) 
&amp; "" WHERE "" &amp; vlookup(row"&amp;"s($A$1:$A710),Reference!$O:$P,2,false) &amp;
"" &gt;= "" &amp; Reference!$R$2)) * M711,"""")"),"")</f>
        <v/>
      </c>
      <c r="O711" s="84" t="str">
        <f t="shared" si="2"/>
        <v/>
      </c>
    </row>
    <row r="712">
      <c r="A712" s="84"/>
      <c r="B712" s="84"/>
      <c r="C712" s="85"/>
      <c r="D712" s="86"/>
      <c r="E712" s="87"/>
      <c r="F712" s="86"/>
      <c r="G712" s="87"/>
      <c r="H712" s="86"/>
      <c r="I712" s="86"/>
      <c r="J712" s="86"/>
      <c r="K712" s="84"/>
      <c r="L712" s="84" t="str">
        <f>IFERROR(__xludf.DUMMYFUNCTION("IF(A712="""","""", COUNT(SPLIT(K712,"";"")))"),"")</f>
        <v/>
      </c>
      <c r="M712" s="84" t="str">
        <f t="shared" si="1"/>
        <v/>
      </c>
      <c r="N712" s="84" t="str">
        <f>IFERROR(__xludf.DUMMYFUNCTION("IFERROR(AVERAGE(query(INDIRECT(""'FR Table'!"" &amp; vlookup(rows($A$1:$A711),Reference!$O:$P,2,false) &amp; ""3:"" &amp; vlookup(rows($A$1:$A711),Reference!$O:$P,2,false)), 
""SELECT "" &amp; vlookup(rows($A$1:$A711),Reference!$O:$P,2,false) 
&amp; "" WHERE "" &amp; vlookup(row"&amp;"s($A$1:$A711),Reference!$O:$P,2,false) &amp;
"" &gt;= "" &amp; Reference!$R$2)) * M712,"""")"),"")</f>
        <v/>
      </c>
      <c r="O712" s="84" t="str">
        <f t="shared" si="2"/>
        <v/>
      </c>
    </row>
    <row r="713">
      <c r="A713" s="84"/>
      <c r="B713" s="84"/>
      <c r="C713" s="85"/>
      <c r="D713" s="86"/>
      <c r="E713" s="87"/>
      <c r="F713" s="86"/>
      <c r="G713" s="87"/>
      <c r="H713" s="86"/>
      <c r="I713" s="86"/>
      <c r="J713" s="86"/>
      <c r="K713" s="84"/>
      <c r="L713" s="84" t="str">
        <f>IFERROR(__xludf.DUMMYFUNCTION("IF(A713="""","""", COUNT(SPLIT(K713,"";"")))"),"")</f>
        <v/>
      </c>
      <c r="M713" s="84" t="str">
        <f t="shared" si="1"/>
        <v/>
      </c>
      <c r="N713" s="84" t="str">
        <f>IFERROR(__xludf.DUMMYFUNCTION("IFERROR(AVERAGE(query(INDIRECT(""'FR Table'!"" &amp; vlookup(rows($A$1:$A712),Reference!$O:$P,2,false) &amp; ""3:"" &amp; vlookup(rows($A$1:$A712),Reference!$O:$P,2,false)), 
""SELECT "" &amp; vlookup(rows($A$1:$A712),Reference!$O:$P,2,false) 
&amp; "" WHERE "" &amp; vlookup(row"&amp;"s($A$1:$A712),Reference!$O:$P,2,false) &amp;
"" &gt;= "" &amp; Reference!$R$2)) * M713,"""")"),"")</f>
        <v/>
      </c>
      <c r="O713" s="84" t="str">
        <f t="shared" si="2"/>
        <v/>
      </c>
    </row>
    <row r="714">
      <c r="A714" s="84"/>
      <c r="B714" s="84"/>
      <c r="C714" s="85"/>
      <c r="D714" s="86"/>
      <c r="E714" s="87"/>
      <c r="F714" s="86"/>
      <c r="G714" s="87"/>
      <c r="H714" s="86"/>
      <c r="I714" s="86"/>
      <c r="J714" s="86"/>
      <c r="K714" s="84"/>
      <c r="L714" s="84" t="str">
        <f>IFERROR(__xludf.DUMMYFUNCTION("IF(A714="""","""", COUNT(SPLIT(K714,"";"")))"),"")</f>
        <v/>
      </c>
      <c r="M714" s="84" t="str">
        <f t="shared" si="1"/>
        <v/>
      </c>
      <c r="N714" s="84" t="str">
        <f>IFERROR(__xludf.DUMMYFUNCTION("IFERROR(AVERAGE(query(INDIRECT(""'FR Table'!"" &amp; vlookup(rows($A$1:$A713),Reference!$O:$P,2,false) &amp; ""3:"" &amp; vlookup(rows($A$1:$A713),Reference!$O:$P,2,false)), 
""SELECT "" &amp; vlookup(rows($A$1:$A713),Reference!$O:$P,2,false) 
&amp; "" WHERE "" &amp; vlookup(row"&amp;"s($A$1:$A713),Reference!$O:$P,2,false) &amp;
"" &gt;= "" &amp; Reference!$R$2)) * M714,"""")"),"")</f>
        <v/>
      </c>
      <c r="O714" s="84" t="str">
        <f t="shared" si="2"/>
        <v/>
      </c>
    </row>
    <row r="715">
      <c r="A715" s="84"/>
      <c r="B715" s="84"/>
      <c r="C715" s="85"/>
      <c r="D715" s="86"/>
      <c r="E715" s="87"/>
      <c r="F715" s="86"/>
      <c r="G715" s="87"/>
      <c r="H715" s="86"/>
      <c r="I715" s="86"/>
      <c r="J715" s="86"/>
      <c r="K715" s="84"/>
      <c r="L715" s="84" t="str">
        <f>IFERROR(__xludf.DUMMYFUNCTION("IF(A715="""","""", COUNT(SPLIT(K715,"";"")))"),"")</f>
        <v/>
      </c>
      <c r="M715" s="84" t="str">
        <f t="shared" si="1"/>
        <v/>
      </c>
      <c r="N715" s="84" t="str">
        <f>IFERROR(__xludf.DUMMYFUNCTION("IFERROR(AVERAGE(query(INDIRECT(""'FR Table'!"" &amp; vlookup(rows($A$1:$A714),Reference!$O:$P,2,false) &amp; ""3:"" &amp; vlookup(rows($A$1:$A714),Reference!$O:$P,2,false)), 
""SELECT "" &amp; vlookup(rows($A$1:$A714),Reference!$O:$P,2,false) 
&amp; "" WHERE "" &amp; vlookup(row"&amp;"s($A$1:$A714),Reference!$O:$P,2,false) &amp;
"" &gt;= "" &amp; Reference!$R$2)) * M715,"""")"),"")</f>
        <v/>
      </c>
      <c r="O715" s="84" t="str">
        <f t="shared" si="2"/>
        <v/>
      </c>
    </row>
    <row r="716">
      <c r="A716" s="84"/>
      <c r="B716" s="84"/>
      <c r="C716" s="85"/>
      <c r="D716" s="86"/>
      <c r="E716" s="87"/>
      <c r="F716" s="86"/>
      <c r="G716" s="87"/>
      <c r="H716" s="86"/>
      <c r="I716" s="86"/>
      <c r="J716" s="86"/>
      <c r="K716" s="84"/>
      <c r="L716" s="84" t="str">
        <f>IFERROR(__xludf.DUMMYFUNCTION("IF(A716="""","""", COUNT(SPLIT(K716,"";"")))"),"")</f>
        <v/>
      </c>
      <c r="M716" s="84" t="str">
        <f t="shared" si="1"/>
        <v/>
      </c>
      <c r="N716" s="84" t="str">
        <f>IFERROR(__xludf.DUMMYFUNCTION("IFERROR(AVERAGE(query(INDIRECT(""'FR Table'!"" &amp; vlookup(rows($A$1:$A715),Reference!$O:$P,2,false) &amp; ""3:"" &amp; vlookup(rows($A$1:$A715),Reference!$O:$P,2,false)), 
""SELECT "" &amp; vlookup(rows($A$1:$A715),Reference!$O:$P,2,false) 
&amp; "" WHERE "" &amp; vlookup(row"&amp;"s($A$1:$A715),Reference!$O:$P,2,false) &amp;
"" &gt;= "" &amp; Reference!$R$2)) * M716,"""")"),"")</f>
        <v/>
      </c>
      <c r="O716" s="84" t="str">
        <f t="shared" si="2"/>
        <v/>
      </c>
    </row>
    <row r="717">
      <c r="A717" s="84"/>
      <c r="B717" s="84"/>
      <c r="C717" s="85"/>
      <c r="D717" s="86"/>
      <c r="E717" s="87"/>
      <c r="F717" s="86"/>
      <c r="G717" s="87"/>
      <c r="H717" s="86"/>
      <c r="I717" s="86"/>
      <c r="J717" s="86"/>
      <c r="K717" s="84"/>
      <c r="L717" s="84" t="str">
        <f>IFERROR(__xludf.DUMMYFUNCTION("IF(A717="""","""", COUNT(SPLIT(K717,"";"")))"),"")</f>
        <v/>
      </c>
      <c r="M717" s="84" t="str">
        <f t="shared" si="1"/>
        <v/>
      </c>
      <c r="N717" s="84" t="str">
        <f>IFERROR(__xludf.DUMMYFUNCTION("IFERROR(AVERAGE(query(INDIRECT(""'FR Table'!"" &amp; vlookup(rows($A$1:$A716),Reference!$O:$P,2,false) &amp; ""3:"" &amp; vlookup(rows($A$1:$A716),Reference!$O:$P,2,false)), 
""SELECT "" &amp; vlookup(rows($A$1:$A716),Reference!$O:$P,2,false) 
&amp; "" WHERE "" &amp; vlookup(row"&amp;"s($A$1:$A716),Reference!$O:$P,2,false) &amp;
"" &gt;= "" &amp; Reference!$R$2)) * M717,"""")"),"")</f>
        <v/>
      </c>
      <c r="O717" s="84" t="str">
        <f t="shared" si="2"/>
        <v/>
      </c>
    </row>
    <row r="718">
      <c r="A718" s="84"/>
      <c r="B718" s="84"/>
      <c r="C718" s="85"/>
      <c r="D718" s="86"/>
      <c r="E718" s="87"/>
      <c r="F718" s="86"/>
      <c r="G718" s="87"/>
      <c r="H718" s="86"/>
      <c r="I718" s="86"/>
      <c r="J718" s="86"/>
      <c r="K718" s="84"/>
      <c r="L718" s="84" t="str">
        <f>IFERROR(__xludf.DUMMYFUNCTION("IF(A718="""","""", COUNT(SPLIT(K718,"";"")))"),"")</f>
        <v/>
      </c>
      <c r="M718" s="84" t="str">
        <f t="shared" si="1"/>
        <v/>
      </c>
      <c r="N718" s="84" t="str">
        <f>IFERROR(__xludf.DUMMYFUNCTION("IFERROR(AVERAGE(query(INDIRECT(""'FR Table'!"" &amp; vlookup(rows($A$1:$A717),Reference!$O:$P,2,false) &amp; ""3:"" &amp; vlookup(rows($A$1:$A717),Reference!$O:$P,2,false)), 
""SELECT "" &amp; vlookup(rows($A$1:$A717),Reference!$O:$P,2,false) 
&amp; "" WHERE "" &amp; vlookup(row"&amp;"s($A$1:$A717),Reference!$O:$P,2,false) &amp;
"" &gt;= "" &amp; Reference!$R$2)) * M718,"""")"),"")</f>
        <v/>
      </c>
      <c r="O718" s="84" t="str">
        <f t="shared" si="2"/>
        <v/>
      </c>
    </row>
    <row r="719">
      <c r="A719" s="84"/>
      <c r="B719" s="84"/>
      <c r="C719" s="85"/>
      <c r="D719" s="86"/>
      <c r="E719" s="87"/>
      <c r="F719" s="86"/>
      <c r="G719" s="87"/>
      <c r="H719" s="86"/>
      <c r="I719" s="86"/>
      <c r="J719" s="86"/>
      <c r="K719" s="84"/>
      <c r="L719" s="84" t="str">
        <f>IFERROR(__xludf.DUMMYFUNCTION("IF(A719="""","""", COUNT(SPLIT(K719,"";"")))"),"")</f>
        <v/>
      </c>
      <c r="M719" s="84" t="str">
        <f t="shared" si="1"/>
        <v/>
      </c>
      <c r="N719" s="84" t="str">
        <f>IFERROR(__xludf.DUMMYFUNCTION("IFERROR(AVERAGE(query(INDIRECT(""'FR Table'!"" &amp; vlookup(rows($A$1:$A718),Reference!$O:$P,2,false) &amp; ""3:"" &amp; vlookup(rows($A$1:$A718),Reference!$O:$P,2,false)), 
""SELECT "" &amp; vlookup(rows($A$1:$A718),Reference!$O:$P,2,false) 
&amp; "" WHERE "" &amp; vlookup(row"&amp;"s($A$1:$A718),Reference!$O:$P,2,false) &amp;
"" &gt;= "" &amp; Reference!$R$2)) * M719,"""")"),"")</f>
        <v/>
      </c>
      <c r="O719" s="84" t="str">
        <f t="shared" si="2"/>
        <v/>
      </c>
    </row>
    <row r="720">
      <c r="A720" s="84"/>
      <c r="B720" s="84"/>
      <c r="C720" s="85"/>
      <c r="D720" s="86"/>
      <c r="E720" s="87"/>
      <c r="F720" s="86"/>
      <c r="G720" s="87"/>
      <c r="H720" s="86"/>
      <c r="I720" s="86"/>
      <c r="J720" s="86"/>
      <c r="K720" s="84"/>
      <c r="L720" s="84" t="str">
        <f>IFERROR(__xludf.DUMMYFUNCTION("IF(A720="""","""", COUNT(SPLIT(K720,"";"")))"),"")</f>
        <v/>
      </c>
      <c r="M720" s="84" t="str">
        <f t="shared" si="1"/>
        <v/>
      </c>
      <c r="N720" s="84" t="str">
        <f>IFERROR(__xludf.DUMMYFUNCTION("IFERROR(AVERAGE(query(INDIRECT(""'FR Table'!"" &amp; vlookup(rows($A$1:$A719),Reference!$O:$P,2,false) &amp; ""3:"" &amp; vlookup(rows($A$1:$A719),Reference!$O:$P,2,false)), 
""SELECT "" &amp; vlookup(rows($A$1:$A719),Reference!$O:$P,2,false) 
&amp; "" WHERE "" &amp; vlookup(row"&amp;"s($A$1:$A719),Reference!$O:$P,2,false) &amp;
"" &gt;= "" &amp; Reference!$R$2)) * M720,"""")"),"")</f>
        <v/>
      </c>
      <c r="O720" s="84" t="str">
        <f t="shared" si="2"/>
        <v/>
      </c>
    </row>
    <row r="721">
      <c r="A721" s="84"/>
      <c r="B721" s="84"/>
      <c r="C721" s="85"/>
      <c r="D721" s="86"/>
      <c r="E721" s="87"/>
      <c r="F721" s="86"/>
      <c r="G721" s="87"/>
      <c r="H721" s="86"/>
      <c r="I721" s="86"/>
      <c r="J721" s="86"/>
      <c r="K721" s="84"/>
      <c r="L721" s="84" t="str">
        <f>IFERROR(__xludf.DUMMYFUNCTION("IF(A721="""","""", COUNT(SPLIT(K721,"";"")))"),"")</f>
        <v/>
      </c>
      <c r="M721" s="84" t="str">
        <f t="shared" si="1"/>
        <v/>
      </c>
      <c r="N721" s="84" t="str">
        <f>IFERROR(__xludf.DUMMYFUNCTION("IFERROR(AVERAGE(query(INDIRECT(""'FR Table'!"" &amp; vlookup(rows($A$1:$A720),Reference!$O:$P,2,false) &amp; ""3:"" &amp; vlookup(rows($A$1:$A720),Reference!$O:$P,2,false)), 
""SELECT "" &amp; vlookup(rows($A$1:$A720),Reference!$O:$P,2,false) 
&amp; "" WHERE "" &amp; vlookup(row"&amp;"s($A$1:$A720),Reference!$O:$P,2,false) &amp;
"" &gt;= "" &amp; Reference!$R$2)) * M721,"""")"),"")</f>
        <v/>
      </c>
      <c r="O721" s="84" t="str">
        <f t="shared" si="2"/>
        <v/>
      </c>
    </row>
    <row r="722">
      <c r="A722" s="84"/>
      <c r="B722" s="84"/>
      <c r="C722" s="85"/>
      <c r="D722" s="86"/>
      <c r="E722" s="87"/>
      <c r="F722" s="86"/>
      <c r="G722" s="87"/>
      <c r="H722" s="86"/>
      <c r="I722" s="86"/>
      <c r="J722" s="86"/>
      <c r="K722" s="84"/>
      <c r="L722" s="84" t="str">
        <f>IFERROR(__xludf.DUMMYFUNCTION("IF(A722="""","""", COUNT(SPLIT(K722,"";"")))"),"")</f>
        <v/>
      </c>
      <c r="M722" s="84" t="str">
        <f t="shared" si="1"/>
        <v/>
      </c>
      <c r="N722" s="84" t="str">
        <f>IFERROR(__xludf.DUMMYFUNCTION("IFERROR(AVERAGE(query(INDIRECT(""'FR Table'!"" &amp; vlookup(rows($A$1:$A721),Reference!$O:$P,2,false) &amp; ""3:"" &amp; vlookup(rows($A$1:$A721),Reference!$O:$P,2,false)), 
""SELECT "" &amp; vlookup(rows($A$1:$A721),Reference!$O:$P,2,false) 
&amp; "" WHERE "" &amp; vlookup(row"&amp;"s($A$1:$A721),Reference!$O:$P,2,false) &amp;
"" &gt;= "" &amp; Reference!$R$2)) * M722,"""")"),"")</f>
        <v/>
      </c>
      <c r="O722" s="84" t="str">
        <f t="shared" si="2"/>
        <v/>
      </c>
    </row>
    <row r="723">
      <c r="A723" s="84"/>
      <c r="B723" s="84"/>
      <c r="C723" s="85"/>
      <c r="D723" s="86"/>
      <c r="E723" s="87"/>
      <c r="F723" s="86"/>
      <c r="G723" s="87"/>
      <c r="H723" s="86"/>
      <c r="I723" s="86"/>
      <c r="J723" s="86"/>
      <c r="K723" s="84"/>
      <c r="L723" s="84" t="str">
        <f>IFERROR(__xludf.DUMMYFUNCTION("IF(A723="""","""", COUNT(SPLIT(K723,"";"")))"),"")</f>
        <v/>
      </c>
      <c r="M723" s="84" t="str">
        <f t="shared" si="1"/>
        <v/>
      </c>
      <c r="N723" s="84" t="str">
        <f>IFERROR(__xludf.DUMMYFUNCTION("IFERROR(AVERAGE(query(INDIRECT(""'FR Table'!"" &amp; vlookup(rows($A$1:$A722),Reference!$O:$P,2,false) &amp; ""3:"" &amp; vlookup(rows($A$1:$A722),Reference!$O:$P,2,false)), 
""SELECT "" &amp; vlookup(rows($A$1:$A722),Reference!$O:$P,2,false) 
&amp; "" WHERE "" &amp; vlookup(row"&amp;"s($A$1:$A722),Reference!$O:$P,2,false) &amp;
"" &gt;= "" &amp; Reference!$R$2)) * M723,"""")"),"")</f>
        <v/>
      </c>
      <c r="O723" s="84" t="str">
        <f t="shared" si="2"/>
        <v/>
      </c>
    </row>
    <row r="724">
      <c r="A724" s="84"/>
      <c r="B724" s="84"/>
      <c r="C724" s="85"/>
      <c r="D724" s="86"/>
      <c r="E724" s="87"/>
      <c r="F724" s="86"/>
      <c r="G724" s="87"/>
      <c r="H724" s="86"/>
      <c r="I724" s="86"/>
      <c r="J724" s="86"/>
      <c r="K724" s="84"/>
      <c r="L724" s="84" t="str">
        <f>IFERROR(__xludf.DUMMYFUNCTION("IF(A724="""","""", COUNT(SPLIT(K724,"";"")))"),"")</f>
        <v/>
      </c>
      <c r="M724" s="84" t="str">
        <f t="shared" si="1"/>
        <v/>
      </c>
      <c r="N724" s="84" t="str">
        <f>IFERROR(__xludf.DUMMYFUNCTION("IFERROR(AVERAGE(query(INDIRECT(""'FR Table'!"" &amp; vlookup(rows($A$1:$A723),Reference!$O:$P,2,false) &amp; ""3:"" &amp; vlookup(rows($A$1:$A723),Reference!$O:$P,2,false)), 
""SELECT "" &amp; vlookup(rows($A$1:$A723),Reference!$O:$P,2,false) 
&amp; "" WHERE "" &amp; vlookup(row"&amp;"s($A$1:$A723),Reference!$O:$P,2,false) &amp;
"" &gt;= "" &amp; Reference!$R$2)) * M724,"""")"),"")</f>
        <v/>
      </c>
      <c r="O724" s="84" t="str">
        <f t="shared" si="2"/>
        <v/>
      </c>
    </row>
    <row r="725">
      <c r="A725" s="84"/>
      <c r="B725" s="84"/>
      <c r="C725" s="85"/>
      <c r="D725" s="86"/>
      <c r="E725" s="87"/>
      <c r="F725" s="86"/>
      <c r="G725" s="87"/>
      <c r="H725" s="86"/>
      <c r="I725" s="86"/>
      <c r="J725" s="86"/>
      <c r="K725" s="84"/>
      <c r="L725" s="84" t="str">
        <f>IFERROR(__xludf.DUMMYFUNCTION("IF(A725="""","""", COUNT(SPLIT(K725,"";"")))"),"")</f>
        <v/>
      </c>
      <c r="M725" s="84" t="str">
        <f t="shared" si="1"/>
        <v/>
      </c>
      <c r="N725" s="84" t="str">
        <f>IFERROR(__xludf.DUMMYFUNCTION("IFERROR(AVERAGE(query(INDIRECT(""'FR Table'!"" &amp; vlookup(rows($A$1:$A724),Reference!$O:$P,2,false) &amp; ""3:"" &amp; vlookup(rows($A$1:$A724),Reference!$O:$P,2,false)), 
""SELECT "" &amp; vlookup(rows($A$1:$A724),Reference!$O:$P,2,false) 
&amp; "" WHERE "" &amp; vlookup(row"&amp;"s($A$1:$A724),Reference!$O:$P,2,false) &amp;
"" &gt;= "" &amp; Reference!$R$2)) * M725,"""")"),"")</f>
        <v/>
      </c>
      <c r="O725" s="84" t="str">
        <f t="shared" si="2"/>
        <v/>
      </c>
    </row>
    <row r="726">
      <c r="A726" s="84"/>
      <c r="B726" s="84"/>
      <c r="C726" s="85"/>
      <c r="D726" s="86"/>
      <c r="E726" s="87"/>
      <c r="F726" s="86"/>
      <c r="G726" s="87"/>
      <c r="H726" s="86"/>
      <c r="I726" s="86"/>
      <c r="J726" s="86"/>
      <c r="K726" s="84"/>
      <c r="L726" s="84" t="str">
        <f>IFERROR(__xludf.DUMMYFUNCTION("IF(A726="""","""", COUNT(SPLIT(K726,"";"")))"),"")</f>
        <v/>
      </c>
      <c r="M726" s="84" t="str">
        <f t="shared" si="1"/>
        <v/>
      </c>
      <c r="N726" s="84" t="str">
        <f>IFERROR(__xludf.DUMMYFUNCTION("IFERROR(AVERAGE(query(INDIRECT(""'FR Table'!"" &amp; vlookup(rows($A$1:$A725),Reference!$O:$P,2,false) &amp; ""3:"" &amp; vlookup(rows($A$1:$A725),Reference!$O:$P,2,false)), 
""SELECT "" &amp; vlookup(rows($A$1:$A725),Reference!$O:$P,2,false) 
&amp; "" WHERE "" &amp; vlookup(row"&amp;"s($A$1:$A725),Reference!$O:$P,2,false) &amp;
"" &gt;= "" &amp; Reference!$R$2)) * M726,"""")"),"")</f>
        <v/>
      </c>
      <c r="O726" s="84" t="str">
        <f t="shared" si="2"/>
        <v/>
      </c>
    </row>
    <row r="727">
      <c r="A727" s="84"/>
      <c r="B727" s="84"/>
      <c r="C727" s="85"/>
      <c r="D727" s="86"/>
      <c r="E727" s="87"/>
      <c r="F727" s="86"/>
      <c r="G727" s="87"/>
      <c r="H727" s="86"/>
      <c r="I727" s="86"/>
      <c r="J727" s="86"/>
      <c r="K727" s="84"/>
      <c r="L727" s="84" t="str">
        <f>IFERROR(__xludf.DUMMYFUNCTION("IF(A727="""","""", COUNT(SPLIT(K727,"";"")))"),"")</f>
        <v/>
      </c>
      <c r="M727" s="84" t="str">
        <f t="shared" si="1"/>
        <v/>
      </c>
      <c r="N727" s="84" t="str">
        <f>IFERROR(__xludf.DUMMYFUNCTION("IFERROR(AVERAGE(query(INDIRECT(""'FR Table'!"" &amp; vlookup(rows($A$1:$A726),Reference!$O:$P,2,false) &amp; ""3:"" &amp; vlookup(rows($A$1:$A726),Reference!$O:$P,2,false)), 
""SELECT "" &amp; vlookup(rows($A$1:$A726),Reference!$O:$P,2,false) 
&amp; "" WHERE "" &amp; vlookup(row"&amp;"s($A$1:$A726),Reference!$O:$P,2,false) &amp;
"" &gt;= "" &amp; Reference!$R$2)) * M727,"""")"),"")</f>
        <v/>
      </c>
      <c r="O727" s="84" t="str">
        <f t="shared" si="2"/>
        <v/>
      </c>
    </row>
    <row r="728">
      <c r="A728" s="84"/>
      <c r="B728" s="84"/>
      <c r="C728" s="85"/>
      <c r="D728" s="86"/>
      <c r="E728" s="87"/>
      <c r="F728" s="86"/>
      <c r="G728" s="87"/>
      <c r="H728" s="86"/>
      <c r="I728" s="86"/>
      <c r="J728" s="86"/>
      <c r="K728" s="84"/>
      <c r="L728" s="84" t="str">
        <f>IFERROR(__xludf.DUMMYFUNCTION("IF(A728="""","""", COUNT(SPLIT(K728,"";"")))"),"")</f>
        <v/>
      </c>
      <c r="M728" s="84" t="str">
        <f t="shared" si="1"/>
        <v/>
      </c>
      <c r="N728" s="84" t="str">
        <f>IFERROR(__xludf.DUMMYFUNCTION("IFERROR(AVERAGE(query(INDIRECT(""'FR Table'!"" &amp; vlookup(rows($A$1:$A727),Reference!$O:$P,2,false) &amp; ""3:"" &amp; vlookup(rows($A$1:$A727),Reference!$O:$P,2,false)), 
""SELECT "" &amp; vlookup(rows($A$1:$A727),Reference!$O:$P,2,false) 
&amp; "" WHERE "" &amp; vlookup(row"&amp;"s($A$1:$A727),Reference!$O:$P,2,false) &amp;
"" &gt;= "" &amp; Reference!$R$2)) * M728,"""")"),"")</f>
        <v/>
      </c>
      <c r="O728" s="84" t="str">
        <f t="shared" si="2"/>
        <v/>
      </c>
    </row>
    <row r="729">
      <c r="A729" s="84"/>
      <c r="B729" s="84"/>
      <c r="C729" s="85"/>
      <c r="D729" s="86"/>
      <c r="E729" s="87"/>
      <c r="F729" s="86"/>
      <c r="G729" s="87"/>
      <c r="H729" s="86"/>
      <c r="I729" s="86"/>
      <c r="J729" s="86"/>
      <c r="K729" s="84"/>
      <c r="L729" s="84" t="str">
        <f>IFERROR(__xludf.DUMMYFUNCTION("IF(A729="""","""", COUNT(SPLIT(K729,"";"")))"),"")</f>
        <v/>
      </c>
      <c r="M729" s="84" t="str">
        <f t="shared" si="1"/>
        <v/>
      </c>
      <c r="N729" s="84" t="str">
        <f>IFERROR(__xludf.DUMMYFUNCTION("IFERROR(AVERAGE(query(INDIRECT(""'FR Table'!"" &amp; vlookup(rows($A$1:$A728),Reference!$O:$P,2,false) &amp; ""3:"" &amp; vlookup(rows($A$1:$A728),Reference!$O:$P,2,false)), 
""SELECT "" &amp; vlookup(rows($A$1:$A728),Reference!$O:$P,2,false) 
&amp; "" WHERE "" &amp; vlookup(row"&amp;"s($A$1:$A728),Reference!$O:$P,2,false) &amp;
"" &gt;= "" &amp; Reference!$R$2)) * M729,"""")"),"")</f>
        <v/>
      </c>
      <c r="O729" s="84" t="str">
        <f t="shared" si="2"/>
        <v/>
      </c>
    </row>
    <row r="730">
      <c r="A730" s="84"/>
      <c r="B730" s="84"/>
      <c r="C730" s="85"/>
      <c r="D730" s="86"/>
      <c r="E730" s="87"/>
      <c r="F730" s="86"/>
      <c r="G730" s="87"/>
      <c r="H730" s="86"/>
      <c r="I730" s="86"/>
      <c r="J730" s="86"/>
      <c r="K730" s="84"/>
      <c r="L730" s="84" t="str">
        <f>IFERROR(__xludf.DUMMYFUNCTION("IF(A730="""","""", COUNT(SPLIT(K730,"";"")))"),"")</f>
        <v/>
      </c>
      <c r="M730" s="84" t="str">
        <f t="shared" si="1"/>
        <v/>
      </c>
      <c r="N730" s="84" t="str">
        <f>IFERROR(__xludf.DUMMYFUNCTION("IFERROR(AVERAGE(query(INDIRECT(""'FR Table'!"" &amp; vlookup(rows($A$1:$A729),Reference!$O:$P,2,false) &amp; ""3:"" &amp; vlookup(rows($A$1:$A729),Reference!$O:$P,2,false)), 
""SELECT "" &amp; vlookup(rows($A$1:$A729),Reference!$O:$P,2,false) 
&amp; "" WHERE "" &amp; vlookup(row"&amp;"s($A$1:$A729),Reference!$O:$P,2,false) &amp;
"" &gt;= "" &amp; Reference!$R$2)) * M730,"""")"),"")</f>
        <v/>
      </c>
      <c r="O730" s="84" t="str">
        <f t="shared" si="2"/>
        <v/>
      </c>
    </row>
    <row r="731">
      <c r="A731" s="84"/>
      <c r="B731" s="84"/>
      <c r="C731" s="85"/>
      <c r="D731" s="86"/>
      <c r="E731" s="87"/>
      <c r="F731" s="86"/>
      <c r="G731" s="87"/>
      <c r="H731" s="86"/>
      <c r="I731" s="86"/>
      <c r="J731" s="86"/>
      <c r="K731" s="84"/>
      <c r="L731" s="84" t="str">
        <f>IFERROR(__xludf.DUMMYFUNCTION("IF(A731="""","""", COUNT(SPLIT(K731,"";"")))"),"")</f>
        <v/>
      </c>
      <c r="M731" s="84" t="str">
        <f t="shared" si="1"/>
        <v/>
      </c>
      <c r="N731" s="84" t="str">
        <f>IFERROR(__xludf.DUMMYFUNCTION("IFERROR(AVERAGE(query(INDIRECT(""'FR Table'!"" &amp; vlookup(rows($A$1:$A730),Reference!$O:$P,2,false) &amp; ""3:"" &amp; vlookup(rows($A$1:$A730),Reference!$O:$P,2,false)), 
""SELECT "" &amp; vlookup(rows($A$1:$A730),Reference!$O:$P,2,false) 
&amp; "" WHERE "" &amp; vlookup(row"&amp;"s($A$1:$A730),Reference!$O:$P,2,false) &amp;
"" &gt;= "" &amp; Reference!$R$2)) * M731,"""")"),"")</f>
        <v/>
      </c>
      <c r="O731" s="84" t="str">
        <f t="shared" si="2"/>
        <v/>
      </c>
    </row>
    <row r="732">
      <c r="A732" s="84"/>
      <c r="B732" s="84"/>
      <c r="C732" s="85"/>
      <c r="D732" s="86"/>
      <c r="E732" s="87"/>
      <c r="F732" s="86"/>
      <c r="G732" s="87"/>
      <c r="H732" s="86"/>
      <c r="I732" s="86"/>
      <c r="J732" s="86"/>
      <c r="K732" s="84"/>
      <c r="L732" s="84" t="str">
        <f>IFERROR(__xludf.DUMMYFUNCTION("IF(A732="""","""", COUNT(SPLIT(K732,"";"")))"),"")</f>
        <v/>
      </c>
      <c r="M732" s="84" t="str">
        <f t="shared" si="1"/>
        <v/>
      </c>
      <c r="N732" s="84" t="str">
        <f>IFERROR(__xludf.DUMMYFUNCTION("IFERROR(AVERAGE(query(INDIRECT(""'FR Table'!"" &amp; vlookup(rows($A$1:$A731),Reference!$O:$P,2,false) &amp; ""3:"" &amp; vlookup(rows($A$1:$A731),Reference!$O:$P,2,false)), 
""SELECT "" &amp; vlookup(rows($A$1:$A731),Reference!$O:$P,2,false) 
&amp; "" WHERE "" &amp; vlookup(row"&amp;"s($A$1:$A731),Reference!$O:$P,2,false) &amp;
"" &gt;= "" &amp; Reference!$R$2)) * M732,"""")"),"")</f>
        <v/>
      </c>
      <c r="O732" s="84" t="str">
        <f t="shared" si="2"/>
        <v/>
      </c>
    </row>
    <row r="733">
      <c r="A733" s="84"/>
      <c r="B733" s="84"/>
      <c r="C733" s="85"/>
      <c r="D733" s="86"/>
      <c r="E733" s="87"/>
      <c r="F733" s="86"/>
      <c r="G733" s="87"/>
      <c r="H733" s="86"/>
      <c r="I733" s="86"/>
      <c r="J733" s="86"/>
      <c r="K733" s="84"/>
      <c r="L733" s="84" t="str">
        <f>IFERROR(__xludf.DUMMYFUNCTION("IF(A733="""","""", COUNT(SPLIT(K733,"";"")))"),"")</f>
        <v/>
      </c>
      <c r="M733" s="84" t="str">
        <f t="shared" si="1"/>
        <v/>
      </c>
      <c r="N733" s="84" t="str">
        <f>IFERROR(__xludf.DUMMYFUNCTION("IFERROR(AVERAGE(query(INDIRECT(""'FR Table'!"" &amp; vlookup(rows($A$1:$A732),Reference!$O:$P,2,false) &amp; ""3:"" &amp; vlookup(rows($A$1:$A732),Reference!$O:$P,2,false)), 
""SELECT "" &amp; vlookup(rows($A$1:$A732),Reference!$O:$P,2,false) 
&amp; "" WHERE "" &amp; vlookup(row"&amp;"s($A$1:$A732),Reference!$O:$P,2,false) &amp;
"" &gt;= "" &amp; Reference!$R$2)) * M733,"""")"),"")</f>
        <v/>
      </c>
      <c r="O733" s="84" t="str">
        <f t="shared" si="2"/>
        <v/>
      </c>
    </row>
    <row r="734">
      <c r="A734" s="84"/>
      <c r="B734" s="84"/>
      <c r="C734" s="85"/>
      <c r="D734" s="86"/>
      <c r="E734" s="87"/>
      <c r="F734" s="86"/>
      <c r="G734" s="87"/>
      <c r="H734" s="86"/>
      <c r="I734" s="86"/>
      <c r="J734" s="86"/>
      <c r="K734" s="84"/>
      <c r="L734" s="84" t="str">
        <f>IFERROR(__xludf.DUMMYFUNCTION("IF(A734="""","""", COUNT(SPLIT(K734,"";"")))"),"")</f>
        <v/>
      </c>
      <c r="M734" s="84" t="str">
        <f t="shared" si="1"/>
        <v/>
      </c>
      <c r="N734" s="84" t="str">
        <f>IFERROR(__xludf.DUMMYFUNCTION("IFERROR(AVERAGE(query(INDIRECT(""'FR Table'!"" &amp; vlookup(rows($A$1:$A733),Reference!$O:$P,2,false) &amp; ""3:"" &amp; vlookup(rows($A$1:$A733),Reference!$O:$P,2,false)), 
""SELECT "" &amp; vlookup(rows($A$1:$A733),Reference!$O:$P,2,false) 
&amp; "" WHERE "" &amp; vlookup(row"&amp;"s($A$1:$A733),Reference!$O:$P,2,false) &amp;
"" &gt;= "" &amp; Reference!$R$2)) * M734,"""")"),"")</f>
        <v/>
      </c>
      <c r="O734" s="84" t="str">
        <f t="shared" si="2"/>
        <v/>
      </c>
    </row>
    <row r="735">
      <c r="A735" s="84"/>
      <c r="B735" s="84"/>
      <c r="C735" s="85"/>
      <c r="D735" s="86"/>
      <c r="E735" s="87"/>
      <c r="F735" s="86"/>
      <c r="G735" s="87"/>
      <c r="H735" s="86"/>
      <c r="I735" s="86"/>
      <c r="J735" s="86"/>
      <c r="K735" s="84"/>
      <c r="L735" s="84" t="str">
        <f>IFERROR(__xludf.DUMMYFUNCTION("IF(A735="""","""", COUNT(SPLIT(K735,"";"")))"),"")</f>
        <v/>
      </c>
      <c r="M735" s="84" t="str">
        <f t="shared" si="1"/>
        <v/>
      </c>
      <c r="N735" s="84" t="str">
        <f>IFERROR(__xludf.DUMMYFUNCTION("IFERROR(AVERAGE(query(INDIRECT(""'FR Table'!"" &amp; vlookup(rows($A$1:$A734),Reference!$O:$P,2,false) &amp; ""3:"" &amp; vlookup(rows($A$1:$A734),Reference!$O:$P,2,false)), 
""SELECT "" &amp; vlookup(rows($A$1:$A734),Reference!$O:$P,2,false) 
&amp; "" WHERE "" &amp; vlookup(row"&amp;"s($A$1:$A734),Reference!$O:$P,2,false) &amp;
"" &gt;= "" &amp; Reference!$R$2)) * M735,"""")"),"")</f>
        <v/>
      </c>
      <c r="O735" s="84" t="str">
        <f t="shared" si="2"/>
        <v/>
      </c>
    </row>
    <row r="736">
      <c r="A736" s="84"/>
      <c r="B736" s="84"/>
      <c r="C736" s="85"/>
      <c r="D736" s="86"/>
      <c r="E736" s="87"/>
      <c r="F736" s="86"/>
      <c r="G736" s="87"/>
      <c r="H736" s="86"/>
      <c r="I736" s="86"/>
      <c r="J736" s="86"/>
      <c r="K736" s="84"/>
      <c r="L736" s="84" t="str">
        <f>IFERROR(__xludf.DUMMYFUNCTION("IF(A736="""","""", COUNT(SPLIT(K736,"";"")))"),"")</f>
        <v/>
      </c>
      <c r="M736" s="84" t="str">
        <f t="shared" si="1"/>
        <v/>
      </c>
      <c r="N736" s="84" t="str">
        <f>IFERROR(__xludf.DUMMYFUNCTION("IFERROR(AVERAGE(query(INDIRECT(""'FR Table'!"" &amp; vlookup(rows($A$1:$A735),Reference!$O:$P,2,false) &amp; ""3:"" &amp; vlookup(rows($A$1:$A735),Reference!$O:$P,2,false)), 
""SELECT "" &amp; vlookup(rows($A$1:$A735),Reference!$O:$P,2,false) 
&amp; "" WHERE "" &amp; vlookup(row"&amp;"s($A$1:$A735),Reference!$O:$P,2,false) &amp;
"" &gt;= "" &amp; Reference!$R$2)) * M736,"""")"),"")</f>
        <v/>
      </c>
      <c r="O736" s="84" t="str">
        <f t="shared" si="2"/>
        <v/>
      </c>
    </row>
    <row r="737">
      <c r="A737" s="84"/>
      <c r="B737" s="84"/>
      <c r="C737" s="85"/>
      <c r="D737" s="86"/>
      <c r="E737" s="87"/>
      <c r="F737" s="86"/>
      <c r="G737" s="87"/>
      <c r="H737" s="86"/>
      <c r="I737" s="86"/>
      <c r="J737" s="86"/>
      <c r="K737" s="84"/>
      <c r="L737" s="84" t="str">
        <f>IFERROR(__xludf.DUMMYFUNCTION("IF(A737="""","""", COUNT(SPLIT(K737,"";"")))"),"")</f>
        <v/>
      </c>
      <c r="M737" s="84" t="str">
        <f t="shared" si="1"/>
        <v/>
      </c>
      <c r="N737" s="84" t="str">
        <f>IFERROR(__xludf.DUMMYFUNCTION("IFERROR(AVERAGE(query(INDIRECT(""'FR Table'!"" &amp; vlookup(rows($A$1:$A736),Reference!$O:$P,2,false) &amp; ""3:"" &amp; vlookup(rows($A$1:$A736),Reference!$O:$P,2,false)), 
""SELECT "" &amp; vlookup(rows($A$1:$A736),Reference!$O:$P,2,false) 
&amp; "" WHERE "" &amp; vlookup(row"&amp;"s($A$1:$A736),Reference!$O:$P,2,false) &amp;
"" &gt;= "" &amp; Reference!$R$2)) * M737,"""")"),"")</f>
        <v/>
      </c>
      <c r="O737" s="84" t="str">
        <f t="shared" si="2"/>
        <v/>
      </c>
    </row>
    <row r="738">
      <c r="A738" s="84"/>
      <c r="B738" s="84"/>
      <c r="C738" s="85"/>
      <c r="D738" s="86"/>
      <c r="E738" s="87"/>
      <c r="F738" s="86"/>
      <c r="G738" s="87"/>
      <c r="H738" s="86"/>
      <c r="I738" s="86"/>
      <c r="J738" s="86"/>
      <c r="K738" s="84"/>
      <c r="L738" s="84" t="str">
        <f>IFERROR(__xludf.DUMMYFUNCTION("IF(A738="""","""", COUNT(SPLIT(K738,"";"")))"),"")</f>
        <v/>
      </c>
      <c r="M738" s="84" t="str">
        <f t="shared" si="1"/>
        <v/>
      </c>
      <c r="N738" s="84" t="str">
        <f>IFERROR(__xludf.DUMMYFUNCTION("IFERROR(AVERAGE(query(INDIRECT(""'FR Table'!"" &amp; vlookup(rows($A$1:$A737),Reference!$O:$P,2,false) &amp; ""3:"" &amp; vlookup(rows($A$1:$A737),Reference!$O:$P,2,false)), 
""SELECT "" &amp; vlookup(rows($A$1:$A737),Reference!$O:$P,2,false) 
&amp; "" WHERE "" &amp; vlookup(row"&amp;"s($A$1:$A737),Reference!$O:$P,2,false) &amp;
"" &gt;= "" &amp; Reference!$R$2)) * M738,"""")"),"")</f>
        <v/>
      </c>
      <c r="O738" s="84" t="str">
        <f t="shared" si="2"/>
        <v/>
      </c>
    </row>
    <row r="739">
      <c r="A739" s="84"/>
      <c r="B739" s="84"/>
      <c r="C739" s="85"/>
      <c r="D739" s="86"/>
      <c r="E739" s="87"/>
      <c r="F739" s="86"/>
      <c r="G739" s="87"/>
      <c r="H739" s="86"/>
      <c r="I739" s="86"/>
      <c r="J739" s="86"/>
      <c r="K739" s="84"/>
      <c r="L739" s="84" t="str">
        <f>IFERROR(__xludf.DUMMYFUNCTION("IF(A739="""","""", COUNT(SPLIT(K739,"";"")))"),"")</f>
        <v/>
      </c>
      <c r="M739" s="84" t="str">
        <f t="shared" si="1"/>
        <v/>
      </c>
      <c r="N739" s="84" t="str">
        <f>IFERROR(__xludf.DUMMYFUNCTION("IFERROR(AVERAGE(query(INDIRECT(""'FR Table'!"" &amp; vlookup(rows($A$1:$A738),Reference!$O:$P,2,false) &amp; ""3:"" &amp; vlookup(rows($A$1:$A738),Reference!$O:$P,2,false)), 
""SELECT "" &amp; vlookup(rows($A$1:$A738),Reference!$O:$P,2,false) 
&amp; "" WHERE "" &amp; vlookup(row"&amp;"s($A$1:$A738),Reference!$O:$P,2,false) &amp;
"" &gt;= "" &amp; Reference!$R$2)) * M739,"""")"),"")</f>
        <v/>
      </c>
      <c r="O739" s="84" t="str">
        <f t="shared" si="2"/>
        <v/>
      </c>
    </row>
    <row r="740">
      <c r="A740" s="84"/>
      <c r="B740" s="84"/>
      <c r="C740" s="85"/>
      <c r="D740" s="86"/>
      <c r="E740" s="87"/>
      <c r="F740" s="86"/>
      <c r="G740" s="87"/>
      <c r="H740" s="86"/>
      <c r="I740" s="86"/>
      <c r="J740" s="86"/>
      <c r="K740" s="84"/>
      <c r="L740" s="84" t="str">
        <f>IFERROR(__xludf.DUMMYFUNCTION("IF(A740="""","""", COUNT(SPLIT(K740,"";"")))"),"")</f>
        <v/>
      </c>
      <c r="M740" s="84" t="str">
        <f t="shared" si="1"/>
        <v/>
      </c>
      <c r="N740" s="84" t="str">
        <f>IFERROR(__xludf.DUMMYFUNCTION("IFERROR(AVERAGE(query(INDIRECT(""'FR Table'!"" &amp; vlookup(rows($A$1:$A739),Reference!$O:$P,2,false) &amp; ""3:"" &amp; vlookup(rows($A$1:$A739),Reference!$O:$P,2,false)), 
""SELECT "" &amp; vlookup(rows($A$1:$A739),Reference!$O:$P,2,false) 
&amp; "" WHERE "" &amp; vlookup(row"&amp;"s($A$1:$A739),Reference!$O:$P,2,false) &amp;
"" &gt;= "" &amp; Reference!$R$2)) * M740,"""")"),"")</f>
        <v/>
      </c>
      <c r="O740" s="84" t="str">
        <f t="shared" si="2"/>
        <v/>
      </c>
    </row>
    <row r="741">
      <c r="A741" s="84"/>
      <c r="B741" s="84"/>
      <c r="C741" s="85"/>
      <c r="D741" s="86"/>
      <c r="E741" s="87"/>
      <c r="F741" s="86"/>
      <c r="G741" s="87"/>
      <c r="H741" s="86"/>
      <c r="I741" s="86"/>
      <c r="J741" s="86"/>
      <c r="K741" s="84"/>
      <c r="L741" s="84" t="str">
        <f>IFERROR(__xludf.DUMMYFUNCTION("IF(A741="""","""", COUNT(SPLIT(K741,"";"")))"),"")</f>
        <v/>
      </c>
      <c r="M741" s="84" t="str">
        <f t="shared" si="1"/>
        <v/>
      </c>
      <c r="N741" s="84" t="str">
        <f>IFERROR(__xludf.DUMMYFUNCTION("IFERROR(AVERAGE(query(INDIRECT(""'FR Table'!"" &amp; vlookup(rows($A$1:$A740),Reference!$O:$P,2,false) &amp; ""3:"" &amp; vlookup(rows($A$1:$A740),Reference!$O:$P,2,false)), 
""SELECT "" &amp; vlookup(rows($A$1:$A740),Reference!$O:$P,2,false) 
&amp; "" WHERE "" &amp; vlookup(row"&amp;"s($A$1:$A740),Reference!$O:$P,2,false) &amp;
"" &gt;= "" &amp; Reference!$R$2)) * M741,"""")"),"")</f>
        <v/>
      </c>
      <c r="O741" s="84" t="str">
        <f t="shared" si="2"/>
        <v/>
      </c>
    </row>
    <row r="742">
      <c r="A742" s="84"/>
      <c r="B742" s="84"/>
      <c r="C742" s="85"/>
      <c r="D742" s="86"/>
      <c r="E742" s="87"/>
      <c r="F742" s="86"/>
      <c r="G742" s="87"/>
      <c r="H742" s="86"/>
      <c r="I742" s="86"/>
      <c r="J742" s="86"/>
      <c r="K742" s="84"/>
      <c r="L742" s="84" t="str">
        <f>IFERROR(__xludf.DUMMYFUNCTION("IF(A742="""","""", COUNT(SPLIT(K742,"";"")))"),"")</f>
        <v/>
      </c>
      <c r="M742" s="84" t="str">
        <f t="shared" si="1"/>
        <v/>
      </c>
      <c r="N742" s="84" t="str">
        <f>IFERROR(__xludf.DUMMYFUNCTION("IFERROR(AVERAGE(query(INDIRECT(""'FR Table'!"" &amp; vlookup(rows($A$1:$A741),Reference!$O:$P,2,false) &amp; ""3:"" &amp; vlookup(rows($A$1:$A741),Reference!$O:$P,2,false)), 
""SELECT "" &amp; vlookup(rows($A$1:$A741),Reference!$O:$P,2,false) 
&amp; "" WHERE "" &amp; vlookup(row"&amp;"s($A$1:$A741),Reference!$O:$P,2,false) &amp;
"" &gt;= "" &amp; Reference!$R$2)) * M742,"""")"),"")</f>
        <v/>
      </c>
      <c r="O742" s="84" t="str">
        <f t="shared" si="2"/>
        <v/>
      </c>
    </row>
    <row r="743">
      <c r="A743" s="84"/>
      <c r="B743" s="84"/>
      <c r="C743" s="85"/>
      <c r="D743" s="86"/>
      <c r="E743" s="87"/>
      <c r="F743" s="86"/>
      <c r="G743" s="87"/>
      <c r="H743" s="86"/>
      <c r="I743" s="86"/>
      <c r="J743" s="86"/>
      <c r="K743" s="84"/>
      <c r="L743" s="84" t="str">
        <f>IFERROR(__xludf.DUMMYFUNCTION("IF(A743="""","""", COUNT(SPLIT(K743,"";"")))"),"")</f>
        <v/>
      </c>
      <c r="M743" s="84" t="str">
        <f t="shared" si="1"/>
        <v/>
      </c>
      <c r="N743" s="84" t="str">
        <f>IFERROR(__xludf.DUMMYFUNCTION("IFERROR(AVERAGE(query(INDIRECT(""'FR Table'!"" &amp; vlookup(rows($A$1:$A742),Reference!$O:$P,2,false) &amp; ""3:"" &amp; vlookup(rows($A$1:$A742),Reference!$O:$P,2,false)), 
""SELECT "" &amp; vlookup(rows($A$1:$A742),Reference!$O:$P,2,false) 
&amp; "" WHERE "" &amp; vlookup(row"&amp;"s($A$1:$A742),Reference!$O:$P,2,false) &amp;
"" &gt;= "" &amp; Reference!$R$2)) * M743,"""")"),"")</f>
        <v/>
      </c>
      <c r="O743" s="84" t="str">
        <f t="shared" si="2"/>
        <v/>
      </c>
    </row>
    <row r="744">
      <c r="A744" s="84"/>
      <c r="B744" s="84"/>
      <c r="C744" s="85"/>
      <c r="D744" s="86"/>
      <c r="E744" s="87"/>
      <c r="F744" s="86"/>
      <c r="G744" s="87"/>
      <c r="H744" s="86"/>
      <c r="I744" s="86"/>
      <c r="J744" s="86"/>
      <c r="K744" s="84"/>
      <c r="L744" s="84" t="str">
        <f>IFERROR(__xludf.DUMMYFUNCTION("IF(A744="""","""", COUNT(SPLIT(K744,"";"")))"),"")</f>
        <v/>
      </c>
      <c r="M744" s="84" t="str">
        <f t="shared" si="1"/>
        <v/>
      </c>
      <c r="N744" s="84" t="str">
        <f>IFERROR(__xludf.DUMMYFUNCTION("IFERROR(AVERAGE(query(INDIRECT(""'FR Table'!"" &amp; vlookup(rows($A$1:$A743),Reference!$O:$P,2,false) &amp; ""3:"" &amp; vlookup(rows($A$1:$A743),Reference!$O:$P,2,false)), 
""SELECT "" &amp; vlookup(rows($A$1:$A743),Reference!$O:$P,2,false) 
&amp; "" WHERE "" &amp; vlookup(row"&amp;"s($A$1:$A743),Reference!$O:$P,2,false) &amp;
"" &gt;= "" &amp; Reference!$R$2)) * M744,"""")"),"")</f>
        <v/>
      </c>
      <c r="O744" s="84" t="str">
        <f t="shared" si="2"/>
        <v/>
      </c>
    </row>
    <row r="745">
      <c r="A745" s="84"/>
      <c r="B745" s="84"/>
      <c r="C745" s="85"/>
      <c r="D745" s="86"/>
      <c r="E745" s="87"/>
      <c r="F745" s="86"/>
      <c r="G745" s="87"/>
      <c r="H745" s="86"/>
      <c r="I745" s="86"/>
      <c r="J745" s="86"/>
      <c r="K745" s="84"/>
      <c r="L745" s="84" t="str">
        <f>IFERROR(__xludf.DUMMYFUNCTION("IF(A745="""","""", COUNT(SPLIT(K745,"";"")))"),"")</f>
        <v/>
      </c>
      <c r="M745" s="84" t="str">
        <f t="shared" si="1"/>
        <v/>
      </c>
      <c r="N745" s="84" t="str">
        <f>IFERROR(__xludf.DUMMYFUNCTION("IFERROR(AVERAGE(query(INDIRECT(""'FR Table'!"" &amp; vlookup(rows($A$1:$A744),Reference!$O:$P,2,false) &amp; ""3:"" &amp; vlookup(rows($A$1:$A744),Reference!$O:$P,2,false)), 
""SELECT "" &amp; vlookup(rows($A$1:$A744),Reference!$O:$P,2,false) 
&amp; "" WHERE "" &amp; vlookup(row"&amp;"s($A$1:$A744),Reference!$O:$P,2,false) &amp;
"" &gt;= "" &amp; Reference!$R$2)) * M745,"""")"),"")</f>
        <v/>
      </c>
      <c r="O745" s="84" t="str">
        <f t="shared" si="2"/>
        <v/>
      </c>
    </row>
    <row r="746">
      <c r="A746" s="84"/>
      <c r="B746" s="84"/>
      <c r="C746" s="85"/>
      <c r="D746" s="86"/>
      <c r="E746" s="87"/>
      <c r="F746" s="86"/>
      <c r="G746" s="87"/>
      <c r="H746" s="86"/>
      <c r="I746" s="86"/>
      <c r="J746" s="86"/>
      <c r="K746" s="84"/>
      <c r="L746" s="84" t="str">
        <f>IFERROR(__xludf.DUMMYFUNCTION("IF(A746="""","""", COUNT(SPLIT(K746,"";"")))"),"")</f>
        <v/>
      </c>
      <c r="M746" s="84" t="str">
        <f t="shared" si="1"/>
        <v/>
      </c>
      <c r="N746" s="84" t="str">
        <f>IFERROR(__xludf.DUMMYFUNCTION("IFERROR(AVERAGE(query(INDIRECT(""'FR Table'!"" &amp; vlookup(rows($A$1:$A745),Reference!$O:$P,2,false) &amp; ""3:"" &amp; vlookup(rows($A$1:$A745),Reference!$O:$P,2,false)), 
""SELECT "" &amp; vlookup(rows($A$1:$A745),Reference!$O:$P,2,false) 
&amp; "" WHERE "" &amp; vlookup(row"&amp;"s($A$1:$A745),Reference!$O:$P,2,false) &amp;
"" &gt;= "" &amp; Reference!$R$2)) * M746,"""")"),"")</f>
        <v/>
      </c>
      <c r="O746" s="84" t="str">
        <f t="shared" si="2"/>
        <v/>
      </c>
    </row>
    <row r="747">
      <c r="A747" s="84"/>
      <c r="B747" s="84"/>
      <c r="C747" s="85"/>
      <c r="D747" s="86"/>
      <c r="E747" s="87"/>
      <c r="F747" s="86"/>
      <c r="G747" s="87"/>
      <c r="H747" s="86"/>
      <c r="I747" s="86"/>
      <c r="J747" s="86"/>
      <c r="K747" s="84"/>
      <c r="L747" s="84" t="str">
        <f>IFERROR(__xludf.DUMMYFUNCTION("IF(A747="""","""", COUNT(SPLIT(K747,"";"")))"),"")</f>
        <v/>
      </c>
      <c r="M747" s="84" t="str">
        <f t="shared" si="1"/>
        <v/>
      </c>
      <c r="N747" s="84" t="str">
        <f>IFERROR(__xludf.DUMMYFUNCTION("IFERROR(AVERAGE(query(INDIRECT(""'FR Table'!"" &amp; vlookup(rows($A$1:$A746),Reference!$O:$P,2,false) &amp; ""3:"" &amp; vlookup(rows($A$1:$A746),Reference!$O:$P,2,false)), 
""SELECT "" &amp; vlookup(rows($A$1:$A746),Reference!$O:$P,2,false) 
&amp; "" WHERE "" &amp; vlookup(row"&amp;"s($A$1:$A746),Reference!$O:$P,2,false) &amp;
"" &gt;= "" &amp; Reference!$R$2)) * M747,"""")"),"")</f>
        <v/>
      </c>
      <c r="O747" s="84" t="str">
        <f t="shared" si="2"/>
        <v/>
      </c>
    </row>
    <row r="748">
      <c r="A748" s="84"/>
      <c r="B748" s="84"/>
      <c r="C748" s="85"/>
      <c r="D748" s="86"/>
      <c r="E748" s="87"/>
      <c r="F748" s="86"/>
      <c r="G748" s="87"/>
      <c r="H748" s="86"/>
      <c r="I748" s="86"/>
      <c r="J748" s="86"/>
      <c r="K748" s="84"/>
      <c r="L748" s="84" t="str">
        <f>IFERROR(__xludf.DUMMYFUNCTION("IF(A748="""","""", COUNT(SPLIT(K748,"";"")))"),"")</f>
        <v/>
      </c>
      <c r="M748" s="84" t="str">
        <f t="shared" si="1"/>
        <v/>
      </c>
      <c r="N748" s="84" t="str">
        <f>IFERROR(__xludf.DUMMYFUNCTION("IFERROR(AVERAGE(query(INDIRECT(""'FR Table'!"" &amp; vlookup(rows($A$1:$A747),Reference!$O:$P,2,false) &amp; ""3:"" &amp; vlookup(rows($A$1:$A747),Reference!$O:$P,2,false)), 
""SELECT "" &amp; vlookup(rows($A$1:$A747),Reference!$O:$P,2,false) 
&amp; "" WHERE "" &amp; vlookup(row"&amp;"s($A$1:$A747),Reference!$O:$P,2,false) &amp;
"" &gt;= "" &amp; Reference!$R$2)) * M748,"""")"),"")</f>
        <v/>
      </c>
      <c r="O748" s="84" t="str">
        <f t="shared" si="2"/>
        <v/>
      </c>
    </row>
    <row r="749">
      <c r="A749" s="84"/>
      <c r="B749" s="84"/>
      <c r="C749" s="85"/>
      <c r="D749" s="86"/>
      <c r="E749" s="87"/>
      <c r="F749" s="86"/>
      <c r="G749" s="87"/>
      <c r="H749" s="86"/>
      <c r="I749" s="86"/>
      <c r="J749" s="86"/>
      <c r="K749" s="84"/>
      <c r="L749" s="84" t="str">
        <f>IFERROR(__xludf.DUMMYFUNCTION("IF(A749="""","""", COUNT(SPLIT(K749,"";"")))"),"")</f>
        <v/>
      </c>
      <c r="M749" s="84" t="str">
        <f t="shared" si="1"/>
        <v/>
      </c>
      <c r="N749" s="84" t="str">
        <f>IFERROR(__xludf.DUMMYFUNCTION("IFERROR(AVERAGE(query(INDIRECT(""'FR Table'!"" &amp; vlookup(rows($A$1:$A748),Reference!$O:$P,2,false) &amp; ""3:"" &amp; vlookup(rows($A$1:$A748),Reference!$O:$P,2,false)), 
""SELECT "" &amp; vlookup(rows($A$1:$A748),Reference!$O:$P,2,false) 
&amp; "" WHERE "" &amp; vlookup(row"&amp;"s($A$1:$A748),Reference!$O:$P,2,false) &amp;
"" &gt;= "" &amp; Reference!$R$2)) * M749,"""")"),"")</f>
        <v/>
      </c>
      <c r="O749" s="84" t="str">
        <f t="shared" si="2"/>
        <v/>
      </c>
    </row>
    <row r="750">
      <c r="A750" s="84"/>
      <c r="B750" s="84"/>
      <c r="C750" s="85"/>
      <c r="D750" s="86"/>
      <c r="E750" s="87"/>
      <c r="F750" s="86"/>
      <c r="G750" s="87"/>
      <c r="H750" s="86"/>
      <c r="I750" s="86"/>
      <c r="J750" s="86"/>
      <c r="K750" s="84"/>
      <c r="L750" s="84" t="str">
        <f>IFERROR(__xludf.DUMMYFUNCTION("IF(A750="""","""", COUNT(SPLIT(K750,"";"")))"),"")</f>
        <v/>
      </c>
      <c r="M750" s="84" t="str">
        <f t="shared" si="1"/>
        <v/>
      </c>
      <c r="N750" s="84" t="str">
        <f>IFERROR(__xludf.DUMMYFUNCTION("IFERROR(AVERAGE(query(INDIRECT(""'FR Table'!"" &amp; vlookup(rows($A$1:$A749),Reference!$O:$P,2,false) &amp; ""3:"" &amp; vlookup(rows($A$1:$A749),Reference!$O:$P,2,false)), 
""SELECT "" &amp; vlookup(rows($A$1:$A749),Reference!$O:$P,2,false) 
&amp; "" WHERE "" &amp; vlookup(row"&amp;"s($A$1:$A749),Reference!$O:$P,2,false) &amp;
"" &gt;= "" &amp; Reference!$R$2)) * M750,"""")"),"")</f>
        <v/>
      </c>
      <c r="O750" s="84" t="str">
        <f t="shared" si="2"/>
        <v/>
      </c>
    </row>
    <row r="751">
      <c r="A751" s="84"/>
      <c r="B751" s="84"/>
      <c r="C751" s="85"/>
      <c r="D751" s="86"/>
      <c r="E751" s="87"/>
      <c r="F751" s="86"/>
      <c r="G751" s="87"/>
      <c r="H751" s="86"/>
      <c r="I751" s="86"/>
      <c r="J751" s="86"/>
      <c r="K751" s="84"/>
      <c r="L751" s="84" t="str">
        <f>IFERROR(__xludf.DUMMYFUNCTION("IF(A751="""","""", COUNT(SPLIT(K751,"";"")))"),"")</f>
        <v/>
      </c>
      <c r="M751" s="84" t="str">
        <f t="shared" si="1"/>
        <v/>
      </c>
      <c r="N751" s="84" t="str">
        <f>IFERROR(__xludf.DUMMYFUNCTION("IFERROR(AVERAGE(query(INDIRECT(""'FR Table'!"" &amp; vlookup(rows($A$1:$A750),Reference!$O:$P,2,false) &amp; ""3:"" &amp; vlookup(rows($A$1:$A750),Reference!$O:$P,2,false)), 
""SELECT "" &amp; vlookup(rows($A$1:$A750),Reference!$O:$P,2,false) 
&amp; "" WHERE "" &amp; vlookup(row"&amp;"s($A$1:$A750),Reference!$O:$P,2,false) &amp;
"" &gt;= "" &amp; Reference!$R$2)) * M751,"""")"),"")</f>
        <v/>
      </c>
      <c r="O751" s="84" t="str">
        <f t="shared" si="2"/>
        <v/>
      </c>
    </row>
    <row r="752">
      <c r="A752" s="84"/>
      <c r="B752" s="84"/>
      <c r="C752" s="85"/>
      <c r="D752" s="86"/>
      <c r="E752" s="87"/>
      <c r="F752" s="86"/>
      <c r="G752" s="87"/>
      <c r="H752" s="86"/>
      <c r="I752" s="86"/>
      <c r="J752" s="86"/>
      <c r="K752" s="84"/>
      <c r="L752" s="84" t="str">
        <f>IFERROR(__xludf.DUMMYFUNCTION("IF(A752="""","""", COUNT(SPLIT(K752,"";"")))"),"")</f>
        <v/>
      </c>
      <c r="M752" s="84" t="str">
        <f t="shared" si="1"/>
        <v/>
      </c>
      <c r="N752" s="84" t="str">
        <f>IFERROR(__xludf.DUMMYFUNCTION("IFERROR(AVERAGE(query(INDIRECT(""'FR Table'!"" &amp; vlookup(rows($A$1:$A751),Reference!$O:$P,2,false) &amp; ""3:"" &amp; vlookup(rows($A$1:$A751),Reference!$O:$P,2,false)), 
""SELECT "" &amp; vlookup(rows($A$1:$A751),Reference!$O:$P,2,false) 
&amp; "" WHERE "" &amp; vlookup(row"&amp;"s($A$1:$A751),Reference!$O:$P,2,false) &amp;
"" &gt;= "" &amp; Reference!$R$2)) * M752,"""")"),"")</f>
        <v/>
      </c>
      <c r="O752" s="84" t="str">
        <f t="shared" si="2"/>
        <v/>
      </c>
    </row>
    <row r="753">
      <c r="A753" s="84"/>
      <c r="B753" s="84"/>
      <c r="C753" s="85"/>
      <c r="D753" s="86"/>
      <c r="E753" s="87"/>
      <c r="F753" s="86"/>
      <c r="G753" s="87"/>
      <c r="H753" s="86"/>
      <c r="I753" s="86"/>
      <c r="J753" s="86"/>
      <c r="K753" s="84"/>
      <c r="L753" s="84" t="str">
        <f>IFERROR(__xludf.DUMMYFUNCTION("IF(A753="""","""", COUNT(SPLIT(K753,"";"")))"),"")</f>
        <v/>
      </c>
      <c r="M753" s="84" t="str">
        <f t="shared" si="1"/>
        <v/>
      </c>
      <c r="N753" s="84" t="str">
        <f>IFERROR(__xludf.DUMMYFUNCTION("IFERROR(AVERAGE(query(INDIRECT(""'FR Table'!"" &amp; vlookup(rows($A$1:$A752),Reference!$O:$P,2,false) &amp; ""3:"" &amp; vlookup(rows($A$1:$A752),Reference!$O:$P,2,false)), 
""SELECT "" &amp; vlookup(rows($A$1:$A752),Reference!$O:$P,2,false) 
&amp; "" WHERE "" &amp; vlookup(row"&amp;"s($A$1:$A752),Reference!$O:$P,2,false) &amp;
"" &gt;= "" &amp; Reference!$R$2)) * M753,"""")"),"")</f>
        <v/>
      </c>
      <c r="O753" s="84" t="str">
        <f t="shared" si="2"/>
        <v/>
      </c>
    </row>
    <row r="754">
      <c r="A754" s="84"/>
      <c r="B754" s="84"/>
      <c r="C754" s="85"/>
      <c r="D754" s="86"/>
      <c r="E754" s="87"/>
      <c r="F754" s="86"/>
      <c r="G754" s="87"/>
      <c r="H754" s="86"/>
      <c r="I754" s="86"/>
      <c r="J754" s="86"/>
      <c r="K754" s="84"/>
      <c r="L754" s="84" t="str">
        <f>IFERROR(__xludf.DUMMYFUNCTION("IF(A754="""","""", COUNT(SPLIT(K754,"";"")))"),"")</f>
        <v/>
      </c>
      <c r="M754" s="84" t="str">
        <f t="shared" si="1"/>
        <v/>
      </c>
      <c r="N754" s="84" t="str">
        <f>IFERROR(__xludf.DUMMYFUNCTION("IFERROR(AVERAGE(query(INDIRECT(""'FR Table'!"" &amp; vlookup(rows($A$1:$A753),Reference!$O:$P,2,false) &amp; ""3:"" &amp; vlookup(rows($A$1:$A753),Reference!$O:$P,2,false)), 
""SELECT "" &amp; vlookup(rows($A$1:$A753),Reference!$O:$P,2,false) 
&amp; "" WHERE "" &amp; vlookup(row"&amp;"s($A$1:$A753),Reference!$O:$P,2,false) &amp;
"" &gt;= "" &amp; Reference!$R$2)) * M754,"""")"),"")</f>
        <v/>
      </c>
      <c r="O754" s="84" t="str">
        <f t="shared" si="2"/>
        <v/>
      </c>
    </row>
    <row r="755">
      <c r="A755" s="84"/>
      <c r="B755" s="84"/>
      <c r="C755" s="85"/>
      <c r="D755" s="86"/>
      <c r="E755" s="87"/>
      <c r="F755" s="86"/>
      <c r="G755" s="87"/>
      <c r="H755" s="86"/>
      <c r="I755" s="86"/>
      <c r="J755" s="86"/>
      <c r="K755" s="84"/>
      <c r="L755" s="84" t="str">
        <f>IFERROR(__xludf.DUMMYFUNCTION("IF(A755="""","""", COUNT(SPLIT(K755,"";"")))"),"")</f>
        <v/>
      </c>
      <c r="M755" s="84" t="str">
        <f t="shared" si="1"/>
        <v/>
      </c>
      <c r="N755" s="84" t="str">
        <f>IFERROR(__xludf.DUMMYFUNCTION("IFERROR(AVERAGE(query(INDIRECT(""'FR Table'!"" &amp; vlookup(rows($A$1:$A754),Reference!$O:$P,2,false) &amp; ""3:"" &amp; vlookup(rows($A$1:$A754),Reference!$O:$P,2,false)), 
""SELECT "" &amp; vlookup(rows($A$1:$A754),Reference!$O:$P,2,false) 
&amp; "" WHERE "" &amp; vlookup(row"&amp;"s($A$1:$A754),Reference!$O:$P,2,false) &amp;
"" &gt;= "" &amp; Reference!$R$2)) * M755,"""")"),"")</f>
        <v/>
      </c>
      <c r="O755" s="84" t="str">
        <f t="shared" si="2"/>
        <v/>
      </c>
    </row>
    <row r="756">
      <c r="A756" s="84"/>
      <c r="B756" s="84"/>
      <c r="C756" s="85"/>
      <c r="D756" s="86"/>
      <c r="E756" s="87"/>
      <c r="F756" s="86"/>
      <c r="G756" s="87"/>
      <c r="H756" s="86"/>
      <c r="I756" s="86"/>
      <c r="J756" s="86"/>
      <c r="K756" s="84"/>
      <c r="L756" s="84" t="str">
        <f>IFERROR(__xludf.DUMMYFUNCTION("IF(A756="""","""", COUNT(SPLIT(K756,"";"")))"),"")</f>
        <v/>
      </c>
      <c r="M756" s="84" t="str">
        <f t="shared" si="1"/>
        <v/>
      </c>
      <c r="N756" s="84" t="str">
        <f>IFERROR(__xludf.DUMMYFUNCTION("IFERROR(AVERAGE(query(INDIRECT(""'FR Table'!"" &amp; vlookup(rows($A$1:$A755),Reference!$O:$P,2,false) &amp; ""3:"" &amp; vlookup(rows($A$1:$A755),Reference!$O:$P,2,false)), 
""SELECT "" &amp; vlookup(rows($A$1:$A755),Reference!$O:$P,2,false) 
&amp; "" WHERE "" &amp; vlookup(row"&amp;"s($A$1:$A755),Reference!$O:$P,2,false) &amp;
"" &gt;= "" &amp; Reference!$R$2)) * M756,"""")"),"")</f>
        <v/>
      </c>
      <c r="O756" s="84" t="str">
        <f t="shared" si="2"/>
        <v/>
      </c>
    </row>
    <row r="757">
      <c r="A757" s="84"/>
      <c r="B757" s="84"/>
      <c r="C757" s="85"/>
      <c r="D757" s="86"/>
      <c r="E757" s="87"/>
      <c r="F757" s="86"/>
      <c r="G757" s="87"/>
      <c r="H757" s="86"/>
      <c r="I757" s="86"/>
      <c r="J757" s="86"/>
      <c r="K757" s="84"/>
      <c r="L757" s="84" t="str">
        <f>IFERROR(__xludf.DUMMYFUNCTION("IF(A757="""","""", COUNT(SPLIT(K757,"";"")))"),"")</f>
        <v/>
      </c>
      <c r="M757" s="84" t="str">
        <f t="shared" si="1"/>
        <v/>
      </c>
      <c r="N757" s="84" t="str">
        <f>IFERROR(__xludf.DUMMYFUNCTION("IFERROR(AVERAGE(query(INDIRECT(""'FR Table'!"" &amp; vlookup(rows($A$1:$A756),Reference!$O:$P,2,false) &amp; ""3:"" &amp; vlookup(rows($A$1:$A756),Reference!$O:$P,2,false)), 
""SELECT "" &amp; vlookup(rows($A$1:$A756),Reference!$O:$P,2,false) 
&amp; "" WHERE "" &amp; vlookup(row"&amp;"s($A$1:$A756),Reference!$O:$P,2,false) &amp;
"" &gt;= "" &amp; Reference!$R$2)) * M757,"""")"),"")</f>
        <v/>
      </c>
      <c r="O757" s="84" t="str">
        <f t="shared" si="2"/>
        <v/>
      </c>
    </row>
    <row r="758">
      <c r="A758" s="84"/>
      <c r="B758" s="84"/>
      <c r="C758" s="85"/>
      <c r="D758" s="86"/>
      <c r="E758" s="87"/>
      <c r="F758" s="86"/>
      <c r="G758" s="87"/>
      <c r="H758" s="86"/>
      <c r="I758" s="86"/>
      <c r="J758" s="86"/>
      <c r="K758" s="84"/>
      <c r="L758" s="84" t="str">
        <f>IFERROR(__xludf.DUMMYFUNCTION("IF(A758="""","""", COUNT(SPLIT(K758,"";"")))"),"")</f>
        <v/>
      </c>
      <c r="M758" s="84" t="str">
        <f t="shared" si="1"/>
        <v/>
      </c>
      <c r="N758" s="84" t="str">
        <f>IFERROR(__xludf.DUMMYFUNCTION("IFERROR(AVERAGE(query(INDIRECT(""'FR Table'!"" &amp; vlookup(rows($A$1:$A757),Reference!$O:$P,2,false) &amp; ""3:"" &amp; vlookup(rows($A$1:$A757),Reference!$O:$P,2,false)), 
""SELECT "" &amp; vlookup(rows($A$1:$A757),Reference!$O:$P,2,false) 
&amp; "" WHERE "" &amp; vlookup(row"&amp;"s($A$1:$A757),Reference!$O:$P,2,false) &amp;
"" &gt;= "" &amp; Reference!$R$2)) * M758,"""")"),"")</f>
        <v/>
      </c>
      <c r="O758" s="84" t="str">
        <f t="shared" si="2"/>
        <v/>
      </c>
    </row>
    <row r="759">
      <c r="A759" s="84"/>
      <c r="B759" s="84"/>
      <c r="C759" s="85"/>
      <c r="D759" s="86"/>
      <c r="E759" s="87"/>
      <c r="F759" s="86"/>
      <c r="G759" s="87"/>
      <c r="H759" s="86"/>
      <c r="I759" s="86"/>
      <c r="J759" s="86"/>
      <c r="K759" s="84"/>
      <c r="L759" s="84" t="str">
        <f>IFERROR(__xludf.DUMMYFUNCTION("IF(A759="""","""", COUNT(SPLIT(K759,"";"")))"),"")</f>
        <v/>
      </c>
      <c r="M759" s="84" t="str">
        <f t="shared" si="1"/>
        <v/>
      </c>
      <c r="N759" s="84" t="str">
        <f>IFERROR(__xludf.DUMMYFUNCTION("IFERROR(AVERAGE(query(INDIRECT(""'FR Table'!"" &amp; vlookup(rows($A$1:$A758),Reference!$O:$P,2,false) &amp; ""3:"" &amp; vlookup(rows($A$1:$A758),Reference!$O:$P,2,false)), 
""SELECT "" &amp; vlookup(rows($A$1:$A758),Reference!$O:$P,2,false) 
&amp; "" WHERE "" &amp; vlookup(row"&amp;"s($A$1:$A758),Reference!$O:$P,2,false) &amp;
"" &gt;= "" &amp; Reference!$R$2)) * M759,"""")"),"")</f>
        <v/>
      </c>
      <c r="O759" s="84" t="str">
        <f t="shared" si="2"/>
        <v/>
      </c>
    </row>
    <row r="760">
      <c r="A760" s="84"/>
      <c r="B760" s="84"/>
      <c r="C760" s="85"/>
      <c r="D760" s="86"/>
      <c r="E760" s="87"/>
      <c r="F760" s="86"/>
      <c r="G760" s="87"/>
      <c r="H760" s="86"/>
      <c r="I760" s="86"/>
      <c r="J760" s="86"/>
      <c r="K760" s="84"/>
      <c r="L760" s="84" t="str">
        <f>IFERROR(__xludf.DUMMYFUNCTION("IF(A760="""","""", COUNT(SPLIT(K760,"";"")))"),"")</f>
        <v/>
      </c>
      <c r="M760" s="84" t="str">
        <f t="shared" si="1"/>
        <v/>
      </c>
      <c r="N760" s="84" t="str">
        <f>IFERROR(__xludf.DUMMYFUNCTION("IFERROR(AVERAGE(query(INDIRECT(""'FR Table'!"" &amp; vlookup(rows($A$1:$A759),Reference!$O:$P,2,false) &amp; ""3:"" &amp; vlookup(rows($A$1:$A759),Reference!$O:$P,2,false)), 
""SELECT "" &amp; vlookup(rows($A$1:$A759),Reference!$O:$P,2,false) 
&amp; "" WHERE "" &amp; vlookup(row"&amp;"s($A$1:$A759),Reference!$O:$P,2,false) &amp;
"" &gt;= "" &amp; Reference!$R$2)) * M760,"""")"),"")</f>
        <v/>
      </c>
      <c r="O760" s="84" t="str">
        <f t="shared" si="2"/>
        <v/>
      </c>
    </row>
    <row r="761">
      <c r="A761" s="84"/>
      <c r="B761" s="84"/>
      <c r="C761" s="85"/>
      <c r="D761" s="86"/>
      <c r="E761" s="87"/>
      <c r="F761" s="86"/>
      <c r="G761" s="87"/>
      <c r="H761" s="86"/>
      <c r="I761" s="86"/>
      <c r="J761" s="86"/>
      <c r="K761" s="84"/>
      <c r="L761" s="84" t="str">
        <f>IFERROR(__xludf.DUMMYFUNCTION("IF(A761="""","""", COUNT(SPLIT(K761,"";"")))"),"")</f>
        <v/>
      </c>
      <c r="M761" s="84" t="str">
        <f t="shared" si="1"/>
        <v/>
      </c>
      <c r="N761" s="84" t="str">
        <f>IFERROR(__xludf.DUMMYFUNCTION("IFERROR(AVERAGE(query(INDIRECT(""'FR Table'!"" &amp; vlookup(rows($A$1:$A760),Reference!$O:$P,2,false) &amp; ""3:"" &amp; vlookup(rows($A$1:$A760),Reference!$O:$P,2,false)), 
""SELECT "" &amp; vlookup(rows($A$1:$A760),Reference!$O:$P,2,false) 
&amp; "" WHERE "" &amp; vlookup(row"&amp;"s($A$1:$A760),Reference!$O:$P,2,false) &amp;
"" &gt;= "" &amp; Reference!$R$2)) * M761,"""")"),"")</f>
        <v/>
      </c>
      <c r="O761" s="84" t="str">
        <f t="shared" si="2"/>
        <v/>
      </c>
    </row>
    <row r="762">
      <c r="A762" s="84"/>
      <c r="B762" s="84"/>
      <c r="C762" s="85"/>
      <c r="D762" s="86"/>
      <c r="E762" s="87"/>
      <c r="F762" s="86"/>
      <c r="G762" s="87"/>
      <c r="H762" s="86"/>
      <c r="I762" s="86"/>
      <c r="J762" s="86"/>
      <c r="K762" s="84"/>
      <c r="L762" s="84" t="str">
        <f>IFERROR(__xludf.DUMMYFUNCTION("IF(A762="""","""", COUNT(SPLIT(K762,"";"")))"),"")</f>
        <v/>
      </c>
      <c r="M762" s="84" t="str">
        <f t="shared" si="1"/>
        <v/>
      </c>
      <c r="N762" s="84" t="str">
        <f>IFERROR(__xludf.DUMMYFUNCTION("IFERROR(AVERAGE(query(INDIRECT(""'FR Table'!"" &amp; vlookup(rows($A$1:$A761),Reference!$O:$P,2,false) &amp; ""3:"" &amp; vlookup(rows($A$1:$A761),Reference!$O:$P,2,false)), 
""SELECT "" &amp; vlookup(rows($A$1:$A761),Reference!$O:$P,2,false) 
&amp; "" WHERE "" &amp; vlookup(row"&amp;"s($A$1:$A761),Reference!$O:$P,2,false) &amp;
"" &gt;= "" &amp; Reference!$R$2)) * M762,"""")"),"")</f>
        <v/>
      </c>
      <c r="O762" s="84" t="str">
        <f t="shared" si="2"/>
        <v/>
      </c>
    </row>
    <row r="763">
      <c r="A763" s="84"/>
      <c r="B763" s="84"/>
      <c r="C763" s="85"/>
      <c r="D763" s="86"/>
      <c r="E763" s="87"/>
      <c r="F763" s="86"/>
      <c r="G763" s="87"/>
      <c r="H763" s="86"/>
      <c r="I763" s="86"/>
      <c r="J763" s="86"/>
      <c r="K763" s="84"/>
      <c r="L763" s="84" t="str">
        <f>IFERROR(__xludf.DUMMYFUNCTION("IF(A763="""","""", COUNT(SPLIT(K763,"";"")))"),"")</f>
        <v/>
      </c>
      <c r="M763" s="84" t="str">
        <f t="shared" si="1"/>
        <v/>
      </c>
      <c r="N763" s="84" t="str">
        <f>IFERROR(__xludf.DUMMYFUNCTION("IFERROR(AVERAGE(query(INDIRECT(""'FR Table'!"" &amp; vlookup(rows($A$1:$A762),Reference!$O:$P,2,false) &amp; ""3:"" &amp; vlookup(rows($A$1:$A762),Reference!$O:$P,2,false)), 
""SELECT "" &amp; vlookup(rows($A$1:$A762),Reference!$O:$P,2,false) 
&amp; "" WHERE "" &amp; vlookup(row"&amp;"s($A$1:$A762),Reference!$O:$P,2,false) &amp;
"" &gt;= "" &amp; Reference!$R$2)) * M763,"""")"),"")</f>
        <v/>
      </c>
      <c r="O763" s="84" t="str">
        <f t="shared" si="2"/>
        <v/>
      </c>
    </row>
    <row r="764">
      <c r="A764" s="84"/>
      <c r="B764" s="84"/>
      <c r="C764" s="85"/>
      <c r="D764" s="86"/>
      <c r="E764" s="87"/>
      <c r="F764" s="86"/>
      <c r="G764" s="87"/>
      <c r="H764" s="86"/>
      <c r="I764" s="86"/>
      <c r="J764" s="86"/>
      <c r="K764" s="84"/>
      <c r="L764" s="84" t="str">
        <f>IFERROR(__xludf.DUMMYFUNCTION("IF(A764="""","""", COUNT(SPLIT(K764,"";"")))"),"")</f>
        <v/>
      </c>
      <c r="M764" s="84" t="str">
        <f t="shared" si="1"/>
        <v/>
      </c>
      <c r="N764" s="84" t="str">
        <f>IFERROR(__xludf.DUMMYFUNCTION("IFERROR(AVERAGE(query(INDIRECT(""'FR Table'!"" &amp; vlookup(rows($A$1:$A763),Reference!$O:$P,2,false) &amp; ""3:"" &amp; vlookup(rows($A$1:$A763),Reference!$O:$P,2,false)), 
""SELECT "" &amp; vlookup(rows($A$1:$A763),Reference!$O:$P,2,false) 
&amp; "" WHERE "" &amp; vlookup(row"&amp;"s($A$1:$A763),Reference!$O:$P,2,false) &amp;
"" &gt;= "" &amp; Reference!$R$2)) * M764,"""")"),"")</f>
        <v/>
      </c>
      <c r="O764" s="84" t="str">
        <f t="shared" si="2"/>
        <v/>
      </c>
    </row>
    <row r="765">
      <c r="A765" s="84"/>
      <c r="B765" s="84"/>
      <c r="C765" s="85"/>
      <c r="D765" s="86"/>
      <c r="E765" s="87"/>
      <c r="F765" s="86"/>
      <c r="G765" s="87"/>
      <c r="H765" s="86"/>
      <c r="I765" s="86"/>
      <c r="J765" s="86"/>
      <c r="K765" s="84"/>
      <c r="L765" s="84" t="str">
        <f>IFERROR(__xludf.DUMMYFUNCTION("IF(A765="""","""", COUNT(SPLIT(K765,"";"")))"),"")</f>
        <v/>
      </c>
      <c r="M765" s="84" t="str">
        <f t="shared" si="1"/>
        <v/>
      </c>
      <c r="N765" s="84" t="str">
        <f>IFERROR(__xludf.DUMMYFUNCTION("IFERROR(AVERAGE(query(INDIRECT(""'FR Table'!"" &amp; vlookup(rows($A$1:$A764),Reference!$O:$P,2,false) &amp; ""3:"" &amp; vlookup(rows($A$1:$A764),Reference!$O:$P,2,false)), 
""SELECT "" &amp; vlookup(rows($A$1:$A764),Reference!$O:$P,2,false) 
&amp; "" WHERE "" &amp; vlookup(row"&amp;"s($A$1:$A764),Reference!$O:$P,2,false) &amp;
"" &gt;= "" &amp; Reference!$R$2)) * M765,"""")"),"")</f>
        <v/>
      </c>
      <c r="O765" s="84" t="str">
        <f t="shared" si="2"/>
        <v/>
      </c>
    </row>
    <row r="766">
      <c r="A766" s="84"/>
      <c r="B766" s="84"/>
      <c r="C766" s="85"/>
      <c r="D766" s="86"/>
      <c r="E766" s="87"/>
      <c r="F766" s="86"/>
      <c r="G766" s="87"/>
      <c r="H766" s="86"/>
      <c r="I766" s="86"/>
      <c r="J766" s="86"/>
      <c r="K766" s="84"/>
      <c r="L766" s="84" t="str">
        <f>IFERROR(__xludf.DUMMYFUNCTION("IF(A766="""","""", COUNT(SPLIT(K766,"";"")))"),"")</f>
        <v/>
      </c>
      <c r="M766" s="84" t="str">
        <f t="shared" si="1"/>
        <v/>
      </c>
      <c r="N766" s="84" t="str">
        <f>IFERROR(__xludf.DUMMYFUNCTION("IFERROR(AVERAGE(query(INDIRECT(""'FR Table'!"" &amp; vlookup(rows($A$1:$A765),Reference!$O:$P,2,false) &amp; ""3:"" &amp; vlookup(rows($A$1:$A765),Reference!$O:$P,2,false)), 
""SELECT "" &amp; vlookup(rows($A$1:$A765),Reference!$O:$P,2,false) 
&amp; "" WHERE "" &amp; vlookup(row"&amp;"s($A$1:$A765),Reference!$O:$P,2,false) &amp;
"" &gt;= "" &amp; Reference!$R$2)) * M766,"""")"),"")</f>
        <v/>
      </c>
      <c r="O766" s="84" t="str">
        <f t="shared" si="2"/>
        <v/>
      </c>
    </row>
    <row r="767">
      <c r="A767" s="84"/>
      <c r="B767" s="84"/>
      <c r="C767" s="85"/>
      <c r="D767" s="86"/>
      <c r="E767" s="87"/>
      <c r="F767" s="86"/>
      <c r="G767" s="87"/>
      <c r="H767" s="86"/>
      <c r="I767" s="86"/>
      <c r="J767" s="86"/>
      <c r="K767" s="84"/>
      <c r="L767" s="84" t="str">
        <f>IFERROR(__xludf.DUMMYFUNCTION("IF(A767="""","""", COUNT(SPLIT(K767,"";"")))"),"")</f>
        <v/>
      </c>
      <c r="M767" s="84" t="str">
        <f t="shared" si="1"/>
        <v/>
      </c>
      <c r="N767" s="84" t="str">
        <f>IFERROR(__xludf.DUMMYFUNCTION("IFERROR(AVERAGE(query(INDIRECT(""'FR Table'!"" &amp; vlookup(rows($A$1:$A766),Reference!$O:$P,2,false) &amp; ""3:"" &amp; vlookup(rows($A$1:$A766),Reference!$O:$P,2,false)), 
""SELECT "" &amp; vlookup(rows($A$1:$A766),Reference!$O:$P,2,false) 
&amp; "" WHERE "" &amp; vlookup(row"&amp;"s($A$1:$A766),Reference!$O:$P,2,false) &amp;
"" &gt;= "" &amp; Reference!$R$2)) * M767,"""")"),"")</f>
        <v/>
      </c>
      <c r="O767" s="84" t="str">
        <f t="shared" si="2"/>
        <v/>
      </c>
    </row>
    <row r="768">
      <c r="A768" s="84"/>
      <c r="B768" s="84"/>
      <c r="C768" s="85"/>
      <c r="D768" s="86"/>
      <c r="E768" s="87"/>
      <c r="F768" s="86"/>
      <c r="G768" s="87"/>
      <c r="H768" s="86"/>
      <c r="I768" s="86"/>
      <c r="J768" s="86"/>
      <c r="K768" s="84"/>
      <c r="L768" s="84" t="str">
        <f>IFERROR(__xludf.DUMMYFUNCTION("IF(A768="""","""", COUNT(SPLIT(K768,"";"")))"),"")</f>
        <v/>
      </c>
      <c r="M768" s="84" t="str">
        <f t="shared" si="1"/>
        <v/>
      </c>
      <c r="N768" s="84" t="str">
        <f>IFERROR(__xludf.DUMMYFUNCTION("IFERROR(AVERAGE(query(INDIRECT(""'FR Table'!"" &amp; vlookup(rows($A$1:$A767),Reference!$O:$P,2,false) &amp; ""3:"" &amp; vlookup(rows($A$1:$A767),Reference!$O:$P,2,false)), 
""SELECT "" &amp; vlookup(rows($A$1:$A767),Reference!$O:$P,2,false) 
&amp; "" WHERE "" &amp; vlookup(row"&amp;"s($A$1:$A767),Reference!$O:$P,2,false) &amp;
"" &gt;= "" &amp; Reference!$R$2)) * M768,"""")"),"")</f>
        <v/>
      </c>
      <c r="O768" s="84" t="str">
        <f t="shared" si="2"/>
        <v/>
      </c>
    </row>
    <row r="769">
      <c r="A769" s="84"/>
      <c r="B769" s="84"/>
      <c r="C769" s="85"/>
      <c r="D769" s="86"/>
      <c r="E769" s="87"/>
      <c r="F769" s="86"/>
      <c r="G769" s="87"/>
      <c r="H769" s="86"/>
      <c r="I769" s="86"/>
      <c r="J769" s="86"/>
      <c r="K769" s="84"/>
      <c r="L769" s="84" t="str">
        <f>IFERROR(__xludf.DUMMYFUNCTION("IF(A769="""","""", COUNT(SPLIT(K769,"";"")))"),"")</f>
        <v/>
      </c>
      <c r="M769" s="84" t="str">
        <f t="shared" si="1"/>
        <v/>
      </c>
      <c r="N769" s="84" t="str">
        <f>IFERROR(__xludf.DUMMYFUNCTION("IFERROR(AVERAGE(query(INDIRECT(""'FR Table'!"" &amp; vlookup(rows($A$1:$A768),Reference!$O:$P,2,false) &amp; ""3:"" &amp; vlookup(rows($A$1:$A768),Reference!$O:$P,2,false)), 
""SELECT "" &amp; vlookup(rows($A$1:$A768),Reference!$O:$P,2,false) 
&amp; "" WHERE "" &amp; vlookup(row"&amp;"s($A$1:$A768),Reference!$O:$P,2,false) &amp;
"" &gt;= "" &amp; Reference!$R$2)) * M769,"""")"),"")</f>
        <v/>
      </c>
      <c r="O769" s="84" t="str">
        <f t="shared" si="2"/>
        <v/>
      </c>
    </row>
    <row r="770">
      <c r="A770" s="84"/>
      <c r="B770" s="84"/>
      <c r="C770" s="85"/>
      <c r="D770" s="86"/>
      <c r="E770" s="87"/>
      <c r="F770" s="86"/>
      <c r="G770" s="87"/>
      <c r="H770" s="86"/>
      <c r="I770" s="86"/>
      <c r="J770" s="86"/>
      <c r="K770" s="84"/>
      <c r="L770" s="84" t="str">
        <f>IFERROR(__xludf.DUMMYFUNCTION("IF(A770="""","""", COUNT(SPLIT(K770,"";"")))"),"")</f>
        <v/>
      </c>
      <c r="M770" s="84" t="str">
        <f t="shared" si="1"/>
        <v/>
      </c>
      <c r="N770" s="84" t="str">
        <f>IFERROR(__xludf.DUMMYFUNCTION("IFERROR(AVERAGE(query(INDIRECT(""'FR Table'!"" &amp; vlookup(rows($A$1:$A769),Reference!$O:$P,2,false) &amp; ""3:"" &amp; vlookup(rows($A$1:$A769),Reference!$O:$P,2,false)), 
""SELECT "" &amp; vlookup(rows($A$1:$A769),Reference!$O:$P,2,false) 
&amp; "" WHERE "" &amp; vlookup(row"&amp;"s($A$1:$A769),Reference!$O:$P,2,false) &amp;
"" &gt;= "" &amp; Reference!$R$2)) * M770,"""")"),"")</f>
        <v/>
      </c>
      <c r="O770" s="84" t="str">
        <f t="shared" si="2"/>
        <v/>
      </c>
    </row>
    <row r="771">
      <c r="A771" s="84"/>
      <c r="B771" s="84"/>
      <c r="C771" s="85"/>
      <c r="D771" s="86"/>
      <c r="E771" s="87"/>
      <c r="F771" s="86"/>
      <c r="G771" s="87"/>
      <c r="H771" s="86"/>
      <c r="I771" s="86"/>
      <c r="J771" s="86"/>
      <c r="K771" s="84"/>
      <c r="L771" s="84" t="str">
        <f>IFERROR(__xludf.DUMMYFUNCTION("IF(A771="""","""", COUNT(SPLIT(K771,"";"")))"),"")</f>
        <v/>
      </c>
      <c r="M771" s="84" t="str">
        <f t="shared" si="1"/>
        <v/>
      </c>
      <c r="N771" s="84" t="str">
        <f>IFERROR(__xludf.DUMMYFUNCTION("IFERROR(AVERAGE(query(INDIRECT(""'FR Table'!"" &amp; vlookup(rows($A$1:$A770),Reference!$O:$P,2,false) &amp; ""3:"" &amp; vlookup(rows($A$1:$A770),Reference!$O:$P,2,false)), 
""SELECT "" &amp; vlookup(rows($A$1:$A770),Reference!$O:$P,2,false) 
&amp; "" WHERE "" &amp; vlookup(row"&amp;"s($A$1:$A770),Reference!$O:$P,2,false) &amp;
"" &gt;= "" &amp; Reference!$R$2)) * M771,"""")"),"")</f>
        <v/>
      </c>
      <c r="O771" s="84" t="str">
        <f t="shared" si="2"/>
        <v/>
      </c>
    </row>
    <row r="772">
      <c r="A772" s="84"/>
      <c r="B772" s="84"/>
      <c r="C772" s="85"/>
      <c r="D772" s="86"/>
      <c r="E772" s="87"/>
      <c r="F772" s="86"/>
      <c r="G772" s="87"/>
      <c r="H772" s="86"/>
      <c r="I772" s="86"/>
      <c r="J772" s="86"/>
      <c r="K772" s="84"/>
      <c r="L772" s="84" t="str">
        <f>IFERROR(__xludf.DUMMYFUNCTION("IF(A772="""","""", COUNT(SPLIT(K772,"";"")))"),"")</f>
        <v/>
      </c>
      <c r="M772" s="84" t="str">
        <f t="shared" si="1"/>
        <v/>
      </c>
      <c r="N772" s="84" t="str">
        <f>IFERROR(__xludf.DUMMYFUNCTION("IFERROR(AVERAGE(query(INDIRECT(""'FR Table'!"" &amp; vlookup(rows($A$1:$A771),Reference!$O:$P,2,false) &amp; ""3:"" &amp; vlookup(rows($A$1:$A771),Reference!$O:$P,2,false)), 
""SELECT "" &amp; vlookup(rows($A$1:$A771),Reference!$O:$P,2,false) 
&amp; "" WHERE "" &amp; vlookup(row"&amp;"s($A$1:$A771),Reference!$O:$P,2,false) &amp;
"" &gt;= "" &amp; Reference!$R$2)) * M772,"""")"),"")</f>
        <v/>
      </c>
      <c r="O772" s="84" t="str">
        <f t="shared" si="2"/>
        <v/>
      </c>
    </row>
    <row r="773">
      <c r="A773" s="84"/>
      <c r="B773" s="84"/>
      <c r="C773" s="85"/>
      <c r="D773" s="86"/>
      <c r="E773" s="87"/>
      <c r="F773" s="86"/>
      <c r="G773" s="87"/>
      <c r="H773" s="86"/>
      <c r="I773" s="86"/>
      <c r="J773" s="86"/>
      <c r="K773" s="84"/>
      <c r="L773" s="84" t="str">
        <f>IFERROR(__xludf.DUMMYFUNCTION("IF(A773="""","""", COUNT(SPLIT(K773,"";"")))"),"")</f>
        <v/>
      </c>
      <c r="M773" s="84" t="str">
        <f t="shared" si="1"/>
        <v/>
      </c>
      <c r="N773" s="84" t="str">
        <f>IFERROR(__xludf.DUMMYFUNCTION("IFERROR(AVERAGE(query(INDIRECT(""'FR Table'!"" &amp; vlookup(rows($A$1:$A772),Reference!$O:$P,2,false) &amp; ""3:"" &amp; vlookup(rows($A$1:$A772),Reference!$O:$P,2,false)), 
""SELECT "" &amp; vlookup(rows($A$1:$A772),Reference!$O:$P,2,false) 
&amp; "" WHERE "" &amp; vlookup(row"&amp;"s($A$1:$A772),Reference!$O:$P,2,false) &amp;
"" &gt;= "" &amp; Reference!$R$2)) * M773,"""")"),"")</f>
        <v/>
      </c>
      <c r="O773" s="84" t="str">
        <f t="shared" si="2"/>
        <v/>
      </c>
    </row>
    <row r="774">
      <c r="A774" s="84"/>
      <c r="B774" s="84"/>
      <c r="C774" s="85"/>
      <c r="D774" s="86"/>
      <c r="E774" s="87"/>
      <c r="F774" s="86"/>
      <c r="G774" s="87"/>
      <c r="H774" s="86"/>
      <c r="I774" s="86"/>
      <c r="J774" s="86"/>
      <c r="K774" s="84"/>
      <c r="L774" s="84" t="str">
        <f>IFERROR(__xludf.DUMMYFUNCTION("IF(A774="""","""", COUNT(SPLIT(K774,"";"")))"),"")</f>
        <v/>
      </c>
      <c r="M774" s="84" t="str">
        <f t="shared" si="1"/>
        <v/>
      </c>
      <c r="N774" s="84" t="str">
        <f>IFERROR(__xludf.DUMMYFUNCTION("IFERROR(AVERAGE(query(INDIRECT(""'FR Table'!"" &amp; vlookup(rows($A$1:$A773),Reference!$O:$P,2,false) &amp; ""3:"" &amp; vlookup(rows($A$1:$A773),Reference!$O:$P,2,false)), 
""SELECT "" &amp; vlookup(rows($A$1:$A773),Reference!$O:$P,2,false) 
&amp; "" WHERE "" &amp; vlookup(row"&amp;"s($A$1:$A773),Reference!$O:$P,2,false) &amp;
"" &gt;= "" &amp; Reference!$R$2)) * M774,"""")"),"")</f>
        <v/>
      </c>
      <c r="O774" s="84" t="str">
        <f t="shared" si="2"/>
        <v/>
      </c>
    </row>
    <row r="775">
      <c r="A775" s="84"/>
      <c r="B775" s="84"/>
      <c r="C775" s="85"/>
      <c r="D775" s="86"/>
      <c r="E775" s="87"/>
      <c r="F775" s="86"/>
      <c r="G775" s="87"/>
      <c r="H775" s="86"/>
      <c r="I775" s="86"/>
      <c r="J775" s="86"/>
      <c r="K775" s="84"/>
      <c r="L775" s="84" t="str">
        <f>IFERROR(__xludf.DUMMYFUNCTION("IF(A775="""","""", COUNT(SPLIT(K775,"";"")))"),"")</f>
        <v/>
      </c>
      <c r="M775" s="84" t="str">
        <f t="shared" si="1"/>
        <v/>
      </c>
      <c r="N775" s="84" t="str">
        <f>IFERROR(__xludf.DUMMYFUNCTION("IFERROR(AVERAGE(query(INDIRECT(""'FR Table'!"" &amp; vlookup(rows($A$1:$A774),Reference!$O:$P,2,false) &amp; ""3:"" &amp; vlookup(rows($A$1:$A774),Reference!$O:$P,2,false)), 
""SELECT "" &amp; vlookup(rows($A$1:$A774),Reference!$O:$P,2,false) 
&amp; "" WHERE "" &amp; vlookup(row"&amp;"s($A$1:$A774),Reference!$O:$P,2,false) &amp;
"" &gt;= "" &amp; Reference!$R$2)) * M775,"""")"),"")</f>
        <v/>
      </c>
      <c r="O775" s="84" t="str">
        <f t="shared" si="2"/>
        <v/>
      </c>
    </row>
    <row r="776">
      <c r="A776" s="84"/>
      <c r="B776" s="84"/>
      <c r="C776" s="85"/>
      <c r="D776" s="86"/>
      <c r="E776" s="87"/>
      <c r="F776" s="86"/>
      <c r="G776" s="87"/>
      <c r="H776" s="86"/>
      <c r="I776" s="86"/>
      <c r="J776" s="86"/>
      <c r="K776" s="84"/>
      <c r="L776" s="84" t="str">
        <f>IFERROR(__xludf.DUMMYFUNCTION("IF(A776="""","""", COUNT(SPLIT(K776,"";"")))"),"")</f>
        <v/>
      </c>
      <c r="M776" s="84" t="str">
        <f t="shared" si="1"/>
        <v/>
      </c>
      <c r="N776" s="84" t="str">
        <f>IFERROR(__xludf.DUMMYFUNCTION("IFERROR(AVERAGE(query(INDIRECT(""'FR Table'!"" &amp; vlookup(rows($A$1:$A775),Reference!$O:$P,2,false) &amp; ""3:"" &amp; vlookup(rows($A$1:$A775),Reference!$O:$P,2,false)), 
""SELECT "" &amp; vlookup(rows($A$1:$A775),Reference!$O:$P,2,false) 
&amp; "" WHERE "" &amp; vlookup(row"&amp;"s($A$1:$A775),Reference!$O:$P,2,false) &amp;
"" &gt;= "" &amp; Reference!$R$2)) * M776,"""")"),"")</f>
        <v/>
      </c>
      <c r="O776" s="84" t="str">
        <f t="shared" si="2"/>
        <v/>
      </c>
    </row>
    <row r="777">
      <c r="A777" s="84"/>
      <c r="B777" s="84"/>
      <c r="C777" s="85"/>
      <c r="D777" s="86"/>
      <c r="E777" s="87"/>
      <c r="F777" s="86"/>
      <c r="G777" s="87"/>
      <c r="H777" s="86"/>
      <c r="I777" s="86"/>
      <c r="J777" s="86"/>
      <c r="K777" s="84"/>
      <c r="L777" s="84" t="str">
        <f>IFERROR(__xludf.DUMMYFUNCTION("IF(A777="""","""", COUNT(SPLIT(K777,"";"")))"),"")</f>
        <v/>
      </c>
      <c r="M777" s="84" t="str">
        <f t="shared" si="1"/>
        <v/>
      </c>
      <c r="N777" s="84" t="str">
        <f>IFERROR(__xludf.DUMMYFUNCTION("IFERROR(AVERAGE(query(INDIRECT(""'FR Table'!"" &amp; vlookup(rows($A$1:$A776),Reference!$O:$P,2,false) &amp; ""3:"" &amp; vlookup(rows($A$1:$A776),Reference!$O:$P,2,false)), 
""SELECT "" &amp; vlookup(rows($A$1:$A776),Reference!$O:$P,2,false) 
&amp; "" WHERE "" &amp; vlookup(row"&amp;"s($A$1:$A776),Reference!$O:$P,2,false) &amp;
"" &gt;= "" &amp; Reference!$R$2)) * M777,"""")"),"")</f>
        <v/>
      </c>
      <c r="O777" s="84" t="str">
        <f t="shared" si="2"/>
        <v/>
      </c>
    </row>
    <row r="778">
      <c r="A778" s="84"/>
      <c r="B778" s="84"/>
      <c r="C778" s="85"/>
      <c r="D778" s="86"/>
      <c r="E778" s="87"/>
      <c r="F778" s="86"/>
      <c r="G778" s="87"/>
      <c r="H778" s="86"/>
      <c r="I778" s="86"/>
      <c r="J778" s="86"/>
      <c r="K778" s="84"/>
      <c r="L778" s="84" t="str">
        <f>IFERROR(__xludf.DUMMYFUNCTION("IF(A778="""","""", COUNT(SPLIT(K778,"";"")))"),"")</f>
        <v/>
      </c>
      <c r="M778" s="84" t="str">
        <f t="shared" si="1"/>
        <v/>
      </c>
      <c r="N778" s="84" t="str">
        <f>IFERROR(__xludf.DUMMYFUNCTION("IFERROR(AVERAGE(query(INDIRECT(""'FR Table'!"" &amp; vlookup(rows($A$1:$A777),Reference!$O:$P,2,false) &amp; ""3:"" &amp; vlookup(rows($A$1:$A777),Reference!$O:$P,2,false)), 
""SELECT "" &amp; vlookup(rows($A$1:$A777),Reference!$O:$P,2,false) 
&amp; "" WHERE "" &amp; vlookup(row"&amp;"s($A$1:$A777),Reference!$O:$P,2,false) &amp;
"" &gt;= "" &amp; Reference!$R$2)) * M778,"""")"),"")</f>
        <v/>
      </c>
      <c r="O778" s="84" t="str">
        <f t="shared" si="2"/>
        <v/>
      </c>
    </row>
    <row r="779">
      <c r="A779" s="84"/>
      <c r="B779" s="84"/>
      <c r="C779" s="85"/>
      <c r="D779" s="86"/>
      <c r="E779" s="87"/>
      <c r="F779" s="86"/>
      <c r="G779" s="87"/>
      <c r="H779" s="86"/>
      <c r="I779" s="86"/>
      <c r="J779" s="86"/>
      <c r="K779" s="84"/>
      <c r="L779" s="84" t="str">
        <f>IFERROR(__xludf.DUMMYFUNCTION("IF(A779="""","""", COUNT(SPLIT(K779,"";"")))"),"")</f>
        <v/>
      </c>
      <c r="M779" s="84" t="str">
        <f t="shared" si="1"/>
        <v/>
      </c>
      <c r="N779" s="84" t="str">
        <f>IFERROR(__xludf.DUMMYFUNCTION("IFERROR(AVERAGE(query(INDIRECT(""'FR Table'!"" &amp; vlookup(rows($A$1:$A778),Reference!$O:$P,2,false) &amp; ""3:"" &amp; vlookup(rows($A$1:$A778),Reference!$O:$P,2,false)), 
""SELECT "" &amp; vlookup(rows($A$1:$A778),Reference!$O:$P,2,false) 
&amp; "" WHERE "" &amp; vlookup(row"&amp;"s($A$1:$A778),Reference!$O:$P,2,false) &amp;
"" &gt;= "" &amp; Reference!$R$2)) * M779,"""")"),"")</f>
        <v/>
      </c>
      <c r="O779" s="84" t="str">
        <f t="shared" si="2"/>
        <v/>
      </c>
    </row>
    <row r="780">
      <c r="A780" s="84"/>
      <c r="B780" s="84"/>
      <c r="C780" s="85"/>
      <c r="D780" s="86"/>
      <c r="E780" s="87"/>
      <c r="F780" s="86"/>
      <c r="G780" s="87"/>
      <c r="H780" s="86"/>
      <c r="I780" s="86"/>
      <c r="J780" s="86"/>
      <c r="K780" s="84"/>
      <c r="L780" s="84" t="str">
        <f>IFERROR(__xludf.DUMMYFUNCTION("IF(A780="""","""", COUNT(SPLIT(K780,"";"")))"),"")</f>
        <v/>
      </c>
      <c r="M780" s="84" t="str">
        <f t="shared" si="1"/>
        <v/>
      </c>
      <c r="N780" s="84" t="str">
        <f>IFERROR(__xludf.DUMMYFUNCTION("IFERROR(AVERAGE(query(INDIRECT(""'FR Table'!"" &amp; vlookup(rows($A$1:$A779),Reference!$O:$P,2,false) &amp; ""3:"" &amp; vlookup(rows($A$1:$A779),Reference!$O:$P,2,false)), 
""SELECT "" &amp; vlookup(rows($A$1:$A779),Reference!$O:$P,2,false) 
&amp; "" WHERE "" &amp; vlookup(row"&amp;"s($A$1:$A779),Reference!$O:$P,2,false) &amp;
"" &gt;= "" &amp; Reference!$R$2)) * M780,"""")"),"")</f>
        <v/>
      </c>
      <c r="O780" s="84" t="str">
        <f t="shared" si="2"/>
        <v/>
      </c>
    </row>
    <row r="781">
      <c r="A781" s="84"/>
      <c r="B781" s="84"/>
      <c r="C781" s="85"/>
      <c r="D781" s="86"/>
      <c r="E781" s="87"/>
      <c r="F781" s="86"/>
      <c r="G781" s="87"/>
      <c r="H781" s="86"/>
      <c r="I781" s="86"/>
      <c r="J781" s="86"/>
      <c r="K781" s="84"/>
      <c r="L781" s="84" t="str">
        <f>IFERROR(__xludf.DUMMYFUNCTION("IF(A781="""","""", COUNT(SPLIT(K781,"";"")))"),"")</f>
        <v/>
      </c>
      <c r="M781" s="84" t="str">
        <f t="shared" si="1"/>
        <v/>
      </c>
      <c r="N781" s="84" t="str">
        <f>IFERROR(__xludf.DUMMYFUNCTION("IFERROR(AVERAGE(query(INDIRECT(""'FR Table'!"" &amp; vlookup(rows($A$1:$A780),Reference!$O:$P,2,false) &amp; ""3:"" &amp; vlookup(rows($A$1:$A780),Reference!$O:$P,2,false)), 
""SELECT "" &amp; vlookup(rows($A$1:$A780),Reference!$O:$P,2,false) 
&amp; "" WHERE "" &amp; vlookup(row"&amp;"s($A$1:$A780),Reference!$O:$P,2,false) &amp;
"" &gt;= "" &amp; Reference!$R$2)) * M781,"""")"),"")</f>
        <v/>
      </c>
      <c r="O781" s="84" t="str">
        <f t="shared" si="2"/>
        <v/>
      </c>
    </row>
    <row r="782">
      <c r="A782" s="84"/>
      <c r="B782" s="84"/>
      <c r="C782" s="85"/>
      <c r="D782" s="86"/>
      <c r="E782" s="87"/>
      <c r="F782" s="86"/>
      <c r="G782" s="87"/>
      <c r="H782" s="86"/>
      <c r="I782" s="86"/>
      <c r="J782" s="86"/>
      <c r="K782" s="84"/>
      <c r="L782" s="84" t="str">
        <f>IFERROR(__xludf.DUMMYFUNCTION("IF(A782="""","""", COUNT(SPLIT(K782,"";"")))"),"")</f>
        <v/>
      </c>
      <c r="M782" s="84" t="str">
        <f t="shared" si="1"/>
        <v/>
      </c>
      <c r="N782" s="84" t="str">
        <f>IFERROR(__xludf.DUMMYFUNCTION("IFERROR(AVERAGE(query(INDIRECT(""'FR Table'!"" &amp; vlookup(rows($A$1:$A781),Reference!$O:$P,2,false) &amp; ""3:"" &amp; vlookup(rows($A$1:$A781),Reference!$O:$P,2,false)), 
""SELECT "" &amp; vlookup(rows($A$1:$A781),Reference!$O:$P,2,false) 
&amp; "" WHERE "" &amp; vlookup(row"&amp;"s($A$1:$A781),Reference!$O:$P,2,false) &amp;
"" &gt;= "" &amp; Reference!$R$2)) * M782,"""")"),"")</f>
        <v/>
      </c>
      <c r="O782" s="84" t="str">
        <f t="shared" si="2"/>
        <v/>
      </c>
    </row>
    <row r="783">
      <c r="A783" s="84"/>
      <c r="B783" s="84"/>
      <c r="C783" s="85"/>
      <c r="D783" s="86"/>
      <c r="E783" s="87"/>
      <c r="F783" s="86"/>
      <c r="G783" s="87"/>
      <c r="H783" s="86"/>
      <c r="I783" s="86"/>
      <c r="J783" s="86"/>
      <c r="K783" s="84"/>
      <c r="L783" s="84" t="str">
        <f>IFERROR(__xludf.DUMMYFUNCTION("IF(A783="""","""", COUNT(SPLIT(K783,"";"")))"),"")</f>
        <v/>
      </c>
      <c r="M783" s="84" t="str">
        <f t="shared" si="1"/>
        <v/>
      </c>
      <c r="N783" s="84" t="str">
        <f>IFERROR(__xludf.DUMMYFUNCTION("IFERROR(AVERAGE(query(INDIRECT(""'FR Table'!"" &amp; vlookup(rows($A$1:$A782),Reference!$O:$P,2,false) &amp; ""3:"" &amp; vlookup(rows($A$1:$A782),Reference!$O:$P,2,false)), 
""SELECT "" &amp; vlookup(rows($A$1:$A782),Reference!$O:$P,2,false) 
&amp; "" WHERE "" &amp; vlookup(row"&amp;"s($A$1:$A782),Reference!$O:$P,2,false) &amp;
"" &gt;= "" &amp; Reference!$R$2)) * M783,"""")"),"")</f>
        <v/>
      </c>
      <c r="O783" s="84" t="str">
        <f t="shared" si="2"/>
        <v/>
      </c>
    </row>
    <row r="784">
      <c r="A784" s="84"/>
      <c r="B784" s="84"/>
      <c r="C784" s="85"/>
      <c r="D784" s="86"/>
      <c r="E784" s="87"/>
      <c r="F784" s="86"/>
      <c r="G784" s="87"/>
      <c r="H784" s="86"/>
      <c r="I784" s="86"/>
      <c r="J784" s="86"/>
      <c r="K784" s="84"/>
      <c r="L784" s="84" t="str">
        <f>IFERROR(__xludf.DUMMYFUNCTION("IF(A784="""","""", COUNT(SPLIT(K784,"";"")))"),"")</f>
        <v/>
      </c>
      <c r="M784" s="84" t="str">
        <f t="shared" si="1"/>
        <v/>
      </c>
      <c r="N784" s="84" t="str">
        <f>IFERROR(__xludf.DUMMYFUNCTION("IFERROR(AVERAGE(query(INDIRECT(""'FR Table'!"" &amp; vlookup(rows($A$1:$A783),Reference!$O:$P,2,false) &amp; ""3:"" &amp; vlookup(rows($A$1:$A783),Reference!$O:$P,2,false)), 
""SELECT "" &amp; vlookup(rows($A$1:$A783),Reference!$O:$P,2,false) 
&amp; "" WHERE "" &amp; vlookup(row"&amp;"s($A$1:$A783),Reference!$O:$P,2,false) &amp;
"" &gt;= "" &amp; Reference!$R$2)) * M784,"""")"),"")</f>
        <v/>
      </c>
      <c r="O784" s="84" t="str">
        <f t="shared" si="2"/>
        <v/>
      </c>
    </row>
    <row r="785">
      <c r="A785" s="84"/>
      <c r="B785" s="84"/>
      <c r="C785" s="85"/>
      <c r="D785" s="86"/>
      <c r="E785" s="87"/>
      <c r="F785" s="86"/>
      <c r="G785" s="87"/>
      <c r="H785" s="86"/>
      <c r="I785" s="86"/>
      <c r="J785" s="86"/>
      <c r="K785" s="84"/>
      <c r="L785" s="84" t="str">
        <f>IFERROR(__xludf.DUMMYFUNCTION("IF(A785="""","""", COUNT(SPLIT(K785,"";"")))"),"")</f>
        <v/>
      </c>
      <c r="M785" s="84" t="str">
        <f t="shared" si="1"/>
        <v/>
      </c>
      <c r="N785" s="84" t="str">
        <f>IFERROR(__xludf.DUMMYFUNCTION("IFERROR(AVERAGE(query(INDIRECT(""'FR Table'!"" &amp; vlookup(rows($A$1:$A784),Reference!$O:$P,2,false) &amp; ""3:"" &amp; vlookup(rows($A$1:$A784),Reference!$O:$P,2,false)), 
""SELECT "" &amp; vlookup(rows($A$1:$A784),Reference!$O:$P,2,false) 
&amp; "" WHERE "" &amp; vlookup(row"&amp;"s($A$1:$A784),Reference!$O:$P,2,false) &amp;
"" &gt;= "" &amp; Reference!$R$2)) * M785,"""")"),"")</f>
        <v/>
      </c>
      <c r="O785" s="84" t="str">
        <f t="shared" si="2"/>
        <v/>
      </c>
    </row>
    <row r="786">
      <c r="A786" s="84"/>
      <c r="B786" s="84"/>
      <c r="C786" s="85"/>
      <c r="D786" s="86"/>
      <c r="E786" s="87"/>
      <c r="F786" s="86"/>
      <c r="G786" s="87"/>
      <c r="H786" s="86"/>
      <c r="I786" s="86"/>
      <c r="J786" s="86"/>
      <c r="K786" s="84"/>
      <c r="L786" s="84" t="str">
        <f>IFERROR(__xludf.DUMMYFUNCTION("IF(A786="""","""", COUNT(SPLIT(K786,"";"")))"),"")</f>
        <v/>
      </c>
      <c r="M786" s="84" t="str">
        <f t="shared" si="1"/>
        <v/>
      </c>
      <c r="N786" s="84" t="str">
        <f>IFERROR(__xludf.DUMMYFUNCTION("IFERROR(AVERAGE(query(INDIRECT(""'FR Table'!"" &amp; vlookup(rows($A$1:$A785),Reference!$O:$P,2,false) &amp; ""3:"" &amp; vlookup(rows($A$1:$A785),Reference!$O:$P,2,false)), 
""SELECT "" &amp; vlookup(rows($A$1:$A785),Reference!$O:$P,2,false) 
&amp; "" WHERE "" &amp; vlookup(row"&amp;"s($A$1:$A785),Reference!$O:$P,2,false) &amp;
"" &gt;= "" &amp; Reference!$R$2)) * M786,"""")"),"")</f>
        <v/>
      </c>
      <c r="O786" s="84" t="str">
        <f t="shared" si="2"/>
        <v/>
      </c>
    </row>
    <row r="787">
      <c r="A787" s="84"/>
      <c r="B787" s="84"/>
      <c r="C787" s="85"/>
      <c r="D787" s="86"/>
      <c r="E787" s="87"/>
      <c r="F787" s="86"/>
      <c r="G787" s="87"/>
      <c r="H787" s="86"/>
      <c r="I787" s="86"/>
      <c r="J787" s="86"/>
      <c r="K787" s="84"/>
      <c r="L787" s="84" t="str">
        <f>IFERROR(__xludf.DUMMYFUNCTION("IF(A787="""","""", COUNT(SPLIT(K787,"";"")))"),"")</f>
        <v/>
      </c>
      <c r="M787" s="84" t="str">
        <f t="shared" si="1"/>
        <v/>
      </c>
      <c r="N787" s="84" t="str">
        <f>IFERROR(__xludf.DUMMYFUNCTION("IFERROR(AVERAGE(query(INDIRECT(""'FR Table'!"" &amp; vlookup(rows($A$1:$A786),Reference!$O:$P,2,false) &amp; ""3:"" &amp; vlookup(rows($A$1:$A786),Reference!$O:$P,2,false)), 
""SELECT "" &amp; vlookup(rows($A$1:$A786),Reference!$O:$P,2,false) 
&amp; "" WHERE "" &amp; vlookup(row"&amp;"s($A$1:$A786),Reference!$O:$P,2,false) &amp;
"" &gt;= "" &amp; Reference!$R$2)) * M787,"""")"),"")</f>
        <v/>
      </c>
      <c r="O787" s="84" t="str">
        <f t="shared" si="2"/>
        <v/>
      </c>
    </row>
    <row r="788">
      <c r="A788" s="84"/>
      <c r="B788" s="84"/>
      <c r="C788" s="85"/>
      <c r="D788" s="86"/>
      <c r="E788" s="87"/>
      <c r="F788" s="86"/>
      <c r="G788" s="87"/>
      <c r="H788" s="86"/>
      <c r="I788" s="86"/>
      <c r="J788" s="86"/>
      <c r="K788" s="84"/>
      <c r="L788" s="84" t="str">
        <f>IFERROR(__xludf.DUMMYFUNCTION("IF(A788="""","""", COUNT(SPLIT(K788,"";"")))"),"")</f>
        <v/>
      </c>
      <c r="M788" s="84" t="str">
        <f t="shared" si="1"/>
        <v/>
      </c>
      <c r="N788" s="84" t="str">
        <f>IFERROR(__xludf.DUMMYFUNCTION("IFERROR(AVERAGE(query(INDIRECT(""'FR Table'!"" &amp; vlookup(rows($A$1:$A787),Reference!$O:$P,2,false) &amp; ""3:"" &amp; vlookup(rows($A$1:$A787),Reference!$O:$P,2,false)), 
""SELECT "" &amp; vlookup(rows($A$1:$A787),Reference!$O:$P,2,false) 
&amp; "" WHERE "" &amp; vlookup(row"&amp;"s($A$1:$A787),Reference!$O:$P,2,false) &amp;
"" &gt;= "" &amp; Reference!$R$2)) * M788,"""")"),"")</f>
        <v/>
      </c>
      <c r="O788" s="84" t="str">
        <f t="shared" si="2"/>
        <v/>
      </c>
    </row>
    <row r="789">
      <c r="A789" s="84"/>
      <c r="B789" s="84"/>
      <c r="C789" s="85"/>
      <c r="D789" s="86"/>
      <c r="E789" s="87"/>
      <c r="F789" s="86"/>
      <c r="G789" s="87"/>
      <c r="H789" s="86"/>
      <c r="I789" s="86"/>
      <c r="J789" s="86"/>
      <c r="K789" s="84"/>
      <c r="L789" s="84" t="str">
        <f>IFERROR(__xludf.DUMMYFUNCTION("IF(A789="""","""", COUNT(SPLIT(K789,"";"")))"),"")</f>
        <v/>
      </c>
      <c r="M789" s="84" t="str">
        <f t="shared" si="1"/>
        <v/>
      </c>
      <c r="N789" s="84" t="str">
        <f>IFERROR(__xludf.DUMMYFUNCTION("IFERROR(AVERAGE(query(INDIRECT(""'FR Table'!"" &amp; vlookup(rows($A$1:$A788),Reference!$O:$P,2,false) &amp; ""3:"" &amp; vlookup(rows($A$1:$A788),Reference!$O:$P,2,false)), 
""SELECT "" &amp; vlookup(rows($A$1:$A788),Reference!$O:$P,2,false) 
&amp; "" WHERE "" &amp; vlookup(row"&amp;"s($A$1:$A788),Reference!$O:$P,2,false) &amp;
"" &gt;= "" &amp; Reference!$R$2)) * M789,"""")"),"")</f>
        <v/>
      </c>
      <c r="O789" s="84" t="str">
        <f t="shared" si="2"/>
        <v/>
      </c>
    </row>
    <row r="790">
      <c r="A790" s="84"/>
      <c r="B790" s="84"/>
      <c r="C790" s="85"/>
      <c r="D790" s="86"/>
      <c r="E790" s="87"/>
      <c r="F790" s="86"/>
      <c r="G790" s="87"/>
      <c r="H790" s="86"/>
      <c r="I790" s="86"/>
      <c r="J790" s="86"/>
      <c r="K790" s="84"/>
      <c r="L790" s="84" t="str">
        <f>IFERROR(__xludf.DUMMYFUNCTION("IF(A790="""","""", COUNT(SPLIT(K790,"";"")))"),"")</f>
        <v/>
      </c>
      <c r="M790" s="84" t="str">
        <f t="shared" si="1"/>
        <v/>
      </c>
      <c r="N790" s="84" t="str">
        <f>IFERROR(__xludf.DUMMYFUNCTION("IFERROR(AVERAGE(query(INDIRECT(""'FR Table'!"" &amp; vlookup(rows($A$1:$A789),Reference!$O:$P,2,false) &amp; ""3:"" &amp; vlookup(rows($A$1:$A789),Reference!$O:$P,2,false)), 
""SELECT "" &amp; vlookup(rows($A$1:$A789),Reference!$O:$P,2,false) 
&amp; "" WHERE "" &amp; vlookup(row"&amp;"s($A$1:$A789),Reference!$O:$P,2,false) &amp;
"" &gt;= "" &amp; Reference!$R$2)) * M790,"""")"),"")</f>
        <v/>
      </c>
      <c r="O790" s="84" t="str">
        <f t="shared" si="2"/>
        <v/>
      </c>
    </row>
    <row r="791">
      <c r="A791" s="84"/>
      <c r="B791" s="84"/>
      <c r="C791" s="85"/>
      <c r="D791" s="86"/>
      <c r="E791" s="87"/>
      <c r="F791" s="86"/>
      <c r="G791" s="87"/>
      <c r="H791" s="86"/>
      <c r="I791" s="86"/>
      <c r="J791" s="86"/>
      <c r="K791" s="84"/>
      <c r="L791" s="84" t="str">
        <f>IFERROR(__xludf.DUMMYFUNCTION("IF(A791="""","""", COUNT(SPLIT(K791,"";"")))"),"")</f>
        <v/>
      </c>
      <c r="M791" s="84" t="str">
        <f t="shared" si="1"/>
        <v/>
      </c>
      <c r="N791" s="84" t="str">
        <f>IFERROR(__xludf.DUMMYFUNCTION("IFERROR(AVERAGE(query(INDIRECT(""'FR Table'!"" &amp; vlookup(rows($A$1:$A790),Reference!$O:$P,2,false) &amp; ""3:"" &amp; vlookup(rows($A$1:$A790),Reference!$O:$P,2,false)), 
""SELECT "" &amp; vlookup(rows($A$1:$A790),Reference!$O:$P,2,false) 
&amp; "" WHERE "" &amp; vlookup(row"&amp;"s($A$1:$A790),Reference!$O:$P,2,false) &amp;
"" &gt;= "" &amp; Reference!$R$2)) * M791,"""")"),"")</f>
        <v/>
      </c>
      <c r="O791" s="84" t="str">
        <f t="shared" si="2"/>
        <v/>
      </c>
    </row>
    <row r="792">
      <c r="A792" s="84"/>
      <c r="B792" s="84"/>
      <c r="C792" s="85"/>
      <c r="D792" s="86"/>
      <c r="E792" s="87"/>
      <c r="F792" s="86"/>
      <c r="G792" s="87"/>
      <c r="H792" s="86"/>
      <c r="I792" s="86"/>
      <c r="J792" s="86"/>
      <c r="K792" s="84"/>
      <c r="L792" s="84" t="str">
        <f>IFERROR(__xludf.DUMMYFUNCTION("IF(A792="""","""", COUNT(SPLIT(K792,"";"")))"),"")</f>
        <v/>
      </c>
      <c r="M792" s="84" t="str">
        <f t="shared" si="1"/>
        <v/>
      </c>
      <c r="N792" s="84" t="str">
        <f>IFERROR(__xludf.DUMMYFUNCTION("IFERROR(AVERAGE(query(INDIRECT(""'FR Table'!"" &amp; vlookup(rows($A$1:$A791),Reference!$O:$P,2,false) &amp; ""3:"" &amp; vlookup(rows($A$1:$A791),Reference!$O:$P,2,false)), 
""SELECT "" &amp; vlookup(rows($A$1:$A791),Reference!$O:$P,2,false) 
&amp; "" WHERE "" &amp; vlookup(row"&amp;"s($A$1:$A791),Reference!$O:$P,2,false) &amp;
"" &gt;= "" &amp; Reference!$R$2)) * M792,"""")"),"")</f>
        <v/>
      </c>
      <c r="O792" s="84" t="str">
        <f t="shared" si="2"/>
        <v/>
      </c>
    </row>
    <row r="793">
      <c r="A793" s="84"/>
      <c r="B793" s="84"/>
      <c r="C793" s="85"/>
      <c r="D793" s="86"/>
      <c r="E793" s="87"/>
      <c r="F793" s="86"/>
      <c r="G793" s="87"/>
      <c r="H793" s="86"/>
      <c r="I793" s="86"/>
      <c r="J793" s="86"/>
      <c r="K793" s="84"/>
      <c r="L793" s="84" t="str">
        <f>IFERROR(__xludf.DUMMYFUNCTION("IF(A793="""","""", COUNT(SPLIT(K793,"";"")))"),"")</f>
        <v/>
      </c>
      <c r="M793" s="84" t="str">
        <f t="shared" si="1"/>
        <v/>
      </c>
      <c r="N793" s="84" t="str">
        <f>IFERROR(__xludf.DUMMYFUNCTION("IFERROR(AVERAGE(query(INDIRECT(""'FR Table'!"" &amp; vlookup(rows($A$1:$A792),Reference!$O:$P,2,false) &amp; ""3:"" &amp; vlookup(rows($A$1:$A792),Reference!$O:$P,2,false)), 
""SELECT "" &amp; vlookup(rows($A$1:$A792),Reference!$O:$P,2,false) 
&amp; "" WHERE "" &amp; vlookup(row"&amp;"s($A$1:$A792),Reference!$O:$P,2,false) &amp;
"" &gt;= "" &amp; Reference!$R$2)) * M793,"""")"),"")</f>
        <v/>
      </c>
      <c r="O793" s="84" t="str">
        <f t="shared" si="2"/>
        <v/>
      </c>
    </row>
    <row r="794">
      <c r="A794" s="84"/>
      <c r="B794" s="84"/>
      <c r="C794" s="85"/>
      <c r="D794" s="86"/>
      <c r="E794" s="87"/>
      <c r="F794" s="86"/>
      <c r="G794" s="87"/>
      <c r="H794" s="86"/>
      <c r="I794" s="86"/>
      <c r="J794" s="86"/>
      <c r="K794" s="84"/>
      <c r="L794" s="84" t="str">
        <f>IFERROR(__xludf.DUMMYFUNCTION("IF(A794="""","""", COUNT(SPLIT(K794,"";"")))"),"")</f>
        <v/>
      </c>
      <c r="M794" s="84" t="str">
        <f t="shared" si="1"/>
        <v/>
      </c>
      <c r="N794" s="84" t="str">
        <f>IFERROR(__xludf.DUMMYFUNCTION("IFERROR(AVERAGE(query(INDIRECT(""'FR Table'!"" &amp; vlookup(rows($A$1:$A793),Reference!$O:$P,2,false) &amp; ""3:"" &amp; vlookup(rows($A$1:$A793),Reference!$O:$P,2,false)), 
""SELECT "" &amp; vlookup(rows($A$1:$A793),Reference!$O:$P,2,false) 
&amp; "" WHERE "" &amp; vlookup(row"&amp;"s($A$1:$A793),Reference!$O:$P,2,false) &amp;
"" &gt;= "" &amp; Reference!$R$2)) * M794,"""")"),"")</f>
        <v/>
      </c>
      <c r="O794" s="84" t="str">
        <f t="shared" si="2"/>
        <v/>
      </c>
    </row>
    <row r="795">
      <c r="A795" s="84"/>
      <c r="B795" s="84"/>
      <c r="C795" s="85"/>
      <c r="D795" s="86"/>
      <c r="E795" s="87"/>
      <c r="F795" s="86"/>
      <c r="G795" s="87"/>
      <c r="H795" s="86"/>
      <c r="I795" s="86"/>
      <c r="J795" s="86"/>
      <c r="K795" s="84"/>
      <c r="L795" s="84" t="str">
        <f>IFERROR(__xludf.DUMMYFUNCTION("IF(A795="""","""", COUNT(SPLIT(K795,"";"")))"),"")</f>
        <v/>
      </c>
      <c r="M795" s="84" t="str">
        <f t="shared" si="1"/>
        <v/>
      </c>
      <c r="N795" s="84" t="str">
        <f>IFERROR(__xludf.DUMMYFUNCTION("IFERROR(AVERAGE(query(INDIRECT(""'FR Table'!"" &amp; vlookup(rows($A$1:$A794),Reference!$O:$P,2,false) &amp; ""3:"" &amp; vlookup(rows($A$1:$A794),Reference!$O:$P,2,false)), 
""SELECT "" &amp; vlookup(rows($A$1:$A794),Reference!$O:$P,2,false) 
&amp; "" WHERE "" &amp; vlookup(row"&amp;"s($A$1:$A794),Reference!$O:$P,2,false) &amp;
"" &gt;= "" &amp; Reference!$R$2)) * M795,"""")"),"")</f>
        <v/>
      </c>
      <c r="O795" s="84" t="str">
        <f t="shared" si="2"/>
        <v/>
      </c>
    </row>
    <row r="796">
      <c r="A796" s="84"/>
      <c r="B796" s="84"/>
      <c r="C796" s="85"/>
      <c r="D796" s="86"/>
      <c r="E796" s="87"/>
      <c r="F796" s="86"/>
      <c r="G796" s="87"/>
      <c r="H796" s="86"/>
      <c r="I796" s="86"/>
      <c r="J796" s="86"/>
      <c r="K796" s="84"/>
      <c r="L796" s="84" t="str">
        <f>IFERROR(__xludf.DUMMYFUNCTION("IF(A796="""","""", COUNT(SPLIT(K796,"";"")))"),"")</f>
        <v/>
      </c>
      <c r="M796" s="84" t="str">
        <f t="shared" si="1"/>
        <v/>
      </c>
      <c r="N796" s="84" t="str">
        <f>IFERROR(__xludf.DUMMYFUNCTION("IFERROR(AVERAGE(query(INDIRECT(""'FR Table'!"" &amp; vlookup(rows($A$1:$A795),Reference!$O:$P,2,false) &amp; ""3:"" &amp; vlookup(rows($A$1:$A795),Reference!$O:$P,2,false)), 
""SELECT "" &amp; vlookup(rows($A$1:$A795),Reference!$O:$P,2,false) 
&amp; "" WHERE "" &amp; vlookup(row"&amp;"s($A$1:$A795),Reference!$O:$P,2,false) &amp;
"" &gt;= "" &amp; Reference!$R$2)) * M796,"""")"),"")</f>
        <v/>
      </c>
      <c r="O796" s="84" t="str">
        <f t="shared" si="2"/>
        <v/>
      </c>
    </row>
    <row r="797">
      <c r="A797" s="84"/>
      <c r="B797" s="84"/>
      <c r="C797" s="85"/>
      <c r="D797" s="86"/>
      <c r="E797" s="87"/>
      <c r="F797" s="86"/>
      <c r="G797" s="87"/>
      <c r="H797" s="86"/>
      <c r="I797" s="86"/>
      <c r="J797" s="86"/>
      <c r="K797" s="84"/>
      <c r="L797" s="84" t="str">
        <f>IFERROR(__xludf.DUMMYFUNCTION("IF(A797="""","""", COUNT(SPLIT(K797,"";"")))"),"")</f>
        <v/>
      </c>
      <c r="M797" s="84" t="str">
        <f t="shared" si="1"/>
        <v/>
      </c>
      <c r="N797" s="84" t="str">
        <f>IFERROR(__xludf.DUMMYFUNCTION("IFERROR(AVERAGE(query(INDIRECT(""'FR Table'!"" &amp; vlookup(rows($A$1:$A796),Reference!$O:$P,2,false) &amp; ""3:"" &amp; vlookup(rows($A$1:$A796),Reference!$O:$P,2,false)), 
""SELECT "" &amp; vlookup(rows($A$1:$A796),Reference!$O:$P,2,false) 
&amp; "" WHERE "" &amp; vlookup(row"&amp;"s($A$1:$A796),Reference!$O:$P,2,false) &amp;
"" &gt;= "" &amp; Reference!$R$2)) * M797,"""")"),"")</f>
        <v/>
      </c>
      <c r="O797" s="84" t="str">
        <f t="shared" si="2"/>
        <v/>
      </c>
    </row>
    <row r="798">
      <c r="A798" s="84"/>
      <c r="B798" s="84"/>
      <c r="C798" s="85"/>
      <c r="D798" s="86"/>
      <c r="E798" s="87"/>
      <c r="F798" s="86"/>
      <c r="G798" s="87"/>
      <c r="H798" s="86"/>
      <c r="I798" s="86"/>
      <c r="J798" s="86"/>
      <c r="K798" s="84"/>
      <c r="L798" s="84" t="str">
        <f>IFERROR(__xludf.DUMMYFUNCTION("IF(A798="""","""", COUNT(SPLIT(K798,"";"")))"),"")</f>
        <v/>
      </c>
      <c r="M798" s="84" t="str">
        <f t="shared" si="1"/>
        <v/>
      </c>
      <c r="N798" s="84" t="str">
        <f>IFERROR(__xludf.DUMMYFUNCTION("IFERROR(AVERAGE(query(INDIRECT(""'FR Table'!"" &amp; vlookup(rows($A$1:$A797),Reference!$O:$P,2,false) &amp; ""3:"" &amp; vlookup(rows($A$1:$A797),Reference!$O:$P,2,false)), 
""SELECT "" &amp; vlookup(rows($A$1:$A797),Reference!$O:$P,2,false) 
&amp; "" WHERE "" &amp; vlookup(row"&amp;"s($A$1:$A797),Reference!$O:$P,2,false) &amp;
"" &gt;= "" &amp; Reference!$R$2)) * M798,"""")"),"")</f>
        <v/>
      </c>
      <c r="O798" s="84" t="str">
        <f t="shared" si="2"/>
        <v/>
      </c>
    </row>
    <row r="799">
      <c r="A799" s="84"/>
      <c r="B799" s="84"/>
      <c r="C799" s="85"/>
      <c r="D799" s="86"/>
      <c r="E799" s="87"/>
      <c r="F799" s="86"/>
      <c r="G799" s="87"/>
      <c r="H799" s="86"/>
      <c r="I799" s="86"/>
      <c r="J799" s="86"/>
      <c r="K799" s="84"/>
      <c r="L799" s="84" t="str">
        <f>IFERROR(__xludf.DUMMYFUNCTION("IF(A799="""","""", COUNT(SPLIT(K799,"";"")))"),"")</f>
        <v/>
      </c>
      <c r="M799" s="84" t="str">
        <f t="shared" si="1"/>
        <v/>
      </c>
      <c r="N799" s="84" t="str">
        <f>IFERROR(__xludf.DUMMYFUNCTION("IFERROR(AVERAGE(query(INDIRECT(""'FR Table'!"" &amp; vlookup(rows($A$1:$A798),Reference!$O:$P,2,false) &amp; ""3:"" &amp; vlookup(rows($A$1:$A798),Reference!$O:$P,2,false)), 
""SELECT "" &amp; vlookup(rows($A$1:$A798),Reference!$O:$P,2,false) 
&amp; "" WHERE "" &amp; vlookup(row"&amp;"s($A$1:$A798),Reference!$O:$P,2,false) &amp;
"" &gt;= "" &amp; Reference!$R$2)) * M799,"""")"),"")</f>
        <v/>
      </c>
      <c r="O799" s="84" t="str">
        <f t="shared" si="2"/>
        <v/>
      </c>
    </row>
    <row r="800">
      <c r="A800" s="84"/>
      <c r="B800" s="84"/>
      <c r="C800" s="85"/>
      <c r="D800" s="86"/>
      <c r="E800" s="87"/>
      <c r="F800" s="86"/>
      <c r="G800" s="87"/>
      <c r="H800" s="86"/>
      <c r="I800" s="86"/>
      <c r="J800" s="86"/>
      <c r="K800" s="84"/>
      <c r="L800" s="84" t="str">
        <f>IFERROR(__xludf.DUMMYFUNCTION("IF(A800="""","""", COUNT(SPLIT(K800,"";"")))"),"")</f>
        <v/>
      </c>
      <c r="M800" s="84" t="str">
        <f t="shared" si="1"/>
        <v/>
      </c>
      <c r="N800" s="84" t="str">
        <f>IFERROR(__xludf.DUMMYFUNCTION("IFERROR(AVERAGE(query(INDIRECT(""'FR Table'!"" &amp; vlookup(rows($A$1:$A799),Reference!$O:$P,2,false) &amp; ""3:"" &amp; vlookup(rows($A$1:$A799),Reference!$O:$P,2,false)), 
""SELECT "" &amp; vlookup(rows($A$1:$A799),Reference!$O:$P,2,false) 
&amp; "" WHERE "" &amp; vlookup(row"&amp;"s($A$1:$A799),Reference!$O:$P,2,false) &amp;
"" &gt;= "" &amp; Reference!$R$2)) * M800,"""")"),"")</f>
        <v/>
      </c>
      <c r="O800" s="84" t="str">
        <f t="shared" si="2"/>
        <v/>
      </c>
    </row>
    <row r="801">
      <c r="A801" s="84"/>
      <c r="B801" s="84"/>
      <c r="C801" s="85"/>
      <c r="D801" s="86"/>
      <c r="E801" s="87"/>
      <c r="F801" s="86"/>
      <c r="G801" s="87"/>
      <c r="H801" s="86"/>
      <c r="I801" s="86"/>
      <c r="J801" s="86"/>
      <c r="K801" s="84"/>
      <c r="L801" s="84" t="str">
        <f>IFERROR(__xludf.DUMMYFUNCTION("IF(A801="""","""", COUNT(SPLIT(K801,"";"")))"),"")</f>
        <v/>
      </c>
      <c r="M801" s="84" t="str">
        <f t="shared" si="1"/>
        <v/>
      </c>
      <c r="N801" s="84" t="str">
        <f>IFERROR(__xludf.DUMMYFUNCTION("IFERROR(AVERAGE(query(INDIRECT(""'FR Table'!"" &amp; vlookup(rows($A$1:$A800),Reference!$O:$P,2,false) &amp; ""3:"" &amp; vlookup(rows($A$1:$A800),Reference!$O:$P,2,false)), 
""SELECT "" &amp; vlookup(rows($A$1:$A800),Reference!$O:$P,2,false) 
&amp; "" WHERE "" &amp; vlookup(row"&amp;"s($A$1:$A800),Reference!$O:$P,2,false) &amp;
"" &gt;= "" &amp; Reference!$R$2)) * M801,"""")"),"")</f>
        <v/>
      </c>
      <c r="O801" s="84" t="str">
        <f t="shared" si="2"/>
        <v/>
      </c>
    </row>
    <row r="802">
      <c r="A802" s="84"/>
      <c r="B802" s="84"/>
      <c r="C802" s="85"/>
      <c r="D802" s="86"/>
      <c r="E802" s="87"/>
      <c r="F802" s="86"/>
      <c r="G802" s="87"/>
      <c r="H802" s="86"/>
      <c r="I802" s="86"/>
      <c r="J802" s="86"/>
      <c r="K802" s="84"/>
      <c r="L802" s="84" t="str">
        <f>IFERROR(__xludf.DUMMYFUNCTION("IF(A802="""","""", COUNT(SPLIT(K802,"";"")))"),"")</f>
        <v/>
      </c>
      <c r="M802" s="84" t="str">
        <f t="shared" si="1"/>
        <v/>
      </c>
      <c r="N802" s="84" t="str">
        <f>IFERROR(__xludf.DUMMYFUNCTION("IFERROR(AVERAGE(query(INDIRECT(""'FR Table'!"" &amp; vlookup(rows($A$1:$A801),Reference!$O:$P,2,false) &amp; ""3:"" &amp; vlookup(rows($A$1:$A801),Reference!$O:$P,2,false)), 
""SELECT "" &amp; vlookup(rows($A$1:$A801),Reference!$O:$P,2,false) 
&amp; "" WHERE "" &amp; vlookup(row"&amp;"s($A$1:$A801),Reference!$O:$P,2,false) &amp;
"" &gt;= "" &amp; Reference!$R$2)) * M802,"""")"),"")</f>
        <v/>
      </c>
      <c r="O802" s="84" t="str">
        <f t="shared" si="2"/>
        <v/>
      </c>
    </row>
    <row r="803">
      <c r="A803" s="84"/>
      <c r="B803" s="84"/>
      <c r="C803" s="85"/>
      <c r="D803" s="86"/>
      <c r="E803" s="87"/>
      <c r="F803" s="86"/>
      <c r="G803" s="87"/>
      <c r="H803" s="86"/>
      <c r="I803" s="86"/>
      <c r="J803" s="86"/>
      <c r="K803" s="84"/>
      <c r="L803" s="84" t="str">
        <f>IFERROR(__xludf.DUMMYFUNCTION("IF(A803="""","""", COUNT(SPLIT(K803,"";"")))"),"")</f>
        <v/>
      </c>
      <c r="M803" s="84" t="str">
        <f t="shared" si="1"/>
        <v/>
      </c>
      <c r="N803" s="84" t="str">
        <f>IFERROR(__xludf.DUMMYFUNCTION("IFERROR(AVERAGE(query(INDIRECT(""'FR Table'!"" &amp; vlookup(rows($A$1:$A802),Reference!$O:$P,2,false) &amp; ""3:"" &amp; vlookup(rows($A$1:$A802),Reference!$O:$P,2,false)), 
""SELECT "" &amp; vlookup(rows($A$1:$A802),Reference!$O:$P,2,false) 
&amp; "" WHERE "" &amp; vlookup(row"&amp;"s($A$1:$A802),Reference!$O:$P,2,false) &amp;
"" &gt;= "" &amp; Reference!$R$2)) * M803,"""")"),"")</f>
        <v/>
      </c>
      <c r="O803" s="84" t="str">
        <f t="shared" si="2"/>
        <v/>
      </c>
    </row>
    <row r="804">
      <c r="A804" s="84"/>
      <c r="B804" s="84"/>
      <c r="C804" s="85"/>
      <c r="D804" s="86"/>
      <c r="E804" s="87"/>
      <c r="F804" s="86"/>
      <c r="G804" s="87"/>
      <c r="H804" s="86"/>
      <c r="I804" s="86"/>
      <c r="J804" s="86"/>
      <c r="K804" s="84"/>
      <c r="L804" s="84" t="str">
        <f>IFERROR(__xludf.DUMMYFUNCTION("IF(A804="""","""", COUNT(SPLIT(K804,"";"")))"),"")</f>
        <v/>
      </c>
      <c r="M804" s="84" t="str">
        <f t="shared" si="1"/>
        <v/>
      </c>
      <c r="N804" s="84" t="str">
        <f>IFERROR(__xludf.DUMMYFUNCTION("IFERROR(AVERAGE(query(INDIRECT(""'FR Table'!"" &amp; vlookup(rows($A$1:$A803),Reference!$O:$P,2,false) &amp; ""3:"" &amp; vlookup(rows($A$1:$A803),Reference!$O:$P,2,false)), 
""SELECT "" &amp; vlookup(rows($A$1:$A803),Reference!$O:$P,2,false) 
&amp; "" WHERE "" &amp; vlookup(row"&amp;"s($A$1:$A803),Reference!$O:$P,2,false) &amp;
"" &gt;= "" &amp; Reference!$R$2)) * M804,"""")"),"")</f>
        <v/>
      </c>
      <c r="O804" s="84" t="str">
        <f t="shared" si="2"/>
        <v/>
      </c>
    </row>
    <row r="805">
      <c r="A805" s="84"/>
      <c r="B805" s="84"/>
      <c r="C805" s="85"/>
      <c r="D805" s="86"/>
      <c r="E805" s="87"/>
      <c r="F805" s="86"/>
      <c r="G805" s="87"/>
      <c r="H805" s="86"/>
      <c r="I805" s="86"/>
      <c r="J805" s="86"/>
      <c r="K805" s="84"/>
      <c r="L805" s="84" t="str">
        <f>IFERROR(__xludf.DUMMYFUNCTION("IF(A805="""","""", COUNT(SPLIT(K805,"";"")))"),"")</f>
        <v/>
      </c>
      <c r="M805" s="84" t="str">
        <f t="shared" si="1"/>
        <v/>
      </c>
      <c r="N805" s="84" t="str">
        <f>IFERROR(__xludf.DUMMYFUNCTION("IFERROR(AVERAGE(query(INDIRECT(""'FR Table'!"" &amp; vlookup(rows($A$1:$A804),Reference!$O:$P,2,false) &amp; ""3:"" &amp; vlookup(rows($A$1:$A804),Reference!$O:$P,2,false)), 
""SELECT "" &amp; vlookup(rows($A$1:$A804),Reference!$O:$P,2,false) 
&amp; "" WHERE "" &amp; vlookup(row"&amp;"s($A$1:$A804),Reference!$O:$P,2,false) &amp;
"" &gt;= "" &amp; Reference!$R$2)) * M805,"""")"),"")</f>
        <v/>
      </c>
      <c r="O805" s="84" t="str">
        <f t="shared" si="2"/>
        <v/>
      </c>
    </row>
    <row r="806">
      <c r="A806" s="84"/>
      <c r="B806" s="84"/>
      <c r="C806" s="85"/>
      <c r="D806" s="86"/>
      <c r="E806" s="87"/>
      <c r="F806" s="86"/>
      <c r="G806" s="87"/>
      <c r="H806" s="86"/>
      <c r="I806" s="86"/>
      <c r="J806" s="86"/>
      <c r="K806" s="84"/>
      <c r="L806" s="84" t="str">
        <f>IFERROR(__xludf.DUMMYFUNCTION("IF(A806="""","""", COUNT(SPLIT(K806,"";"")))"),"")</f>
        <v/>
      </c>
      <c r="M806" s="84" t="str">
        <f t="shared" si="1"/>
        <v/>
      </c>
      <c r="N806" s="84" t="str">
        <f>IFERROR(__xludf.DUMMYFUNCTION("IFERROR(AVERAGE(query(INDIRECT(""'FR Table'!"" &amp; vlookup(rows($A$1:$A805),Reference!$O:$P,2,false) &amp; ""3:"" &amp; vlookup(rows($A$1:$A805),Reference!$O:$P,2,false)), 
""SELECT "" &amp; vlookup(rows($A$1:$A805),Reference!$O:$P,2,false) 
&amp; "" WHERE "" &amp; vlookup(row"&amp;"s($A$1:$A805),Reference!$O:$P,2,false) &amp;
"" &gt;= "" &amp; Reference!$R$2)) * M806,"""")"),"")</f>
        <v/>
      </c>
      <c r="O806" s="84" t="str">
        <f t="shared" si="2"/>
        <v/>
      </c>
    </row>
    <row r="807">
      <c r="A807" s="84"/>
      <c r="B807" s="84"/>
      <c r="C807" s="85"/>
      <c r="D807" s="86"/>
      <c r="E807" s="87"/>
      <c r="F807" s="86"/>
      <c r="G807" s="87"/>
      <c r="H807" s="86"/>
      <c r="I807" s="86"/>
      <c r="J807" s="86"/>
      <c r="K807" s="84"/>
      <c r="L807" s="84" t="str">
        <f>IFERROR(__xludf.DUMMYFUNCTION("IF(A807="""","""", COUNT(SPLIT(K807,"";"")))"),"")</f>
        <v/>
      </c>
      <c r="M807" s="84" t="str">
        <f t="shared" si="1"/>
        <v/>
      </c>
      <c r="N807" s="84" t="str">
        <f>IFERROR(__xludf.DUMMYFUNCTION("IFERROR(AVERAGE(query(INDIRECT(""'FR Table'!"" &amp; vlookup(rows($A$1:$A806),Reference!$O:$P,2,false) &amp; ""3:"" &amp; vlookup(rows($A$1:$A806),Reference!$O:$P,2,false)), 
""SELECT "" &amp; vlookup(rows($A$1:$A806),Reference!$O:$P,2,false) 
&amp; "" WHERE "" &amp; vlookup(row"&amp;"s($A$1:$A806),Reference!$O:$P,2,false) &amp;
"" &gt;= "" &amp; Reference!$R$2)) * M807,"""")"),"")</f>
        <v/>
      </c>
      <c r="O807" s="84" t="str">
        <f t="shared" si="2"/>
        <v/>
      </c>
    </row>
    <row r="808">
      <c r="A808" s="84"/>
      <c r="B808" s="84"/>
      <c r="C808" s="85"/>
      <c r="D808" s="86"/>
      <c r="E808" s="87"/>
      <c r="F808" s="86"/>
      <c r="G808" s="87"/>
      <c r="H808" s="86"/>
      <c r="I808" s="86"/>
      <c r="J808" s="86"/>
      <c r="K808" s="84"/>
      <c r="L808" s="84" t="str">
        <f>IFERROR(__xludf.DUMMYFUNCTION("IF(A808="""","""", COUNT(SPLIT(K808,"";"")))"),"")</f>
        <v/>
      </c>
      <c r="M808" s="84" t="str">
        <f t="shared" si="1"/>
        <v/>
      </c>
      <c r="N808" s="84" t="str">
        <f>IFERROR(__xludf.DUMMYFUNCTION("IFERROR(AVERAGE(query(INDIRECT(""'FR Table'!"" &amp; vlookup(rows($A$1:$A807),Reference!$O:$P,2,false) &amp; ""3:"" &amp; vlookup(rows($A$1:$A807),Reference!$O:$P,2,false)), 
""SELECT "" &amp; vlookup(rows($A$1:$A807),Reference!$O:$P,2,false) 
&amp; "" WHERE "" &amp; vlookup(row"&amp;"s($A$1:$A807),Reference!$O:$P,2,false) &amp;
"" &gt;= "" &amp; Reference!$R$2)) * M808,"""")"),"")</f>
        <v/>
      </c>
      <c r="O808" s="84" t="str">
        <f t="shared" si="2"/>
        <v/>
      </c>
    </row>
    <row r="809">
      <c r="A809" s="84"/>
      <c r="B809" s="84"/>
      <c r="C809" s="85"/>
      <c r="D809" s="86"/>
      <c r="E809" s="87"/>
      <c r="F809" s="86"/>
      <c r="G809" s="87"/>
      <c r="H809" s="86"/>
      <c r="I809" s="86"/>
      <c r="J809" s="86"/>
      <c r="K809" s="84"/>
      <c r="L809" s="84" t="str">
        <f>IFERROR(__xludf.DUMMYFUNCTION("IF(A809="""","""", COUNT(SPLIT(K809,"";"")))"),"")</f>
        <v/>
      </c>
      <c r="M809" s="84" t="str">
        <f t="shared" si="1"/>
        <v/>
      </c>
      <c r="N809" s="84" t="str">
        <f>IFERROR(__xludf.DUMMYFUNCTION("IFERROR(AVERAGE(query(INDIRECT(""'FR Table'!"" &amp; vlookup(rows($A$1:$A808),Reference!$O:$P,2,false) &amp; ""3:"" &amp; vlookup(rows($A$1:$A808),Reference!$O:$P,2,false)), 
""SELECT "" &amp; vlookup(rows($A$1:$A808),Reference!$O:$P,2,false) 
&amp; "" WHERE "" &amp; vlookup(row"&amp;"s($A$1:$A808),Reference!$O:$P,2,false) &amp;
"" &gt;= "" &amp; Reference!$R$2)) * M809,"""")"),"")</f>
        <v/>
      </c>
      <c r="O809" s="84" t="str">
        <f t="shared" si="2"/>
        <v/>
      </c>
    </row>
    <row r="810">
      <c r="A810" s="84"/>
      <c r="B810" s="84"/>
      <c r="C810" s="85"/>
      <c r="D810" s="86"/>
      <c r="E810" s="87"/>
      <c r="F810" s="86"/>
      <c r="G810" s="87"/>
      <c r="H810" s="86"/>
      <c r="I810" s="86"/>
      <c r="J810" s="86"/>
      <c r="K810" s="84"/>
      <c r="L810" s="84" t="str">
        <f>IFERROR(__xludf.DUMMYFUNCTION("IF(A810="""","""", COUNT(SPLIT(K810,"";"")))"),"")</f>
        <v/>
      </c>
      <c r="M810" s="84" t="str">
        <f t="shared" si="1"/>
        <v/>
      </c>
      <c r="N810" s="84" t="str">
        <f>IFERROR(__xludf.DUMMYFUNCTION("IFERROR(AVERAGE(query(INDIRECT(""'FR Table'!"" &amp; vlookup(rows($A$1:$A809),Reference!$O:$P,2,false) &amp; ""3:"" &amp; vlookup(rows($A$1:$A809),Reference!$O:$P,2,false)), 
""SELECT "" &amp; vlookup(rows($A$1:$A809),Reference!$O:$P,2,false) 
&amp; "" WHERE "" &amp; vlookup(row"&amp;"s($A$1:$A809),Reference!$O:$P,2,false) &amp;
"" &gt;= "" &amp; Reference!$R$2)) * M810,"""")"),"")</f>
        <v/>
      </c>
      <c r="O810" s="84" t="str">
        <f t="shared" si="2"/>
        <v/>
      </c>
    </row>
    <row r="811">
      <c r="A811" s="84"/>
      <c r="B811" s="84"/>
      <c r="C811" s="85"/>
      <c r="D811" s="86"/>
      <c r="E811" s="87"/>
      <c r="F811" s="86"/>
      <c r="G811" s="87"/>
      <c r="H811" s="86"/>
      <c r="I811" s="86"/>
      <c r="J811" s="86"/>
      <c r="K811" s="84"/>
      <c r="L811" s="84" t="str">
        <f>IFERROR(__xludf.DUMMYFUNCTION("IF(A811="""","""", COUNT(SPLIT(K811,"";"")))"),"")</f>
        <v/>
      </c>
      <c r="M811" s="84" t="str">
        <f t="shared" si="1"/>
        <v/>
      </c>
      <c r="N811" s="84" t="str">
        <f>IFERROR(__xludf.DUMMYFUNCTION("IFERROR(AVERAGE(query(INDIRECT(""'FR Table'!"" &amp; vlookup(rows($A$1:$A810),Reference!$O:$P,2,false) &amp; ""3:"" &amp; vlookup(rows($A$1:$A810),Reference!$O:$P,2,false)), 
""SELECT "" &amp; vlookup(rows($A$1:$A810),Reference!$O:$P,2,false) 
&amp; "" WHERE "" &amp; vlookup(row"&amp;"s($A$1:$A810),Reference!$O:$P,2,false) &amp;
"" &gt;= "" &amp; Reference!$R$2)) * M811,"""")"),"")</f>
        <v/>
      </c>
      <c r="O811" s="84" t="str">
        <f t="shared" si="2"/>
        <v/>
      </c>
    </row>
    <row r="812">
      <c r="A812" s="84"/>
      <c r="B812" s="84"/>
      <c r="C812" s="85"/>
      <c r="D812" s="86"/>
      <c r="E812" s="87"/>
      <c r="F812" s="86"/>
      <c r="G812" s="87"/>
      <c r="H812" s="86"/>
      <c r="I812" s="86"/>
      <c r="J812" s="86"/>
      <c r="K812" s="84"/>
      <c r="L812" s="84" t="str">
        <f>IFERROR(__xludf.DUMMYFUNCTION("IF(A812="""","""", COUNT(SPLIT(K812,"";"")))"),"")</f>
        <v/>
      </c>
      <c r="M812" s="84" t="str">
        <f t="shared" si="1"/>
        <v/>
      </c>
      <c r="N812" s="84" t="str">
        <f>IFERROR(__xludf.DUMMYFUNCTION("IFERROR(AVERAGE(query(INDIRECT(""'FR Table'!"" &amp; vlookup(rows($A$1:$A811),Reference!$O:$P,2,false) &amp; ""3:"" &amp; vlookup(rows($A$1:$A811),Reference!$O:$P,2,false)), 
""SELECT "" &amp; vlookup(rows($A$1:$A811),Reference!$O:$P,2,false) 
&amp; "" WHERE "" &amp; vlookup(row"&amp;"s($A$1:$A811),Reference!$O:$P,2,false) &amp;
"" &gt;= "" &amp; Reference!$R$2)) * M812,"""")"),"")</f>
        <v/>
      </c>
      <c r="O812" s="84" t="str">
        <f t="shared" si="2"/>
        <v/>
      </c>
    </row>
    <row r="813">
      <c r="A813" s="84"/>
      <c r="B813" s="84"/>
      <c r="C813" s="85"/>
      <c r="D813" s="86"/>
      <c r="E813" s="87"/>
      <c r="F813" s="86"/>
      <c r="G813" s="87"/>
      <c r="H813" s="86"/>
      <c r="I813" s="86"/>
      <c r="J813" s="86"/>
      <c r="K813" s="84"/>
      <c r="L813" s="84" t="str">
        <f>IFERROR(__xludf.DUMMYFUNCTION("IF(A813="""","""", COUNT(SPLIT(K813,"";"")))"),"")</f>
        <v/>
      </c>
      <c r="M813" s="84" t="str">
        <f t="shared" si="1"/>
        <v/>
      </c>
      <c r="N813" s="84" t="str">
        <f>IFERROR(__xludf.DUMMYFUNCTION("IFERROR(AVERAGE(query(INDIRECT(""'FR Table'!"" &amp; vlookup(rows($A$1:$A812),Reference!$O:$P,2,false) &amp; ""3:"" &amp; vlookup(rows($A$1:$A812),Reference!$O:$P,2,false)), 
""SELECT "" &amp; vlookup(rows($A$1:$A812),Reference!$O:$P,2,false) 
&amp; "" WHERE "" &amp; vlookup(row"&amp;"s($A$1:$A812),Reference!$O:$P,2,false) &amp;
"" &gt;= "" &amp; Reference!$R$2)) * M813,"""")"),"")</f>
        <v/>
      </c>
      <c r="O813" s="84" t="str">
        <f t="shared" si="2"/>
        <v/>
      </c>
    </row>
    <row r="814">
      <c r="A814" s="84"/>
      <c r="B814" s="84"/>
      <c r="C814" s="85"/>
      <c r="D814" s="86"/>
      <c r="E814" s="87"/>
      <c r="F814" s="86"/>
      <c r="G814" s="87"/>
      <c r="H814" s="86"/>
      <c r="I814" s="86"/>
      <c r="J814" s="86"/>
      <c r="K814" s="84"/>
      <c r="L814" s="84" t="str">
        <f>IFERROR(__xludf.DUMMYFUNCTION("IF(A814="""","""", COUNT(SPLIT(K814,"";"")))"),"")</f>
        <v/>
      </c>
      <c r="M814" s="84" t="str">
        <f t="shared" si="1"/>
        <v/>
      </c>
      <c r="N814" s="84" t="str">
        <f>IFERROR(__xludf.DUMMYFUNCTION("IFERROR(AVERAGE(query(INDIRECT(""'FR Table'!"" &amp; vlookup(rows($A$1:$A813),Reference!$O:$P,2,false) &amp; ""3:"" &amp; vlookup(rows($A$1:$A813),Reference!$O:$P,2,false)), 
""SELECT "" &amp; vlookup(rows($A$1:$A813),Reference!$O:$P,2,false) 
&amp; "" WHERE "" &amp; vlookup(row"&amp;"s($A$1:$A813),Reference!$O:$P,2,false) &amp;
"" &gt;= "" &amp; Reference!$R$2)) * M814,"""")"),"")</f>
        <v/>
      </c>
      <c r="O814" s="84" t="str">
        <f t="shared" si="2"/>
        <v/>
      </c>
    </row>
    <row r="815">
      <c r="A815" s="84"/>
      <c r="B815" s="84"/>
      <c r="C815" s="85"/>
      <c r="D815" s="86"/>
      <c r="E815" s="87"/>
      <c r="F815" s="86"/>
      <c r="G815" s="87"/>
      <c r="H815" s="86"/>
      <c r="I815" s="86"/>
      <c r="J815" s="86"/>
      <c r="K815" s="84"/>
      <c r="L815" s="84" t="str">
        <f>IFERROR(__xludf.DUMMYFUNCTION("IF(A815="""","""", COUNT(SPLIT(K815,"";"")))"),"")</f>
        <v/>
      </c>
      <c r="M815" s="84" t="str">
        <f t="shared" si="1"/>
        <v/>
      </c>
      <c r="N815" s="84" t="str">
        <f>IFERROR(__xludf.DUMMYFUNCTION("IFERROR(AVERAGE(query(INDIRECT(""'FR Table'!"" &amp; vlookup(rows($A$1:$A814),Reference!$O:$P,2,false) &amp; ""3:"" &amp; vlookup(rows($A$1:$A814),Reference!$O:$P,2,false)), 
""SELECT "" &amp; vlookup(rows($A$1:$A814),Reference!$O:$P,2,false) 
&amp; "" WHERE "" &amp; vlookup(row"&amp;"s($A$1:$A814),Reference!$O:$P,2,false) &amp;
"" &gt;= "" &amp; Reference!$R$2)) * M815,"""")"),"")</f>
        <v/>
      </c>
      <c r="O815" s="84" t="str">
        <f t="shared" si="2"/>
        <v/>
      </c>
    </row>
    <row r="816">
      <c r="A816" s="84"/>
      <c r="B816" s="84"/>
      <c r="C816" s="85"/>
      <c r="D816" s="86"/>
      <c r="E816" s="87"/>
      <c r="F816" s="86"/>
      <c r="G816" s="87"/>
      <c r="H816" s="86"/>
      <c r="I816" s="86"/>
      <c r="J816" s="86"/>
      <c r="K816" s="84"/>
      <c r="L816" s="84" t="str">
        <f>IFERROR(__xludf.DUMMYFUNCTION("IF(A816="""","""", COUNT(SPLIT(K816,"";"")))"),"")</f>
        <v/>
      </c>
      <c r="M816" s="84" t="str">
        <f t="shared" si="1"/>
        <v/>
      </c>
      <c r="N816" s="84" t="str">
        <f>IFERROR(__xludf.DUMMYFUNCTION("IFERROR(AVERAGE(query(INDIRECT(""'FR Table'!"" &amp; vlookup(rows($A$1:$A815),Reference!$O:$P,2,false) &amp; ""3:"" &amp; vlookup(rows($A$1:$A815),Reference!$O:$P,2,false)), 
""SELECT "" &amp; vlookup(rows($A$1:$A815),Reference!$O:$P,2,false) 
&amp; "" WHERE "" &amp; vlookup(row"&amp;"s($A$1:$A815),Reference!$O:$P,2,false) &amp;
"" &gt;= "" &amp; Reference!$R$2)) * M816,"""")"),"")</f>
        <v/>
      </c>
      <c r="O816" s="84" t="str">
        <f t="shared" si="2"/>
        <v/>
      </c>
    </row>
    <row r="817">
      <c r="A817" s="84"/>
      <c r="B817" s="84"/>
      <c r="C817" s="85"/>
      <c r="D817" s="86"/>
      <c r="E817" s="87"/>
      <c r="F817" s="86"/>
      <c r="G817" s="87"/>
      <c r="H817" s="86"/>
      <c r="I817" s="86"/>
      <c r="J817" s="86"/>
      <c r="K817" s="84"/>
      <c r="L817" s="84" t="str">
        <f>IFERROR(__xludf.DUMMYFUNCTION("IF(A817="""","""", COUNT(SPLIT(K817,"";"")))"),"")</f>
        <v/>
      </c>
      <c r="M817" s="84" t="str">
        <f t="shared" si="1"/>
        <v/>
      </c>
      <c r="N817" s="84" t="str">
        <f>IFERROR(__xludf.DUMMYFUNCTION("IFERROR(AVERAGE(query(INDIRECT(""'FR Table'!"" &amp; vlookup(rows($A$1:$A816),Reference!$O:$P,2,false) &amp; ""3:"" &amp; vlookup(rows($A$1:$A816),Reference!$O:$P,2,false)), 
""SELECT "" &amp; vlookup(rows($A$1:$A816),Reference!$O:$P,2,false) 
&amp; "" WHERE "" &amp; vlookup(row"&amp;"s($A$1:$A816),Reference!$O:$P,2,false) &amp;
"" &gt;= "" &amp; Reference!$R$2)) * M817,"""")"),"")</f>
        <v/>
      </c>
      <c r="O817" s="84" t="str">
        <f t="shared" si="2"/>
        <v/>
      </c>
    </row>
    <row r="818">
      <c r="A818" s="84"/>
      <c r="B818" s="84"/>
      <c r="C818" s="85"/>
      <c r="D818" s="86"/>
      <c r="E818" s="87"/>
      <c r="F818" s="86"/>
      <c r="G818" s="87"/>
      <c r="H818" s="86"/>
      <c r="I818" s="86"/>
      <c r="J818" s="86"/>
      <c r="K818" s="84"/>
      <c r="L818" s="84" t="str">
        <f>IFERROR(__xludf.DUMMYFUNCTION("IF(A818="""","""", COUNT(SPLIT(K818,"";"")))"),"")</f>
        <v/>
      </c>
      <c r="M818" s="84" t="str">
        <f t="shared" si="1"/>
        <v/>
      </c>
      <c r="N818" s="84" t="str">
        <f>IFERROR(__xludf.DUMMYFUNCTION("IFERROR(AVERAGE(query(INDIRECT(""'FR Table'!"" &amp; vlookup(rows($A$1:$A817),Reference!$O:$P,2,false) &amp; ""3:"" &amp; vlookup(rows($A$1:$A817),Reference!$O:$P,2,false)), 
""SELECT "" &amp; vlookup(rows($A$1:$A817),Reference!$O:$P,2,false) 
&amp; "" WHERE "" &amp; vlookup(row"&amp;"s($A$1:$A817),Reference!$O:$P,2,false) &amp;
"" &gt;= "" &amp; Reference!$R$2)) * M818,"""")"),"")</f>
        <v/>
      </c>
      <c r="O818" s="84" t="str">
        <f t="shared" si="2"/>
        <v/>
      </c>
    </row>
    <row r="819">
      <c r="A819" s="84"/>
      <c r="B819" s="84"/>
      <c r="C819" s="85"/>
      <c r="D819" s="86"/>
      <c r="E819" s="87"/>
      <c r="F819" s="86"/>
      <c r="G819" s="87"/>
      <c r="H819" s="86"/>
      <c r="I819" s="86"/>
      <c r="J819" s="86"/>
      <c r="K819" s="84"/>
      <c r="L819" s="84" t="str">
        <f>IFERROR(__xludf.DUMMYFUNCTION("IF(A819="""","""", COUNT(SPLIT(K819,"";"")))"),"")</f>
        <v/>
      </c>
      <c r="M819" s="84" t="str">
        <f t="shared" si="1"/>
        <v/>
      </c>
      <c r="N819" s="84" t="str">
        <f>IFERROR(__xludf.DUMMYFUNCTION("IFERROR(AVERAGE(query(INDIRECT(""'FR Table'!"" &amp; vlookup(rows($A$1:$A818),Reference!$O:$P,2,false) &amp; ""3:"" &amp; vlookup(rows($A$1:$A818),Reference!$O:$P,2,false)), 
""SELECT "" &amp; vlookup(rows($A$1:$A818),Reference!$O:$P,2,false) 
&amp; "" WHERE "" &amp; vlookup(row"&amp;"s($A$1:$A818),Reference!$O:$P,2,false) &amp;
"" &gt;= "" &amp; Reference!$R$2)) * M819,"""")"),"")</f>
        <v/>
      </c>
      <c r="O819" s="84" t="str">
        <f t="shared" si="2"/>
        <v/>
      </c>
    </row>
    <row r="820">
      <c r="A820" s="84"/>
      <c r="B820" s="84"/>
      <c r="C820" s="85"/>
      <c r="D820" s="86"/>
      <c r="E820" s="87"/>
      <c r="F820" s="86"/>
      <c r="G820" s="87"/>
      <c r="H820" s="86"/>
      <c r="I820" s="86"/>
      <c r="J820" s="86"/>
      <c r="K820" s="84"/>
      <c r="L820" s="84" t="str">
        <f>IFERROR(__xludf.DUMMYFUNCTION("IF(A820="""","""", COUNT(SPLIT(K820,"";"")))"),"")</f>
        <v/>
      </c>
      <c r="M820" s="84" t="str">
        <f t="shared" si="1"/>
        <v/>
      </c>
      <c r="N820" s="84" t="str">
        <f>IFERROR(__xludf.DUMMYFUNCTION("IFERROR(AVERAGE(query(INDIRECT(""'FR Table'!"" &amp; vlookup(rows($A$1:$A819),Reference!$O:$P,2,false) &amp; ""3:"" &amp; vlookup(rows($A$1:$A819),Reference!$O:$P,2,false)), 
""SELECT "" &amp; vlookup(rows($A$1:$A819),Reference!$O:$P,2,false) 
&amp; "" WHERE "" &amp; vlookup(row"&amp;"s($A$1:$A819),Reference!$O:$P,2,false) &amp;
"" &gt;= "" &amp; Reference!$R$2)) * M820,"""")"),"")</f>
        <v/>
      </c>
      <c r="O820" s="84" t="str">
        <f t="shared" si="2"/>
        <v/>
      </c>
    </row>
    <row r="821">
      <c r="A821" s="84"/>
      <c r="B821" s="84"/>
      <c r="C821" s="85"/>
      <c r="D821" s="86"/>
      <c r="E821" s="87"/>
      <c r="F821" s="86"/>
      <c r="G821" s="87"/>
      <c r="H821" s="86"/>
      <c r="I821" s="86"/>
      <c r="J821" s="86"/>
      <c r="K821" s="84"/>
      <c r="L821" s="84" t="str">
        <f>IFERROR(__xludf.DUMMYFUNCTION("IF(A821="""","""", COUNT(SPLIT(K821,"";"")))"),"")</f>
        <v/>
      </c>
      <c r="M821" s="84" t="str">
        <f t="shared" si="1"/>
        <v/>
      </c>
      <c r="N821" s="84" t="str">
        <f>IFERROR(__xludf.DUMMYFUNCTION("IFERROR(AVERAGE(query(INDIRECT(""'FR Table'!"" &amp; vlookup(rows($A$1:$A820),Reference!$O:$P,2,false) &amp; ""3:"" &amp; vlookup(rows($A$1:$A820),Reference!$O:$P,2,false)), 
""SELECT "" &amp; vlookup(rows($A$1:$A820),Reference!$O:$P,2,false) 
&amp; "" WHERE "" &amp; vlookup(row"&amp;"s($A$1:$A820),Reference!$O:$P,2,false) &amp;
"" &gt;= "" &amp; Reference!$R$2)) * M821,"""")"),"")</f>
        <v/>
      </c>
      <c r="O821" s="84" t="str">
        <f t="shared" si="2"/>
        <v/>
      </c>
    </row>
    <row r="822">
      <c r="A822" s="84"/>
      <c r="B822" s="84"/>
      <c r="C822" s="85"/>
      <c r="D822" s="86"/>
      <c r="E822" s="87"/>
      <c r="F822" s="86"/>
      <c r="G822" s="87"/>
      <c r="H822" s="86"/>
      <c r="I822" s="86"/>
      <c r="J822" s="86"/>
      <c r="K822" s="84"/>
      <c r="L822" s="84" t="str">
        <f>IFERROR(__xludf.DUMMYFUNCTION("IF(A822="""","""", COUNT(SPLIT(K822,"";"")))"),"")</f>
        <v/>
      </c>
      <c r="M822" s="84" t="str">
        <f t="shared" si="1"/>
        <v/>
      </c>
      <c r="N822" s="84" t="str">
        <f>IFERROR(__xludf.DUMMYFUNCTION("IFERROR(AVERAGE(query(INDIRECT(""'FR Table'!"" &amp; vlookup(rows($A$1:$A821),Reference!$O:$P,2,false) &amp; ""3:"" &amp; vlookup(rows($A$1:$A821),Reference!$O:$P,2,false)), 
""SELECT "" &amp; vlookup(rows($A$1:$A821),Reference!$O:$P,2,false) 
&amp; "" WHERE "" &amp; vlookup(row"&amp;"s($A$1:$A821),Reference!$O:$P,2,false) &amp;
"" &gt;= "" &amp; Reference!$R$2)) * M822,"""")"),"")</f>
        <v/>
      </c>
      <c r="O822" s="84" t="str">
        <f t="shared" si="2"/>
        <v/>
      </c>
    </row>
    <row r="823">
      <c r="A823" s="84"/>
      <c r="B823" s="84"/>
      <c r="C823" s="85"/>
      <c r="D823" s="86"/>
      <c r="E823" s="87"/>
      <c r="F823" s="86"/>
      <c r="G823" s="87"/>
      <c r="H823" s="86"/>
      <c r="I823" s="86"/>
      <c r="J823" s="86"/>
      <c r="K823" s="84"/>
      <c r="L823" s="84" t="str">
        <f>IFERROR(__xludf.DUMMYFUNCTION("IF(A823="""","""", COUNT(SPLIT(K823,"";"")))"),"")</f>
        <v/>
      </c>
      <c r="M823" s="84" t="str">
        <f t="shared" si="1"/>
        <v/>
      </c>
      <c r="N823" s="84" t="str">
        <f>IFERROR(__xludf.DUMMYFUNCTION("IFERROR(AVERAGE(query(INDIRECT(""'FR Table'!"" &amp; vlookup(rows($A$1:$A822),Reference!$O:$P,2,false) &amp; ""3:"" &amp; vlookup(rows($A$1:$A822),Reference!$O:$P,2,false)), 
""SELECT "" &amp; vlookup(rows($A$1:$A822),Reference!$O:$P,2,false) 
&amp; "" WHERE "" &amp; vlookup(row"&amp;"s($A$1:$A822),Reference!$O:$P,2,false) &amp;
"" &gt;= "" &amp; Reference!$R$2)) * M823,"""")"),"")</f>
        <v/>
      </c>
      <c r="O823" s="84" t="str">
        <f t="shared" si="2"/>
        <v/>
      </c>
    </row>
    <row r="824">
      <c r="A824" s="84"/>
      <c r="B824" s="84"/>
      <c r="C824" s="85"/>
      <c r="D824" s="86"/>
      <c r="E824" s="87"/>
      <c r="F824" s="86"/>
      <c r="G824" s="87"/>
      <c r="H824" s="86"/>
      <c r="I824" s="86"/>
      <c r="J824" s="86"/>
      <c r="K824" s="84"/>
      <c r="L824" s="84" t="str">
        <f>IFERROR(__xludf.DUMMYFUNCTION("IF(A824="""","""", COUNT(SPLIT(K824,"";"")))"),"")</f>
        <v/>
      </c>
      <c r="M824" s="84" t="str">
        <f t="shared" si="1"/>
        <v/>
      </c>
      <c r="N824" s="84" t="str">
        <f>IFERROR(__xludf.DUMMYFUNCTION("IFERROR(AVERAGE(query(INDIRECT(""'FR Table'!"" &amp; vlookup(rows($A$1:$A823),Reference!$O:$P,2,false) &amp; ""3:"" &amp; vlookup(rows($A$1:$A823),Reference!$O:$P,2,false)), 
""SELECT "" &amp; vlookup(rows($A$1:$A823),Reference!$O:$P,2,false) 
&amp; "" WHERE "" &amp; vlookup(row"&amp;"s($A$1:$A823),Reference!$O:$P,2,false) &amp;
"" &gt;= "" &amp; Reference!$R$2)) * M824,"""")"),"")</f>
        <v/>
      </c>
      <c r="O824" s="84" t="str">
        <f t="shared" si="2"/>
        <v/>
      </c>
    </row>
    <row r="825">
      <c r="A825" s="84"/>
      <c r="B825" s="84"/>
      <c r="C825" s="85"/>
      <c r="D825" s="86"/>
      <c r="E825" s="87"/>
      <c r="F825" s="86"/>
      <c r="G825" s="87"/>
      <c r="H825" s="86"/>
      <c r="I825" s="86"/>
      <c r="J825" s="86"/>
      <c r="K825" s="84"/>
      <c r="L825" s="84" t="str">
        <f>IFERROR(__xludf.DUMMYFUNCTION("IF(A825="""","""", COUNT(SPLIT(K825,"";"")))"),"")</f>
        <v/>
      </c>
      <c r="M825" s="84" t="str">
        <f t="shared" si="1"/>
        <v/>
      </c>
      <c r="N825" s="84" t="str">
        <f>IFERROR(__xludf.DUMMYFUNCTION("IFERROR(AVERAGE(query(INDIRECT(""'FR Table'!"" &amp; vlookup(rows($A$1:$A824),Reference!$O:$P,2,false) &amp; ""3:"" &amp; vlookup(rows($A$1:$A824),Reference!$O:$P,2,false)), 
""SELECT "" &amp; vlookup(rows($A$1:$A824),Reference!$O:$P,2,false) 
&amp; "" WHERE "" &amp; vlookup(row"&amp;"s($A$1:$A824),Reference!$O:$P,2,false) &amp;
"" &gt;= "" &amp; Reference!$R$2)) * M825,"""")"),"")</f>
        <v/>
      </c>
      <c r="O825" s="84" t="str">
        <f t="shared" si="2"/>
        <v/>
      </c>
    </row>
    <row r="826">
      <c r="A826" s="84"/>
      <c r="B826" s="84"/>
      <c r="C826" s="85"/>
      <c r="D826" s="86"/>
      <c r="E826" s="87"/>
      <c r="F826" s="86"/>
      <c r="G826" s="87"/>
      <c r="H826" s="86"/>
      <c r="I826" s="86"/>
      <c r="J826" s="86"/>
      <c r="K826" s="84"/>
      <c r="L826" s="84" t="str">
        <f>IFERROR(__xludf.DUMMYFUNCTION("IF(A826="""","""", COUNT(SPLIT(K826,"";"")))"),"")</f>
        <v/>
      </c>
      <c r="M826" s="84" t="str">
        <f t="shared" si="1"/>
        <v/>
      </c>
      <c r="N826" s="84" t="str">
        <f>IFERROR(__xludf.DUMMYFUNCTION("IFERROR(AVERAGE(query(INDIRECT(""'FR Table'!"" &amp; vlookup(rows($A$1:$A825),Reference!$O:$P,2,false) &amp; ""3:"" &amp; vlookup(rows($A$1:$A825),Reference!$O:$P,2,false)), 
""SELECT "" &amp; vlookup(rows($A$1:$A825),Reference!$O:$P,2,false) 
&amp; "" WHERE "" &amp; vlookup(row"&amp;"s($A$1:$A825),Reference!$O:$P,2,false) &amp;
"" &gt;= "" &amp; Reference!$R$2)) * M826,"""")"),"")</f>
        <v/>
      </c>
      <c r="O826" s="84" t="str">
        <f t="shared" si="2"/>
        <v/>
      </c>
    </row>
    <row r="827">
      <c r="A827" s="84"/>
      <c r="B827" s="84"/>
      <c r="C827" s="85"/>
      <c r="D827" s="86"/>
      <c r="E827" s="87"/>
      <c r="F827" s="86"/>
      <c r="G827" s="87"/>
      <c r="H827" s="86"/>
      <c r="I827" s="86"/>
      <c r="J827" s="86"/>
      <c r="K827" s="84"/>
      <c r="L827" s="84" t="str">
        <f>IFERROR(__xludf.DUMMYFUNCTION("IF(A827="""","""", COUNT(SPLIT(K827,"";"")))"),"")</f>
        <v/>
      </c>
      <c r="M827" s="84" t="str">
        <f t="shared" si="1"/>
        <v/>
      </c>
      <c r="N827" s="84" t="str">
        <f>IFERROR(__xludf.DUMMYFUNCTION("IFERROR(AVERAGE(query(INDIRECT(""'FR Table'!"" &amp; vlookup(rows($A$1:$A826),Reference!$O:$P,2,false) &amp; ""3:"" &amp; vlookup(rows($A$1:$A826),Reference!$O:$P,2,false)), 
""SELECT "" &amp; vlookup(rows($A$1:$A826),Reference!$O:$P,2,false) 
&amp; "" WHERE "" &amp; vlookup(row"&amp;"s($A$1:$A826),Reference!$O:$P,2,false) &amp;
"" &gt;= "" &amp; Reference!$R$2)) * M827,"""")"),"")</f>
        <v/>
      </c>
      <c r="O827" s="84" t="str">
        <f t="shared" si="2"/>
        <v/>
      </c>
    </row>
    <row r="828">
      <c r="A828" s="84"/>
      <c r="B828" s="84"/>
      <c r="C828" s="85"/>
      <c r="D828" s="86"/>
      <c r="E828" s="87"/>
      <c r="F828" s="86"/>
      <c r="G828" s="87"/>
      <c r="H828" s="86"/>
      <c r="I828" s="86"/>
      <c r="J828" s="86"/>
      <c r="K828" s="84"/>
      <c r="L828" s="84" t="str">
        <f>IFERROR(__xludf.DUMMYFUNCTION("IF(A828="""","""", COUNT(SPLIT(K828,"";"")))"),"")</f>
        <v/>
      </c>
      <c r="M828" s="84" t="str">
        <f t="shared" si="1"/>
        <v/>
      </c>
      <c r="N828" s="84" t="str">
        <f>IFERROR(__xludf.DUMMYFUNCTION("IFERROR(AVERAGE(query(INDIRECT(""'FR Table'!"" &amp; vlookup(rows($A$1:$A827),Reference!$O:$P,2,false) &amp; ""3:"" &amp; vlookup(rows($A$1:$A827),Reference!$O:$P,2,false)), 
""SELECT "" &amp; vlookup(rows($A$1:$A827),Reference!$O:$P,2,false) 
&amp; "" WHERE "" &amp; vlookup(row"&amp;"s($A$1:$A827),Reference!$O:$P,2,false) &amp;
"" &gt;= "" &amp; Reference!$R$2)) * M828,"""")"),"")</f>
        <v/>
      </c>
      <c r="O828" s="84" t="str">
        <f t="shared" si="2"/>
        <v/>
      </c>
    </row>
    <row r="829">
      <c r="A829" s="84"/>
      <c r="B829" s="84"/>
      <c r="C829" s="85"/>
      <c r="D829" s="86"/>
      <c r="E829" s="87"/>
      <c r="F829" s="86"/>
      <c r="G829" s="87"/>
      <c r="H829" s="86"/>
      <c r="I829" s="86"/>
      <c r="J829" s="86"/>
      <c r="K829" s="84"/>
      <c r="L829" s="84" t="str">
        <f>IFERROR(__xludf.DUMMYFUNCTION("IF(A829="""","""", COUNT(SPLIT(K829,"";"")))"),"")</f>
        <v/>
      </c>
      <c r="M829" s="84" t="str">
        <f t="shared" si="1"/>
        <v/>
      </c>
      <c r="N829" s="84" t="str">
        <f>IFERROR(__xludf.DUMMYFUNCTION("IFERROR(AVERAGE(query(INDIRECT(""'FR Table'!"" &amp; vlookup(rows($A$1:$A828),Reference!$O:$P,2,false) &amp; ""3:"" &amp; vlookup(rows($A$1:$A828),Reference!$O:$P,2,false)), 
""SELECT "" &amp; vlookup(rows($A$1:$A828),Reference!$O:$P,2,false) 
&amp; "" WHERE "" &amp; vlookup(row"&amp;"s($A$1:$A828),Reference!$O:$P,2,false) &amp;
"" &gt;= "" &amp; Reference!$R$2)) * M829,"""")"),"")</f>
        <v/>
      </c>
      <c r="O829" s="84" t="str">
        <f t="shared" si="2"/>
        <v/>
      </c>
    </row>
    <row r="830">
      <c r="A830" s="84"/>
      <c r="B830" s="84"/>
      <c r="C830" s="85"/>
      <c r="D830" s="86"/>
      <c r="E830" s="87"/>
      <c r="F830" s="86"/>
      <c r="G830" s="87"/>
      <c r="H830" s="86"/>
      <c r="I830" s="86"/>
      <c r="J830" s="86"/>
      <c r="K830" s="84"/>
      <c r="L830" s="84" t="str">
        <f>IFERROR(__xludf.DUMMYFUNCTION("IF(A830="""","""", COUNT(SPLIT(K830,"";"")))"),"")</f>
        <v/>
      </c>
      <c r="M830" s="84" t="str">
        <f t="shared" si="1"/>
        <v/>
      </c>
      <c r="N830" s="84" t="str">
        <f>IFERROR(__xludf.DUMMYFUNCTION("IFERROR(AVERAGE(query(INDIRECT(""'FR Table'!"" &amp; vlookup(rows($A$1:$A829),Reference!$O:$P,2,false) &amp; ""3:"" &amp; vlookup(rows($A$1:$A829),Reference!$O:$P,2,false)), 
""SELECT "" &amp; vlookup(rows($A$1:$A829),Reference!$O:$P,2,false) 
&amp; "" WHERE "" &amp; vlookup(row"&amp;"s($A$1:$A829),Reference!$O:$P,2,false) &amp;
"" &gt;= "" &amp; Reference!$R$2)) * M830,"""")"),"")</f>
        <v/>
      </c>
      <c r="O830" s="84" t="str">
        <f t="shared" si="2"/>
        <v/>
      </c>
    </row>
    <row r="831">
      <c r="A831" s="84"/>
      <c r="B831" s="84"/>
      <c r="C831" s="85"/>
      <c r="D831" s="86"/>
      <c r="E831" s="87"/>
      <c r="F831" s="86"/>
      <c r="G831" s="87"/>
      <c r="H831" s="86"/>
      <c r="I831" s="86"/>
      <c r="J831" s="86"/>
      <c r="K831" s="84"/>
      <c r="L831" s="84" t="str">
        <f>IFERROR(__xludf.DUMMYFUNCTION("IF(A831="""","""", COUNT(SPLIT(K831,"";"")))"),"")</f>
        <v/>
      </c>
      <c r="M831" s="84" t="str">
        <f t="shared" si="1"/>
        <v/>
      </c>
      <c r="N831" s="84" t="str">
        <f>IFERROR(__xludf.DUMMYFUNCTION("IFERROR(AVERAGE(query(INDIRECT(""'FR Table'!"" &amp; vlookup(rows($A$1:$A830),Reference!$O:$P,2,false) &amp; ""3:"" &amp; vlookup(rows($A$1:$A830),Reference!$O:$P,2,false)), 
""SELECT "" &amp; vlookup(rows($A$1:$A830),Reference!$O:$P,2,false) 
&amp; "" WHERE "" &amp; vlookup(row"&amp;"s($A$1:$A830),Reference!$O:$P,2,false) &amp;
"" &gt;= "" &amp; Reference!$R$2)) * M831,"""")"),"")</f>
        <v/>
      </c>
      <c r="O831" s="84" t="str">
        <f t="shared" si="2"/>
        <v/>
      </c>
    </row>
    <row r="832">
      <c r="A832" s="84"/>
      <c r="B832" s="84"/>
      <c r="C832" s="85"/>
      <c r="D832" s="86"/>
      <c r="E832" s="87"/>
      <c r="F832" s="86"/>
      <c r="G832" s="87"/>
      <c r="H832" s="86"/>
      <c r="I832" s="86"/>
      <c r="J832" s="86"/>
      <c r="K832" s="84"/>
      <c r="L832" s="84" t="str">
        <f>IFERROR(__xludf.DUMMYFUNCTION("IF(A832="""","""", COUNT(SPLIT(K832,"";"")))"),"")</f>
        <v/>
      </c>
      <c r="M832" s="84" t="str">
        <f t="shared" si="1"/>
        <v/>
      </c>
      <c r="N832" s="84" t="str">
        <f>IFERROR(__xludf.DUMMYFUNCTION("IFERROR(AVERAGE(query(INDIRECT(""'FR Table'!"" &amp; vlookup(rows($A$1:$A831),Reference!$O:$P,2,false) &amp; ""3:"" &amp; vlookup(rows($A$1:$A831),Reference!$O:$P,2,false)), 
""SELECT "" &amp; vlookup(rows($A$1:$A831),Reference!$O:$P,2,false) 
&amp; "" WHERE "" &amp; vlookup(row"&amp;"s($A$1:$A831),Reference!$O:$P,2,false) &amp;
"" &gt;= "" &amp; Reference!$R$2)) * M832,"""")"),"")</f>
        <v/>
      </c>
      <c r="O832" s="84" t="str">
        <f t="shared" si="2"/>
        <v/>
      </c>
    </row>
    <row r="833">
      <c r="A833" s="84"/>
      <c r="B833" s="84"/>
      <c r="C833" s="85"/>
      <c r="D833" s="86"/>
      <c r="E833" s="87"/>
      <c r="F833" s="86"/>
      <c r="G833" s="87"/>
      <c r="H833" s="86"/>
      <c r="I833" s="86"/>
      <c r="J833" s="86"/>
      <c r="K833" s="84"/>
      <c r="L833" s="84" t="str">
        <f>IFERROR(__xludf.DUMMYFUNCTION("IF(A833="""","""", COUNT(SPLIT(K833,"";"")))"),"")</f>
        <v/>
      </c>
      <c r="M833" s="84" t="str">
        <f t="shared" si="1"/>
        <v/>
      </c>
      <c r="N833" s="84" t="str">
        <f>IFERROR(__xludf.DUMMYFUNCTION("IFERROR(AVERAGE(query(INDIRECT(""'FR Table'!"" &amp; vlookup(rows($A$1:$A832),Reference!$O:$P,2,false) &amp; ""3:"" &amp; vlookup(rows($A$1:$A832),Reference!$O:$P,2,false)), 
""SELECT "" &amp; vlookup(rows($A$1:$A832),Reference!$O:$P,2,false) 
&amp; "" WHERE "" &amp; vlookup(row"&amp;"s($A$1:$A832),Reference!$O:$P,2,false) &amp;
"" &gt;= "" &amp; Reference!$R$2)) * M833,"""")"),"")</f>
        <v/>
      </c>
      <c r="O833" s="84" t="str">
        <f t="shared" si="2"/>
        <v/>
      </c>
    </row>
    <row r="834">
      <c r="A834" s="84"/>
      <c r="B834" s="84"/>
      <c r="C834" s="85"/>
      <c r="D834" s="86"/>
      <c r="E834" s="87"/>
      <c r="F834" s="86"/>
      <c r="G834" s="87"/>
      <c r="H834" s="86"/>
      <c r="I834" s="86"/>
      <c r="J834" s="86"/>
      <c r="K834" s="84"/>
      <c r="L834" s="84" t="str">
        <f>IFERROR(__xludf.DUMMYFUNCTION("IF(A834="""","""", COUNT(SPLIT(K834,"";"")))"),"")</f>
        <v/>
      </c>
      <c r="M834" s="84" t="str">
        <f t="shared" si="1"/>
        <v/>
      </c>
      <c r="N834" s="84" t="str">
        <f>IFERROR(__xludf.DUMMYFUNCTION("IFERROR(AVERAGE(query(INDIRECT(""'FR Table'!"" &amp; vlookup(rows($A$1:$A833),Reference!$O:$P,2,false) &amp; ""3:"" &amp; vlookup(rows($A$1:$A833),Reference!$O:$P,2,false)), 
""SELECT "" &amp; vlookup(rows($A$1:$A833),Reference!$O:$P,2,false) 
&amp; "" WHERE "" &amp; vlookup(row"&amp;"s($A$1:$A833),Reference!$O:$P,2,false) &amp;
"" &gt;= "" &amp; Reference!$R$2)) * M834,"""")"),"")</f>
        <v/>
      </c>
      <c r="O834" s="84" t="str">
        <f t="shared" si="2"/>
        <v/>
      </c>
    </row>
    <row r="835">
      <c r="A835" s="84"/>
      <c r="B835" s="84"/>
      <c r="C835" s="85"/>
      <c r="D835" s="86"/>
      <c r="E835" s="87"/>
      <c r="F835" s="86"/>
      <c r="G835" s="87"/>
      <c r="H835" s="86"/>
      <c r="I835" s="86"/>
      <c r="J835" s="86"/>
      <c r="K835" s="84"/>
      <c r="L835" s="84" t="str">
        <f>IFERROR(__xludf.DUMMYFUNCTION("IF(A835="""","""", COUNT(SPLIT(K835,"";"")))"),"")</f>
        <v/>
      </c>
      <c r="M835" s="84" t="str">
        <f t="shared" si="1"/>
        <v/>
      </c>
      <c r="N835" s="84" t="str">
        <f>IFERROR(__xludf.DUMMYFUNCTION("IFERROR(AVERAGE(query(INDIRECT(""'FR Table'!"" &amp; vlookup(rows($A$1:$A834),Reference!$O:$P,2,false) &amp; ""3:"" &amp; vlookup(rows($A$1:$A834),Reference!$O:$P,2,false)), 
""SELECT "" &amp; vlookup(rows($A$1:$A834),Reference!$O:$P,2,false) 
&amp; "" WHERE "" &amp; vlookup(row"&amp;"s($A$1:$A834),Reference!$O:$P,2,false) &amp;
"" &gt;= "" &amp; Reference!$R$2)) * M835,"""")"),"")</f>
        <v/>
      </c>
      <c r="O835" s="84" t="str">
        <f t="shared" si="2"/>
        <v/>
      </c>
    </row>
    <row r="836">
      <c r="A836" s="84"/>
      <c r="B836" s="84"/>
      <c r="C836" s="85"/>
      <c r="D836" s="86"/>
      <c r="E836" s="87"/>
      <c r="F836" s="86"/>
      <c r="G836" s="87"/>
      <c r="H836" s="86"/>
      <c r="I836" s="86"/>
      <c r="J836" s="86"/>
      <c r="K836" s="84"/>
      <c r="L836" s="84" t="str">
        <f>IFERROR(__xludf.DUMMYFUNCTION("IF(A836="""","""", COUNT(SPLIT(K836,"";"")))"),"")</f>
        <v/>
      </c>
      <c r="M836" s="84" t="str">
        <f t="shared" si="1"/>
        <v/>
      </c>
      <c r="N836" s="84" t="str">
        <f>IFERROR(__xludf.DUMMYFUNCTION("IFERROR(AVERAGE(query(INDIRECT(""'FR Table'!"" &amp; vlookup(rows($A$1:$A835),Reference!$O:$P,2,false) &amp; ""3:"" &amp; vlookup(rows($A$1:$A835),Reference!$O:$P,2,false)), 
""SELECT "" &amp; vlookup(rows($A$1:$A835),Reference!$O:$P,2,false) 
&amp; "" WHERE "" &amp; vlookup(row"&amp;"s($A$1:$A835),Reference!$O:$P,2,false) &amp;
"" &gt;= "" &amp; Reference!$R$2)) * M836,"""")"),"")</f>
        <v/>
      </c>
      <c r="O836" s="84" t="str">
        <f t="shared" si="2"/>
        <v/>
      </c>
    </row>
    <row r="837">
      <c r="A837" s="84"/>
      <c r="B837" s="84"/>
      <c r="C837" s="85"/>
      <c r="D837" s="86"/>
      <c r="E837" s="87"/>
      <c r="F837" s="86"/>
      <c r="G837" s="87"/>
      <c r="H837" s="86"/>
      <c r="I837" s="86"/>
      <c r="J837" s="86"/>
      <c r="K837" s="84"/>
      <c r="L837" s="84" t="str">
        <f>IFERROR(__xludf.DUMMYFUNCTION("IF(A837="""","""", COUNT(SPLIT(K837,"";"")))"),"")</f>
        <v/>
      </c>
      <c r="M837" s="84" t="str">
        <f t="shared" si="1"/>
        <v/>
      </c>
      <c r="N837" s="84" t="str">
        <f>IFERROR(__xludf.DUMMYFUNCTION("IFERROR(AVERAGE(query(INDIRECT(""'FR Table'!"" &amp; vlookup(rows($A$1:$A836),Reference!$O:$P,2,false) &amp; ""3:"" &amp; vlookup(rows($A$1:$A836),Reference!$O:$P,2,false)), 
""SELECT "" &amp; vlookup(rows($A$1:$A836),Reference!$O:$P,2,false) 
&amp; "" WHERE "" &amp; vlookup(row"&amp;"s($A$1:$A836),Reference!$O:$P,2,false) &amp;
"" &gt;= "" &amp; Reference!$R$2)) * M837,"""")"),"")</f>
        <v/>
      </c>
      <c r="O837" s="84" t="str">
        <f t="shared" si="2"/>
        <v/>
      </c>
    </row>
    <row r="838">
      <c r="A838" s="84"/>
      <c r="B838" s="84"/>
      <c r="C838" s="85"/>
      <c r="D838" s="86"/>
      <c r="E838" s="87"/>
      <c r="F838" s="86"/>
      <c r="G838" s="87"/>
      <c r="H838" s="86"/>
      <c r="I838" s="86"/>
      <c r="J838" s="86"/>
      <c r="K838" s="84"/>
      <c r="L838" s="84" t="str">
        <f>IFERROR(__xludf.DUMMYFUNCTION("IF(A838="""","""", COUNT(SPLIT(K838,"";"")))"),"")</f>
        <v/>
      </c>
      <c r="M838" s="84" t="str">
        <f t="shared" si="1"/>
        <v/>
      </c>
      <c r="N838" s="84" t="str">
        <f>IFERROR(__xludf.DUMMYFUNCTION("IFERROR(AVERAGE(query(INDIRECT(""'FR Table'!"" &amp; vlookup(rows($A$1:$A837),Reference!$O:$P,2,false) &amp; ""3:"" &amp; vlookup(rows($A$1:$A837),Reference!$O:$P,2,false)), 
""SELECT "" &amp; vlookup(rows($A$1:$A837),Reference!$O:$P,2,false) 
&amp; "" WHERE "" &amp; vlookup(row"&amp;"s($A$1:$A837),Reference!$O:$P,2,false) &amp;
"" &gt;= "" &amp; Reference!$R$2)) * M838,"""")"),"")</f>
        <v/>
      </c>
      <c r="O838" s="84" t="str">
        <f t="shared" si="2"/>
        <v/>
      </c>
    </row>
    <row r="839">
      <c r="A839" s="84"/>
      <c r="B839" s="84"/>
      <c r="C839" s="85"/>
      <c r="D839" s="86"/>
      <c r="E839" s="87"/>
      <c r="F839" s="86"/>
      <c r="G839" s="87"/>
      <c r="H839" s="86"/>
      <c r="I839" s="86"/>
      <c r="J839" s="86"/>
      <c r="K839" s="84"/>
      <c r="L839" s="84" t="str">
        <f>IFERROR(__xludf.DUMMYFUNCTION("IF(A839="""","""", COUNT(SPLIT(K839,"";"")))"),"")</f>
        <v/>
      </c>
      <c r="M839" s="84" t="str">
        <f t="shared" si="1"/>
        <v/>
      </c>
      <c r="N839" s="84" t="str">
        <f>IFERROR(__xludf.DUMMYFUNCTION("IFERROR(AVERAGE(query(INDIRECT(""'FR Table'!"" &amp; vlookup(rows($A$1:$A838),Reference!$O:$P,2,false) &amp; ""3:"" &amp; vlookup(rows($A$1:$A838),Reference!$O:$P,2,false)), 
""SELECT "" &amp; vlookup(rows($A$1:$A838),Reference!$O:$P,2,false) 
&amp; "" WHERE "" &amp; vlookup(row"&amp;"s($A$1:$A838),Reference!$O:$P,2,false) &amp;
"" &gt;= "" &amp; Reference!$R$2)) * M839,"""")"),"")</f>
        <v/>
      </c>
      <c r="O839" s="84" t="str">
        <f t="shared" si="2"/>
        <v/>
      </c>
    </row>
    <row r="840">
      <c r="A840" s="84"/>
      <c r="B840" s="84"/>
      <c r="C840" s="85"/>
      <c r="D840" s="86"/>
      <c r="E840" s="87"/>
      <c r="F840" s="86"/>
      <c r="G840" s="87"/>
      <c r="H840" s="86"/>
      <c r="I840" s="86"/>
      <c r="J840" s="86"/>
      <c r="K840" s="84"/>
      <c r="L840" s="84" t="str">
        <f>IFERROR(__xludf.DUMMYFUNCTION("IF(A840="""","""", COUNT(SPLIT(K840,"";"")))"),"")</f>
        <v/>
      </c>
      <c r="M840" s="84" t="str">
        <f t="shared" si="1"/>
        <v/>
      </c>
      <c r="N840" s="84" t="str">
        <f>IFERROR(__xludf.DUMMYFUNCTION("IFERROR(AVERAGE(query(INDIRECT(""'FR Table'!"" &amp; vlookup(rows($A$1:$A839),Reference!$O:$P,2,false) &amp; ""3:"" &amp; vlookup(rows($A$1:$A839),Reference!$O:$P,2,false)), 
""SELECT "" &amp; vlookup(rows($A$1:$A839),Reference!$O:$P,2,false) 
&amp; "" WHERE "" &amp; vlookup(row"&amp;"s($A$1:$A839),Reference!$O:$P,2,false) &amp;
"" &gt;= "" &amp; Reference!$R$2)) * M840,"""")"),"")</f>
        <v/>
      </c>
      <c r="O840" s="84" t="str">
        <f t="shared" si="2"/>
        <v/>
      </c>
    </row>
    <row r="841">
      <c r="A841" s="84"/>
      <c r="B841" s="84"/>
      <c r="C841" s="85"/>
      <c r="D841" s="86"/>
      <c r="E841" s="87"/>
      <c r="F841" s="86"/>
      <c r="G841" s="87"/>
      <c r="H841" s="86"/>
      <c r="I841" s="86"/>
      <c r="J841" s="86"/>
      <c r="K841" s="84"/>
      <c r="L841" s="84" t="str">
        <f>IFERROR(__xludf.DUMMYFUNCTION("IF(A841="""","""", COUNT(SPLIT(K841,"";"")))"),"")</f>
        <v/>
      </c>
      <c r="M841" s="84" t="str">
        <f t="shared" si="1"/>
        <v/>
      </c>
      <c r="N841" s="84" t="str">
        <f>IFERROR(__xludf.DUMMYFUNCTION("IFERROR(AVERAGE(query(INDIRECT(""'FR Table'!"" &amp; vlookup(rows($A$1:$A840),Reference!$O:$P,2,false) &amp; ""3:"" &amp; vlookup(rows($A$1:$A840),Reference!$O:$P,2,false)), 
""SELECT "" &amp; vlookup(rows($A$1:$A840),Reference!$O:$P,2,false) 
&amp; "" WHERE "" &amp; vlookup(row"&amp;"s($A$1:$A840),Reference!$O:$P,2,false) &amp;
"" &gt;= "" &amp; Reference!$R$2)) * M841,"""")"),"")</f>
        <v/>
      </c>
      <c r="O841" s="84" t="str">
        <f t="shared" si="2"/>
        <v/>
      </c>
    </row>
    <row r="842">
      <c r="A842" s="84"/>
      <c r="B842" s="84"/>
      <c r="C842" s="85"/>
      <c r="D842" s="86"/>
      <c r="E842" s="87"/>
      <c r="F842" s="86"/>
      <c r="G842" s="87"/>
      <c r="H842" s="86"/>
      <c r="I842" s="86"/>
      <c r="J842" s="86"/>
      <c r="K842" s="84"/>
      <c r="L842" s="84" t="str">
        <f>IFERROR(__xludf.DUMMYFUNCTION("IF(A842="""","""", COUNT(SPLIT(K842,"";"")))"),"")</f>
        <v/>
      </c>
      <c r="M842" s="84" t="str">
        <f t="shared" si="1"/>
        <v/>
      </c>
      <c r="N842" s="84" t="str">
        <f>IFERROR(__xludf.DUMMYFUNCTION("IFERROR(AVERAGE(query(INDIRECT(""'FR Table'!"" &amp; vlookup(rows($A$1:$A841),Reference!$O:$P,2,false) &amp; ""3:"" &amp; vlookup(rows($A$1:$A841),Reference!$O:$P,2,false)), 
""SELECT "" &amp; vlookup(rows($A$1:$A841),Reference!$O:$P,2,false) 
&amp; "" WHERE "" &amp; vlookup(row"&amp;"s($A$1:$A841),Reference!$O:$P,2,false) &amp;
"" &gt;= "" &amp; Reference!$R$2)) * M842,"""")"),"")</f>
        <v/>
      </c>
      <c r="O842" s="84" t="str">
        <f t="shared" si="2"/>
        <v/>
      </c>
    </row>
    <row r="843">
      <c r="A843" s="84"/>
      <c r="B843" s="84"/>
      <c r="C843" s="85"/>
      <c r="D843" s="86"/>
      <c r="E843" s="87"/>
      <c r="F843" s="86"/>
      <c r="G843" s="87"/>
      <c r="H843" s="86"/>
      <c r="I843" s="86"/>
      <c r="J843" s="86"/>
      <c r="K843" s="84"/>
      <c r="L843" s="84" t="str">
        <f>IFERROR(__xludf.DUMMYFUNCTION("IF(A843="""","""", COUNT(SPLIT(K843,"";"")))"),"")</f>
        <v/>
      </c>
      <c r="M843" s="84" t="str">
        <f t="shared" si="1"/>
        <v/>
      </c>
      <c r="N843" s="84" t="str">
        <f>IFERROR(__xludf.DUMMYFUNCTION("IFERROR(AVERAGE(query(INDIRECT(""'FR Table'!"" &amp; vlookup(rows($A$1:$A842),Reference!$O:$P,2,false) &amp; ""3:"" &amp; vlookup(rows($A$1:$A842),Reference!$O:$P,2,false)), 
""SELECT "" &amp; vlookup(rows($A$1:$A842),Reference!$O:$P,2,false) 
&amp; "" WHERE "" &amp; vlookup(row"&amp;"s($A$1:$A842),Reference!$O:$P,2,false) &amp;
"" &gt;= "" &amp; Reference!$R$2)) * M843,"""")"),"")</f>
        <v/>
      </c>
      <c r="O843" s="84" t="str">
        <f t="shared" si="2"/>
        <v/>
      </c>
    </row>
    <row r="844">
      <c r="A844" s="84"/>
      <c r="B844" s="84"/>
      <c r="C844" s="85"/>
      <c r="D844" s="86"/>
      <c r="E844" s="87"/>
      <c r="F844" s="86"/>
      <c r="G844" s="87"/>
      <c r="H844" s="86"/>
      <c r="I844" s="86"/>
      <c r="J844" s="86"/>
      <c r="K844" s="84"/>
      <c r="L844" s="84" t="str">
        <f>IFERROR(__xludf.DUMMYFUNCTION("IF(A844="""","""", COUNT(SPLIT(K844,"";"")))"),"")</f>
        <v/>
      </c>
      <c r="M844" s="84" t="str">
        <f t="shared" si="1"/>
        <v/>
      </c>
      <c r="N844" s="84" t="str">
        <f>IFERROR(__xludf.DUMMYFUNCTION("IFERROR(AVERAGE(query(INDIRECT(""'FR Table'!"" &amp; vlookup(rows($A$1:$A843),Reference!$O:$P,2,false) &amp; ""3:"" &amp; vlookup(rows($A$1:$A843),Reference!$O:$P,2,false)), 
""SELECT "" &amp; vlookup(rows($A$1:$A843),Reference!$O:$P,2,false) 
&amp; "" WHERE "" &amp; vlookup(row"&amp;"s($A$1:$A843),Reference!$O:$P,2,false) &amp;
"" &gt;= "" &amp; Reference!$R$2)) * M844,"""")"),"")</f>
        <v/>
      </c>
      <c r="O844" s="84" t="str">
        <f t="shared" si="2"/>
        <v/>
      </c>
    </row>
    <row r="845">
      <c r="A845" s="84"/>
      <c r="B845" s="84"/>
      <c r="C845" s="85"/>
      <c r="D845" s="86"/>
      <c r="E845" s="87"/>
      <c r="F845" s="86"/>
      <c r="G845" s="87"/>
      <c r="H845" s="86"/>
      <c r="I845" s="86"/>
      <c r="J845" s="86"/>
      <c r="K845" s="84"/>
      <c r="L845" s="84" t="str">
        <f>IFERROR(__xludf.DUMMYFUNCTION("IF(A845="""","""", COUNT(SPLIT(K845,"";"")))"),"")</f>
        <v/>
      </c>
      <c r="M845" s="84" t="str">
        <f t="shared" si="1"/>
        <v/>
      </c>
      <c r="N845" s="84" t="str">
        <f>IFERROR(__xludf.DUMMYFUNCTION("IFERROR(AVERAGE(query(INDIRECT(""'FR Table'!"" &amp; vlookup(rows($A$1:$A844),Reference!$O:$P,2,false) &amp; ""3:"" &amp; vlookup(rows($A$1:$A844),Reference!$O:$P,2,false)), 
""SELECT "" &amp; vlookup(rows($A$1:$A844),Reference!$O:$P,2,false) 
&amp; "" WHERE "" &amp; vlookup(row"&amp;"s($A$1:$A844),Reference!$O:$P,2,false) &amp;
"" &gt;= "" &amp; Reference!$R$2)) * M845,"""")"),"")</f>
        <v/>
      </c>
      <c r="O845" s="84" t="str">
        <f t="shared" si="2"/>
        <v/>
      </c>
    </row>
    <row r="846">
      <c r="A846" s="84"/>
      <c r="B846" s="84"/>
      <c r="C846" s="85"/>
      <c r="D846" s="86"/>
      <c r="E846" s="87"/>
      <c r="F846" s="86"/>
      <c r="G846" s="87"/>
      <c r="H846" s="86"/>
      <c r="I846" s="86"/>
      <c r="J846" s="86"/>
      <c r="K846" s="84"/>
      <c r="L846" s="84" t="str">
        <f>IFERROR(__xludf.DUMMYFUNCTION("IF(A846="""","""", COUNT(SPLIT(K846,"";"")))"),"")</f>
        <v/>
      </c>
      <c r="M846" s="84" t="str">
        <f t="shared" si="1"/>
        <v/>
      </c>
      <c r="N846" s="84" t="str">
        <f>IFERROR(__xludf.DUMMYFUNCTION("IFERROR(AVERAGE(query(INDIRECT(""'FR Table'!"" &amp; vlookup(rows($A$1:$A845),Reference!$O:$P,2,false) &amp; ""3:"" &amp; vlookup(rows($A$1:$A845),Reference!$O:$P,2,false)), 
""SELECT "" &amp; vlookup(rows($A$1:$A845),Reference!$O:$P,2,false) 
&amp; "" WHERE "" &amp; vlookup(row"&amp;"s($A$1:$A845),Reference!$O:$P,2,false) &amp;
"" &gt;= "" &amp; Reference!$R$2)) * M846,"""")"),"")</f>
        <v/>
      </c>
      <c r="O846" s="84" t="str">
        <f t="shared" si="2"/>
        <v/>
      </c>
    </row>
    <row r="847">
      <c r="A847" s="84"/>
      <c r="B847" s="84"/>
      <c r="C847" s="85"/>
      <c r="D847" s="86"/>
      <c r="E847" s="87"/>
      <c r="F847" s="86"/>
      <c r="G847" s="87"/>
      <c r="H847" s="86"/>
      <c r="I847" s="86"/>
      <c r="J847" s="86"/>
      <c r="K847" s="84"/>
      <c r="L847" s="84" t="str">
        <f>IFERROR(__xludf.DUMMYFUNCTION("IF(A847="""","""", COUNT(SPLIT(K847,"";"")))"),"")</f>
        <v/>
      </c>
      <c r="M847" s="84" t="str">
        <f t="shared" si="1"/>
        <v/>
      </c>
      <c r="N847" s="84" t="str">
        <f>IFERROR(__xludf.DUMMYFUNCTION("IFERROR(AVERAGE(query(INDIRECT(""'FR Table'!"" &amp; vlookup(rows($A$1:$A846),Reference!$O:$P,2,false) &amp; ""3:"" &amp; vlookup(rows($A$1:$A846),Reference!$O:$P,2,false)), 
""SELECT "" &amp; vlookup(rows($A$1:$A846),Reference!$O:$P,2,false) 
&amp; "" WHERE "" &amp; vlookup(row"&amp;"s($A$1:$A846),Reference!$O:$P,2,false) &amp;
"" &gt;= "" &amp; Reference!$R$2)) * M847,"""")"),"")</f>
        <v/>
      </c>
      <c r="O847" s="84" t="str">
        <f t="shared" si="2"/>
        <v/>
      </c>
    </row>
    <row r="848">
      <c r="A848" s="84"/>
      <c r="B848" s="84"/>
      <c r="C848" s="85"/>
      <c r="D848" s="86"/>
      <c r="E848" s="87"/>
      <c r="F848" s="86"/>
      <c r="G848" s="87"/>
      <c r="H848" s="86"/>
      <c r="I848" s="86"/>
      <c r="J848" s="86"/>
      <c r="K848" s="84"/>
      <c r="L848" s="84" t="str">
        <f>IFERROR(__xludf.DUMMYFUNCTION("IF(A848="""","""", COUNT(SPLIT(K848,"";"")))"),"")</f>
        <v/>
      </c>
      <c r="M848" s="84" t="str">
        <f t="shared" si="1"/>
        <v/>
      </c>
      <c r="N848" s="84" t="str">
        <f>IFERROR(__xludf.DUMMYFUNCTION("IFERROR(AVERAGE(query(INDIRECT(""'FR Table'!"" &amp; vlookup(rows($A$1:$A847),Reference!$O:$P,2,false) &amp; ""3:"" &amp; vlookup(rows($A$1:$A847),Reference!$O:$P,2,false)), 
""SELECT "" &amp; vlookup(rows($A$1:$A847),Reference!$O:$P,2,false) 
&amp; "" WHERE "" &amp; vlookup(row"&amp;"s($A$1:$A847),Reference!$O:$P,2,false) &amp;
"" &gt;= "" &amp; Reference!$R$2)) * M848,"""")"),"")</f>
        <v/>
      </c>
      <c r="O848" s="84" t="str">
        <f t="shared" si="2"/>
        <v/>
      </c>
    </row>
    <row r="849">
      <c r="A849" s="84"/>
      <c r="B849" s="84"/>
      <c r="C849" s="85"/>
      <c r="D849" s="86"/>
      <c r="E849" s="87"/>
      <c r="F849" s="86"/>
      <c r="G849" s="87"/>
      <c r="H849" s="86"/>
      <c r="I849" s="86"/>
      <c r="J849" s="86"/>
      <c r="K849" s="84"/>
      <c r="L849" s="84" t="str">
        <f>IFERROR(__xludf.DUMMYFUNCTION("IF(A849="""","""", COUNT(SPLIT(K849,"";"")))"),"")</f>
        <v/>
      </c>
      <c r="M849" s="84" t="str">
        <f t="shared" si="1"/>
        <v/>
      </c>
      <c r="N849" s="84" t="str">
        <f>IFERROR(__xludf.DUMMYFUNCTION("IFERROR(AVERAGE(query(INDIRECT(""'FR Table'!"" &amp; vlookup(rows($A$1:$A848),Reference!$O:$P,2,false) &amp; ""3:"" &amp; vlookup(rows($A$1:$A848),Reference!$O:$P,2,false)), 
""SELECT "" &amp; vlookup(rows($A$1:$A848),Reference!$O:$P,2,false) 
&amp; "" WHERE "" &amp; vlookup(row"&amp;"s($A$1:$A848),Reference!$O:$P,2,false) &amp;
"" &gt;= "" &amp; Reference!$R$2)) * M849,"""")"),"")</f>
        <v/>
      </c>
      <c r="O849" s="84" t="str">
        <f t="shared" si="2"/>
        <v/>
      </c>
    </row>
    <row r="850">
      <c r="A850" s="84"/>
      <c r="B850" s="84"/>
      <c r="C850" s="85"/>
      <c r="D850" s="86"/>
      <c r="E850" s="87"/>
      <c r="F850" s="86"/>
      <c r="G850" s="87"/>
      <c r="H850" s="86"/>
      <c r="I850" s="86"/>
      <c r="J850" s="86"/>
      <c r="K850" s="84"/>
      <c r="L850" s="84" t="str">
        <f>IFERROR(__xludf.DUMMYFUNCTION("IF(A850="""","""", COUNT(SPLIT(K850,"";"")))"),"")</f>
        <v/>
      </c>
      <c r="M850" s="84" t="str">
        <f t="shared" si="1"/>
        <v/>
      </c>
      <c r="N850" s="84" t="str">
        <f>IFERROR(__xludf.DUMMYFUNCTION("IFERROR(AVERAGE(query(INDIRECT(""'FR Table'!"" &amp; vlookup(rows($A$1:$A849),Reference!$O:$P,2,false) &amp; ""3:"" &amp; vlookup(rows($A$1:$A849),Reference!$O:$P,2,false)), 
""SELECT "" &amp; vlookup(rows($A$1:$A849),Reference!$O:$P,2,false) 
&amp; "" WHERE "" &amp; vlookup(row"&amp;"s($A$1:$A849),Reference!$O:$P,2,false) &amp;
"" &gt;= "" &amp; Reference!$R$2)) * M850,"""")"),"")</f>
        <v/>
      </c>
      <c r="O850" s="84" t="str">
        <f t="shared" si="2"/>
        <v/>
      </c>
    </row>
    <row r="851">
      <c r="A851" s="84"/>
      <c r="B851" s="84"/>
      <c r="C851" s="85"/>
      <c r="D851" s="86"/>
      <c r="E851" s="87"/>
      <c r="F851" s="86"/>
      <c r="G851" s="87"/>
      <c r="H851" s="86"/>
      <c r="I851" s="86"/>
      <c r="J851" s="86"/>
      <c r="K851" s="84"/>
      <c r="L851" s="84" t="str">
        <f>IFERROR(__xludf.DUMMYFUNCTION("IF(A851="""","""", COUNT(SPLIT(K851,"";"")))"),"")</f>
        <v/>
      </c>
      <c r="M851" s="84" t="str">
        <f t="shared" si="1"/>
        <v/>
      </c>
      <c r="N851" s="84" t="str">
        <f>IFERROR(__xludf.DUMMYFUNCTION("IFERROR(AVERAGE(query(INDIRECT(""'FR Table'!"" &amp; vlookup(rows($A$1:$A850),Reference!$O:$P,2,false) &amp; ""3:"" &amp; vlookup(rows($A$1:$A850),Reference!$O:$P,2,false)), 
""SELECT "" &amp; vlookup(rows($A$1:$A850),Reference!$O:$P,2,false) 
&amp; "" WHERE "" &amp; vlookup(row"&amp;"s($A$1:$A850),Reference!$O:$P,2,false) &amp;
"" &gt;= "" &amp; Reference!$R$2)) * M851,"""")"),"")</f>
        <v/>
      </c>
      <c r="O851" s="84" t="str">
        <f t="shared" si="2"/>
        <v/>
      </c>
    </row>
    <row r="852">
      <c r="A852" s="84"/>
      <c r="B852" s="84"/>
      <c r="C852" s="85"/>
      <c r="D852" s="86"/>
      <c r="E852" s="87"/>
      <c r="F852" s="86"/>
      <c r="G852" s="87"/>
      <c r="H852" s="86"/>
      <c r="I852" s="86"/>
      <c r="J852" s="86"/>
      <c r="K852" s="84"/>
      <c r="L852" s="84" t="str">
        <f>IFERROR(__xludf.DUMMYFUNCTION("IF(A852="""","""", COUNT(SPLIT(K852,"";"")))"),"")</f>
        <v/>
      </c>
      <c r="M852" s="84" t="str">
        <f t="shared" si="1"/>
        <v/>
      </c>
      <c r="N852" s="84" t="str">
        <f>IFERROR(__xludf.DUMMYFUNCTION("IFERROR(AVERAGE(query(INDIRECT(""'FR Table'!"" &amp; vlookup(rows($A$1:$A851),Reference!$O:$P,2,false) &amp; ""3:"" &amp; vlookup(rows($A$1:$A851),Reference!$O:$P,2,false)), 
""SELECT "" &amp; vlookup(rows($A$1:$A851),Reference!$O:$P,2,false) 
&amp; "" WHERE "" &amp; vlookup(row"&amp;"s($A$1:$A851),Reference!$O:$P,2,false) &amp;
"" &gt;= "" &amp; Reference!$R$2)) * M852,"""")"),"")</f>
        <v/>
      </c>
      <c r="O852" s="84" t="str">
        <f t="shared" si="2"/>
        <v/>
      </c>
    </row>
    <row r="853">
      <c r="A853" s="84"/>
      <c r="B853" s="84"/>
      <c r="C853" s="85"/>
      <c r="D853" s="86"/>
      <c r="E853" s="87"/>
      <c r="F853" s="86"/>
      <c r="G853" s="87"/>
      <c r="H853" s="86"/>
      <c r="I853" s="86"/>
      <c r="J853" s="86"/>
      <c r="K853" s="84"/>
      <c r="L853" s="84" t="str">
        <f>IFERROR(__xludf.DUMMYFUNCTION("IF(A853="""","""", COUNT(SPLIT(K853,"";"")))"),"")</f>
        <v/>
      </c>
      <c r="M853" s="84" t="str">
        <f t="shared" si="1"/>
        <v/>
      </c>
      <c r="N853" s="84" t="str">
        <f>IFERROR(__xludf.DUMMYFUNCTION("IFERROR(AVERAGE(query(INDIRECT(""'FR Table'!"" &amp; vlookup(rows($A$1:$A852),Reference!$O:$P,2,false) &amp; ""3:"" &amp; vlookup(rows($A$1:$A852),Reference!$O:$P,2,false)), 
""SELECT "" &amp; vlookup(rows($A$1:$A852),Reference!$O:$P,2,false) 
&amp; "" WHERE "" &amp; vlookup(row"&amp;"s($A$1:$A852),Reference!$O:$P,2,false) &amp;
"" &gt;= "" &amp; Reference!$R$2)) * M853,"""")"),"")</f>
        <v/>
      </c>
      <c r="O853" s="84" t="str">
        <f t="shared" si="2"/>
        <v/>
      </c>
    </row>
    <row r="854">
      <c r="A854" s="84"/>
      <c r="B854" s="84"/>
      <c r="C854" s="85"/>
      <c r="D854" s="86"/>
      <c r="E854" s="87"/>
      <c r="F854" s="86"/>
      <c r="G854" s="87"/>
      <c r="H854" s="86"/>
      <c r="I854" s="86"/>
      <c r="J854" s="86"/>
      <c r="K854" s="84"/>
      <c r="L854" s="84" t="str">
        <f>IFERROR(__xludf.DUMMYFUNCTION("IF(A854="""","""", COUNT(SPLIT(K854,"";"")))"),"")</f>
        <v/>
      </c>
      <c r="M854" s="84" t="str">
        <f t="shared" si="1"/>
        <v/>
      </c>
      <c r="N854" s="84" t="str">
        <f>IFERROR(__xludf.DUMMYFUNCTION("IFERROR(AVERAGE(query(INDIRECT(""'FR Table'!"" &amp; vlookup(rows($A$1:$A853),Reference!$O:$P,2,false) &amp; ""3:"" &amp; vlookup(rows($A$1:$A853),Reference!$O:$P,2,false)), 
""SELECT "" &amp; vlookup(rows($A$1:$A853),Reference!$O:$P,2,false) 
&amp; "" WHERE "" &amp; vlookup(row"&amp;"s($A$1:$A853),Reference!$O:$P,2,false) &amp;
"" &gt;= "" &amp; Reference!$R$2)) * M854,"""")"),"")</f>
        <v/>
      </c>
      <c r="O854" s="84" t="str">
        <f t="shared" si="2"/>
        <v/>
      </c>
    </row>
    <row r="855">
      <c r="A855" s="84"/>
      <c r="B855" s="84"/>
      <c r="C855" s="85"/>
      <c r="D855" s="86"/>
      <c r="E855" s="87"/>
      <c r="F855" s="86"/>
      <c r="G855" s="87"/>
      <c r="H855" s="86"/>
      <c r="I855" s="86"/>
      <c r="J855" s="86"/>
      <c r="K855" s="84"/>
      <c r="L855" s="84" t="str">
        <f>IFERROR(__xludf.DUMMYFUNCTION("IF(A855="""","""", COUNT(SPLIT(K855,"";"")))"),"")</f>
        <v/>
      </c>
      <c r="M855" s="84" t="str">
        <f t="shared" si="1"/>
        <v/>
      </c>
      <c r="N855" s="84" t="str">
        <f>IFERROR(__xludf.DUMMYFUNCTION("IFERROR(AVERAGE(query(INDIRECT(""'FR Table'!"" &amp; vlookup(rows($A$1:$A854),Reference!$O:$P,2,false) &amp; ""3:"" &amp; vlookup(rows($A$1:$A854),Reference!$O:$P,2,false)), 
""SELECT "" &amp; vlookup(rows($A$1:$A854),Reference!$O:$P,2,false) 
&amp; "" WHERE "" &amp; vlookup(row"&amp;"s($A$1:$A854),Reference!$O:$P,2,false) &amp;
"" &gt;= "" &amp; Reference!$R$2)) * M855,"""")"),"")</f>
        <v/>
      </c>
      <c r="O855" s="84" t="str">
        <f t="shared" si="2"/>
        <v/>
      </c>
    </row>
    <row r="856">
      <c r="A856" s="84"/>
      <c r="B856" s="84"/>
      <c r="C856" s="85"/>
      <c r="D856" s="86"/>
      <c r="E856" s="87"/>
      <c r="F856" s="86"/>
      <c r="G856" s="87"/>
      <c r="H856" s="86"/>
      <c r="I856" s="86"/>
      <c r="J856" s="86"/>
      <c r="K856" s="84"/>
      <c r="L856" s="84" t="str">
        <f>IFERROR(__xludf.DUMMYFUNCTION("IF(A856="""","""", COUNT(SPLIT(K856,"";"")))"),"")</f>
        <v/>
      </c>
      <c r="M856" s="84" t="str">
        <f t="shared" si="1"/>
        <v/>
      </c>
      <c r="N856" s="84" t="str">
        <f>IFERROR(__xludf.DUMMYFUNCTION("IFERROR(AVERAGE(query(INDIRECT(""'FR Table'!"" &amp; vlookup(rows($A$1:$A855),Reference!$O:$P,2,false) &amp; ""3:"" &amp; vlookup(rows($A$1:$A855),Reference!$O:$P,2,false)), 
""SELECT "" &amp; vlookup(rows($A$1:$A855),Reference!$O:$P,2,false) 
&amp; "" WHERE "" &amp; vlookup(row"&amp;"s($A$1:$A855),Reference!$O:$P,2,false) &amp;
"" &gt;= "" &amp; Reference!$R$2)) * M856,"""")"),"")</f>
        <v/>
      </c>
      <c r="O856" s="84" t="str">
        <f t="shared" si="2"/>
        <v/>
      </c>
    </row>
    <row r="857">
      <c r="A857" s="84"/>
      <c r="B857" s="84"/>
      <c r="C857" s="85"/>
      <c r="D857" s="86"/>
      <c r="E857" s="87"/>
      <c r="F857" s="86"/>
      <c r="G857" s="87"/>
      <c r="H857" s="86"/>
      <c r="I857" s="86"/>
      <c r="J857" s="86"/>
      <c r="K857" s="84"/>
      <c r="L857" s="84" t="str">
        <f>IFERROR(__xludf.DUMMYFUNCTION("IF(A857="""","""", COUNT(SPLIT(K857,"";"")))"),"")</f>
        <v/>
      </c>
      <c r="M857" s="84" t="str">
        <f t="shared" si="1"/>
        <v/>
      </c>
      <c r="N857" s="84" t="str">
        <f>IFERROR(__xludf.DUMMYFUNCTION("IFERROR(AVERAGE(query(INDIRECT(""'FR Table'!"" &amp; vlookup(rows($A$1:$A856),Reference!$O:$P,2,false) &amp; ""3:"" &amp; vlookup(rows($A$1:$A856),Reference!$O:$P,2,false)), 
""SELECT "" &amp; vlookup(rows($A$1:$A856),Reference!$O:$P,2,false) 
&amp; "" WHERE "" &amp; vlookup(row"&amp;"s($A$1:$A856),Reference!$O:$P,2,false) &amp;
"" &gt;= "" &amp; Reference!$R$2)) * M857,"""")"),"")</f>
        <v/>
      </c>
      <c r="O857" s="84" t="str">
        <f t="shared" si="2"/>
        <v/>
      </c>
    </row>
    <row r="858">
      <c r="A858" s="84"/>
      <c r="B858" s="84"/>
      <c r="C858" s="85"/>
      <c r="D858" s="86"/>
      <c r="E858" s="87"/>
      <c r="F858" s="86"/>
      <c r="G858" s="87"/>
      <c r="H858" s="86"/>
      <c r="I858" s="86"/>
      <c r="J858" s="86"/>
      <c r="K858" s="84"/>
      <c r="L858" s="84" t="str">
        <f>IFERROR(__xludf.DUMMYFUNCTION("IF(A858="""","""", COUNT(SPLIT(K858,"";"")))"),"")</f>
        <v/>
      </c>
      <c r="M858" s="84" t="str">
        <f t="shared" si="1"/>
        <v/>
      </c>
      <c r="N858" s="84" t="str">
        <f>IFERROR(__xludf.DUMMYFUNCTION("IFERROR(AVERAGE(query(INDIRECT(""'FR Table'!"" &amp; vlookup(rows($A$1:$A857),Reference!$O:$P,2,false) &amp; ""3:"" &amp; vlookup(rows($A$1:$A857),Reference!$O:$P,2,false)), 
""SELECT "" &amp; vlookup(rows($A$1:$A857),Reference!$O:$P,2,false) 
&amp; "" WHERE "" &amp; vlookup(row"&amp;"s($A$1:$A857),Reference!$O:$P,2,false) &amp;
"" &gt;= "" &amp; Reference!$R$2)) * M858,"""")"),"")</f>
        <v/>
      </c>
      <c r="O858" s="84" t="str">
        <f t="shared" si="2"/>
        <v/>
      </c>
    </row>
    <row r="859">
      <c r="A859" s="84"/>
      <c r="B859" s="84"/>
      <c r="C859" s="85"/>
      <c r="D859" s="86"/>
      <c r="E859" s="87"/>
      <c r="F859" s="86"/>
      <c r="G859" s="87"/>
      <c r="H859" s="86"/>
      <c r="I859" s="86"/>
      <c r="J859" s="86"/>
      <c r="K859" s="84"/>
      <c r="L859" s="84" t="str">
        <f>IFERROR(__xludf.DUMMYFUNCTION("IF(A859="""","""", COUNT(SPLIT(K859,"";"")))"),"")</f>
        <v/>
      </c>
      <c r="M859" s="84" t="str">
        <f t="shared" si="1"/>
        <v/>
      </c>
      <c r="N859" s="84" t="str">
        <f>IFERROR(__xludf.DUMMYFUNCTION("IFERROR(AVERAGE(query(INDIRECT(""'FR Table'!"" &amp; vlookup(rows($A$1:$A858),Reference!$O:$P,2,false) &amp; ""3:"" &amp; vlookup(rows($A$1:$A858),Reference!$O:$P,2,false)), 
""SELECT "" &amp; vlookup(rows($A$1:$A858),Reference!$O:$P,2,false) 
&amp; "" WHERE "" &amp; vlookup(row"&amp;"s($A$1:$A858),Reference!$O:$P,2,false) &amp;
"" &gt;= "" &amp; Reference!$R$2)) * M859,"""")"),"")</f>
        <v/>
      </c>
      <c r="O859" s="84" t="str">
        <f t="shared" si="2"/>
        <v/>
      </c>
    </row>
    <row r="860">
      <c r="A860" s="84"/>
      <c r="B860" s="84"/>
      <c r="C860" s="85"/>
      <c r="D860" s="86"/>
      <c r="E860" s="87"/>
      <c r="F860" s="86"/>
      <c r="G860" s="87"/>
      <c r="H860" s="86"/>
      <c r="I860" s="86"/>
      <c r="J860" s="86"/>
      <c r="K860" s="84"/>
      <c r="L860" s="84" t="str">
        <f>IFERROR(__xludf.DUMMYFUNCTION("IF(A860="""","""", COUNT(SPLIT(K860,"";"")))"),"")</f>
        <v/>
      </c>
      <c r="M860" s="84" t="str">
        <f t="shared" si="1"/>
        <v/>
      </c>
      <c r="N860" s="84" t="str">
        <f>IFERROR(__xludf.DUMMYFUNCTION("IFERROR(AVERAGE(query(INDIRECT(""'FR Table'!"" &amp; vlookup(rows($A$1:$A859),Reference!$O:$P,2,false) &amp; ""3:"" &amp; vlookup(rows($A$1:$A859),Reference!$O:$P,2,false)), 
""SELECT "" &amp; vlookup(rows($A$1:$A859),Reference!$O:$P,2,false) 
&amp; "" WHERE "" &amp; vlookup(row"&amp;"s($A$1:$A859),Reference!$O:$P,2,false) &amp;
"" &gt;= "" &amp; Reference!$R$2)) * M860,"""")"),"")</f>
        <v/>
      </c>
      <c r="O860" s="84" t="str">
        <f t="shared" si="2"/>
        <v/>
      </c>
    </row>
    <row r="861">
      <c r="A861" s="84"/>
      <c r="B861" s="84"/>
      <c r="C861" s="85"/>
      <c r="D861" s="86"/>
      <c r="E861" s="87"/>
      <c r="F861" s="86"/>
      <c r="G861" s="87"/>
      <c r="H861" s="86"/>
      <c r="I861" s="86"/>
      <c r="J861" s="86"/>
      <c r="K861" s="84"/>
      <c r="L861" s="84" t="str">
        <f>IFERROR(__xludf.DUMMYFUNCTION("IF(A861="""","""", COUNT(SPLIT(K861,"";"")))"),"")</f>
        <v/>
      </c>
      <c r="M861" s="84" t="str">
        <f t="shared" si="1"/>
        <v/>
      </c>
      <c r="N861" s="84" t="str">
        <f>IFERROR(__xludf.DUMMYFUNCTION("IFERROR(AVERAGE(query(INDIRECT(""'FR Table'!"" &amp; vlookup(rows($A$1:$A860),Reference!$O:$P,2,false) &amp; ""3:"" &amp; vlookup(rows($A$1:$A860),Reference!$O:$P,2,false)), 
""SELECT "" &amp; vlookup(rows($A$1:$A860),Reference!$O:$P,2,false) 
&amp; "" WHERE "" &amp; vlookup(row"&amp;"s($A$1:$A860),Reference!$O:$P,2,false) &amp;
"" &gt;= "" &amp; Reference!$R$2)) * M861,"""")"),"")</f>
        <v/>
      </c>
      <c r="O861" s="84" t="str">
        <f t="shared" si="2"/>
        <v/>
      </c>
    </row>
    <row r="862">
      <c r="A862" s="84"/>
      <c r="B862" s="84"/>
      <c r="C862" s="85"/>
      <c r="D862" s="86"/>
      <c r="E862" s="87"/>
      <c r="F862" s="86"/>
      <c r="G862" s="87"/>
      <c r="H862" s="86"/>
      <c r="I862" s="86"/>
      <c r="J862" s="86"/>
      <c r="K862" s="84"/>
      <c r="L862" s="84" t="str">
        <f>IFERROR(__xludf.DUMMYFUNCTION("IF(A862="""","""", COUNT(SPLIT(K862,"";"")))"),"")</f>
        <v/>
      </c>
      <c r="M862" s="84" t="str">
        <f t="shared" si="1"/>
        <v/>
      </c>
      <c r="N862" s="84" t="str">
        <f>IFERROR(__xludf.DUMMYFUNCTION("IFERROR(AVERAGE(query(INDIRECT(""'FR Table'!"" &amp; vlookup(rows($A$1:$A861),Reference!$O:$P,2,false) &amp; ""3:"" &amp; vlookup(rows($A$1:$A861),Reference!$O:$P,2,false)), 
""SELECT "" &amp; vlookup(rows($A$1:$A861),Reference!$O:$P,2,false) 
&amp; "" WHERE "" &amp; vlookup(row"&amp;"s($A$1:$A861),Reference!$O:$P,2,false) &amp;
"" &gt;= "" &amp; Reference!$R$2)) * M862,"""")"),"")</f>
        <v/>
      </c>
      <c r="O862" s="84" t="str">
        <f t="shared" si="2"/>
        <v/>
      </c>
    </row>
    <row r="863">
      <c r="A863" s="84"/>
      <c r="B863" s="84"/>
      <c r="C863" s="85"/>
      <c r="D863" s="86"/>
      <c r="E863" s="87"/>
      <c r="F863" s="86"/>
      <c r="G863" s="87"/>
      <c r="H863" s="86"/>
      <c r="I863" s="86"/>
      <c r="J863" s="86"/>
      <c r="K863" s="84"/>
      <c r="L863" s="84" t="str">
        <f>IFERROR(__xludf.DUMMYFUNCTION("IF(A863="""","""", COUNT(SPLIT(K863,"";"")))"),"")</f>
        <v/>
      </c>
      <c r="M863" s="84" t="str">
        <f t="shared" si="1"/>
        <v/>
      </c>
      <c r="N863" s="84" t="str">
        <f>IFERROR(__xludf.DUMMYFUNCTION("IFERROR(AVERAGE(query(INDIRECT(""'FR Table'!"" &amp; vlookup(rows($A$1:$A862),Reference!$O:$P,2,false) &amp; ""3:"" &amp; vlookup(rows($A$1:$A862),Reference!$O:$P,2,false)), 
""SELECT "" &amp; vlookup(rows($A$1:$A862),Reference!$O:$P,2,false) 
&amp; "" WHERE "" &amp; vlookup(row"&amp;"s($A$1:$A862),Reference!$O:$P,2,false) &amp;
"" &gt;= "" &amp; Reference!$R$2)) * M863,"""")"),"")</f>
        <v/>
      </c>
      <c r="O863" s="84" t="str">
        <f t="shared" si="2"/>
        <v/>
      </c>
    </row>
    <row r="864">
      <c r="A864" s="84"/>
      <c r="B864" s="84"/>
      <c r="C864" s="85"/>
      <c r="D864" s="86"/>
      <c r="E864" s="87"/>
      <c r="F864" s="86"/>
      <c r="G864" s="87"/>
      <c r="H864" s="86"/>
      <c r="I864" s="86"/>
      <c r="J864" s="86"/>
      <c r="K864" s="84"/>
      <c r="L864" s="84" t="str">
        <f>IFERROR(__xludf.DUMMYFUNCTION("IF(A864="""","""", COUNT(SPLIT(K864,"";"")))"),"")</f>
        <v/>
      </c>
      <c r="M864" s="84" t="str">
        <f t="shared" si="1"/>
        <v/>
      </c>
      <c r="N864" s="84" t="str">
        <f>IFERROR(__xludf.DUMMYFUNCTION("IFERROR(AVERAGE(query(INDIRECT(""'FR Table'!"" &amp; vlookup(rows($A$1:$A863),Reference!$O:$P,2,false) &amp; ""3:"" &amp; vlookup(rows($A$1:$A863),Reference!$O:$P,2,false)), 
""SELECT "" &amp; vlookup(rows($A$1:$A863),Reference!$O:$P,2,false) 
&amp; "" WHERE "" &amp; vlookup(row"&amp;"s($A$1:$A863),Reference!$O:$P,2,false) &amp;
"" &gt;= "" &amp; Reference!$R$2)) * M864,"""")"),"")</f>
        <v/>
      </c>
      <c r="O864" s="84" t="str">
        <f t="shared" si="2"/>
        <v/>
      </c>
    </row>
    <row r="865">
      <c r="A865" s="84"/>
      <c r="B865" s="84"/>
      <c r="C865" s="85"/>
      <c r="D865" s="86"/>
      <c r="E865" s="87"/>
      <c r="F865" s="86"/>
      <c r="G865" s="87"/>
      <c r="H865" s="86"/>
      <c r="I865" s="86"/>
      <c r="J865" s="86"/>
      <c r="K865" s="84"/>
      <c r="L865" s="84" t="str">
        <f>IFERROR(__xludf.DUMMYFUNCTION("IF(A865="""","""", COUNT(SPLIT(K865,"";"")))"),"")</f>
        <v/>
      </c>
      <c r="M865" s="84" t="str">
        <f t="shared" si="1"/>
        <v/>
      </c>
      <c r="N865" s="84" t="str">
        <f>IFERROR(__xludf.DUMMYFUNCTION("IFERROR(AVERAGE(query(INDIRECT(""'FR Table'!"" &amp; vlookup(rows($A$1:$A864),Reference!$O:$P,2,false) &amp; ""3:"" &amp; vlookup(rows($A$1:$A864),Reference!$O:$P,2,false)), 
""SELECT "" &amp; vlookup(rows($A$1:$A864),Reference!$O:$P,2,false) 
&amp; "" WHERE "" &amp; vlookup(row"&amp;"s($A$1:$A864),Reference!$O:$P,2,false) &amp;
"" &gt;= "" &amp; Reference!$R$2)) * M865,"""")"),"")</f>
        <v/>
      </c>
      <c r="O865" s="84" t="str">
        <f t="shared" si="2"/>
        <v/>
      </c>
    </row>
    <row r="866">
      <c r="A866" s="84"/>
      <c r="B866" s="84"/>
      <c r="C866" s="85"/>
      <c r="D866" s="86"/>
      <c r="E866" s="87"/>
      <c r="F866" s="86"/>
      <c r="G866" s="87"/>
      <c r="H866" s="86"/>
      <c r="I866" s="86"/>
      <c r="J866" s="86"/>
      <c r="K866" s="84"/>
      <c r="L866" s="84" t="str">
        <f>IFERROR(__xludf.DUMMYFUNCTION("IF(A866="""","""", COUNT(SPLIT(K866,"";"")))"),"")</f>
        <v/>
      </c>
      <c r="M866" s="84" t="str">
        <f t="shared" si="1"/>
        <v/>
      </c>
      <c r="N866" s="84" t="str">
        <f>IFERROR(__xludf.DUMMYFUNCTION("IFERROR(AVERAGE(query(INDIRECT(""'FR Table'!"" &amp; vlookup(rows($A$1:$A865),Reference!$O:$P,2,false) &amp; ""3:"" &amp; vlookup(rows($A$1:$A865),Reference!$O:$P,2,false)), 
""SELECT "" &amp; vlookup(rows($A$1:$A865),Reference!$O:$P,2,false) 
&amp; "" WHERE "" &amp; vlookup(row"&amp;"s($A$1:$A865),Reference!$O:$P,2,false) &amp;
"" &gt;= "" &amp; Reference!$R$2)) * M866,"""")"),"")</f>
        <v/>
      </c>
      <c r="O866" s="84" t="str">
        <f t="shared" si="2"/>
        <v/>
      </c>
    </row>
    <row r="867">
      <c r="A867" s="84"/>
      <c r="B867" s="84"/>
      <c r="C867" s="85"/>
      <c r="D867" s="86"/>
      <c r="E867" s="87"/>
      <c r="F867" s="86"/>
      <c r="G867" s="87"/>
      <c r="H867" s="86"/>
      <c r="I867" s="86"/>
      <c r="J867" s="86"/>
      <c r="K867" s="84"/>
      <c r="L867" s="84" t="str">
        <f>IFERROR(__xludf.DUMMYFUNCTION("IF(A867="""","""", COUNT(SPLIT(K867,"";"")))"),"")</f>
        <v/>
      </c>
      <c r="M867" s="84" t="str">
        <f t="shared" si="1"/>
        <v/>
      </c>
      <c r="N867" s="84" t="str">
        <f>IFERROR(__xludf.DUMMYFUNCTION("IFERROR(AVERAGE(query(INDIRECT(""'FR Table'!"" &amp; vlookup(rows($A$1:$A866),Reference!$O:$P,2,false) &amp; ""3:"" &amp; vlookup(rows($A$1:$A866),Reference!$O:$P,2,false)), 
""SELECT "" &amp; vlookup(rows($A$1:$A866),Reference!$O:$P,2,false) 
&amp; "" WHERE "" &amp; vlookup(row"&amp;"s($A$1:$A866),Reference!$O:$P,2,false) &amp;
"" &gt;= "" &amp; Reference!$R$2)) * M867,"""")"),"")</f>
        <v/>
      </c>
      <c r="O867" s="84" t="str">
        <f t="shared" si="2"/>
        <v/>
      </c>
    </row>
    <row r="868">
      <c r="A868" s="84"/>
      <c r="B868" s="84"/>
      <c r="C868" s="85"/>
      <c r="D868" s="86"/>
      <c r="E868" s="87"/>
      <c r="F868" s="86"/>
      <c r="G868" s="87"/>
      <c r="H868" s="86"/>
      <c r="I868" s="86"/>
      <c r="J868" s="86"/>
      <c r="K868" s="84"/>
      <c r="L868" s="84" t="str">
        <f>IFERROR(__xludf.DUMMYFUNCTION("IF(A868="""","""", COUNT(SPLIT(K868,"";"")))"),"")</f>
        <v/>
      </c>
      <c r="M868" s="84" t="str">
        <f t="shared" si="1"/>
        <v/>
      </c>
      <c r="N868" s="84" t="str">
        <f>IFERROR(__xludf.DUMMYFUNCTION("IFERROR(AVERAGE(query(INDIRECT(""'FR Table'!"" &amp; vlookup(rows($A$1:$A867),Reference!$O:$P,2,false) &amp; ""3:"" &amp; vlookup(rows($A$1:$A867),Reference!$O:$P,2,false)), 
""SELECT "" &amp; vlookup(rows($A$1:$A867),Reference!$O:$P,2,false) 
&amp; "" WHERE "" &amp; vlookup(row"&amp;"s($A$1:$A867),Reference!$O:$P,2,false) &amp;
"" &gt;= "" &amp; Reference!$R$2)) * M868,"""")"),"")</f>
        <v/>
      </c>
      <c r="O868" s="84" t="str">
        <f t="shared" si="2"/>
        <v/>
      </c>
    </row>
    <row r="869">
      <c r="A869" s="84"/>
      <c r="B869" s="84"/>
      <c r="C869" s="85"/>
      <c r="D869" s="86"/>
      <c r="E869" s="87"/>
      <c r="F869" s="86"/>
      <c r="G869" s="87"/>
      <c r="H869" s="86"/>
      <c r="I869" s="86"/>
      <c r="J869" s="86"/>
      <c r="K869" s="84"/>
      <c r="L869" s="84" t="str">
        <f>IFERROR(__xludf.DUMMYFUNCTION("IF(A869="""","""", COUNT(SPLIT(K869,"";"")))"),"")</f>
        <v/>
      </c>
      <c r="M869" s="84" t="str">
        <f t="shared" si="1"/>
        <v/>
      </c>
      <c r="N869" s="84" t="str">
        <f>IFERROR(__xludf.DUMMYFUNCTION("IFERROR(AVERAGE(query(INDIRECT(""'FR Table'!"" &amp; vlookup(rows($A$1:$A868),Reference!$O:$P,2,false) &amp; ""3:"" &amp; vlookup(rows($A$1:$A868),Reference!$O:$P,2,false)), 
""SELECT "" &amp; vlookup(rows($A$1:$A868),Reference!$O:$P,2,false) 
&amp; "" WHERE "" &amp; vlookup(row"&amp;"s($A$1:$A868),Reference!$O:$P,2,false) &amp;
"" &gt;= "" &amp; Reference!$R$2)) * M869,"""")"),"")</f>
        <v/>
      </c>
      <c r="O869" s="84" t="str">
        <f t="shared" si="2"/>
        <v/>
      </c>
    </row>
    <row r="870">
      <c r="A870" s="84"/>
      <c r="B870" s="84"/>
      <c r="C870" s="85"/>
      <c r="D870" s="86"/>
      <c r="E870" s="87"/>
      <c r="F870" s="86"/>
      <c r="G870" s="87"/>
      <c r="H870" s="86"/>
      <c r="I870" s="86"/>
      <c r="J870" s="86"/>
      <c r="K870" s="84"/>
      <c r="L870" s="84" t="str">
        <f>IFERROR(__xludf.DUMMYFUNCTION("IF(A870="""","""", COUNT(SPLIT(K870,"";"")))"),"")</f>
        <v/>
      </c>
      <c r="M870" s="84" t="str">
        <f t="shared" si="1"/>
        <v/>
      </c>
      <c r="N870" s="84" t="str">
        <f>IFERROR(__xludf.DUMMYFUNCTION("IFERROR(AVERAGE(query(INDIRECT(""'FR Table'!"" &amp; vlookup(rows($A$1:$A869),Reference!$O:$P,2,false) &amp; ""3:"" &amp; vlookup(rows($A$1:$A869),Reference!$O:$P,2,false)), 
""SELECT "" &amp; vlookup(rows($A$1:$A869),Reference!$O:$P,2,false) 
&amp; "" WHERE "" &amp; vlookup(row"&amp;"s($A$1:$A869),Reference!$O:$P,2,false) &amp;
"" &gt;= "" &amp; Reference!$R$2)) * M870,"""")"),"")</f>
        <v/>
      </c>
      <c r="O870" s="84" t="str">
        <f t="shared" si="2"/>
        <v/>
      </c>
    </row>
    <row r="871">
      <c r="A871" s="84"/>
      <c r="B871" s="84"/>
      <c r="C871" s="85"/>
      <c r="D871" s="86"/>
      <c r="E871" s="87"/>
      <c r="F871" s="86"/>
      <c r="G871" s="87"/>
      <c r="H871" s="86"/>
      <c r="I871" s="86"/>
      <c r="J871" s="86"/>
      <c r="K871" s="84"/>
      <c r="L871" s="84" t="str">
        <f>IFERROR(__xludf.DUMMYFUNCTION("IF(A871="""","""", COUNT(SPLIT(K871,"";"")))"),"")</f>
        <v/>
      </c>
      <c r="M871" s="84" t="str">
        <f t="shared" si="1"/>
        <v/>
      </c>
      <c r="N871" s="84" t="str">
        <f>IFERROR(__xludf.DUMMYFUNCTION("IFERROR(AVERAGE(query(INDIRECT(""'FR Table'!"" &amp; vlookup(rows($A$1:$A870),Reference!$O:$P,2,false) &amp; ""3:"" &amp; vlookup(rows($A$1:$A870),Reference!$O:$P,2,false)), 
""SELECT "" &amp; vlookup(rows($A$1:$A870),Reference!$O:$P,2,false) 
&amp; "" WHERE "" &amp; vlookup(row"&amp;"s($A$1:$A870),Reference!$O:$P,2,false) &amp;
"" &gt;= "" &amp; Reference!$R$2)) * M871,"""")"),"")</f>
        <v/>
      </c>
      <c r="O871" s="84" t="str">
        <f t="shared" si="2"/>
        <v/>
      </c>
    </row>
    <row r="872">
      <c r="A872" s="84"/>
      <c r="B872" s="84"/>
      <c r="C872" s="85"/>
      <c r="D872" s="86"/>
      <c r="E872" s="87"/>
      <c r="F872" s="86"/>
      <c r="G872" s="87"/>
      <c r="H872" s="86"/>
      <c r="I872" s="86"/>
      <c r="J872" s="86"/>
      <c r="K872" s="84"/>
      <c r="L872" s="84" t="str">
        <f>IFERROR(__xludf.DUMMYFUNCTION("IF(A872="""","""", COUNT(SPLIT(K872,"";"")))"),"")</f>
        <v/>
      </c>
      <c r="M872" s="84" t="str">
        <f t="shared" si="1"/>
        <v/>
      </c>
      <c r="N872" s="84" t="str">
        <f>IFERROR(__xludf.DUMMYFUNCTION("IFERROR(AVERAGE(query(INDIRECT(""'FR Table'!"" &amp; vlookup(rows($A$1:$A871),Reference!$O:$P,2,false) &amp; ""3:"" &amp; vlookup(rows($A$1:$A871),Reference!$O:$P,2,false)), 
""SELECT "" &amp; vlookup(rows($A$1:$A871),Reference!$O:$P,2,false) 
&amp; "" WHERE "" &amp; vlookup(row"&amp;"s($A$1:$A871),Reference!$O:$P,2,false) &amp;
"" &gt;= "" &amp; Reference!$R$2)) * M872,"""")"),"")</f>
        <v/>
      </c>
      <c r="O872" s="84" t="str">
        <f t="shared" si="2"/>
        <v/>
      </c>
    </row>
    <row r="873">
      <c r="A873" s="84"/>
      <c r="B873" s="84"/>
      <c r="C873" s="85"/>
      <c r="D873" s="86"/>
      <c r="E873" s="87"/>
      <c r="F873" s="86"/>
      <c r="G873" s="87"/>
      <c r="H873" s="86"/>
      <c r="I873" s="86"/>
      <c r="J873" s="86"/>
      <c r="K873" s="84"/>
      <c r="L873" s="84" t="str">
        <f>IFERROR(__xludf.DUMMYFUNCTION("IF(A873="""","""", COUNT(SPLIT(K873,"";"")))"),"")</f>
        <v/>
      </c>
      <c r="M873" s="84" t="str">
        <f t="shared" si="1"/>
        <v/>
      </c>
      <c r="N873" s="84" t="str">
        <f>IFERROR(__xludf.DUMMYFUNCTION("IFERROR(AVERAGE(query(INDIRECT(""'FR Table'!"" &amp; vlookup(rows($A$1:$A872),Reference!$O:$P,2,false) &amp; ""3:"" &amp; vlookup(rows($A$1:$A872),Reference!$O:$P,2,false)), 
""SELECT "" &amp; vlookup(rows($A$1:$A872),Reference!$O:$P,2,false) 
&amp; "" WHERE "" &amp; vlookup(row"&amp;"s($A$1:$A872),Reference!$O:$P,2,false) &amp;
"" &gt;= "" &amp; Reference!$R$2)) * M873,"""")"),"")</f>
        <v/>
      </c>
      <c r="O873" s="84" t="str">
        <f t="shared" si="2"/>
        <v/>
      </c>
    </row>
    <row r="874">
      <c r="A874" s="84"/>
      <c r="B874" s="84"/>
      <c r="C874" s="85"/>
      <c r="D874" s="86"/>
      <c r="E874" s="87"/>
      <c r="F874" s="86"/>
      <c r="G874" s="87"/>
      <c r="H874" s="86"/>
      <c r="I874" s="86"/>
      <c r="J874" s="86"/>
      <c r="K874" s="84"/>
      <c r="L874" s="84" t="str">
        <f>IFERROR(__xludf.DUMMYFUNCTION("IF(A874="""","""", COUNT(SPLIT(K874,"";"")))"),"")</f>
        <v/>
      </c>
      <c r="M874" s="84" t="str">
        <f t="shared" si="1"/>
        <v/>
      </c>
      <c r="N874" s="84" t="str">
        <f>IFERROR(__xludf.DUMMYFUNCTION("IFERROR(AVERAGE(query(INDIRECT(""'FR Table'!"" &amp; vlookup(rows($A$1:$A873),Reference!$O:$P,2,false) &amp; ""3:"" &amp; vlookup(rows($A$1:$A873),Reference!$O:$P,2,false)), 
""SELECT "" &amp; vlookup(rows($A$1:$A873),Reference!$O:$P,2,false) 
&amp; "" WHERE "" &amp; vlookup(row"&amp;"s($A$1:$A873),Reference!$O:$P,2,false) &amp;
"" &gt;= "" &amp; Reference!$R$2)) * M874,"""")"),"")</f>
        <v/>
      </c>
      <c r="O874" s="84" t="str">
        <f t="shared" si="2"/>
        <v/>
      </c>
    </row>
    <row r="875">
      <c r="A875" s="84"/>
      <c r="B875" s="84"/>
      <c r="C875" s="85"/>
      <c r="D875" s="86"/>
      <c r="E875" s="87"/>
      <c r="F875" s="86"/>
      <c r="G875" s="87"/>
      <c r="H875" s="86"/>
      <c r="I875" s="86"/>
      <c r="J875" s="86"/>
      <c r="K875" s="84"/>
      <c r="L875" s="84" t="str">
        <f>IFERROR(__xludf.DUMMYFUNCTION("IF(A875="""","""", COUNT(SPLIT(K875,"";"")))"),"")</f>
        <v/>
      </c>
      <c r="M875" s="84" t="str">
        <f t="shared" si="1"/>
        <v/>
      </c>
      <c r="N875" s="84" t="str">
        <f>IFERROR(__xludf.DUMMYFUNCTION("IFERROR(AVERAGE(query(INDIRECT(""'FR Table'!"" &amp; vlookup(rows($A$1:$A874),Reference!$O:$P,2,false) &amp; ""3:"" &amp; vlookup(rows($A$1:$A874),Reference!$O:$P,2,false)), 
""SELECT "" &amp; vlookup(rows($A$1:$A874),Reference!$O:$P,2,false) 
&amp; "" WHERE "" &amp; vlookup(row"&amp;"s($A$1:$A874),Reference!$O:$P,2,false) &amp;
"" &gt;= "" &amp; Reference!$R$2)) * M875,"""")"),"")</f>
        <v/>
      </c>
      <c r="O875" s="84" t="str">
        <f t="shared" si="2"/>
        <v/>
      </c>
    </row>
    <row r="876">
      <c r="A876" s="84"/>
      <c r="B876" s="84"/>
      <c r="C876" s="85"/>
      <c r="D876" s="86"/>
      <c r="E876" s="87"/>
      <c r="F876" s="86"/>
      <c r="G876" s="87"/>
      <c r="H876" s="86"/>
      <c r="I876" s="86"/>
      <c r="J876" s="86"/>
      <c r="K876" s="84"/>
      <c r="L876" s="84" t="str">
        <f>IFERROR(__xludf.DUMMYFUNCTION("IF(A876="""","""", COUNT(SPLIT(K876,"";"")))"),"")</f>
        <v/>
      </c>
      <c r="M876" s="84" t="str">
        <f t="shared" si="1"/>
        <v/>
      </c>
      <c r="N876" s="84" t="str">
        <f>IFERROR(__xludf.DUMMYFUNCTION("IFERROR(AVERAGE(query(INDIRECT(""'FR Table'!"" &amp; vlookup(rows($A$1:$A875),Reference!$O:$P,2,false) &amp; ""3:"" &amp; vlookup(rows($A$1:$A875),Reference!$O:$P,2,false)), 
""SELECT "" &amp; vlookup(rows($A$1:$A875),Reference!$O:$P,2,false) 
&amp; "" WHERE "" &amp; vlookup(row"&amp;"s($A$1:$A875),Reference!$O:$P,2,false) &amp;
"" &gt;= "" &amp; Reference!$R$2)) * M876,"""")"),"")</f>
        <v/>
      </c>
      <c r="O876" s="84" t="str">
        <f t="shared" si="2"/>
        <v/>
      </c>
    </row>
    <row r="877">
      <c r="A877" s="84"/>
      <c r="B877" s="84"/>
      <c r="C877" s="85"/>
      <c r="D877" s="86"/>
      <c r="E877" s="87"/>
      <c r="F877" s="86"/>
      <c r="G877" s="87"/>
      <c r="H877" s="86"/>
      <c r="I877" s="86"/>
      <c r="J877" s="86"/>
      <c r="K877" s="84"/>
      <c r="L877" s="84" t="str">
        <f>IFERROR(__xludf.DUMMYFUNCTION("IF(A877="""","""", COUNT(SPLIT(K877,"";"")))"),"")</f>
        <v/>
      </c>
      <c r="M877" s="84" t="str">
        <f t="shared" si="1"/>
        <v/>
      </c>
      <c r="N877" s="84" t="str">
        <f>IFERROR(__xludf.DUMMYFUNCTION("IFERROR(AVERAGE(query(INDIRECT(""'FR Table'!"" &amp; vlookup(rows($A$1:$A876),Reference!$O:$P,2,false) &amp; ""3:"" &amp; vlookup(rows($A$1:$A876),Reference!$O:$P,2,false)), 
""SELECT "" &amp; vlookup(rows($A$1:$A876),Reference!$O:$P,2,false) 
&amp; "" WHERE "" &amp; vlookup(row"&amp;"s($A$1:$A876),Reference!$O:$P,2,false) &amp;
"" &gt;= "" &amp; Reference!$R$2)) * M877,"""")"),"")</f>
        <v/>
      </c>
      <c r="O877" s="84" t="str">
        <f t="shared" si="2"/>
        <v/>
      </c>
    </row>
    <row r="878">
      <c r="A878" s="84"/>
      <c r="B878" s="84"/>
      <c r="C878" s="85"/>
      <c r="D878" s="86"/>
      <c r="E878" s="87"/>
      <c r="F878" s="86"/>
      <c r="G878" s="87"/>
      <c r="H878" s="86"/>
      <c r="I878" s="86"/>
      <c r="J878" s="86"/>
      <c r="K878" s="84"/>
      <c r="L878" s="84" t="str">
        <f>IFERROR(__xludf.DUMMYFUNCTION("IF(A878="""","""", COUNT(SPLIT(K878,"";"")))"),"")</f>
        <v/>
      </c>
      <c r="M878" s="84" t="str">
        <f t="shared" si="1"/>
        <v/>
      </c>
      <c r="N878" s="84" t="str">
        <f>IFERROR(__xludf.DUMMYFUNCTION("IFERROR(AVERAGE(query(INDIRECT(""'FR Table'!"" &amp; vlookup(rows($A$1:$A877),Reference!$O:$P,2,false) &amp; ""3:"" &amp; vlookup(rows($A$1:$A877),Reference!$O:$P,2,false)), 
""SELECT "" &amp; vlookup(rows($A$1:$A877),Reference!$O:$P,2,false) 
&amp; "" WHERE "" &amp; vlookup(row"&amp;"s($A$1:$A877),Reference!$O:$P,2,false) &amp;
"" &gt;= "" &amp; Reference!$R$2)) * M878,"""")"),"")</f>
        <v/>
      </c>
      <c r="O878" s="84" t="str">
        <f t="shared" si="2"/>
        <v/>
      </c>
    </row>
    <row r="879">
      <c r="A879" s="84"/>
      <c r="B879" s="84"/>
      <c r="C879" s="85"/>
      <c r="D879" s="86"/>
      <c r="E879" s="87"/>
      <c r="F879" s="86"/>
      <c r="G879" s="87"/>
      <c r="H879" s="86"/>
      <c r="I879" s="86"/>
      <c r="J879" s="86"/>
      <c r="K879" s="84"/>
      <c r="L879" s="84" t="str">
        <f>IFERROR(__xludf.DUMMYFUNCTION("IF(A879="""","""", COUNT(SPLIT(K879,"";"")))"),"")</f>
        <v/>
      </c>
      <c r="M879" s="84" t="str">
        <f t="shared" si="1"/>
        <v/>
      </c>
      <c r="N879" s="84" t="str">
        <f>IFERROR(__xludf.DUMMYFUNCTION("IFERROR(AVERAGE(query(INDIRECT(""'FR Table'!"" &amp; vlookup(rows($A$1:$A878),Reference!$O:$P,2,false) &amp; ""3:"" &amp; vlookup(rows($A$1:$A878),Reference!$O:$P,2,false)), 
""SELECT "" &amp; vlookup(rows($A$1:$A878),Reference!$O:$P,2,false) 
&amp; "" WHERE "" &amp; vlookup(row"&amp;"s($A$1:$A878),Reference!$O:$P,2,false) &amp;
"" &gt;= "" &amp; Reference!$R$2)) * M879,"""")"),"")</f>
        <v/>
      </c>
      <c r="O879" s="84" t="str">
        <f t="shared" si="2"/>
        <v/>
      </c>
    </row>
    <row r="880">
      <c r="A880" s="84"/>
      <c r="B880" s="84"/>
      <c r="C880" s="85"/>
      <c r="D880" s="86"/>
      <c r="E880" s="87"/>
      <c r="F880" s="86"/>
      <c r="G880" s="87"/>
      <c r="H880" s="86"/>
      <c r="I880" s="86"/>
      <c r="J880" s="86"/>
      <c r="K880" s="84"/>
      <c r="L880" s="84" t="str">
        <f>IFERROR(__xludf.DUMMYFUNCTION("IF(A880="""","""", COUNT(SPLIT(K880,"";"")))"),"")</f>
        <v/>
      </c>
      <c r="M880" s="84" t="str">
        <f t="shared" si="1"/>
        <v/>
      </c>
      <c r="N880" s="84" t="str">
        <f>IFERROR(__xludf.DUMMYFUNCTION("IFERROR(AVERAGE(query(INDIRECT(""'FR Table'!"" &amp; vlookup(rows($A$1:$A879),Reference!$O:$P,2,false) &amp; ""3:"" &amp; vlookup(rows($A$1:$A879),Reference!$O:$P,2,false)), 
""SELECT "" &amp; vlookup(rows($A$1:$A879),Reference!$O:$P,2,false) 
&amp; "" WHERE "" &amp; vlookup(row"&amp;"s($A$1:$A879),Reference!$O:$P,2,false) &amp;
"" &gt;= "" &amp; Reference!$R$2)) * M880,"""")"),"")</f>
        <v/>
      </c>
      <c r="O880" s="84" t="str">
        <f t="shared" si="2"/>
        <v/>
      </c>
    </row>
    <row r="881">
      <c r="A881" s="84"/>
      <c r="B881" s="84"/>
      <c r="C881" s="85"/>
      <c r="D881" s="86"/>
      <c r="E881" s="87"/>
      <c r="F881" s="86"/>
      <c r="G881" s="87"/>
      <c r="H881" s="86"/>
      <c r="I881" s="86"/>
      <c r="J881" s="86"/>
      <c r="K881" s="84"/>
      <c r="L881" s="84" t="str">
        <f>IFERROR(__xludf.DUMMYFUNCTION("IF(A881="""","""", COUNT(SPLIT(K881,"";"")))"),"")</f>
        <v/>
      </c>
      <c r="M881" s="84" t="str">
        <f t="shared" si="1"/>
        <v/>
      </c>
      <c r="N881" s="84" t="str">
        <f>IFERROR(__xludf.DUMMYFUNCTION("IFERROR(AVERAGE(query(INDIRECT(""'FR Table'!"" &amp; vlookup(rows($A$1:$A880),Reference!$O:$P,2,false) &amp; ""3:"" &amp; vlookup(rows($A$1:$A880),Reference!$O:$P,2,false)), 
""SELECT "" &amp; vlookup(rows($A$1:$A880),Reference!$O:$P,2,false) 
&amp; "" WHERE "" &amp; vlookup(row"&amp;"s($A$1:$A880),Reference!$O:$P,2,false) &amp;
"" &gt;= "" &amp; Reference!$R$2)) * M881,"""")"),"")</f>
        <v/>
      </c>
      <c r="O881" s="84" t="str">
        <f t="shared" si="2"/>
        <v/>
      </c>
    </row>
    <row r="882">
      <c r="A882" s="84"/>
      <c r="B882" s="84"/>
      <c r="C882" s="85"/>
      <c r="D882" s="86"/>
      <c r="E882" s="87"/>
      <c r="F882" s="86"/>
      <c r="G882" s="87"/>
      <c r="H882" s="86"/>
      <c r="I882" s="86"/>
      <c r="J882" s="86"/>
      <c r="K882" s="84"/>
      <c r="L882" s="84" t="str">
        <f>IFERROR(__xludf.DUMMYFUNCTION("IF(A882="""","""", COUNT(SPLIT(K882,"";"")))"),"")</f>
        <v/>
      </c>
      <c r="M882" s="84" t="str">
        <f t="shared" si="1"/>
        <v/>
      </c>
      <c r="N882" s="84" t="str">
        <f>IFERROR(__xludf.DUMMYFUNCTION("IFERROR(AVERAGE(query(INDIRECT(""'FR Table'!"" &amp; vlookup(rows($A$1:$A881),Reference!$O:$P,2,false) &amp; ""3:"" &amp; vlookup(rows($A$1:$A881),Reference!$O:$P,2,false)), 
""SELECT "" &amp; vlookup(rows($A$1:$A881),Reference!$O:$P,2,false) 
&amp; "" WHERE "" &amp; vlookup(row"&amp;"s($A$1:$A881),Reference!$O:$P,2,false) &amp;
"" &gt;= "" &amp; Reference!$R$2)) * M882,"""")"),"")</f>
        <v/>
      </c>
      <c r="O882" s="84" t="str">
        <f t="shared" si="2"/>
        <v/>
      </c>
    </row>
    <row r="883">
      <c r="A883" s="84"/>
      <c r="B883" s="84"/>
      <c r="C883" s="85"/>
      <c r="D883" s="86"/>
      <c r="E883" s="87"/>
      <c r="F883" s="86"/>
      <c r="G883" s="87"/>
      <c r="H883" s="86"/>
      <c r="I883" s="86"/>
      <c r="J883" s="86"/>
      <c r="K883" s="84"/>
      <c r="L883" s="84" t="str">
        <f>IFERROR(__xludf.DUMMYFUNCTION("IF(A883="""","""", COUNT(SPLIT(K883,"";"")))"),"")</f>
        <v/>
      </c>
      <c r="M883" s="84" t="str">
        <f t="shared" si="1"/>
        <v/>
      </c>
      <c r="N883" s="84" t="str">
        <f>IFERROR(__xludf.DUMMYFUNCTION("IFERROR(AVERAGE(query(INDIRECT(""'FR Table'!"" &amp; vlookup(rows($A$1:$A882),Reference!$O:$P,2,false) &amp; ""3:"" &amp; vlookup(rows($A$1:$A882),Reference!$O:$P,2,false)), 
""SELECT "" &amp; vlookup(rows($A$1:$A882),Reference!$O:$P,2,false) 
&amp; "" WHERE "" &amp; vlookup(row"&amp;"s($A$1:$A882),Reference!$O:$P,2,false) &amp;
"" &gt;= "" &amp; Reference!$R$2)) * M883,"""")"),"")</f>
        <v/>
      </c>
      <c r="O883" s="84" t="str">
        <f t="shared" si="2"/>
        <v/>
      </c>
    </row>
    <row r="884">
      <c r="A884" s="84"/>
      <c r="B884" s="84"/>
      <c r="C884" s="85"/>
      <c r="D884" s="86"/>
      <c r="E884" s="87"/>
      <c r="F884" s="86"/>
      <c r="G884" s="87"/>
      <c r="H884" s="86"/>
      <c r="I884" s="86"/>
      <c r="J884" s="86"/>
      <c r="K884" s="84"/>
      <c r="L884" s="84" t="str">
        <f>IFERROR(__xludf.DUMMYFUNCTION("IF(A884="""","""", COUNT(SPLIT(K884,"";"")))"),"")</f>
        <v/>
      </c>
      <c r="M884" s="84" t="str">
        <f t="shared" si="1"/>
        <v/>
      </c>
      <c r="N884" s="84" t="str">
        <f>IFERROR(__xludf.DUMMYFUNCTION("IFERROR(AVERAGE(query(INDIRECT(""'FR Table'!"" &amp; vlookup(rows($A$1:$A883),Reference!$O:$P,2,false) &amp; ""3:"" &amp; vlookup(rows($A$1:$A883),Reference!$O:$P,2,false)), 
""SELECT "" &amp; vlookup(rows($A$1:$A883),Reference!$O:$P,2,false) 
&amp; "" WHERE "" &amp; vlookup(row"&amp;"s($A$1:$A883),Reference!$O:$P,2,false) &amp;
"" &gt;= "" &amp; Reference!$R$2)) * M884,"""")"),"")</f>
        <v/>
      </c>
      <c r="O884" s="84" t="str">
        <f t="shared" si="2"/>
        <v/>
      </c>
    </row>
    <row r="885">
      <c r="A885" s="84"/>
      <c r="B885" s="84"/>
      <c r="C885" s="85"/>
      <c r="D885" s="86"/>
      <c r="E885" s="87"/>
      <c r="F885" s="86"/>
      <c r="G885" s="87"/>
      <c r="H885" s="86"/>
      <c r="I885" s="86"/>
      <c r="J885" s="86"/>
      <c r="K885" s="84"/>
      <c r="L885" s="84" t="str">
        <f>IFERROR(__xludf.DUMMYFUNCTION("IF(A885="""","""", COUNT(SPLIT(K885,"";"")))"),"")</f>
        <v/>
      </c>
      <c r="M885" s="84" t="str">
        <f t="shared" si="1"/>
        <v/>
      </c>
      <c r="N885" s="84" t="str">
        <f>IFERROR(__xludf.DUMMYFUNCTION("IFERROR(AVERAGE(query(INDIRECT(""'FR Table'!"" &amp; vlookup(rows($A$1:$A884),Reference!$O:$P,2,false) &amp; ""3:"" &amp; vlookup(rows($A$1:$A884),Reference!$O:$P,2,false)), 
""SELECT "" &amp; vlookup(rows($A$1:$A884),Reference!$O:$P,2,false) 
&amp; "" WHERE "" &amp; vlookup(row"&amp;"s($A$1:$A884),Reference!$O:$P,2,false) &amp;
"" &gt;= "" &amp; Reference!$R$2)) * M885,"""")"),"")</f>
        <v/>
      </c>
      <c r="O885" s="84" t="str">
        <f t="shared" si="2"/>
        <v/>
      </c>
    </row>
    <row r="886">
      <c r="A886" s="84"/>
      <c r="B886" s="84"/>
      <c r="C886" s="85"/>
      <c r="D886" s="86"/>
      <c r="E886" s="87"/>
      <c r="F886" s="86"/>
      <c r="G886" s="87"/>
      <c r="H886" s="86"/>
      <c r="I886" s="86"/>
      <c r="J886" s="86"/>
      <c r="K886" s="84"/>
      <c r="L886" s="84" t="str">
        <f>IFERROR(__xludf.DUMMYFUNCTION("IF(A886="""","""", COUNT(SPLIT(K886,"";"")))"),"")</f>
        <v/>
      </c>
      <c r="M886" s="84" t="str">
        <f t="shared" si="1"/>
        <v/>
      </c>
      <c r="N886" s="84" t="str">
        <f>IFERROR(__xludf.DUMMYFUNCTION("IFERROR(AVERAGE(query(INDIRECT(""'FR Table'!"" &amp; vlookup(rows($A$1:$A885),Reference!$O:$P,2,false) &amp; ""3:"" &amp; vlookup(rows($A$1:$A885),Reference!$O:$P,2,false)), 
""SELECT "" &amp; vlookup(rows($A$1:$A885),Reference!$O:$P,2,false) 
&amp; "" WHERE "" &amp; vlookup(row"&amp;"s($A$1:$A885),Reference!$O:$P,2,false) &amp;
"" &gt;= "" &amp; Reference!$R$2)) * M886,"""")"),"")</f>
        <v/>
      </c>
      <c r="O886" s="84" t="str">
        <f t="shared" si="2"/>
        <v/>
      </c>
    </row>
    <row r="887">
      <c r="A887" s="84"/>
      <c r="B887" s="84"/>
      <c r="C887" s="85"/>
      <c r="D887" s="86"/>
      <c r="E887" s="87"/>
      <c r="F887" s="86"/>
      <c r="G887" s="87"/>
      <c r="H887" s="86"/>
      <c r="I887" s="86"/>
      <c r="J887" s="86"/>
      <c r="K887" s="84"/>
      <c r="L887" s="84" t="str">
        <f>IFERROR(__xludf.DUMMYFUNCTION("IF(A887="""","""", COUNT(SPLIT(K887,"";"")))"),"")</f>
        <v/>
      </c>
      <c r="M887" s="84" t="str">
        <f t="shared" si="1"/>
        <v/>
      </c>
      <c r="N887" s="84" t="str">
        <f>IFERROR(__xludf.DUMMYFUNCTION("IFERROR(AVERAGE(query(INDIRECT(""'FR Table'!"" &amp; vlookup(rows($A$1:$A886),Reference!$O:$P,2,false) &amp; ""3:"" &amp; vlookup(rows($A$1:$A886),Reference!$O:$P,2,false)), 
""SELECT "" &amp; vlookup(rows($A$1:$A886),Reference!$O:$P,2,false) 
&amp; "" WHERE "" &amp; vlookup(row"&amp;"s($A$1:$A886),Reference!$O:$P,2,false) &amp;
"" &gt;= "" &amp; Reference!$R$2)) * M887,"""")"),"")</f>
        <v/>
      </c>
      <c r="O887" s="84" t="str">
        <f t="shared" si="2"/>
        <v/>
      </c>
    </row>
    <row r="888">
      <c r="A888" s="84"/>
      <c r="B888" s="84"/>
      <c r="C888" s="85"/>
      <c r="D888" s="86"/>
      <c r="E888" s="87"/>
      <c r="F888" s="86"/>
      <c r="G888" s="87"/>
      <c r="H888" s="86"/>
      <c r="I888" s="86"/>
      <c r="J888" s="86"/>
      <c r="K888" s="84"/>
      <c r="L888" s="84" t="str">
        <f>IFERROR(__xludf.DUMMYFUNCTION("IF(A888="""","""", COUNT(SPLIT(K888,"";"")))"),"")</f>
        <v/>
      </c>
      <c r="M888" s="84" t="str">
        <f t="shared" si="1"/>
        <v/>
      </c>
      <c r="N888" s="84" t="str">
        <f>IFERROR(__xludf.DUMMYFUNCTION("IFERROR(AVERAGE(query(INDIRECT(""'FR Table'!"" &amp; vlookup(rows($A$1:$A887),Reference!$O:$P,2,false) &amp; ""3:"" &amp; vlookup(rows($A$1:$A887),Reference!$O:$P,2,false)), 
""SELECT "" &amp; vlookup(rows($A$1:$A887),Reference!$O:$P,2,false) 
&amp; "" WHERE "" &amp; vlookup(row"&amp;"s($A$1:$A887),Reference!$O:$P,2,false) &amp;
"" &gt;= "" &amp; Reference!$R$2)) * M888,"""")"),"")</f>
        <v/>
      </c>
      <c r="O888" s="84" t="str">
        <f t="shared" si="2"/>
        <v/>
      </c>
    </row>
    <row r="889">
      <c r="A889" s="84"/>
      <c r="B889" s="84"/>
      <c r="C889" s="85"/>
      <c r="D889" s="86"/>
      <c r="E889" s="87"/>
      <c r="F889" s="86"/>
      <c r="G889" s="87"/>
      <c r="H889" s="86"/>
      <c r="I889" s="86"/>
      <c r="J889" s="86"/>
      <c r="K889" s="84"/>
      <c r="L889" s="84" t="str">
        <f>IFERROR(__xludf.DUMMYFUNCTION("IF(A889="""","""", COUNT(SPLIT(K889,"";"")))"),"")</f>
        <v/>
      </c>
      <c r="M889" s="84" t="str">
        <f t="shared" si="1"/>
        <v/>
      </c>
      <c r="N889" s="84" t="str">
        <f>IFERROR(__xludf.DUMMYFUNCTION("IFERROR(AVERAGE(query(INDIRECT(""'FR Table'!"" &amp; vlookup(rows($A$1:$A888),Reference!$O:$P,2,false) &amp; ""3:"" &amp; vlookup(rows($A$1:$A888),Reference!$O:$P,2,false)), 
""SELECT "" &amp; vlookup(rows($A$1:$A888),Reference!$O:$P,2,false) 
&amp; "" WHERE "" &amp; vlookup(row"&amp;"s($A$1:$A888),Reference!$O:$P,2,false) &amp;
"" &gt;= "" &amp; Reference!$R$2)) * M889,"""")"),"")</f>
        <v/>
      </c>
      <c r="O889" s="84" t="str">
        <f t="shared" si="2"/>
        <v/>
      </c>
    </row>
    <row r="890">
      <c r="A890" s="84"/>
      <c r="B890" s="84"/>
      <c r="C890" s="85"/>
      <c r="D890" s="86"/>
      <c r="E890" s="87"/>
      <c r="F890" s="86"/>
      <c r="G890" s="87"/>
      <c r="H890" s="86"/>
      <c r="I890" s="86"/>
      <c r="J890" s="86"/>
      <c r="K890" s="84"/>
      <c r="L890" s="84" t="str">
        <f>IFERROR(__xludf.DUMMYFUNCTION("IF(A890="""","""", COUNT(SPLIT(K890,"";"")))"),"")</f>
        <v/>
      </c>
      <c r="M890" s="84" t="str">
        <f t="shared" si="1"/>
        <v/>
      </c>
      <c r="N890" s="84" t="str">
        <f>IFERROR(__xludf.DUMMYFUNCTION("IFERROR(AVERAGE(query(INDIRECT(""'FR Table'!"" &amp; vlookup(rows($A$1:$A889),Reference!$O:$P,2,false) &amp; ""3:"" &amp; vlookup(rows($A$1:$A889),Reference!$O:$P,2,false)), 
""SELECT "" &amp; vlookup(rows($A$1:$A889),Reference!$O:$P,2,false) 
&amp; "" WHERE "" &amp; vlookup(row"&amp;"s($A$1:$A889),Reference!$O:$P,2,false) &amp;
"" &gt;= "" &amp; Reference!$R$2)) * M890,"""")"),"")</f>
        <v/>
      </c>
      <c r="O890" s="84" t="str">
        <f t="shared" si="2"/>
        <v/>
      </c>
    </row>
    <row r="891">
      <c r="A891" s="84"/>
      <c r="B891" s="84"/>
      <c r="C891" s="85"/>
      <c r="D891" s="86"/>
      <c r="E891" s="87"/>
      <c r="F891" s="86"/>
      <c r="G891" s="87"/>
      <c r="H891" s="86"/>
      <c r="I891" s="86"/>
      <c r="J891" s="86"/>
      <c r="K891" s="84"/>
      <c r="L891" s="84" t="str">
        <f>IFERROR(__xludf.DUMMYFUNCTION("IF(A891="""","""", COUNT(SPLIT(K891,"";"")))"),"")</f>
        <v/>
      </c>
      <c r="M891" s="84" t="str">
        <f t="shared" si="1"/>
        <v/>
      </c>
      <c r="N891" s="84" t="str">
        <f>IFERROR(__xludf.DUMMYFUNCTION("IFERROR(AVERAGE(query(INDIRECT(""'FR Table'!"" &amp; vlookup(rows($A$1:$A890),Reference!$O:$P,2,false) &amp; ""3:"" &amp; vlookup(rows($A$1:$A890),Reference!$O:$P,2,false)), 
""SELECT "" &amp; vlookup(rows($A$1:$A890),Reference!$O:$P,2,false) 
&amp; "" WHERE "" &amp; vlookup(row"&amp;"s($A$1:$A890),Reference!$O:$P,2,false) &amp;
"" &gt;= "" &amp; Reference!$R$2)) * M891,"""")"),"")</f>
        <v/>
      </c>
      <c r="O891" s="84" t="str">
        <f t="shared" si="2"/>
        <v/>
      </c>
    </row>
    <row r="892">
      <c r="A892" s="84"/>
      <c r="B892" s="84"/>
      <c r="C892" s="85"/>
      <c r="D892" s="86"/>
      <c r="E892" s="87"/>
      <c r="F892" s="86"/>
      <c r="G892" s="87"/>
      <c r="H892" s="86"/>
      <c r="I892" s="86"/>
      <c r="J892" s="86"/>
      <c r="K892" s="84"/>
      <c r="L892" s="84" t="str">
        <f>IFERROR(__xludf.DUMMYFUNCTION("IF(A892="""","""", COUNT(SPLIT(K892,"";"")))"),"")</f>
        <v/>
      </c>
      <c r="M892" s="84" t="str">
        <f t="shared" si="1"/>
        <v/>
      </c>
      <c r="N892" s="84" t="str">
        <f>IFERROR(__xludf.DUMMYFUNCTION("IFERROR(AVERAGE(query(INDIRECT(""'FR Table'!"" &amp; vlookup(rows($A$1:$A891),Reference!$O:$P,2,false) &amp; ""3:"" &amp; vlookup(rows($A$1:$A891),Reference!$O:$P,2,false)), 
""SELECT "" &amp; vlookup(rows($A$1:$A891),Reference!$O:$P,2,false) 
&amp; "" WHERE "" &amp; vlookup(row"&amp;"s($A$1:$A891),Reference!$O:$P,2,false) &amp;
"" &gt;= "" &amp; Reference!$R$2)) * M892,"""")"),"")</f>
        <v/>
      </c>
      <c r="O892" s="84" t="str">
        <f t="shared" si="2"/>
        <v/>
      </c>
    </row>
    <row r="893">
      <c r="A893" s="84"/>
      <c r="B893" s="84"/>
      <c r="C893" s="85"/>
      <c r="D893" s="86"/>
      <c r="E893" s="87"/>
      <c r="F893" s="86"/>
      <c r="G893" s="87"/>
      <c r="H893" s="86"/>
      <c r="I893" s="86"/>
      <c r="J893" s="86"/>
      <c r="K893" s="84"/>
      <c r="L893" s="84" t="str">
        <f>IFERROR(__xludf.DUMMYFUNCTION("IF(A893="""","""", COUNT(SPLIT(K893,"";"")))"),"")</f>
        <v/>
      </c>
      <c r="M893" s="84" t="str">
        <f t="shared" si="1"/>
        <v/>
      </c>
      <c r="N893" s="84" t="str">
        <f>IFERROR(__xludf.DUMMYFUNCTION("IFERROR(AVERAGE(query(INDIRECT(""'FR Table'!"" &amp; vlookup(rows($A$1:$A892),Reference!$O:$P,2,false) &amp; ""3:"" &amp; vlookup(rows($A$1:$A892),Reference!$O:$P,2,false)), 
""SELECT "" &amp; vlookup(rows($A$1:$A892),Reference!$O:$P,2,false) 
&amp; "" WHERE "" &amp; vlookup(row"&amp;"s($A$1:$A892),Reference!$O:$P,2,false) &amp;
"" &gt;= "" &amp; Reference!$R$2)) * M893,"""")"),"")</f>
        <v/>
      </c>
      <c r="O893" s="84" t="str">
        <f t="shared" si="2"/>
        <v/>
      </c>
    </row>
    <row r="894">
      <c r="A894" s="84"/>
      <c r="B894" s="84"/>
      <c r="C894" s="85"/>
      <c r="D894" s="86"/>
      <c r="E894" s="87"/>
      <c r="F894" s="86"/>
      <c r="G894" s="87"/>
      <c r="H894" s="86"/>
      <c r="I894" s="86"/>
      <c r="J894" s="86"/>
      <c r="K894" s="84"/>
      <c r="L894" s="84" t="str">
        <f>IFERROR(__xludf.DUMMYFUNCTION("IF(A894="""","""", COUNT(SPLIT(K894,"";"")))"),"")</f>
        <v/>
      </c>
      <c r="M894" s="84" t="str">
        <f t="shared" si="1"/>
        <v/>
      </c>
      <c r="N894" s="84" t="str">
        <f>IFERROR(__xludf.DUMMYFUNCTION("IFERROR(AVERAGE(query(INDIRECT(""'FR Table'!"" &amp; vlookup(rows($A$1:$A893),Reference!$O:$P,2,false) &amp; ""3:"" &amp; vlookup(rows($A$1:$A893),Reference!$O:$P,2,false)), 
""SELECT "" &amp; vlookup(rows($A$1:$A893),Reference!$O:$P,2,false) 
&amp; "" WHERE "" &amp; vlookup(row"&amp;"s($A$1:$A893),Reference!$O:$P,2,false) &amp;
"" &gt;= "" &amp; Reference!$R$2)) * M894,"""")"),"")</f>
        <v/>
      </c>
      <c r="O894" s="84" t="str">
        <f t="shared" si="2"/>
        <v/>
      </c>
    </row>
    <row r="895">
      <c r="A895" s="84"/>
      <c r="B895" s="84"/>
      <c r="C895" s="85"/>
      <c r="D895" s="86"/>
      <c r="E895" s="87"/>
      <c r="F895" s="86"/>
      <c r="G895" s="87"/>
      <c r="H895" s="86"/>
      <c r="I895" s="86"/>
      <c r="J895" s="86"/>
      <c r="K895" s="84"/>
      <c r="L895" s="84" t="str">
        <f>IFERROR(__xludf.DUMMYFUNCTION("IF(A895="""","""", COUNT(SPLIT(K895,"";"")))"),"")</f>
        <v/>
      </c>
      <c r="M895" s="84" t="str">
        <f t="shared" si="1"/>
        <v/>
      </c>
      <c r="N895" s="84" t="str">
        <f>IFERROR(__xludf.DUMMYFUNCTION("IFERROR(AVERAGE(query(INDIRECT(""'FR Table'!"" &amp; vlookup(rows($A$1:$A894),Reference!$O:$P,2,false) &amp; ""3:"" &amp; vlookup(rows($A$1:$A894),Reference!$O:$P,2,false)), 
""SELECT "" &amp; vlookup(rows($A$1:$A894),Reference!$O:$P,2,false) 
&amp; "" WHERE "" &amp; vlookup(row"&amp;"s($A$1:$A894),Reference!$O:$P,2,false) &amp;
"" &gt;= "" &amp; Reference!$R$2)) * M895,"""")"),"")</f>
        <v/>
      </c>
      <c r="O895" s="84" t="str">
        <f t="shared" si="2"/>
        <v/>
      </c>
    </row>
    <row r="896">
      <c r="A896" s="84"/>
      <c r="B896" s="84"/>
      <c r="C896" s="85"/>
      <c r="D896" s="86"/>
      <c r="E896" s="87"/>
      <c r="F896" s="86"/>
      <c r="G896" s="87"/>
      <c r="H896" s="86"/>
      <c r="I896" s="86"/>
      <c r="J896" s="86"/>
      <c r="K896" s="84"/>
      <c r="L896" s="84" t="str">
        <f>IFERROR(__xludf.DUMMYFUNCTION("IF(A896="""","""", COUNT(SPLIT(K896,"";"")))"),"")</f>
        <v/>
      </c>
      <c r="M896" s="84" t="str">
        <f t="shared" si="1"/>
        <v/>
      </c>
      <c r="N896" s="84" t="str">
        <f>IFERROR(__xludf.DUMMYFUNCTION("IFERROR(AVERAGE(query(INDIRECT(""'FR Table'!"" &amp; vlookup(rows($A$1:$A895),Reference!$O:$P,2,false) &amp; ""3:"" &amp; vlookup(rows($A$1:$A895),Reference!$O:$P,2,false)), 
""SELECT "" &amp; vlookup(rows($A$1:$A895),Reference!$O:$P,2,false) 
&amp; "" WHERE "" &amp; vlookup(row"&amp;"s($A$1:$A895),Reference!$O:$P,2,false) &amp;
"" &gt;= "" &amp; Reference!$R$2)) * M896,"""")"),"")</f>
        <v/>
      </c>
      <c r="O896" s="84" t="str">
        <f t="shared" si="2"/>
        <v/>
      </c>
    </row>
    <row r="897">
      <c r="A897" s="84"/>
      <c r="B897" s="84"/>
      <c r="C897" s="85"/>
      <c r="D897" s="86"/>
      <c r="E897" s="87"/>
      <c r="F897" s="86"/>
      <c r="G897" s="87"/>
      <c r="H897" s="86"/>
      <c r="I897" s="86"/>
      <c r="J897" s="86"/>
      <c r="K897" s="84"/>
      <c r="L897" s="84" t="str">
        <f>IFERROR(__xludf.DUMMYFUNCTION("IF(A897="""","""", COUNT(SPLIT(K897,"";"")))"),"")</f>
        <v/>
      </c>
      <c r="M897" s="84" t="str">
        <f t="shared" si="1"/>
        <v/>
      </c>
      <c r="N897" s="84" t="str">
        <f>IFERROR(__xludf.DUMMYFUNCTION("IFERROR(AVERAGE(query(INDIRECT(""'FR Table'!"" &amp; vlookup(rows($A$1:$A896),Reference!$O:$P,2,false) &amp; ""3:"" &amp; vlookup(rows($A$1:$A896),Reference!$O:$P,2,false)), 
""SELECT "" &amp; vlookup(rows($A$1:$A896),Reference!$O:$P,2,false) 
&amp; "" WHERE "" &amp; vlookup(row"&amp;"s($A$1:$A896),Reference!$O:$P,2,false) &amp;
"" &gt;= "" &amp; Reference!$R$2)) * M897,"""")"),"")</f>
        <v/>
      </c>
      <c r="O897" s="84" t="str">
        <f t="shared" si="2"/>
        <v/>
      </c>
    </row>
    <row r="898">
      <c r="A898" s="84"/>
      <c r="B898" s="84"/>
      <c r="C898" s="85"/>
      <c r="D898" s="86"/>
      <c r="E898" s="87"/>
      <c r="F898" s="86"/>
      <c r="G898" s="87"/>
      <c r="H898" s="86"/>
      <c r="I898" s="86"/>
      <c r="J898" s="86"/>
      <c r="K898" s="84"/>
      <c r="L898" s="84" t="str">
        <f>IFERROR(__xludf.DUMMYFUNCTION("IF(A898="""","""", COUNT(SPLIT(K898,"";"")))"),"")</f>
        <v/>
      </c>
      <c r="M898" s="84" t="str">
        <f t="shared" si="1"/>
        <v/>
      </c>
      <c r="N898" s="84" t="str">
        <f>IFERROR(__xludf.DUMMYFUNCTION("IFERROR(AVERAGE(query(INDIRECT(""'FR Table'!"" &amp; vlookup(rows($A$1:$A897),Reference!$O:$P,2,false) &amp; ""3:"" &amp; vlookup(rows($A$1:$A897),Reference!$O:$P,2,false)), 
""SELECT "" &amp; vlookup(rows($A$1:$A897),Reference!$O:$P,2,false) 
&amp; "" WHERE "" &amp; vlookup(row"&amp;"s($A$1:$A897),Reference!$O:$P,2,false) &amp;
"" &gt;= "" &amp; Reference!$R$2)) * M898,"""")"),"")</f>
        <v/>
      </c>
      <c r="O898" s="84" t="str">
        <f t="shared" si="2"/>
        <v/>
      </c>
    </row>
    <row r="899">
      <c r="A899" s="84"/>
      <c r="B899" s="84"/>
      <c r="C899" s="85"/>
      <c r="D899" s="86"/>
      <c r="E899" s="87"/>
      <c r="F899" s="86"/>
      <c r="G899" s="87"/>
      <c r="H899" s="86"/>
      <c r="I899" s="86"/>
      <c r="J899" s="86"/>
      <c r="K899" s="84"/>
      <c r="L899" s="84" t="str">
        <f>IFERROR(__xludf.DUMMYFUNCTION("IF(A899="""","""", COUNT(SPLIT(K899,"";"")))"),"")</f>
        <v/>
      </c>
      <c r="M899" s="84" t="str">
        <f t="shared" si="1"/>
        <v/>
      </c>
      <c r="N899" s="84" t="str">
        <f>IFERROR(__xludf.DUMMYFUNCTION("IFERROR(AVERAGE(query(INDIRECT(""'FR Table'!"" &amp; vlookup(rows($A$1:$A898),Reference!$O:$P,2,false) &amp; ""3:"" &amp; vlookup(rows($A$1:$A898),Reference!$O:$P,2,false)), 
""SELECT "" &amp; vlookup(rows($A$1:$A898),Reference!$O:$P,2,false) 
&amp; "" WHERE "" &amp; vlookup(row"&amp;"s($A$1:$A898),Reference!$O:$P,2,false) &amp;
"" &gt;= "" &amp; Reference!$R$2)) * M899,"""")"),"")</f>
        <v/>
      </c>
      <c r="O899" s="84" t="str">
        <f t="shared" si="2"/>
        <v/>
      </c>
    </row>
    <row r="900">
      <c r="A900" s="84"/>
      <c r="B900" s="84"/>
      <c r="C900" s="85"/>
      <c r="D900" s="86"/>
      <c r="E900" s="87"/>
      <c r="F900" s="86"/>
      <c r="G900" s="87"/>
      <c r="H900" s="86"/>
      <c r="I900" s="86"/>
      <c r="J900" s="86"/>
      <c r="K900" s="84"/>
      <c r="L900" s="84" t="str">
        <f>IFERROR(__xludf.DUMMYFUNCTION("IF(A900="""","""", COUNT(SPLIT(K900,"";"")))"),"")</f>
        <v/>
      </c>
      <c r="M900" s="84" t="str">
        <f t="shared" si="1"/>
        <v/>
      </c>
      <c r="N900" s="84" t="str">
        <f>IFERROR(__xludf.DUMMYFUNCTION("IFERROR(AVERAGE(query(INDIRECT(""'FR Table'!"" &amp; vlookup(rows($A$1:$A899),Reference!$O:$P,2,false) &amp; ""3:"" &amp; vlookup(rows($A$1:$A899),Reference!$O:$P,2,false)), 
""SELECT "" &amp; vlookup(rows($A$1:$A899),Reference!$O:$P,2,false) 
&amp; "" WHERE "" &amp; vlookup(row"&amp;"s($A$1:$A899),Reference!$O:$P,2,false) &amp;
"" &gt;= "" &amp; Reference!$R$2)) * M900,"""")"),"")</f>
        <v/>
      </c>
      <c r="O900" s="84" t="str">
        <f t="shared" si="2"/>
        <v/>
      </c>
    </row>
    <row r="901">
      <c r="A901" s="84"/>
      <c r="B901" s="84"/>
      <c r="C901" s="85"/>
      <c r="D901" s="86"/>
      <c r="E901" s="87"/>
      <c r="F901" s="86"/>
      <c r="G901" s="87"/>
      <c r="H901" s="86"/>
      <c r="I901" s="86"/>
      <c r="J901" s="86"/>
      <c r="K901" s="84"/>
      <c r="L901" s="84" t="str">
        <f>IFERROR(__xludf.DUMMYFUNCTION("IF(A901="""","""", COUNT(SPLIT(K901,"";"")))"),"")</f>
        <v/>
      </c>
      <c r="M901" s="84" t="str">
        <f t="shared" si="1"/>
        <v/>
      </c>
      <c r="N901" s="84" t="str">
        <f>IFERROR(__xludf.DUMMYFUNCTION("IFERROR(AVERAGE(query(INDIRECT(""'FR Table'!"" &amp; vlookup(rows($A$1:$A900),Reference!$O:$P,2,false) &amp; ""3:"" &amp; vlookup(rows($A$1:$A900),Reference!$O:$P,2,false)), 
""SELECT "" &amp; vlookup(rows($A$1:$A900),Reference!$O:$P,2,false) 
&amp; "" WHERE "" &amp; vlookup(row"&amp;"s($A$1:$A900),Reference!$O:$P,2,false) &amp;
"" &gt;= "" &amp; Reference!$R$2)) * M901,"""")"),"")</f>
        <v/>
      </c>
      <c r="O901" s="84" t="str">
        <f t="shared" si="2"/>
        <v/>
      </c>
    </row>
    <row r="902">
      <c r="A902" s="84"/>
      <c r="B902" s="84"/>
      <c r="C902" s="85"/>
      <c r="D902" s="86"/>
      <c r="E902" s="87"/>
      <c r="F902" s="86"/>
      <c r="G902" s="87"/>
      <c r="H902" s="86"/>
      <c r="I902" s="86"/>
      <c r="J902" s="86"/>
      <c r="K902" s="84"/>
      <c r="L902" s="84" t="str">
        <f>IFERROR(__xludf.DUMMYFUNCTION("IF(A902="""","""", COUNT(SPLIT(K902,"";"")))"),"")</f>
        <v/>
      </c>
      <c r="M902" s="84" t="str">
        <f t="shared" si="1"/>
        <v/>
      </c>
      <c r="N902" s="84" t="str">
        <f>IFERROR(__xludf.DUMMYFUNCTION("IFERROR(AVERAGE(query(INDIRECT(""'FR Table'!"" &amp; vlookup(rows($A$1:$A901),Reference!$O:$P,2,false) &amp; ""3:"" &amp; vlookup(rows($A$1:$A901),Reference!$O:$P,2,false)), 
""SELECT "" &amp; vlookup(rows($A$1:$A901),Reference!$O:$P,2,false) 
&amp; "" WHERE "" &amp; vlookup(row"&amp;"s($A$1:$A901),Reference!$O:$P,2,false) &amp;
"" &gt;= "" &amp; Reference!$R$2)) * M902,"""")"),"")</f>
        <v/>
      </c>
      <c r="O902" s="84" t="str">
        <f t="shared" si="2"/>
        <v/>
      </c>
    </row>
    <row r="903">
      <c r="A903" s="84"/>
      <c r="B903" s="84"/>
      <c r="C903" s="85"/>
      <c r="D903" s="86"/>
      <c r="E903" s="87"/>
      <c r="F903" s="86"/>
      <c r="G903" s="87"/>
      <c r="H903" s="86"/>
      <c r="I903" s="86"/>
      <c r="J903" s="86"/>
      <c r="K903" s="84"/>
      <c r="L903" s="84" t="str">
        <f>IFERROR(__xludf.DUMMYFUNCTION("IF(A903="""","""", COUNT(SPLIT(K903,"";"")))"),"")</f>
        <v/>
      </c>
      <c r="M903" s="84" t="str">
        <f t="shared" si="1"/>
        <v/>
      </c>
      <c r="N903" s="84" t="str">
        <f>IFERROR(__xludf.DUMMYFUNCTION("IFERROR(AVERAGE(query(INDIRECT(""'FR Table'!"" &amp; vlookup(rows($A$1:$A902),Reference!$O:$P,2,false) &amp; ""3:"" &amp; vlookup(rows($A$1:$A902),Reference!$O:$P,2,false)), 
""SELECT "" &amp; vlookup(rows($A$1:$A902),Reference!$O:$P,2,false) 
&amp; "" WHERE "" &amp; vlookup(row"&amp;"s($A$1:$A902),Reference!$O:$P,2,false) &amp;
"" &gt;= "" &amp; Reference!$R$2)) * M903,"""")"),"")</f>
        <v/>
      </c>
      <c r="O903" s="84" t="str">
        <f t="shared" si="2"/>
        <v/>
      </c>
    </row>
    <row r="904">
      <c r="A904" s="84"/>
      <c r="B904" s="84"/>
      <c r="C904" s="85"/>
      <c r="D904" s="86"/>
      <c r="E904" s="87"/>
      <c r="F904" s="86"/>
      <c r="G904" s="87"/>
      <c r="H904" s="86"/>
      <c r="I904" s="86"/>
      <c r="J904" s="86"/>
      <c r="K904" s="84"/>
      <c r="L904" s="84" t="str">
        <f>IFERROR(__xludf.DUMMYFUNCTION("IF(A904="""","""", COUNT(SPLIT(K904,"";"")))"),"")</f>
        <v/>
      </c>
      <c r="M904" s="84" t="str">
        <f t="shared" si="1"/>
        <v/>
      </c>
      <c r="N904" s="84" t="str">
        <f>IFERROR(__xludf.DUMMYFUNCTION("IFERROR(AVERAGE(query(INDIRECT(""'FR Table'!"" &amp; vlookup(rows($A$1:$A903),Reference!$O:$P,2,false) &amp; ""3:"" &amp; vlookup(rows($A$1:$A903),Reference!$O:$P,2,false)), 
""SELECT "" &amp; vlookup(rows($A$1:$A903),Reference!$O:$P,2,false) 
&amp; "" WHERE "" &amp; vlookup(row"&amp;"s($A$1:$A903),Reference!$O:$P,2,false) &amp;
"" &gt;= "" &amp; Reference!$R$2)) * M904,"""")"),"")</f>
        <v/>
      </c>
      <c r="O904" s="84" t="str">
        <f t="shared" si="2"/>
        <v/>
      </c>
    </row>
    <row r="905">
      <c r="A905" s="84"/>
      <c r="B905" s="84"/>
      <c r="C905" s="85"/>
      <c r="D905" s="86"/>
      <c r="E905" s="87"/>
      <c r="F905" s="86"/>
      <c r="G905" s="87"/>
      <c r="H905" s="86"/>
      <c r="I905" s="86"/>
      <c r="J905" s="86"/>
      <c r="K905" s="84"/>
      <c r="L905" s="84" t="str">
        <f>IFERROR(__xludf.DUMMYFUNCTION("IF(A905="""","""", COUNT(SPLIT(K905,"";"")))"),"")</f>
        <v/>
      </c>
      <c r="M905" s="84" t="str">
        <f t="shared" si="1"/>
        <v/>
      </c>
      <c r="N905" s="84" t="str">
        <f>IFERROR(__xludf.DUMMYFUNCTION("IFERROR(AVERAGE(query(INDIRECT(""'FR Table'!"" &amp; vlookup(rows($A$1:$A904),Reference!$O:$P,2,false) &amp; ""3:"" &amp; vlookup(rows($A$1:$A904),Reference!$O:$P,2,false)), 
""SELECT "" &amp; vlookup(rows($A$1:$A904),Reference!$O:$P,2,false) 
&amp; "" WHERE "" &amp; vlookup(row"&amp;"s($A$1:$A904),Reference!$O:$P,2,false) &amp;
"" &gt;= "" &amp; Reference!$R$2)) * M905,"""")"),"")</f>
        <v/>
      </c>
      <c r="O905" s="84" t="str">
        <f t="shared" si="2"/>
        <v/>
      </c>
    </row>
    <row r="906">
      <c r="A906" s="84"/>
      <c r="B906" s="84"/>
      <c r="C906" s="85"/>
      <c r="D906" s="86"/>
      <c r="E906" s="87"/>
      <c r="F906" s="86"/>
      <c r="G906" s="87"/>
      <c r="H906" s="86"/>
      <c r="I906" s="86"/>
      <c r="J906" s="86"/>
      <c r="K906" s="84"/>
      <c r="L906" s="84" t="str">
        <f>IFERROR(__xludf.DUMMYFUNCTION("IF(A906="""","""", COUNT(SPLIT(K906,"";"")))"),"")</f>
        <v/>
      </c>
      <c r="M906" s="84" t="str">
        <f t="shared" si="1"/>
        <v/>
      </c>
      <c r="N906" s="84" t="str">
        <f>IFERROR(__xludf.DUMMYFUNCTION("IFERROR(AVERAGE(query(INDIRECT(""'FR Table'!"" &amp; vlookup(rows($A$1:$A905),Reference!$O:$P,2,false) &amp; ""3:"" &amp; vlookup(rows($A$1:$A905),Reference!$O:$P,2,false)), 
""SELECT "" &amp; vlookup(rows($A$1:$A905),Reference!$O:$P,2,false) 
&amp; "" WHERE "" &amp; vlookup(row"&amp;"s($A$1:$A905),Reference!$O:$P,2,false) &amp;
"" &gt;= "" &amp; Reference!$R$2)) * M906,"""")"),"")</f>
        <v/>
      </c>
      <c r="O906" s="84" t="str">
        <f t="shared" si="2"/>
        <v/>
      </c>
    </row>
    <row r="907">
      <c r="A907" s="84"/>
      <c r="B907" s="84"/>
      <c r="C907" s="85"/>
      <c r="D907" s="86"/>
      <c r="E907" s="87"/>
      <c r="F907" s="86"/>
      <c r="G907" s="87"/>
      <c r="H907" s="86"/>
      <c r="I907" s="86"/>
      <c r="J907" s="86"/>
      <c r="K907" s="84"/>
      <c r="L907" s="84" t="str">
        <f>IFERROR(__xludf.DUMMYFUNCTION("IF(A907="""","""", COUNT(SPLIT(K907,"";"")))"),"")</f>
        <v/>
      </c>
      <c r="M907" s="84" t="str">
        <f t="shared" si="1"/>
        <v/>
      </c>
      <c r="N907" s="84" t="str">
        <f>IFERROR(__xludf.DUMMYFUNCTION("IFERROR(AVERAGE(query(INDIRECT(""'FR Table'!"" &amp; vlookup(rows($A$1:$A906),Reference!$O:$P,2,false) &amp; ""3:"" &amp; vlookup(rows($A$1:$A906),Reference!$O:$P,2,false)), 
""SELECT "" &amp; vlookup(rows($A$1:$A906),Reference!$O:$P,2,false) 
&amp; "" WHERE "" &amp; vlookup(row"&amp;"s($A$1:$A906),Reference!$O:$P,2,false) &amp;
"" &gt;= "" &amp; Reference!$R$2)) * M907,"""")"),"")</f>
        <v/>
      </c>
      <c r="O907" s="84" t="str">
        <f t="shared" si="2"/>
        <v/>
      </c>
    </row>
    <row r="908">
      <c r="A908" s="84"/>
      <c r="B908" s="84"/>
      <c r="C908" s="85"/>
      <c r="D908" s="86"/>
      <c r="E908" s="87"/>
      <c r="F908" s="86"/>
      <c r="G908" s="87"/>
      <c r="H908" s="86"/>
      <c r="I908" s="86"/>
      <c r="J908" s="86"/>
      <c r="K908" s="84"/>
      <c r="L908" s="84" t="str">
        <f>IFERROR(__xludf.DUMMYFUNCTION("IF(A908="""","""", COUNT(SPLIT(K908,"";"")))"),"")</f>
        <v/>
      </c>
      <c r="M908" s="84" t="str">
        <f t="shared" si="1"/>
        <v/>
      </c>
      <c r="N908" s="84" t="str">
        <f>IFERROR(__xludf.DUMMYFUNCTION("IFERROR(AVERAGE(query(INDIRECT(""'FR Table'!"" &amp; vlookup(rows($A$1:$A907),Reference!$O:$P,2,false) &amp; ""3:"" &amp; vlookup(rows($A$1:$A907),Reference!$O:$P,2,false)), 
""SELECT "" &amp; vlookup(rows($A$1:$A907),Reference!$O:$P,2,false) 
&amp; "" WHERE "" &amp; vlookup(row"&amp;"s($A$1:$A907),Reference!$O:$P,2,false) &amp;
"" &gt;= "" &amp; Reference!$R$2)) * M908,"""")"),"")</f>
        <v/>
      </c>
      <c r="O908" s="84" t="str">
        <f t="shared" si="2"/>
        <v/>
      </c>
    </row>
    <row r="909">
      <c r="A909" s="84"/>
      <c r="B909" s="84"/>
      <c r="C909" s="85"/>
      <c r="D909" s="86"/>
      <c r="E909" s="87"/>
      <c r="F909" s="86"/>
      <c r="G909" s="87"/>
      <c r="H909" s="86"/>
      <c r="I909" s="86"/>
      <c r="J909" s="86"/>
      <c r="K909" s="84"/>
      <c r="L909" s="84" t="str">
        <f>IFERROR(__xludf.DUMMYFUNCTION("IF(A909="""","""", COUNT(SPLIT(K909,"";"")))"),"")</f>
        <v/>
      </c>
      <c r="M909" s="84" t="str">
        <f t="shared" si="1"/>
        <v/>
      </c>
      <c r="N909" s="84" t="str">
        <f>IFERROR(__xludf.DUMMYFUNCTION("IFERROR(AVERAGE(query(INDIRECT(""'FR Table'!"" &amp; vlookup(rows($A$1:$A908),Reference!$O:$P,2,false) &amp; ""3:"" &amp; vlookup(rows($A$1:$A908),Reference!$O:$P,2,false)), 
""SELECT "" &amp; vlookup(rows($A$1:$A908),Reference!$O:$P,2,false) 
&amp; "" WHERE "" &amp; vlookup(row"&amp;"s($A$1:$A908),Reference!$O:$P,2,false) &amp;
"" &gt;= "" &amp; Reference!$R$2)) * M909,"""")"),"")</f>
        <v/>
      </c>
      <c r="O909" s="84" t="str">
        <f t="shared" si="2"/>
        <v/>
      </c>
    </row>
    <row r="910">
      <c r="A910" s="84"/>
      <c r="B910" s="84"/>
      <c r="C910" s="85"/>
      <c r="D910" s="86"/>
      <c r="E910" s="87"/>
      <c r="F910" s="86"/>
      <c r="G910" s="87"/>
      <c r="H910" s="86"/>
      <c r="I910" s="86"/>
      <c r="J910" s="86"/>
      <c r="K910" s="84"/>
      <c r="L910" s="84" t="str">
        <f>IFERROR(__xludf.DUMMYFUNCTION("IF(A910="""","""", COUNT(SPLIT(K910,"";"")))"),"")</f>
        <v/>
      </c>
      <c r="M910" s="84" t="str">
        <f t="shared" si="1"/>
        <v/>
      </c>
      <c r="N910" s="84" t="str">
        <f>IFERROR(__xludf.DUMMYFUNCTION("IFERROR(AVERAGE(query(INDIRECT(""'FR Table'!"" &amp; vlookup(rows($A$1:$A909),Reference!$O:$P,2,false) &amp; ""3:"" &amp; vlookup(rows($A$1:$A909),Reference!$O:$P,2,false)), 
""SELECT "" &amp; vlookup(rows($A$1:$A909),Reference!$O:$P,2,false) 
&amp; "" WHERE "" &amp; vlookup(row"&amp;"s($A$1:$A909),Reference!$O:$P,2,false) &amp;
"" &gt;= "" &amp; Reference!$R$2)) * M910,"""")"),"")</f>
        <v/>
      </c>
      <c r="O910" s="84" t="str">
        <f t="shared" si="2"/>
        <v/>
      </c>
    </row>
    <row r="911">
      <c r="A911" s="84"/>
      <c r="B911" s="84"/>
      <c r="C911" s="85"/>
      <c r="D911" s="86"/>
      <c r="E911" s="87"/>
      <c r="F911" s="86"/>
      <c r="G911" s="87"/>
      <c r="H911" s="86"/>
      <c r="I911" s="86"/>
      <c r="J911" s="86"/>
      <c r="K911" s="84"/>
      <c r="L911" s="84" t="str">
        <f>IFERROR(__xludf.DUMMYFUNCTION("IF(A911="""","""", COUNT(SPLIT(K911,"";"")))"),"")</f>
        <v/>
      </c>
      <c r="M911" s="84" t="str">
        <f t="shared" si="1"/>
        <v/>
      </c>
      <c r="N911" s="84" t="str">
        <f>IFERROR(__xludf.DUMMYFUNCTION("IFERROR(AVERAGE(query(INDIRECT(""'FR Table'!"" &amp; vlookup(rows($A$1:$A910),Reference!$O:$P,2,false) &amp; ""3:"" &amp; vlookup(rows($A$1:$A910),Reference!$O:$P,2,false)), 
""SELECT "" &amp; vlookup(rows($A$1:$A910),Reference!$O:$P,2,false) 
&amp; "" WHERE "" &amp; vlookup(row"&amp;"s($A$1:$A910),Reference!$O:$P,2,false) &amp;
"" &gt;= "" &amp; Reference!$R$2)) * M911,"""")"),"")</f>
        <v/>
      </c>
      <c r="O911" s="84" t="str">
        <f t="shared" si="2"/>
        <v/>
      </c>
    </row>
    <row r="912">
      <c r="A912" s="84"/>
      <c r="B912" s="84"/>
      <c r="C912" s="85"/>
      <c r="D912" s="86"/>
      <c r="E912" s="87"/>
      <c r="F912" s="86"/>
      <c r="G912" s="87"/>
      <c r="H912" s="86"/>
      <c r="I912" s="86"/>
      <c r="J912" s="86"/>
      <c r="K912" s="84"/>
      <c r="L912" s="84" t="str">
        <f>IFERROR(__xludf.DUMMYFUNCTION("IF(A912="""","""", COUNT(SPLIT(K912,"";"")))"),"")</f>
        <v/>
      </c>
      <c r="M912" s="84" t="str">
        <f t="shared" si="1"/>
        <v/>
      </c>
      <c r="N912" s="84" t="str">
        <f>IFERROR(__xludf.DUMMYFUNCTION("IFERROR(AVERAGE(query(INDIRECT(""'FR Table'!"" &amp; vlookup(rows($A$1:$A911),Reference!$O:$P,2,false) &amp; ""3:"" &amp; vlookup(rows($A$1:$A911),Reference!$O:$P,2,false)), 
""SELECT "" &amp; vlookup(rows($A$1:$A911),Reference!$O:$P,2,false) 
&amp; "" WHERE "" &amp; vlookup(row"&amp;"s($A$1:$A911),Reference!$O:$P,2,false) &amp;
"" &gt;= "" &amp; Reference!$R$2)) * M912,"""")"),"")</f>
        <v/>
      </c>
      <c r="O912" s="84" t="str">
        <f t="shared" si="2"/>
        <v/>
      </c>
    </row>
    <row r="913">
      <c r="A913" s="84"/>
      <c r="B913" s="84"/>
      <c r="C913" s="85"/>
      <c r="D913" s="86"/>
      <c r="E913" s="87"/>
      <c r="F913" s="86"/>
      <c r="G913" s="87"/>
      <c r="H913" s="86"/>
      <c r="I913" s="86"/>
      <c r="J913" s="86"/>
      <c r="K913" s="84"/>
      <c r="L913" s="84" t="str">
        <f>IFERROR(__xludf.DUMMYFUNCTION("IF(A913="""","""", COUNT(SPLIT(K913,"";"")))"),"")</f>
        <v/>
      </c>
      <c r="M913" s="84" t="str">
        <f t="shared" si="1"/>
        <v/>
      </c>
      <c r="N913" s="84" t="str">
        <f>IFERROR(__xludf.DUMMYFUNCTION("IFERROR(AVERAGE(query(INDIRECT(""'FR Table'!"" &amp; vlookup(rows($A$1:$A912),Reference!$O:$P,2,false) &amp; ""3:"" &amp; vlookup(rows($A$1:$A912),Reference!$O:$P,2,false)), 
""SELECT "" &amp; vlookup(rows($A$1:$A912),Reference!$O:$P,2,false) 
&amp; "" WHERE "" &amp; vlookup(row"&amp;"s($A$1:$A912),Reference!$O:$P,2,false) &amp;
"" &gt;= "" &amp; Reference!$R$2)) * M913,"""")"),"")</f>
        <v/>
      </c>
      <c r="O913" s="84" t="str">
        <f t="shared" si="2"/>
        <v/>
      </c>
    </row>
    <row r="914">
      <c r="A914" s="84"/>
      <c r="B914" s="84"/>
      <c r="C914" s="85"/>
      <c r="D914" s="86"/>
      <c r="E914" s="87"/>
      <c r="F914" s="86"/>
      <c r="G914" s="87"/>
      <c r="H914" s="86"/>
      <c r="I914" s="86"/>
      <c r="J914" s="86"/>
      <c r="K914" s="84"/>
      <c r="L914" s="84" t="str">
        <f>IFERROR(__xludf.DUMMYFUNCTION("IF(A914="""","""", COUNT(SPLIT(K914,"";"")))"),"")</f>
        <v/>
      </c>
      <c r="M914" s="84" t="str">
        <f t="shared" si="1"/>
        <v/>
      </c>
      <c r="N914" s="84" t="str">
        <f>IFERROR(__xludf.DUMMYFUNCTION("IFERROR(AVERAGE(query(INDIRECT(""'FR Table'!"" &amp; vlookup(rows($A$1:$A913),Reference!$O:$P,2,false) &amp; ""3:"" &amp; vlookup(rows($A$1:$A913),Reference!$O:$P,2,false)), 
""SELECT "" &amp; vlookup(rows($A$1:$A913),Reference!$O:$P,2,false) 
&amp; "" WHERE "" &amp; vlookup(row"&amp;"s($A$1:$A913),Reference!$O:$P,2,false) &amp;
"" &gt;= "" &amp; Reference!$R$2)) * M914,"""")"),"")</f>
        <v/>
      </c>
      <c r="O914" s="84" t="str">
        <f t="shared" si="2"/>
        <v/>
      </c>
    </row>
    <row r="915">
      <c r="A915" s="84"/>
      <c r="B915" s="84"/>
      <c r="C915" s="85"/>
      <c r="D915" s="86"/>
      <c r="E915" s="87"/>
      <c r="F915" s="86"/>
      <c r="G915" s="87"/>
      <c r="H915" s="86"/>
      <c r="I915" s="86"/>
      <c r="J915" s="86"/>
      <c r="K915" s="84"/>
      <c r="L915" s="84" t="str">
        <f>IFERROR(__xludf.DUMMYFUNCTION("IF(A915="""","""", COUNT(SPLIT(K915,"";"")))"),"")</f>
        <v/>
      </c>
      <c r="M915" s="84" t="str">
        <f t="shared" si="1"/>
        <v/>
      </c>
      <c r="N915" s="84" t="str">
        <f>IFERROR(__xludf.DUMMYFUNCTION("IFERROR(AVERAGE(query(INDIRECT(""'FR Table'!"" &amp; vlookup(rows($A$1:$A914),Reference!$O:$P,2,false) &amp; ""3:"" &amp; vlookup(rows($A$1:$A914),Reference!$O:$P,2,false)), 
""SELECT "" &amp; vlookup(rows($A$1:$A914),Reference!$O:$P,2,false) 
&amp; "" WHERE "" &amp; vlookup(row"&amp;"s($A$1:$A914),Reference!$O:$P,2,false) &amp;
"" &gt;= "" &amp; Reference!$R$2)) * M915,"""")"),"")</f>
        <v/>
      </c>
      <c r="O915" s="84" t="str">
        <f t="shared" si="2"/>
        <v/>
      </c>
    </row>
    <row r="916">
      <c r="A916" s="84"/>
      <c r="B916" s="84"/>
      <c r="C916" s="85"/>
      <c r="D916" s="86"/>
      <c r="E916" s="87"/>
      <c r="F916" s="86"/>
      <c r="G916" s="87"/>
      <c r="H916" s="86"/>
      <c r="I916" s="86"/>
      <c r="J916" s="86"/>
      <c r="K916" s="84"/>
      <c r="L916" s="84" t="str">
        <f>IFERROR(__xludf.DUMMYFUNCTION("IF(A916="""","""", COUNT(SPLIT(K916,"";"")))"),"")</f>
        <v/>
      </c>
      <c r="M916" s="84" t="str">
        <f t="shared" si="1"/>
        <v/>
      </c>
      <c r="N916" s="84" t="str">
        <f>IFERROR(__xludf.DUMMYFUNCTION("IFERROR(AVERAGE(query(INDIRECT(""'FR Table'!"" &amp; vlookup(rows($A$1:$A915),Reference!$O:$P,2,false) &amp; ""3:"" &amp; vlookup(rows($A$1:$A915),Reference!$O:$P,2,false)), 
""SELECT "" &amp; vlookup(rows($A$1:$A915),Reference!$O:$P,2,false) 
&amp; "" WHERE "" &amp; vlookup(row"&amp;"s($A$1:$A915),Reference!$O:$P,2,false) &amp;
"" &gt;= "" &amp; Reference!$R$2)) * M916,"""")"),"")</f>
        <v/>
      </c>
      <c r="O916" s="84" t="str">
        <f t="shared" si="2"/>
        <v/>
      </c>
    </row>
    <row r="917">
      <c r="A917" s="84"/>
      <c r="B917" s="84"/>
      <c r="C917" s="85"/>
      <c r="D917" s="86"/>
      <c r="E917" s="87"/>
      <c r="F917" s="86"/>
      <c r="G917" s="87"/>
      <c r="H917" s="86"/>
      <c r="I917" s="86"/>
      <c r="J917" s="86"/>
      <c r="K917" s="84"/>
      <c r="L917" s="84" t="str">
        <f>IFERROR(__xludf.DUMMYFUNCTION("IF(A917="""","""", COUNT(SPLIT(K917,"";"")))"),"")</f>
        <v/>
      </c>
      <c r="M917" s="84" t="str">
        <f t="shared" si="1"/>
        <v/>
      </c>
      <c r="N917" s="84" t="str">
        <f>IFERROR(__xludf.DUMMYFUNCTION("IFERROR(AVERAGE(query(INDIRECT(""'FR Table'!"" &amp; vlookup(rows($A$1:$A916),Reference!$O:$P,2,false) &amp; ""3:"" &amp; vlookup(rows($A$1:$A916),Reference!$O:$P,2,false)), 
""SELECT "" &amp; vlookup(rows($A$1:$A916),Reference!$O:$P,2,false) 
&amp; "" WHERE "" &amp; vlookup(row"&amp;"s($A$1:$A916),Reference!$O:$P,2,false) &amp;
"" &gt;= "" &amp; Reference!$R$2)) * M917,"""")"),"")</f>
        <v/>
      </c>
      <c r="O917" s="84" t="str">
        <f t="shared" si="2"/>
        <v/>
      </c>
    </row>
    <row r="918">
      <c r="A918" s="84"/>
      <c r="B918" s="84"/>
      <c r="C918" s="85"/>
      <c r="D918" s="86"/>
      <c r="E918" s="87"/>
      <c r="F918" s="86"/>
      <c r="G918" s="87"/>
      <c r="H918" s="86"/>
      <c r="I918" s="86"/>
      <c r="J918" s="86"/>
      <c r="K918" s="84"/>
      <c r="L918" s="84" t="str">
        <f>IFERROR(__xludf.DUMMYFUNCTION("IF(A918="""","""", COUNT(SPLIT(K918,"";"")))"),"")</f>
        <v/>
      </c>
      <c r="M918" s="84" t="str">
        <f t="shared" si="1"/>
        <v/>
      </c>
      <c r="N918" s="84" t="str">
        <f>IFERROR(__xludf.DUMMYFUNCTION("IFERROR(AVERAGE(query(INDIRECT(""'FR Table'!"" &amp; vlookup(rows($A$1:$A917),Reference!$O:$P,2,false) &amp; ""3:"" &amp; vlookup(rows($A$1:$A917),Reference!$O:$P,2,false)), 
""SELECT "" &amp; vlookup(rows($A$1:$A917),Reference!$O:$P,2,false) 
&amp; "" WHERE "" &amp; vlookup(row"&amp;"s($A$1:$A917),Reference!$O:$P,2,false) &amp;
"" &gt;= "" &amp; Reference!$R$2)) * M918,"""")"),"")</f>
        <v/>
      </c>
      <c r="O918" s="84" t="str">
        <f t="shared" si="2"/>
        <v/>
      </c>
    </row>
    <row r="919">
      <c r="A919" s="84"/>
      <c r="B919" s="84"/>
      <c r="C919" s="85"/>
      <c r="D919" s="86"/>
      <c r="E919" s="87"/>
      <c r="F919" s="86"/>
      <c r="G919" s="87"/>
      <c r="H919" s="86"/>
      <c r="I919" s="86"/>
      <c r="J919" s="86"/>
      <c r="K919" s="84"/>
      <c r="L919" s="84" t="str">
        <f>IFERROR(__xludf.DUMMYFUNCTION("IF(A919="""","""", COUNT(SPLIT(K919,"";"")))"),"")</f>
        <v/>
      </c>
      <c r="M919" s="84" t="str">
        <f t="shared" si="1"/>
        <v/>
      </c>
      <c r="N919" s="84" t="str">
        <f>IFERROR(__xludf.DUMMYFUNCTION("IFERROR(AVERAGE(query(INDIRECT(""'FR Table'!"" &amp; vlookup(rows($A$1:$A918),Reference!$O:$P,2,false) &amp; ""3:"" &amp; vlookup(rows($A$1:$A918),Reference!$O:$P,2,false)), 
""SELECT "" &amp; vlookup(rows($A$1:$A918),Reference!$O:$P,2,false) 
&amp; "" WHERE "" &amp; vlookup(row"&amp;"s($A$1:$A918),Reference!$O:$P,2,false) &amp;
"" &gt;= "" &amp; Reference!$R$2)) * M919,"""")"),"")</f>
        <v/>
      </c>
      <c r="O919" s="84" t="str">
        <f t="shared" si="2"/>
        <v/>
      </c>
    </row>
    <row r="920">
      <c r="A920" s="84"/>
      <c r="B920" s="84"/>
      <c r="C920" s="85"/>
      <c r="D920" s="86"/>
      <c r="E920" s="87"/>
      <c r="F920" s="86"/>
      <c r="G920" s="87"/>
      <c r="H920" s="86"/>
      <c r="I920" s="86"/>
      <c r="J920" s="86"/>
      <c r="K920" s="84"/>
      <c r="L920" s="84" t="str">
        <f>IFERROR(__xludf.DUMMYFUNCTION("IF(A920="""","""", COUNT(SPLIT(K920,"";"")))"),"")</f>
        <v/>
      </c>
      <c r="M920" s="84" t="str">
        <f t="shared" si="1"/>
        <v/>
      </c>
      <c r="N920" s="84" t="str">
        <f>IFERROR(__xludf.DUMMYFUNCTION("IFERROR(AVERAGE(query(INDIRECT(""'FR Table'!"" &amp; vlookup(rows($A$1:$A919),Reference!$O:$P,2,false) &amp; ""3:"" &amp; vlookup(rows($A$1:$A919),Reference!$O:$P,2,false)), 
""SELECT "" &amp; vlookup(rows($A$1:$A919),Reference!$O:$P,2,false) 
&amp; "" WHERE "" &amp; vlookup(row"&amp;"s($A$1:$A919),Reference!$O:$P,2,false) &amp;
"" &gt;= "" &amp; Reference!$R$2)) * M920,"""")"),"")</f>
        <v/>
      </c>
      <c r="O920" s="84" t="str">
        <f t="shared" si="2"/>
        <v/>
      </c>
    </row>
    <row r="921">
      <c r="A921" s="84"/>
      <c r="B921" s="84"/>
      <c r="C921" s="85"/>
      <c r="D921" s="86"/>
      <c r="E921" s="87"/>
      <c r="F921" s="86"/>
      <c r="G921" s="87"/>
      <c r="H921" s="86"/>
      <c r="I921" s="86"/>
      <c r="J921" s="86"/>
      <c r="K921" s="84"/>
      <c r="L921" s="84" t="str">
        <f>IFERROR(__xludf.DUMMYFUNCTION("IF(A921="""","""", COUNT(SPLIT(K921,"";"")))"),"")</f>
        <v/>
      </c>
      <c r="M921" s="84" t="str">
        <f t="shared" si="1"/>
        <v/>
      </c>
      <c r="N921" s="84" t="str">
        <f>IFERROR(__xludf.DUMMYFUNCTION("IFERROR(AVERAGE(query(INDIRECT(""'FR Table'!"" &amp; vlookup(rows($A$1:$A920),Reference!$O:$P,2,false) &amp; ""3:"" &amp; vlookup(rows($A$1:$A920),Reference!$O:$P,2,false)), 
""SELECT "" &amp; vlookup(rows($A$1:$A920),Reference!$O:$P,2,false) 
&amp; "" WHERE "" &amp; vlookup(row"&amp;"s($A$1:$A920),Reference!$O:$P,2,false) &amp;
"" &gt;= "" &amp; Reference!$R$2)) * M921,"""")"),"")</f>
        <v/>
      </c>
      <c r="O921" s="84" t="str">
        <f t="shared" si="2"/>
        <v/>
      </c>
    </row>
    <row r="922">
      <c r="A922" s="84"/>
      <c r="B922" s="84"/>
      <c r="C922" s="85"/>
      <c r="D922" s="86"/>
      <c r="E922" s="87"/>
      <c r="F922" s="86"/>
      <c r="G922" s="87"/>
      <c r="H922" s="86"/>
      <c r="I922" s="86"/>
      <c r="J922" s="86"/>
      <c r="K922" s="84"/>
      <c r="L922" s="84" t="str">
        <f>IFERROR(__xludf.DUMMYFUNCTION("IF(A922="""","""", COUNT(SPLIT(K922,"";"")))"),"")</f>
        <v/>
      </c>
      <c r="M922" s="84" t="str">
        <f t="shared" si="1"/>
        <v/>
      </c>
      <c r="N922" s="84" t="str">
        <f>IFERROR(__xludf.DUMMYFUNCTION("IFERROR(AVERAGE(query(INDIRECT(""'FR Table'!"" &amp; vlookup(rows($A$1:$A921),Reference!$O:$P,2,false) &amp; ""3:"" &amp; vlookup(rows($A$1:$A921),Reference!$O:$P,2,false)), 
""SELECT "" &amp; vlookup(rows($A$1:$A921),Reference!$O:$P,2,false) 
&amp; "" WHERE "" &amp; vlookup(row"&amp;"s($A$1:$A921),Reference!$O:$P,2,false) &amp;
"" &gt;= "" &amp; Reference!$R$2)) * M922,"""")"),"")</f>
        <v/>
      </c>
      <c r="O922" s="84" t="str">
        <f t="shared" si="2"/>
        <v/>
      </c>
    </row>
    <row r="923">
      <c r="A923" s="84"/>
      <c r="B923" s="84"/>
      <c r="C923" s="85"/>
      <c r="D923" s="86"/>
      <c r="E923" s="87"/>
      <c r="F923" s="86"/>
      <c r="G923" s="87"/>
      <c r="H923" s="86"/>
      <c r="I923" s="86"/>
      <c r="J923" s="86"/>
      <c r="K923" s="84"/>
      <c r="L923" s="84" t="str">
        <f>IFERROR(__xludf.DUMMYFUNCTION("IF(A923="""","""", COUNT(SPLIT(K923,"";"")))"),"")</f>
        <v/>
      </c>
      <c r="M923" s="84" t="str">
        <f t="shared" si="1"/>
        <v/>
      </c>
      <c r="N923" s="84" t="str">
        <f>IFERROR(__xludf.DUMMYFUNCTION("IFERROR(AVERAGE(query(INDIRECT(""'FR Table'!"" &amp; vlookup(rows($A$1:$A922),Reference!$O:$P,2,false) &amp; ""3:"" &amp; vlookup(rows($A$1:$A922),Reference!$O:$P,2,false)), 
""SELECT "" &amp; vlookup(rows($A$1:$A922),Reference!$O:$P,2,false) 
&amp; "" WHERE "" &amp; vlookup(row"&amp;"s($A$1:$A922),Reference!$O:$P,2,false) &amp;
"" &gt;= "" &amp; Reference!$R$2)) * M923,"""")"),"")</f>
        <v/>
      </c>
      <c r="O923" s="84" t="str">
        <f t="shared" si="2"/>
        <v/>
      </c>
    </row>
    <row r="924">
      <c r="A924" s="84"/>
      <c r="B924" s="84"/>
      <c r="C924" s="85"/>
      <c r="D924" s="86"/>
      <c r="E924" s="87"/>
      <c r="F924" s="86"/>
      <c r="G924" s="87"/>
      <c r="H924" s="86"/>
      <c r="I924" s="86"/>
      <c r="J924" s="86"/>
      <c r="K924" s="84"/>
      <c r="L924" s="84" t="str">
        <f>IFERROR(__xludf.DUMMYFUNCTION("IF(A924="""","""", COUNT(SPLIT(K924,"";"")))"),"")</f>
        <v/>
      </c>
      <c r="M924" s="84" t="str">
        <f t="shared" si="1"/>
        <v/>
      </c>
      <c r="N924" s="84" t="str">
        <f>IFERROR(__xludf.DUMMYFUNCTION("IFERROR(AVERAGE(query(INDIRECT(""'FR Table'!"" &amp; vlookup(rows($A$1:$A923),Reference!$O:$P,2,false) &amp; ""3:"" &amp; vlookup(rows($A$1:$A923),Reference!$O:$P,2,false)), 
""SELECT "" &amp; vlookup(rows($A$1:$A923),Reference!$O:$P,2,false) 
&amp; "" WHERE "" &amp; vlookup(row"&amp;"s($A$1:$A923),Reference!$O:$P,2,false) &amp;
"" &gt;= "" &amp; Reference!$R$2)) * M924,"""")"),"")</f>
        <v/>
      </c>
      <c r="O924" s="84" t="str">
        <f t="shared" si="2"/>
        <v/>
      </c>
    </row>
    <row r="925">
      <c r="A925" s="84"/>
      <c r="B925" s="84"/>
      <c r="C925" s="85"/>
      <c r="D925" s="86"/>
      <c r="E925" s="87"/>
      <c r="F925" s="86"/>
      <c r="G925" s="87"/>
      <c r="H925" s="86"/>
      <c r="I925" s="86"/>
      <c r="J925" s="86"/>
      <c r="K925" s="84"/>
      <c r="L925" s="84" t="str">
        <f>IFERROR(__xludf.DUMMYFUNCTION("IF(A925="""","""", COUNT(SPLIT(K925,"";"")))"),"")</f>
        <v/>
      </c>
      <c r="M925" s="84" t="str">
        <f t="shared" si="1"/>
        <v/>
      </c>
      <c r="N925" s="84" t="str">
        <f>IFERROR(__xludf.DUMMYFUNCTION("IFERROR(AVERAGE(query(INDIRECT(""'FR Table'!"" &amp; vlookup(rows($A$1:$A924),Reference!$O:$P,2,false) &amp; ""3:"" &amp; vlookup(rows($A$1:$A924),Reference!$O:$P,2,false)), 
""SELECT "" &amp; vlookup(rows($A$1:$A924),Reference!$O:$P,2,false) 
&amp; "" WHERE "" &amp; vlookup(row"&amp;"s($A$1:$A924),Reference!$O:$P,2,false) &amp;
"" &gt;= "" &amp; Reference!$R$2)) * M925,"""")"),"")</f>
        <v/>
      </c>
      <c r="O925" s="84" t="str">
        <f t="shared" si="2"/>
        <v/>
      </c>
    </row>
    <row r="926">
      <c r="A926" s="84"/>
      <c r="B926" s="84"/>
      <c r="C926" s="85"/>
      <c r="D926" s="86"/>
      <c r="E926" s="87"/>
      <c r="F926" s="86"/>
      <c r="G926" s="87"/>
      <c r="H926" s="86"/>
      <c r="I926" s="86"/>
      <c r="J926" s="86"/>
      <c r="K926" s="84"/>
      <c r="L926" s="84" t="str">
        <f>IFERROR(__xludf.DUMMYFUNCTION("IF(A926="""","""", COUNT(SPLIT(K926,"";"")))"),"")</f>
        <v/>
      </c>
      <c r="M926" s="84" t="str">
        <f t="shared" si="1"/>
        <v/>
      </c>
      <c r="N926" s="84" t="str">
        <f>IFERROR(__xludf.DUMMYFUNCTION("IFERROR(AVERAGE(query(INDIRECT(""'FR Table'!"" &amp; vlookup(rows($A$1:$A925),Reference!$O:$P,2,false) &amp; ""3:"" &amp; vlookup(rows($A$1:$A925),Reference!$O:$P,2,false)), 
""SELECT "" &amp; vlookup(rows($A$1:$A925),Reference!$O:$P,2,false) 
&amp; "" WHERE "" &amp; vlookup(row"&amp;"s($A$1:$A925),Reference!$O:$P,2,false) &amp;
"" &gt;= "" &amp; Reference!$R$2)) * M926,"""")"),"")</f>
        <v/>
      </c>
      <c r="O926" s="84" t="str">
        <f t="shared" si="2"/>
        <v/>
      </c>
    </row>
    <row r="927">
      <c r="A927" s="84"/>
      <c r="B927" s="84"/>
      <c r="C927" s="85"/>
      <c r="D927" s="86"/>
      <c r="E927" s="87"/>
      <c r="F927" s="86"/>
      <c r="G927" s="87"/>
      <c r="H927" s="86"/>
      <c r="I927" s="86"/>
      <c r="J927" s="86"/>
      <c r="K927" s="84"/>
      <c r="L927" s="84" t="str">
        <f>IFERROR(__xludf.DUMMYFUNCTION("IF(A927="""","""", COUNT(SPLIT(K927,"";"")))"),"")</f>
        <v/>
      </c>
      <c r="M927" s="84" t="str">
        <f t="shared" si="1"/>
        <v/>
      </c>
      <c r="N927" s="84" t="str">
        <f>IFERROR(__xludf.DUMMYFUNCTION("IFERROR(AVERAGE(query(INDIRECT(""'FR Table'!"" &amp; vlookup(rows($A$1:$A926),Reference!$O:$P,2,false) &amp; ""3:"" &amp; vlookup(rows($A$1:$A926),Reference!$O:$P,2,false)), 
""SELECT "" &amp; vlookup(rows($A$1:$A926),Reference!$O:$P,2,false) 
&amp; "" WHERE "" &amp; vlookup(row"&amp;"s($A$1:$A926),Reference!$O:$P,2,false) &amp;
"" &gt;= "" &amp; Reference!$R$2)) * M927,"""")"),"")</f>
        <v/>
      </c>
      <c r="O927" s="84" t="str">
        <f t="shared" si="2"/>
        <v/>
      </c>
    </row>
    <row r="928">
      <c r="A928" s="84"/>
      <c r="B928" s="84"/>
      <c r="C928" s="85"/>
      <c r="D928" s="86"/>
      <c r="E928" s="87"/>
      <c r="F928" s="86"/>
      <c r="G928" s="87"/>
      <c r="H928" s="86"/>
      <c r="I928" s="86"/>
      <c r="J928" s="86"/>
      <c r="K928" s="84"/>
      <c r="L928" s="84" t="str">
        <f>IFERROR(__xludf.DUMMYFUNCTION("IF(A928="""","""", COUNT(SPLIT(K928,"";"")))"),"")</f>
        <v/>
      </c>
      <c r="M928" s="84" t="str">
        <f t="shared" si="1"/>
        <v/>
      </c>
      <c r="N928" s="84" t="str">
        <f>IFERROR(__xludf.DUMMYFUNCTION("IFERROR(AVERAGE(query(INDIRECT(""'FR Table'!"" &amp; vlookup(rows($A$1:$A927),Reference!$O:$P,2,false) &amp; ""3:"" &amp; vlookup(rows($A$1:$A927),Reference!$O:$P,2,false)), 
""SELECT "" &amp; vlookup(rows($A$1:$A927),Reference!$O:$P,2,false) 
&amp; "" WHERE "" &amp; vlookup(row"&amp;"s($A$1:$A927),Reference!$O:$P,2,false) &amp;
"" &gt;= "" &amp; Reference!$R$2)) * M928,"""")"),"")</f>
        <v/>
      </c>
      <c r="O928" s="84" t="str">
        <f t="shared" si="2"/>
        <v/>
      </c>
    </row>
    <row r="929">
      <c r="A929" s="84"/>
      <c r="B929" s="84"/>
      <c r="C929" s="85"/>
      <c r="D929" s="86"/>
      <c r="E929" s="87"/>
      <c r="F929" s="86"/>
      <c r="G929" s="87"/>
      <c r="H929" s="86"/>
      <c r="I929" s="86"/>
      <c r="J929" s="86"/>
      <c r="K929" s="84"/>
      <c r="L929" s="84" t="str">
        <f>IFERROR(__xludf.DUMMYFUNCTION("IF(A929="""","""", COUNT(SPLIT(K929,"";"")))"),"")</f>
        <v/>
      </c>
      <c r="M929" s="84" t="str">
        <f t="shared" si="1"/>
        <v/>
      </c>
      <c r="N929" s="84" t="str">
        <f>IFERROR(__xludf.DUMMYFUNCTION("IFERROR(AVERAGE(query(INDIRECT(""'FR Table'!"" &amp; vlookup(rows($A$1:$A928),Reference!$O:$P,2,false) &amp; ""3:"" &amp; vlookup(rows($A$1:$A928),Reference!$O:$P,2,false)), 
""SELECT "" &amp; vlookup(rows($A$1:$A928),Reference!$O:$P,2,false) 
&amp; "" WHERE "" &amp; vlookup(row"&amp;"s($A$1:$A928),Reference!$O:$P,2,false) &amp;
"" &gt;= "" &amp; Reference!$R$2)) * M929,"""")"),"")</f>
        <v/>
      </c>
      <c r="O929" s="84" t="str">
        <f t="shared" si="2"/>
        <v/>
      </c>
    </row>
    <row r="930">
      <c r="A930" s="84"/>
      <c r="B930" s="84"/>
      <c r="C930" s="85"/>
      <c r="D930" s="86"/>
      <c r="E930" s="87"/>
      <c r="F930" s="86"/>
      <c r="G930" s="87"/>
      <c r="H930" s="86"/>
      <c r="I930" s="86"/>
      <c r="J930" s="86"/>
      <c r="K930" s="84"/>
      <c r="L930" s="84" t="str">
        <f>IFERROR(__xludf.DUMMYFUNCTION("IF(A930="""","""", COUNT(SPLIT(K930,"";"")))"),"")</f>
        <v/>
      </c>
      <c r="M930" s="84" t="str">
        <f t="shared" si="1"/>
        <v/>
      </c>
      <c r="N930" s="84" t="str">
        <f>IFERROR(__xludf.DUMMYFUNCTION("IFERROR(AVERAGE(query(INDIRECT(""'FR Table'!"" &amp; vlookup(rows($A$1:$A929),Reference!$O:$P,2,false) &amp; ""3:"" &amp; vlookup(rows($A$1:$A929),Reference!$O:$P,2,false)), 
""SELECT "" &amp; vlookup(rows($A$1:$A929),Reference!$O:$P,2,false) 
&amp; "" WHERE "" &amp; vlookup(row"&amp;"s($A$1:$A929),Reference!$O:$P,2,false) &amp;
"" &gt;= "" &amp; Reference!$R$2)) * M930,"""")"),"")</f>
        <v/>
      </c>
      <c r="O930" s="84" t="str">
        <f t="shared" si="2"/>
        <v/>
      </c>
    </row>
    <row r="931">
      <c r="A931" s="84"/>
      <c r="B931" s="84"/>
      <c r="C931" s="85"/>
      <c r="D931" s="86"/>
      <c r="E931" s="87"/>
      <c r="F931" s="86"/>
      <c r="G931" s="87"/>
      <c r="H931" s="86"/>
      <c r="I931" s="86"/>
      <c r="J931" s="86"/>
      <c r="K931" s="84"/>
      <c r="L931" s="84" t="str">
        <f>IFERROR(__xludf.DUMMYFUNCTION("IF(A931="""","""", COUNT(SPLIT(K931,"";"")))"),"")</f>
        <v/>
      </c>
      <c r="M931" s="84" t="str">
        <f t="shared" si="1"/>
        <v/>
      </c>
      <c r="N931" s="84" t="str">
        <f>IFERROR(__xludf.DUMMYFUNCTION("IFERROR(AVERAGE(query(INDIRECT(""'FR Table'!"" &amp; vlookup(rows($A$1:$A930),Reference!$O:$P,2,false) &amp; ""3:"" &amp; vlookup(rows($A$1:$A930),Reference!$O:$P,2,false)), 
""SELECT "" &amp; vlookup(rows($A$1:$A930),Reference!$O:$P,2,false) 
&amp; "" WHERE "" &amp; vlookup(row"&amp;"s($A$1:$A930),Reference!$O:$P,2,false) &amp;
"" &gt;= "" &amp; Reference!$R$2)) * M931,"""")"),"")</f>
        <v/>
      </c>
      <c r="O931" s="84" t="str">
        <f t="shared" si="2"/>
        <v/>
      </c>
    </row>
    <row r="932">
      <c r="A932" s="84"/>
      <c r="B932" s="84"/>
      <c r="C932" s="85"/>
      <c r="D932" s="86"/>
      <c r="E932" s="87"/>
      <c r="F932" s="86"/>
      <c r="G932" s="87"/>
      <c r="H932" s="86"/>
      <c r="I932" s="86"/>
      <c r="J932" s="86"/>
      <c r="K932" s="84"/>
      <c r="L932" s="84" t="str">
        <f>IFERROR(__xludf.DUMMYFUNCTION("IF(A932="""","""", COUNT(SPLIT(K932,"";"")))"),"")</f>
        <v/>
      </c>
      <c r="M932" s="84" t="str">
        <f t="shared" si="1"/>
        <v/>
      </c>
      <c r="N932" s="84" t="str">
        <f>IFERROR(__xludf.DUMMYFUNCTION("IFERROR(AVERAGE(query(INDIRECT(""'FR Table'!"" &amp; vlookup(rows($A$1:$A931),Reference!$O:$P,2,false) &amp; ""3:"" &amp; vlookup(rows($A$1:$A931),Reference!$O:$P,2,false)), 
""SELECT "" &amp; vlookup(rows($A$1:$A931),Reference!$O:$P,2,false) 
&amp; "" WHERE "" &amp; vlookup(row"&amp;"s($A$1:$A931),Reference!$O:$P,2,false) &amp;
"" &gt;= "" &amp; Reference!$R$2)) * M932,"""")"),"")</f>
        <v/>
      </c>
      <c r="O932" s="84" t="str">
        <f t="shared" si="2"/>
        <v/>
      </c>
    </row>
    <row r="933">
      <c r="A933" s="84"/>
      <c r="B933" s="84"/>
      <c r="C933" s="85"/>
      <c r="D933" s="86"/>
      <c r="E933" s="87"/>
      <c r="F933" s="86"/>
      <c r="G933" s="87"/>
      <c r="H933" s="86"/>
      <c r="I933" s="86"/>
      <c r="J933" s="86"/>
      <c r="K933" s="84"/>
      <c r="L933" s="84" t="str">
        <f>IFERROR(__xludf.DUMMYFUNCTION("IF(A933="""","""", COUNT(SPLIT(K933,"";"")))"),"")</f>
        <v/>
      </c>
      <c r="M933" s="84" t="str">
        <f t="shared" si="1"/>
        <v/>
      </c>
      <c r="N933" s="84" t="str">
        <f>IFERROR(__xludf.DUMMYFUNCTION("IFERROR(AVERAGE(query(INDIRECT(""'FR Table'!"" &amp; vlookup(rows($A$1:$A932),Reference!$O:$P,2,false) &amp; ""3:"" &amp; vlookup(rows($A$1:$A932),Reference!$O:$P,2,false)), 
""SELECT "" &amp; vlookup(rows($A$1:$A932),Reference!$O:$P,2,false) 
&amp; "" WHERE "" &amp; vlookup(row"&amp;"s($A$1:$A932),Reference!$O:$P,2,false) &amp;
"" &gt;= "" &amp; Reference!$R$2)) * M933,"""")"),"")</f>
        <v/>
      </c>
      <c r="O933" s="84" t="str">
        <f t="shared" si="2"/>
        <v/>
      </c>
    </row>
    <row r="934">
      <c r="A934" s="84"/>
      <c r="B934" s="84"/>
      <c r="C934" s="85"/>
      <c r="D934" s="86"/>
      <c r="E934" s="87"/>
      <c r="F934" s="86"/>
      <c r="G934" s="87"/>
      <c r="H934" s="86"/>
      <c r="I934" s="86"/>
      <c r="J934" s="86"/>
      <c r="K934" s="84"/>
      <c r="L934" s="84" t="str">
        <f>IFERROR(__xludf.DUMMYFUNCTION("IF(A934="""","""", COUNT(SPLIT(K934,"";"")))"),"")</f>
        <v/>
      </c>
      <c r="M934" s="84" t="str">
        <f t="shared" si="1"/>
        <v/>
      </c>
      <c r="N934" s="84" t="str">
        <f>IFERROR(__xludf.DUMMYFUNCTION("IFERROR(AVERAGE(query(INDIRECT(""'FR Table'!"" &amp; vlookup(rows($A$1:$A933),Reference!$O:$P,2,false) &amp; ""3:"" &amp; vlookup(rows($A$1:$A933),Reference!$O:$P,2,false)), 
""SELECT "" &amp; vlookup(rows($A$1:$A933),Reference!$O:$P,2,false) 
&amp; "" WHERE "" &amp; vlookup(row"&amp;"s($A$1:$A933),Reference!$O:$P,2,false) &amp;
"" &gt;= "" &amp; Reference!$R$2)) * M934,"""")"),"")</f>
        <v/>
      </c>
      <c r="O934" s="84" t="str">
        <f t="shared" si="2"/>
        <v/>
      </c>
    </row>
    <row r="935">
      <c r="A935" s="84"/>
      <c r="B935" s="84"/>
      <c r="C935" s="85"/>
      <c r="D935" s="86"/>
      <c r="E935" s="87"/>
      <c r="F935" s="86"/>
      <c r="G935" s="87"/>
      <c r="H935" s="86"/>
      <c r="I935" s="86"/>
      <c r="J935" s="86"/>
      <c r="K935" s="84"/>
      <c r="L935" s="84" t="str">
        <f>IFERROR(__xludf.DUMMYFUNCTION("IF(A935="""","""", COUNT(SPLIT(K935,"";"")))"),"")</f>
        <v/>
      </c>
      <c r="M935" s="84" t="str">
        <f t="shared" si="1"/>
        <v/>
      </c>
      <c r="N935" s="84" t="str">
        <f>IFERROR(__xludf.DUMMYFUNCTION("IFERROR(AVERAGE(query(INDIRECT(""'FR Table'!"" &amp; vlookup(rows($A$1:$A934),Reference!$O:$P,2,false) &amp; ""3:"" &amp; vlookup(rows($A$1:$A934),Reference!$O:$P,2,false)), 
""SELECT "" &amp; vlookup(rows($A$1:$A934),Reference!$O:$P,2,false) 
&amp; "" WHERE "" &amp; vlookup(row"&amp;"s($A$1:$A934),Reference!$O:$P,2,false) &amp;
"" &gt;= "" &amp; Reference!$R$2)) * M935,"""")"),"")</f>
        <v/>
      </c>
      <c r="O935" s="84" t="str">
        <f t="shared" si="2"/>
        <v/>
      </c>
    </row>
    <row r="936">
      <c r="A936" s="84"/>
      <c r="B936" s="84"/>
      <c r="C936" s="85"/>
      <c r="D936" s="86"/>
      <c r="E936" s="87"/>
      <c r="F936" s="86"/>
      <c r="G936" s="87"/>
      <c r="H936" s="86"/>
      <c r="I936" s="86"/>
      <c r="J936" s="86"/>
      <c r="K936" s="84"/>
      <c r="L936" s="84" t="str">
        <f>IFERROR(__xludf.DUMMYFUNCTION("IF(A936="""","""", COUNT(SPLIT(K936,"";"")))"),"")</f>
        <v/>
      </c>
      <c r="M936" s="84" t="str">
        <f t="shared" si="1"/>
        <v/>
      </c>
      <c r="N936" s="84" t="str">
        <f>IFERROR(__xludf.DUMMYFUNCTION("IFERROR(AVERAGE(query(INDIRECT(""'FR Table'!"" &amp; vlookup(rows($A$1:$A935),Reference!$O:$P,2,false) &amp; ""3:"" &amp; vlookup(rows($A$1:$A935),Reference!$O:$P,2,false)), 
""SELECT "" &amp; vlookup(rows($A$1:$A935),Reference!$O:$P,2,false) 
&amp; "" WHERE "" &amp; vlookup(row"&amp;"s($A$1:$A935),Reference!$O:$P,2,false) &amp;
"" &gt;= "" &amp; Reference!$R$2)) * M936,"""")"),"")</f>
        <v/>
      </c>
      <c r="O936" s="84" t="str">
        <f t="shared" si="2"/>
        <v/>
      </c>
    </row>
    <row r="937">
      <c r="A937" s="84"/>
      <c r="B937" s="84"/>
      <c r="C937" s="85"/>
      <c r="D937" s="86"/>
      <c r="E937" s="87"/>
      <c r="F937" s="86"/>
      <c r="G937" s="87"/>
      <c r="H937" s="86"/>
      <c r="I937" s="86"/>
      <c r="J937" s="86"/>
      <c r="K937" s="84"/>
      <c r="L937" s="84" t="str">
        <f>IFERROR(__xludf.DUMMYFUNCTION("IF(A937="""","""", COUNT(SPLIT(K937,"";"")))"),"")</f>
        <v/>
      </c>
      <c r="M937" s="84" t="str">
        <f t="shared" si="1"/>
        <v/>
      </c>
      <c r="N937" s="84" t="str">
        <f>IFERROR(__xludf.DUMMYFUNCTION("IFERROR(AVERAGE(query(INDIRECT(""'FR Table'!"" &amp; vlookup(rows($A$1:$A936),Reference!$O:$P,2,false) &amp; ""3:"" &amp; vlookup(rows($A$1:$A936),Reference!$O:$P,2,false)), 
""SELECT "" &amp; vlookup(rows($A$1:$A936),Reference!$O:$P,2,false) 
&amp; "" WHERE "" &amp; vlookup(row"&amp;"s($A$1:$A936),Reference!$O:$P,2,false) &amp;
"" &gt;= "" &amp; Reference!$R$2)) * M937,"""")"),"")</f>
        <v/>
      </c>
      <c r="O937" s="84" t="str">
        <f t="shared" si="2"/>
        <v/>
      </c>
    </row>
    <row r="938">
      <c r="A938" s="84"/>
      <c r="B938" s="84"/>
      <c r="C938" s="85"/>
      <c r="D938" s="86"/>
      <c r="E938" s="87"/>
      <c r="F938" s="86"/>
      <c r="G938" s="87"/>
      <c r="H938" s="86"/>
      <c r="I938" s="86"/>
      <c r="J938" s="86"/>
      <c r="K938" s="84"/>
      <c r="L938" s="84" t="str">
        <f>IFERROR(__xludf.DUMMYFUNCTION("IF(A938="""","""", COUNT(SPLIT(K938,"";"")))"),"")</f>
        <v/>
      </c>
      <c r="M938" s="84" t="str">
        <f t="shared" si="1"/>
        <v/>
      </c>
      <c r="N938" s="84" t="str">
        <f>IFERROR(__xludf.DUMMYFUNCTION("IFERROR(AVERAGE(query(INDIRECT(""'FR Table'!"" &amp; vlookup(rows($A$1:$A937),Reference!$O:$P,2,false) &amp; ""3:"" &amp; vlookup(rows($A$1:$A937),Reference!$O:$P,2,false)), 
""SELECT "" &amp; vlookup(rows($A$1:$A937),Reference!$O:$P,2,false) 
&amp; "" WHERE "" &amp; vlookup(row"&amp;"s($A$1:$A937),Reference!$O:$P,2,false) &amp;
"" &gt;= "" &amp; Reference!$R$2)) * M938,"""")"),"")</f>
        <v/>
      </c>
      <c r="O938" s="84" t="str">
        <f t="shared" si="2"/>
        <v/>
      </c>
    </row>
    <row r="939">
      <c r="A939" s="84"/>
      <c r="B939" s="84"/>
      <c r="C939" s="85"/>
      <c r="D939" s="86"/>
      <c r="E939" s="87"/>
      <c r="F939" s="86"/>
      <c r="G939" s="87"/>
      <c r="H939" s="86"/>
      <c r="I939" s="86"/>
      <c r="J939" s="86"/>
      <c r="K939" s="84"/>
      <c r="L939" s="84" t="str">
        <f>IFERROR(__xludf.DUMMYFUNCTION("IF(A939="""","""", COUNT(SPLIT(K939,"";"")))"),"")</f>
        <v/>
      </c>
      <c r="M939" s="84" t="str">
        <f t="shared" si="1"/>
        <v/>
      </c>
      <c r="N939" s="84" t="str">
        <f>IFERROR(__xludf.DUMMYFUNCTION("IFERROR(AVERAGE(query(INDIRECT(""'FR Table'!"" &amp; vlookup(rows($A$1:$A938),Reference!$O:$P,2,false) &amp; ""3:"" &amp; vlookup(rows($A$1:$A938),Reference!$O:$P,2,false)), 
""SELECT "" &amp; vlookup(rows($A$1:$A938),Reference!$O:$P,2,false) 
&amp; "" WHERE "" &amp; vlookup(row"&amp;"s($A$1:$A938),Reference!$O:$P,2,false) &amp;
"" &gt;= "" &amp; Reference!$R$2)) * M939,"""")"),"")</f>
        <v/>
      </c>
      <c r="O939" s="84" t="str">
        <f t="shared" si="2"/>
        <v/>
      </c>
    </row>
    <row r="940">
      <c r="A940" s="84"/>
      <c r="B940" s="84"/>
      <c r="C940" s="85"/>
      <c r="D940" s="86"/>
      <c r="E940" s="87"/>
      <c r="F940" s="86"/>
      <c r="G940" s="87"/>
      <c r="H940" s="86"/>
      <c r="I940" s="86"/>
      <c r="J940" s="86"/>
      <c r="K940" s="84"/>
      <c r="L940" s="84" t="str">
        <f>IFERROR(__xludf.DUMMYFUNCTION("IF(A940="""","""", COUNT(SPLIT(K940,"";"")))"),"")</f>
        <v/>
      </c>
      <c r="M940" s="84" t="str">
        <f t="shared" si="1"/>
        <v/>
      </c>
      <c r="N940" s="84" t="str">
        <f>IFERROR(__xludf.DUMMYFUNCTION("IFERROR(AVERAGE(query(INDIRECT(""'FR Table'!"" &amp; vlookup(rows($A$1:$A939),Reference!$O:$P,2,false) &amp; ""3:"" &amp; vlookup(rows($A$1:$A939),Reference!$O:$P,2,false)), 
""SELECT "" &amp; vlookup(rows($A$1:$A939),Reference!$O:$P,2,false) 
&amp; "" WHERE "" &amp; vlookup(row"&amp;"s($A$1:$A939),Reference!$O:$P,2,false) &amp;
"" &gt;= "" &amp; Reference!$R$2)) * M940,"""")"),"")</f>
        <v/>
      </c>
      <c r="O940" s="84" t="str">
        <f t="shared" si="2"/>
        <v/>
      </c>
    </row>
    <row r="941">
      <c r="A941" s="84"/>
      <c r="B941" s="84"/>
      <c r="C941" s="85"/>
      <c r="D941" s="86"/>
      <c r="E941" s="87"/>
      <c r="F941" s="86"/>
      <c r="G941" s="87"/>
      <c r="H941" s="86"/>
      <c r="I941" s="86"/>
      <c r="J941" s="86"/>
      <c r="K941" s="84"/>
      <c r="L941" s="84" t="str">
        <f>IFERROR(__xludf.DUMMYFUNCTION("IF(A941="""","""", COUNT(SPLIT(K941,"";"")))"),"")</f>
        <v/>
      </c>
      <c r="M941" s="84" t="str">
        <f t="shared" si="1"/>
        <v/>
      </c>
      <c r="N941" s="84" t="str">
        <f>IFERROR(__xludf.DUMMYFUNCTION("IFERROR(AVERAGE(query(INDIRECT(""'FR Table'!"" &amp; vlookup(rows($A$1:$A940),Reference!$O:$P,2,false) &amp; ""3:"" &amp; vlookup(rows($A$1:$A940),Reference!$O:$P,2,false)), 
""SELECT "" &amp; vlookup(rows($A$1:$A940),Reference!$O:$P,2,false) 
&amp; "" WHERE "" &amp; vlookup(row"&amp;"s($A$1:$A940),Reference!$O:$P,2,false) &amp;
"" &gt;= "" &amp; Reference!$R$2)) * M941,"""")"),"")</f>
        <v/>
      </c>
      <c r="O941" s="84" t="str">
        <f t="shared" si="2"/>
        <v/>
      </c>
    </row>
    <row r="942">
      <c r="A942" s="84"/>
      <c r="B942" s="84"/>
      <c r="C942" s="85"/>
      <c r="D942" s="86"/>
      <c r="E942" s="87"/>
      <c r="F942" s="86"/>
      <c r="G942" s="87"/>
      <c r="H942" s="86"/>
      <c r="I942" s="86"/>
      <c r="J942" s="86"/>
      <c r="K942" s="84"/>
      <c r="L942" s="84" t="str">
        <f>IFERROR(__xludf.DUMMYFUNCTION("IF(A942="""","""", COUNT(SPLIT(K942,"";"")))"),"")</f>
        <v/>
      </c>
      <c r="M942" s="84" t="str">
        <f t="shared" si="1"/>
        <v/>
      </c>
      <c r="N942" s="84" t="str">
        <f>IFERROR(__xludf.DUMMYFUNCTION("IFERROR(AVERAGE(query(INDIRECT(""'FR Table'!"" &amp; vlookup(rows($A$1:$A941),Reference!$O:$P,2,false) &amp; ""3:"" &amp; vlookup(rows($A$1:$A941),Reference!$O:$P,2,false)), 
""SELECT "" &amp; vlookup(rows($A$1:$A941),Reference!$O:$P,2,false) 
&amp; "" WHERE "" &amp; vlookup(row"&amp;"s($A$1:$A941),Reference!$O:$P,2,false) &amp;
"" &gt;= "" &amp; Reference!$R$2)) * M942,"""")"),"")</f>
        <v/>
      </c>
      <c r="O942" s="84" t="str">
        <f t="shared" si="2"/>
        <v/>
      </c>
    </row>
    <row r="943">
      <c r="A943" s="84"/>
      <c r="B943" s="84"/>
      <c r="C943" s="85"/>
      <c r="D943" s="86"/>
      <c r="E943" s="87"/>
      <c r="F943" s="86"/>
      <c r="G943" s="87"/>
      <c r="H943" s="86"/>
      <c r="I943" s="86"/>
      <c r="J943" s="86"/>
      <c r="K943" s="84"/>
      <c r="L943" s="84" t="str">
        <f>IFERROR(__xludf.DUMMYFUNCTION("IF(A943="""","""", COUNT(SPLIT(K943,"";"")))"),"")</f>
        <v/>
      </c>
      <c r="M943" s="84" t="str">
        <f t="shared" si="1"/>
        <v/>
      </c>
      <c r="N943" s="84" t="str">
        <f>IFERROR(__xludf.DUMMYFUNCTION("IFERROR(AVERAGE(query(INDIRECT(""'FR Table'!"" &amp; vlookup(rows($A$1:$A942),Reference!$O:$P,2,false) &amp; ""3:"" &amp; vlookup(rows($A$1:$A942),Reference!$O:$P,2,false)), 
""SELECT "" &amp; vlookup(rows($A$1:$A942),Reference!$O:$P,2,false) 
&amp; "" WHERE "" &amp; vlookup(row"&amp;"s($A$1:$A942),Reference!$O:$P,2,false) &amp;
"" &gt;= "" &amp; Reference!$R$2)) * M943,"""")"),"")</f>
        <v/>
      </c>
      <c r="O943" s="84" t="str">
        <f t="shared" si="2"/>
        <v/>
      </c>
    </row>
    <row r="944">
      <c r="A944" s="84"/>
      <c r="B944" s="84"/>
      <c r="C944" s="85"/>
      <c r="D944" s="86"/>
      <c r="E944" s="87"/>
      <c r="F944" s="86"/>
      <c r="G944" s="87"/>
      <c r="H944" s="86"/>
      <c r="I944" s="86"/>
      <c r="J944" s="86"/>
      <c r="K944" s="84"/>
      <c r="L944" s="84" t="str">
        <f>IFERROR(__xludf.DUMMYFUNCTION("IF(A944="""","""", COUNT(SPLIT(K944,"";"")))"),"")</f>
        <v/>
      </c>
      <c r="M944" s="84" t="str">
        <f t="shared" si="1"/>
        <v/>
      </c>
      <c r="N944" s="84" t="str">
        <f>IFERROR(__xludf.DUMMYFUNCTION("IFERROR(AVERAGE(query(INDIRECT(""'FR Table'!"" &amp; vlookup(rows($A$1:$A943),Reference!$O:$P,2,false) &amp; ""3:"" &amp; vlookup(rows($A$1:$A943),Reference!$O:$P,2,false)), 
""SELECT "" &amp; vlookup(rows($A$1:$A943),Reference!$O:$P,2,false) 
&amp; "" WHERE "" &amp; vlookup(row"&amp;"s($A$1:$A943),Reference!$O:$P,2,false) &amp;
"" &gt;= "" &amp; Reference!$R$2)) * M944,"""")"),"")</f>
        <v/>
      </c>
      <c r="O944" s="84" t="str">
        <f t="shared" si="2"/>
        <v/>
      </c>
    </row>
    <row r="945">
      <c r="A945" s="84"/>
      <c r="B945" s="84"/>
      <c r="C945" s="85"/>
      <c r="D945" s="86"/>
      <c r="E945" s="87"/>
      <c r="F945" s="86"/>
      <c r="G945" s="87"/>
      <c r="H945" s="86"/>
      <c r="I945" s="86"/>
      <c r="J945" s="86"/>
      <c r="K945" s="84"/>
      <c r="L945" s="84" t="str">
        <f>IFERROR(__xludf.DUMMYFUNCTION("IF(A945="""","""", COUNT(SPLIT(K945,"";"")))"),"")</f>
        <v/>
      </c>
      <c r="M945" s="84" t="str">
        <f t="shared" si="1"/>
        <v/>
      </c>
      <c r="N945" s="84" t="str">
        <f>IFERROR(__xludf.DUMMYFUNCTION("IFERROR(AVERAGE(query(INDIRECT(""'FR Table'!"" &amp; vlookup(rows($A$1:$A944),Reference!$O:$P,2,false) &amp; ""3:"" &amp; vlookup(rows($A$1:$A944),Reference!$O:$P,2,false)), 
""SELECT "" &amp; vlookup(rows($A$1:$A944),Reference!$O:$P,2,false) 
&amp; "" WHERE "" &amp; vlookup(row"&amp;"s($A$1:$A944),Reference!$O:$P,2,false) &amp;
"" &gt;= "" &amp; Reference!$R$2)) * M945,"""")"),"")</f>
        <v/>
      </c>
      <c r="O945" s="84" t="str">
        <f t="shared" si="2"/>
        <v/>
      </c>
    </row>
    <row r="946">
      <c r="A946" s="84"/>
      <c r="B946" s="84"/>
      <c r="C946" s="85"/>
      <c r="D946" s="86"/>
      <c r="E946" s="87"/>
      <c r="F946" s="86"/>
      <c r="G946" s="87"/>
      <c r="H946" s="86"/>
      <c r="I946" s="86"/>
      <c r="J946" s="86"/>
      <c r="K946" s="84"/>
      <c r="L946" s="84" t="str">
        <f>IFERROR(__xludf.DUMMYFUNCTION("IF(A946="""","""", COUNT(SPLIT(K946,"";"")))"),"")</f>
        <v/>
      </c>
      <c r="M946" s="84" t="str">
        <f t="shared" si="1"/>
        <v/>
      </c>
      <c r="N946" s="84" t="str">
        <f>IFERROR(__xludf.DUMMYFUNCTION("IFERROR(AVERAGE(query(INDIRECT(""'FR Table'!"" &amp; vlookup(rows($A$1:$A945),Reference!$O:$P,2,false) &amp; ""3:"" &amp; vlookup(rows($A$1:$A945),Reference!$O:$P,2,false)), 
""SELECT "" &amp; vlookup(rows($A$1:$A945),Reference!$O:$P,2,false) 
&amp; "" WHERE "" &amp; vlookup(row"&amp;"s($A$1:$A945),Reference!$O:$P,2,false) &amp;
"" &gt;= "" &amp; Reference!$R$2)) * M946,"""")"),"")</f>
        <v/>
      </c>
      <c r="O946" s="84" t="str">
        <f t="shared" si="2"/>
        <v/>
      </c>
    </row>
    <row r="947">
      <c r="A947" s="84"/>
      <c r="B947" s="84"/>
      <c r="C947" s="85"/>
      <c r="D947" s="86"/>
      <c r="E947" s="87"/>
      <c r="F947" s="86"/>
      <c r="G947" s="87"/>
      <c r="H947" s="86"/>
      <c r="I947" s="86"/>
      <c r="J947" s="86"/>
      <c r="K947" s="84"/>
      <c r="L947" s="84" t="str">
        <f>IFERROR(__xludf.DUMMYFUNCTION("IF(A947="""","""", COUNT(SPLIT(K947,"";"")))"),"")</f>
        <v/>
      </c>
      <c r="M947" s="84" t="str">
        <f t="shared" si="1"/>
        <v/>
      </c>
      <c r="N947" s="84" t="str">
        <f>IFERROR(__xludf.DUMMYFUNCTION("IFERROR(AVERAGE(query(INDIRECT(""'FR Table'!"" &amp; vlookup(rows($A$1:$A946),Reference!$O:$P,2,false) &amp; ""3:"" &amp; vlookup(rows($A$1:$A946),Reference!$O:$P,2,false)), 
""SELECT "" &amp; vlookup(rows($A$1:$A946),Reference!$O:$P,2,false) 
&amp; "" WHERE "" &amp; vlookup(row"&amp;"s($A$1:$A946),Reference!$O:$P,2,false) &amp;
"" &gt;= "" &amp; Reference!$R$2)) * M947,"""")"),"")</f>
        <v/>
      </c>
      <c r="O947" s="84" t="str">
        <f t="shared" si="2"/>
        <v/>
      </c>
    </row>
    <row r="948">
      <c r="A948" s="84"/>
      <c r="B948" s="84"/>
      <c r="C948" s="85"/>
      <c r="D948" s="86"/>
      <c r="E948" s="87"/>
      <c r="F948" s="86"/>
      <c r="G948" s="87"/>
      <c r="H948" s="86"/>
      <c r="I948" s="86"/>
      <c r="J948" s="86"/>
      <c r="K948" s="84"/>
      <c r="L948" s="84" t="str">
        <f>IFERROR(__xludf.DUMMYFUNCTION("IF(A948="""","""", COUNT(SPLIT(K948,"";"")))"),"")</f>
        <v/>
      </c>
      <c r="M948" s="84" t="str">
        <f t="shared" si="1"/>
        <v/>
      </c>
      <c r="N948" s="84" t="str">
        <f>IFERROR(__xludf.DUMMYFUNCTION("IFERROR(AVERAGE(query(INDIRECT(""'FR Table'!"" &amp; vlookup(rows($A$1:$A947),Reference!$O:$P,2,false) &amp; ""3:"" &amp; vlookup(rows($A$1:$A947),Reference!$O:$P,2,false)), 
""SELECT "" &amp; vlookup(rows($A$1:$A947),Reference!$O:$P,2,false) 
&amp; "" WHERE "" &amp; vlookup(row"&amp;"s($A$1:$A947),Reference!$O:$P,2,false) &amp;
"" &gt;= "" &amp; Reference!$R$2)) * M948,"""")"),"")</f>
        <v/>
      </c>
      <c r="O948" s="84" t="str">
        <f t="shared" si="2"/>
        <v/>
      </c>
    </row>
    <row r="949">
      <c r="A949" s="84"/>
      <c r="B949" s="84"/>
      <c r="C949" s="85"/>
      <c r="D949" s="86"/>
      <c r="E949" s="87"/>
      <c r="F949" s="86"/>
      <c r="G949" s="87"/>
      <c r="H949" s="86"/>
      <c r="I949" s="86"/>
      <c r="J949" s="86"/>
      <c r="K949" s="84"/>
      <c r="L949" s="84" t="str">
        <f>IFERROR(__xludf.DUMMYFUNCTION("IF(A949="""","""", COUNT(SPLIT(K949,"";"")))"),"")</f>
        <v/>
      </c>
      <c r="M949" s="84" t="str">
        <f t="shared" si="1"/>
        <v/>
      </c>
      <c r="N949" s="84" t="str">
        <f>IFERROR(__xludf.DUMMYFUNCTION("IFERROR(AVERAGE(query(INDIRECT(""'FR Table'!"" &amp; vlookup(rows($A$1:$A948),Reference!$O:$P,2,false) &amp; ""3:"" &amp; vlookup(rows($A$1:$A948),Reference!$O:$P,2,false)), 
""SELECT "" &amp; vlookup(rows($A$1:$A948),Reference!$O:$P,2,false) 
&amp; "" WHERE "" &amp; vlookup(row"&amp;"s($A$1:$A948),Reference!$O:$P,2,false) &amp;
"" &gt;= "" &amp; Reference!$R$2)) * M949,"""")"),"")</f>
        <v/>
      </c>
      <c r="O949" s="84" t="str">
        <f t="shared" si="2"/>
        <v/>
      </c>
    </row>
    <row r="950">
      <c r="A950" s="84"/>
      <c r="B950" s="84"/>
      <c r="C950" s="85"/>
      <c r="D950" s="86"/>
      <c r="E950" s="87"/>
      <c r="F950" s="86"/>
      <c r="G950" s="87"/>
      <c r="H950" s="86"/>
      <c r="I950" s="86"/>
      <c r="J950" s="86"/>
      <c r="K950" s="84"/>
      <c r="L950" s="84" t="str">
        <f>IFERROR(__xludf.DUMMYFUNCTION("IF(A950="""","""", COUNT(SPLIT(K950,"";"")))"),"")</f>
        <v/>
      </c>
      <c r="M950" s="84" t="str">
        <f t="shared" si="1"/>
        <v/>
      </c>
      <c r="N950" s="84" t="str">
        <f>IFERROR(__xludf.DUMMYFUNCTION("IFERROR(AVERAGE(query(INDIRECT(""'FR Table'!"" &amp; vlookup(rows($A$1:$A949),Reference!$O:$P,2,false) &amp; ""3:"" &amp; vlookup(rows($A$1:$A949),Reference!$O:$P,2,false)), 
""SELECT "" &amp; vlookup(rows($A$1:$A949),Reference!$O:$P,2,false) 
&amp; "" WHERE "" &amp; vlookup(row"&amp;"s($A$1:$A949),Reference!$O:$P,2,false) &amp;
"" &gt;= "" &amp; Reference!$R$2)) * M950,"""")"),"")</f>
        <v/>
      </c>
      <c r="O950" s="84" t="str">
        <f t="shared" si="2"/>
        <v/>
      </c>
    </row>
    <row r="951">
      <c r="A951" s="84"/>
      <c r="B951" s="84"/>
      <c r="C951" s="85"/>
      <c r="D951" s="86"/>
      <c r="E951" s="87"/>
      <c r="F951" s="86"/>
      <c r="G951" s="87"/>
      <c r="H951" s="86"/>
      <c r="I951" s="86"/>
      <c r="J951" s="86"/>
      <c r="K951" s="84"/>
      <c r="L951" s="84" t="str">
        <f>IFERROR(__xludf.DUMMYFUNCTION("IF(A951="""","""", COUNT(SPLIT(K951,"";"")))"),"")</f>
        <v/>
      </c>
      <c r="M951" s="84" t="str">
        <f t="shared" si="1"/>
        <v/>
      </c>
      <c r="N951" s="84" t="str">
        <f>IFERROR(__xludf.DUMMYFUNCTION("IFERROR(AVERAGE(query(INDIRECT(""'FR Table'!"" &amp; vlookup(rows($A$1:$A950),Reference!$O:$P,2,false) &amp; ""3:"" &amp; vlookup(rows($A$1:$A950),Reference!$O:$P,2,false)), 
""SELECT "" &amp; vlookup(rows($A$1:$A950),Reference!$O:$P,2,false) 
&amp; "" WHERE "" &amp; vlookup(row"&amp;"s($A$1:$A950),Reference!$O:$P,2,false) &amp;
"" &gt;= "" &amp; Reference!$R$2)) * M951,"""")"),"")</f>
        <v/>
      </c>
      <c r="O951" s="84" t="str">
        <f t="shared" si="2"/>
        <v/>
      </c>
    </row>
    <row r="952">
      <c r="A952" s="84"/>
      <c r="B952" s="84"/>
      <c r="C952" s="85"/>
      <c r="D952" s="86"/>
      <c r="E952" s="87"/>
      <c r="F952" s="86"/>
      <c r="G952" s="87"/>
      <c r="H952" s="86"/>
      <c r="I952" s="86"/>
      <c r="J952" s="86"/>
      <c r="K952" s="84"/>
      <c r="L952" s="84" t="str">
        <f>IFERROR(__xludf.DUMMYFUNCTION("IF(A952="""","""", COUNT(SPLIT(K952,"";"")))"),"")</f>
        <v/>
      </c>
      <c r="M952" s="84" t="str">
        <f t="shared" si="1"/>
        <v/>
      </c>
      <c r="N952" s="84" t="str">
        <f>IFERROR(__xludf.DUMMYFUNCTION("IFERROR(AVERAGE(query(INDIRECT(""'FR Table'!"" &amp; vlookup(rows($A$1:$A951),Reference!$O:$P,2,false) &amp; ""3:"" &amp; vlookup(rows($A$1:$A951),Reference!$O:$P,2,false)), 
""SELECT "" &amp; vlookup(rows($A$1:$A951),Reference!$O:$P,2,false) 
&amp; "" WHERE "" &amp; vlookup(row"&amp;"s($A$1:$A951),Reference!$O:$P,2,false) &amp;
"" &gt;= "" &amp; Reference!$R$2)) * M952,"""")"),"")</f>
        <v/>
      </c>
      <c r="O952" s="84" t="str">
        <f t="shared" si="2"/>
        <v/>
      </c>
    </row>
    <row r="953">
      <c r="A953" s="84"/>
      <c r="B953" s="84"/>
      <c r="C953" s="85"/>
      <c r="D953" s="86"/>
      <c r="E953" s="87"/>
      <c r="F953" s="86"/>
      <c r="G953" s="87"/>
      <c r="H953" s="86"/>
      <c r="I953" s="86"/>
      <c r="J953" s="86"/>
      <c r="K953" s="84"/>
      <c r="L953" s="84" t="str">
        <f>IFERROR(__xludf.DUMMYFUNCTION("IF(A953="""","""", COUNT(SPLIT(K953,"";"")))"),"")</f>
        <v/>
      </c>
      <c r="M953" s="84" t="str">
        <f t="shared" si="1"/>
        <v/>
      </c>
      <c r="N953" s="84" t="str">
        <f>IFERROR(__xludf.DUMMYFUNCTION("IFERROR(AVERAGE(query(INDIRECT(""'FR Table'!"" &amp; vlookup(rows($A$1:$A952),Reference!$O:$P,2,false) &amp; ""3:"" &amp; vlookup(rows($A$1:$A952),Reference!$O:$P,2,false)), 
""SELECT "" &amp; vlookup(rows($A$1:$A952),Reference!$O:$P,2,false) 
&amp; "" WHERE "" &amp; vlookup(row"&amp;"s($A$1:$A952),Reference!$O:$P,2,false) &amp;
"" &gt;= "" &amp; Reference!$R$2)) * M953,"""")"),"")</f>
        <v/>
      </c>
      <c r="O953" s="84" t="str">
        <f t="shared" si="2"/>
        <v/>
      </c>
    </row>
    <row r="954">
      <c r="A954" s="84"/>
      <c r="B954" s="84"/>
      <c r="C954" s="85"/>
      <c r="D954" s="86"/>
      <c r="E954" s="87"/>
      <c r="F954" s="86"/>
      <c r="G954" s="87"/>
      <c r="H954" s="86"/>
      <c r="I954" s="86"/>
      <c r="J954" s="86"/>
      <c r="K954" s="84"/>
      <c r="L954" s="84" t="str">
        <f>IFERROR(__xludf.DUMMYFUNCTION("IF(A954="""","""", COUNT(SPLIT(K954,"";"")))"),"")</f>
        <v/>
      </c>
      <c r="M954" s="84" t="str">
        <f t="shared" si="1"/>
        <v/>
      </c>
      <c r="N954" s="84" t="str">
        <f>IFERROR(__xludf.DUMMYFUNCTION("IFERROR(AVERAGE(query(INDIRECT(""'FR Table'!"" &amp; vlookup(rows($A$1:$A953),Reference!$O:$P,2,false) &amp; ""3:"" &amp; vlookup(rows($A$1:$A953),Reference!$O:$P,2,false)), 
""SELECT "" &amp; vlookup(rows($A$1:$A953),Reference!$O:$P,2,false) 
&amp; "" WHERE "" &amp; vlookup(row"&amp;"s($A$1:$A953),Reference!$O:$P,2,false) &amp;
"" &gt;= "" &amp; Reference!$R$2)) * M954,"""")"),"")</f>
        <v/>
      </c>
      <c r="O954" s="84" t="str">
        <f t="shared" si="2"/>
        <v/>
      </c>
    </row>
    <row r="955">
      <c r="A955" s="84"/>
      <c r="B955" s="84"/>
      <c r="C955" s="85"/>
      <c r="D955" s="86"/>
      <c r="E955" s="87"/>
      <c r="F955" s="86"/>
      <c r="G955" s="87"/>
      <c r="H955" s="86"/>
      <c r="I955" s="86"/>
      <c r="J955" s="86"/>
      <c r="K955" s="84"/>
      <c r="L955" s="84" t="str">
        <f>IFERROR(__xludf.DUMMYFUNCTION("IF(A955="""","""", COUNT(SPLIT(K955,"";"")))"),"")</f>
        <v/>
      </c>
      <c r="M955" s="84" t="str">
        <f t="shared" si="1"/>
        <v/>
      </c>
      <c r="N955" s="84" t="str">
        <f>IFERROR(__xludf.DUMMYFUNCTION("IFERROR(AVERAGE(query(INDIRECT(""'FR Table'!"" &amp; vlookup(rows($A$1:$A954),Reference!$O:$P,2,false) &amp; ""3:"" &amp; vlookup(rows($A$1:$A954),Reference!$O:$P,2,false)), 
""SELECT "" &amp; vlookup(rows($A$1:$A954),Reference!$O:$P,2,false) 
&amp; "" WHERE "" &amp; vlookup(row"&amp;"s($A$1:$A954),Reference!$O:$P,2,false) &amp;
"" &gt;= "" &amp; Reference!$R$2)) * M955,"""")"),"")</f>
        <v/>
      </c>
      <c r="O955" s="84" t="str">
        <f t="shared" si="2"/>
        <v/>
      </c>
    </row>
    <row r="956">
      <c r="A956" s="84"/>
      <c r="B956" s="84"/>
      <c r="C956" s="85"/>
      <c r="D956" s="86"/>
      <c r="E956" s="87"/>
      <c r="F956" s="86"/>
      <c r="G956" s="87"/>
      <c r="H956" s="86"/>
      <c r="I956" s="86"/>
      <c r="J956" s="86"/>
      <c r="K956" s="84"/>
      <c r="L956" s="84" t="str">
        <f>IFERROR(__xludf.DUMMYFUNCTION("IF(A956="""","""", COUNT(SPLIT(K956,"";"")))"),"")</f>
        <v/>
      </c>
      <c r="M956" s="84" t="str">
        <f t="shared" si="1"/>
        <v/>
      </c>
      <c r="N956" s="84" t="str">
        <f>IFERROR(__xludf.DUMMYFUNCTION("IFERROR(AVERAGE(query(INDIRECT(""'FR Table'!"" &amp; vlookup(rows($A$1:$A955),Reference!$O:$P,2,false) &amp; ""3:"" &amp; vlookup(rows($A$1:$A955),Reference!$O:$P,2,false)), 
""SELECT "" &amp; vlookup(rows($A$1:$A955),Reference!$O:$P,2,false) 
&amp; "" WHERE "" &amp; vlookup(row"&amp;"s($A$1:$A955),Reference!$O:$P,2,false) &amp;
"" &gt;= "" &amp; Reference!$R$2)) * M956,"""")"),"")</f>
        <v/>
      </c>
      <c r="O956" s="84" t="str">
        <f t="shared" si="2"/>
        <v/>
      </c>
    </row>
    <row r="957">
      <c r="A957" s="84"/>
      <c r="B957" s="84"/>
      <c r="C957" s="85"/>
      <c r="D957" s="86"/>
      <c r="E957" s="87"/>
      <c r="F957" s="86"/>
      <c r="G957" s="87"/>
      <c r="H957" s="86"/>
      <c r="I957" s="86"/>
      <c r="J957" s="86"/>
      <c r="K957" s="84"/>
      <c r="L957" s="84" t="str">
        <f>IFERROR(__xludf.DUMMYFUNCTION("IF(A957="""","""", COUNT(SPLIT(K957,"";"")))"),"")</f>
        <v/>
      </c>
      <c r="M957" s="84" t="str">
        <f t="shared" si="1"/>
        <v/>
      </c>
      <c r="N957" s="84" t="str">
        <f>IFERROR(__xludf.DUMMYFUNCTION("IFERROR(AVERAGE(query(INDIRECT(""'FR Table'!"" &amp; vlookup(rows($A$1:$A956),Reference!$O:$P,2,false) &amp; ""3:"" &amp; vlookup(rows($A$1:$A956),Reference!$O:$P,2,false)), 
""SELECT "" &amp; vlookup(rows($A$1:$A956),Reference!$O:$P,2,false) 
&amp; "" WHERE "" &amp; vlookup(row"&amp;"s($A$1:$A956),Reference!$O:$P,2,false) &amp;
"" &gt;= "" &amp; Reference!$R$2)) * M957,"""")"),"")</f>
        <v/>
      </c>
      <c r="O957" s="84" t="str">
        <f t="shared" si="2"/>
        <v/>
      </c>
    </row>
    <row r="958">
      <c r="A958" s="84"/>
      <c r="B958" s="84"/>
      <c r="C958" s="85"/>
      <c r="D958" s="86"/>
      <c r="E958" s="87"/>
      <c r="F958" s="86"/>
      <c r="G958" s="87"/>
      <c r="H958" s="86"/>
      <c r="I958" s="86"/>
      <c r="J958" s="86"/>
      <c r="K958" s="84"/>
      <c r="L958" s="84" t="str">
        <f>IFERROR(__xludf.DUMMYFUNCTION("IF(A958="""","""", COUNT(SPLIT(K958,"";"")))"),"")</f>
        <v/>
      </c>
      <c r="M958" s="84" t="str">
        <f t="shared" si="1"/>
        <v/>
      </c>
      <c r="N958" s="84" t="str">
        <f>IFERROR(__xludf.DUMMYFUNCTION("IFERROR(AVERAGE(query(INDIRECT(""'FR Table'!"" &amp; vlookup(rows($A$1:$A957),Reference!$O:$P,2,false) &amp; ""3:"" &amp; vlookup(rows($A$1:$A957),Reference!$O:$P,2,false)), 
""SELECT "" &amp; vlookup(rows($A$1:$A957),Reference!$O:$P,2,false) 
&amp; "" WHERE "" &amp; vlookup(row"&amp;"s($A$1:$A957),Reference!$O:$P,2,false) &amp;
"" &gt;= "" &amp; Reference!$R$2)) * M958,"""")"),"")</f>
        <v/>
      </c>
      <c r="O958" s="84" t="str">
        <f t="shared" si="2"/>
        <v/>
      </c>
    </row>
    <row r="959">
      <c r="A959" s="84"/>
      <c r="B959" s="84"/>
      <c r="C959" s="85"/>
      <c r="D959" s="86"/>
      <c r="E959" s="87"/>
      <c r="F959" s="86"/>
      <c r="G959" s="87"/>
      <c r="H959" s="86"/>
      <c r="I959" s="86"/>
      <c r="J959" s="86"/>
      <c r="K959" s="84"/>
      <c r="L959" s="84" t="str">
        <f>IFERROR(__xludf.DUMMYFUNCTION("IF(A959="""","""", COUNT(SPLIT(K959,"";"")))"),"")</f>
        <v/>
      </c>
      <c r="M959" s="84" t="str">
        <f t="shared" si="1"/>
        <v/>
      </c>
      <c r="N959" s="84" t="str">
        <f>IFERROR(__xludf.DUMMYFUNCTION("IFERROR(AVERAGE(query(INDIRECT(""'FR Table'!"" &amp; vlookup(rows($A$1:$A958),Reference!$O:$P,2,false) &amp; ""3:"" &amp; vlookup(rows($A$1:$A958),Reference!$O:$P,2,false)), 
""SELECT "" &amp; vlookup(rows($A$1:$A958),Reference!$O:$P,2,false) 
&amp; "" WHERE "" &amp; vlookup(row"&amp;"s($A$1:$A958),Reference!$O:$P,2,false) &amp;
"" &gt;= "" &amp; Reference!$R$2)) * M959,"""")"),"")</f>
        <v/>
      </c>
      <c r="O959" s="84" t="str">
        <f t="shared" si="2"/>
        <v/>
      </c>
    </row>
    <row r="960">
      <c r="A960" s="84"/>
      <c r="B960" s="84"/>
      <c r="C960" s="85"/>
      <c r="D960" s="86"/>
      <c r="E960" s="87"/>
      <c r="F960" s="86"/>
      <c r="G960" s="87"/>
      <c r="H960" s="86"/>
      <c r="I960" s="86"/>
      <c r="J960" s="86"/>
      <c r="K960" s="84"/>
      <c r="L960" s="84" t="str">
        <f>IFERROR(__xludf.DUMMYFUNCTION("IF(A960="""","""", COUNT(SPLIT(K960,"";"")))"),"")</f>
        <v/>
      </c>
      <c r="M960" s="84" t="str">
        <f t="shared" si="1"/>
        <v/>
      </c>
      <c r="N960" s="84" t="str">
        <f>IFERROR(__xludf.DUMMYFUNCTION("IFERROR(AVERAGE(query(INDIRECT(""'FR Table'!"" &amp; vlookup(rows($A$1:$A959),Reference!$O:$P,2,false) &amp; ""3:"" &amp; vlookup(rows($A$1:$A959),Reference!$O:$P,2,false)), 
""SELECT "" &amp; vlookup(rows($A$1:$A959),Reference!$O:$P,2,false) 
&amp; "" WHERE "" &amp; vlookup(row"&amp;"s($A$1:$A959),Reference!$O:$P,2,false) &amp;
"" &gt;= "" &amp; Reference!$R$2)) * M960,"""")"),"")</f>
        <v/>
      </c>
      <c r="O960" s="84" t="str">
        <f t="shared" si="2"/>
        <v/>
      </c>
    </row>
    <row r="961">
      <c r="A961" s="84"/>
      <c r="B961" s="84"/>
      <c r="C961" s="85"/>
      <c r="D961" s="86"/>
      <c r="E961" s="87"/>
      <c r="F961" s="86"/>
      <c r="G961" s="87"/>
      <c r="H961" s="86"/>
      <c r="I961" s="86"/>
      <c r="J961" s="86"/>
      <c r="K961" s="84"/>
      <c r="L961" s="84" t="str">
        <f>IFERROR(__xludf.DUMMYFUNCTION("IF(A961="""","""", COUNT(SPLIT(K961,"";"")))"),"")</f>
        <v/>
      </c>
      <c r="M961" s="84" t="str">
        <f t="shared" si="1"/>
        <v/>
      </c>
      <c r="N961" s="84" t="str">
        <f>IFERROR(__xludf.DUMMYFUNCTION("IFERROR(AVERAGE(query(INDIRECT(""'FR Table'!"" &amp; vlookup(rows($A$1:$A960),Reference!$O:$P,2,false) &amp; ""3:"" &amp; vlookup(rows($A$1:$A960),Reference!$O:$P,2,false)), 
""SELECT "" &amp; vlookup(rows($A$1:$A960),Reference!$O:$P,2,false) 
&amp; "" WHERE "" &amp; vlookup(row"&amp;"s($A$1:$A960),Reference!$O:$P,2,false) &amp;
"" &gt;= "" &amp; Reference!$R$2)) * M961,"""")"),"")</f>
        <v/>
      </c>
      <c r="O961" s="84" t="str">
        <f t="shared" si="2"/>
        <v/>
      </c>
    </row>
    <row r="962">
      <c r="A962" s="84"/>
      <c r="B962" s="84"/>
      <c r="C962" s="85"/>
      <c r="D962" s="86"/>
      <c r="E962" s="87"/>
      <c r="F962" s="86"/>
      <c r="G962" s="87"/>
      <c r="H962" s="86"/>
      <c r="I962" s="86"/>
      <c r="J962" s="86"/>
      <c r="K962" s="84"/>
      <c r="L962" s="84" t="str">
        <f>IFERROR(__xludf.DUMMYFUNCTION("IF(A962="""","""", COUNT(SPLIT(K962,"";"")))"),"")</f>
        <v/>
      </c>
      <c r="M962" s="84" t="str">
        <f t="shared" si="1"/>
        <v/>
      </c>
      <c r="N962" s="84" t="str">
        <f>IFERROR(__xludf.DUMMYFUNCTION("IFERROR(AVERAGE(query(INDIRECT(""'FR Table'!"" &amp; vlookup(rows($A$1:$A961),Reference!$O:$P,2,false) &amp; ""3:"" &amp; vlookup(rows($A$1:$A961),Reference!$O:$P,2,false)), 
""SELECT "" &amp; vlookup(rows($A$1:$A961),Reference!$O:$P,2,false) 
&amp; "" WHERE "" &amp; vlookup(row"&amp;"s($A$1:$A961),Reference!$O:$P,2,false) &amp;
"" &gt;= "" &amp; Reference!$R$2)) * M962,"""")"),"")</f>
        <v/>
      </c>
      <c r="O962" s="84" t="str">
        <f t="shared" si="2"/>
        <v/>
      </c>
    </row>
    <row r="963">
      <c r="A963" s="84"/>
      <c r="B963" s="84"/>
      <c r="C963" s="85"/>
      <c r="D963" s="86"/>
      <c r="E963" s="87"/>
      <c r="F963" s="86"/>
      <c r="G963" s="87"/>
      <c r="H963" s="86"/>
      <c r="I963" s="86"/>
      <c r="J963" s="86"/>
      <c r="K963" s="84"/>
      <c r="L963" s="84" t="str">
        <f>IFERROR(__xludf.DUMMYFUNCTION("IF(A963="""","""", COUNT(SPLIT(K963,"";"")))"),"")</f>
        <v/>
      </c>
      <c r="M963" s="84" t="str">
        <f t="shared" si="1"/>
        <v/>
      </c>
      <c r="N963" s="84" t="str">
        <f>IFERROR(__xludf.DUMMYFUNCTION("IFERROR(AVERAGE(query(INDIRECT(""'FR Table'!"" &amp; vlookup(rows($A$1:$A962),Reference!$O:$P,2,false) &amp; ""3:"" &amp; vlookup(rows($A$1:$A962),Reference!$O:$P,2,false)), 
""SELECT "" &amp; vlookup(rows($A$1:$A962),Reference!$O:$P,2,false) 
&amp; "" WHERE "" &amp; vlookup(row"&amp;"s($A$1:$A962),Reference!$O:$P,2,false) &amp;
"" &gt;= "" &amp; Reference!$R$2)) * M963,"""")"),"")</f>
        <v/>
      </c>
      <c r="O963" s="84" t="str">
        <f t="shared" si="2"/>
        <v/>
      </c>
    </row>
    <row r="964">
      <c r="A964" s="84"/>
      <c r="B964" s="84"/>
      <c r="C964" s="85"/>
      <c r="D964" s="86"/>
      <c r="E964" s="87"/>
      <c r="F964" s="86"/>
      <c r="G964" s="87"/>
      <c r="H964" s="86"/>
      <c r="I964" s="86"/>
      <c r="J964" s="86"/>
      <c r="K964" s="84"/>
      <c r="L964" s="84" t="str">
        <f>IFERROR(__xludf.DUMMYFUNCTION("IF(A964="""","""", COUNT(SPLIT(K964,"";"")))"),"")</f>
        <v/>
      </c>
      <c r="M964" s="84" t="str">
        <f t="shared" si="1"/>
        <v/>
      </c>
      <c r="N964" s="84" t="str">
        <f>IFERROR(__xludf.DUMMYFUNCTION("IFERROR(AVERAGE(query(INDIRECT(""'FR Table'!"" &amp; vlookup(rows($A$1:$A963),Reference!$O:$P,2,false) &amp; ""3:"" &amp; vlookup(rows($A$1:$A963),Reference!$O:$P,2,false)), 
""SELECT "" &amp; vlookup(rows($A$1:$A963),Reference!$O:$P,2,false) 
&amp; "" WHERE "" &amp; vlookup(row"&amp;"s($A$1:$A963),Reference!$O:$P,2,false) &amp;
"" &gt;= "" &amp; Reference!$R$2)) * M964,"""")"),"")</f>
        <v/>
      </c>
      <c r="O964" s="84" t="str">
        <f t="shared" si="2"/>
        <v/>
      </c>
    </row>
    <row r="965">
      <c r="A965" s="84"/>
      <c r="B965" s="84"/>
      <c r="C965" s="85"/>
      <c r="D965" s="86"/>
      <c r="E965" s="87"/>
      <c r="F965" s="86"/>
      <c r="G965" s="87"/>
      <c r="H965" s="86"/>
      <c r="I965" s="86"/>
      <c r="J965" s="86"/>
      <c r="K965" s="84"/>
      <c r="L965" s="84" t="str">
        <f>IFERROR(__xludf.DUMMYFUNCTION("IF(A965="""","""", COUNT(SPLIT(K965,"";"")))"),"")</f>
        <v/>
      </c>
      <c r="M965" s="84" t="str">
        <f t="shared" si="1"/>
        <v/>
      </c>
      <c r="N965" s="84" t="str">
        <f>IFERROR(__xludf.DUMMYFUNCTION("IFERROR(AVERAGE(query(INDIRECT(""'FR Table'!"" &amp; vlookup(rows($A$1:$A964),Reference!$O:$P,2,false) &amp; ""3:"" &amp; vlookup(rows($A$1:$A964),Reference!$O:$P,2,false)), 
""SELECT "" &amp; vlookup(rows($A$1:$A964),Reference!$O:$P,2,false) 
&amp; "" WHERE "" &amp; vlookup(row"&amp;"s($A$1:$A964),Reference!$O:$P,2,false) &amp;
"" &gt;= "" &amp; Reference!$R$2)) * M965,"""")"),"")</f>
        <v/>
      </c>
      <c r="O965" s="84" t="str">
        <f t="shared" si="2"/>
        <v/>
      </c>
    </row>
    <row r="966">
      <c r="A966" s="84"/>
      <c r="B966" s="84"/>
      <c r="C966" s="85"/>
      <c r="D966" s="86"/>
      <c r="E966" s="87"/>
      <c r="F966" s="86"/>
      <c r="G966" s="87"/>
      <c r="H966" s="86"/>
      <c r="I966" s="86"/>
      <c r="J966" s="86"/>
      <c r="K966" s="84"/>
      <c r="L966" s="84" t="str">
        <f>IFERROR(__xludf.DUMMYFUNCTION("IF(A966="""","""", COUNT(SPLIT(K966,"";"")))"),"")</f>
        <v/>
      </c>
      <c r="M966" s="84" t="str">
        <f t="shared" si="1"/>
        <v/>
      </c>
      <c r="N966" s="84" t="str">
        <f>IFERROR(__xludf.DUMMYFUNCTION("IFERROR(AVERAGE(query(INDIRECT(""'FR Table'!"" &amp; vlookup(rows($A$1:$A965),Reference!$O:$P,2,false) &amp; ""3:"" &amp; vlookup(rows($A$1:$A965),Reference!$O:$P,2,false)), 
""SELECT "" &amp; vlookup(rows($A$1:$A965),Reference!$O:$P,2,false) 
&amp; "" WHERE "" &amp; vlookup(row"&amp;"s($A$1:$A965),Reference!$O:$P,2,false) &amp;
"" &gt;= "" &amp; Reference!$R$2)) * M966,"""")"),"")</f>
        <v/>
      </c>
      <c r="O966" s="84" t="str">
        <f t="shared" si="2"/>
        <v/>
      </c>
    </row>
    <row r="967">
      <c r="A967" s="84"/>
      <c r="B967" s="84"/>
      <c r="C967" s="85"/>
      <c r="D967" s="86"/>
      <c r="E967" s="87"/>
      <c r="F967" s="86"/>
      <c r="G967" s="87"/>
      <c r="H967" s="86"/>
      <c r="I967" s="86"/>
      <c r="J967" s="86"/>
      <c r="K967" s="84"/>
      <c r="L967" s="84" t="str">
        <f>IFERROR(__xludf.DUMMYFUNCTION("IF(A967="""","""", COUNT(SPLIT(K967,"";"")))"),"")</f>
        <v/>
      </c>
      <c r="M967" s="84" t="str">
        <f t="shared" si="1"/>
        <v/>
      </c>
      <c r="N967" s="84" t="str">
        <f>IFERROR(__xludf.DUMMYFUNCTION("IFERROR(AVERAGE(query(INDIRECT(""'FR Table'!"" &amp; vlookup(rows($A$1:$A966),Reference!$O:$P,2,false) &amp; ""3:"" &amp; vlookup(rows($A$1:$A966),Reference!$O:$P,2,false)), 
""SELECT "" &amp; vlookup(rows($A$1:$A966),Reference!$O:$P,2,false) 
&amp; "" WHERE "" &amp; vlookup(row"&amp;"s($A$1:$A966),Reference!$O:$P,2,false) &amp;
"" &gt;= "" &amp; Reference!$R$2)) * M967,"""")"),"")</f>
        <v/>
      </c>
      <c r="O967" s="84" t="str">
        <f t="shared" si="2"/>
        <v/>
      </c>
    </row>
    <row r="968">
      <c r="A968" s="84"/>
      <c r="B968" s="84"/>
      <c r="C968" s="85"/>
      <c r="D968" s="86"/>
      <c r="E968" s="87"/>
      <c r="F968" s="86"/>
      <c r="G968" s="87"/>
      <c r="H968" s="86"/>
      <c r="I968" s="86"/>
      <c r="J968" s="86"/>
      <c r="K968" s="84"/>
      <c r="L968" s="84" t="str">
        <f>IFERROR(__xludf.DUMMYFUNCTION("IF(A968="""","""", COUNT(SPLIT(K968,"";"")))"),"")</f>
        <v/>
      </c>
      <c r="M968" s="84" t="str">
        <f t="shared" si="1"/>
        <v/>
      </c>
      <c r="N968" s="84" t="str">
        <f>IFERROR(__xludf.DUMMYFUNCTION("IFERROR(AVERAGE(query(INDIRECT(""'FR Table'!"" &amp; vlookup(rows($A$1:$A967),Reference!$O:$P,2,false) &amp; ""3:"" &amp; vlookup(rows($A$1:$A967),Reference!$O:$P,2,false)), 
""SELECT "" &amp; vlookup(rows($A$1:$A967),Reference!$O:$P,2,false) 
&amp; "" WHERE "" &amp; vlookup(row"&amp;"s($A$1:$A967),Reference!$O:$P,2,false) &amp;
"" &gt;= "" &amp; Reference!$R$2)) * M968,"""")"),"")</f>
        <v/>
      </c>
      <c r="O968" s="84" t="str">
        <f t="shared" si="2"/>
        <v/>
      </c>
    </row>
    <row r="969">
      <c r="A969" s="84"/>
      <c r="B969" s="84"/>
      <c r="C969" s="85"/>
      <c r="D969" s="86"/>
      <c r="E969" s="87"/>
      <c r="F969" s="86"/>
      <c r="G969" s="87"/>
      <c r="H969" s="86"/>
      <c r="I969" s="86"/>
      <c r="J969" s="86"/>
      <c r="K969" s="84"/>
      <c r="L969" s="84" t="str">
        <f>IFERROR(__xludf.DUMMYFUNCTION("IF(A969="""","""", COUNT(SPLIT(K969,"";"")))"),"")</f>
        <v/>
      </c>
      <c r="M969" s="84" t="str">
        <f t="shared" si="1"/>
        <v/>
      </c>
      <c r="N969" s="84" t="str">
        <f>IFERROR(__xludf.DUMMYFUNCTION("IFERROR(AVERAGE(query(INDIRECT(""'FR Table'!"" &amp; vlookup(rows($A$1:$A968),Reference!$O:$P,2,false) &amp; ""3:"" &amp; vlookup(rows($A$1:$A968),Reference!$O:$P,2,false)), 
""SELECT "" &amp; vlookup(rows($A$1:$A968),Reference!$O:$P,2,false) 
&amp; "" WHERE "" &amp; vlookup(row"&amp;"s($A$1:$A968),Reference!$O:$P,2,false) &amp;
"" &gt;= "" &amp; Reference!$R$2)) * M969,"""")"),"")</f>
        <v/>
      </c>
      <c r="O969" s="84" t="str">
        <f t="shared" si="2"/>
        <v/>
      </c>
    </row>
    <row r="970">
      <c r="A970" s="84"/>
      <c r="B970" s="84"/>
      <c r="C970" s="85"/>
      <c r="D970" s="86"/>
      <c r="E970" s="87"/>
      <c r="F970" s="86"/>
      <c r="G970" s="87"/>
      <c r="H970" s="86"/>
      <c r="I970" s="86"/>
      <c r="J970" s="86"/>
      <c r="K970" s="84"/>
      <c r="L970" s="84" t="str">
        <f>IFERROR(__xludf.DUMMYFUNCTION("IF(A970="""","""", COUNT(SPLIT(K970,"";"")))"),"")</f>
        <v/>
      </c>
      <c r="M970" s="84" t="str">
        <f t="shared" si="1"/>
        <v/>
      </c>
      <c r="N970" s="84" t="str">
        <f>IFERROR(__xludf.DUMMYFUNCTION("IFERROR(AVERAGE(query(INDIRECT(""'FR Table'!"" &amp; vlookup(rows($A$1:$A969),Reference!$O:$P,2,false) &amp; ""3:"" &amp; vlookup(rows($A$1:$A969),Reference!$O:$P,2,false)), 
""SELECT "" &amp; vlookup(rows($A$1:$A969),Reference!$O:$P,2,false) 
&amp; "" WHERE "" &amp; vlookup(row"&amp;"s($A$1:$A969),Reference!$O:$P,2,false) &amp;
"" &gt;= "" &amp; Reference!$R$2)) * M970,"""")"),"")</f>
        <v/>
      </c>
      <c r="O970" s="84" t="str">
        <f t="shared" si="2"/>
        <v/>
      </c>
    </row>
    <row r="971">
      <c r="A971" s="84"/>
      <c r="B971" s="84"/>
      <c r="C971" s="85"/>
      <c r="D971" s="86"/>
      <c r="E971" s="87"/>
      <c r="F971" s="86"/>
      <c r="G971" s="87"/>
      <c r="H971" s="86"/>
      <c r="I971" s="86"/>
      <c r="J971" s="86"/>
      <c r="K971" s="84"/>
      <c r="L971" s="84" t="str">
        <f>IFERROR(__xludf.DUMMYFUNCTION("IF(A971="""","""", COUNT(SPLIT(K971,"";"")))"),"")</f>
        <v/>
      </c>
      <c r="M971" s="84" t="str">
        <f t="shared" si="1"/>
        <v/>
      </c>
      <c r="N971" s="84" t="str">
        <f>IFERROR(__xludf.DUMMYFUNCTION("IFERROR(AVERAGE(query(INDIRECT(""'FR Table'!"" &amp; vlookup(rows($A$1:$A970),Reference!$O:$P,2,false) &amp; ""3:"" &amp; vlookup(rows($A$1:$A970),Reference!$O:$P,2,false)), 
""SELECT "" &amp; vlookup(rows($A$1:$A970),Reference!$O:$P,2,false) 
&amp; "" WHERE "" &amp; vlookup(row"&amp;"s($A$1:$A970),Reference!$O:$P,2,false) &amp;
"" &gt;= "" &amp; Reference!$R$2)) * M971,"""")"),"")</f>
        <v/>
      </c>
      <c r="O971" s="84" t="str">
        <f t="shared" si="2"/>
        <v/>
      </c>
    </row>
    <row r="972">
      <c r="A972" s="84"/>
      <c r="B972" s="84"/>
      <c r="C972" s="85"/>
      <c r="D972" s="86"/>
      <c r="E972" s="87"/>
      <c r="F972" s="86"/>
      <c r="G972" s="87"/>
      <c r="H972" s="86"/>
      <c r="I972" s="86"/>
      <c r="J972" s="86"/>
      <c r="K972" s="84"/>
      <c r="L972" s="84" t="str">
        <f>IFERROR(__xludf.DUMMYFUNCTION("IF(A972="""","""", COUNT(SPLIT(K972,"";"")))"),"")</f>
        <v/>
      </c>
      <c r="M972" s="84" t="str">
        <f t="shared" si="1"/>
        <v/>
      </c>
      <c r="N972" s="84" t="str">
        <f>IFERROR(__xludf.DUMMYFUNCTION("IFERROR(AVERAGE(query(INDIRECT(""'FR Table'!"" &amp; vlookup(rows($A$1:$A971),Reference!$O:$P,2,false) &amp; ""3:"" &amp; vlookup(rows($A$1:$A971),Reference!$O:$P,2,false)), 
""SELECT "" &amp; vlookup(rows($A$1:$A971),Reference!$O:$P,2,false) 
&amp; "" WHERE "" &amp; vlookup(row"&amp;"s($A$1:$A971),Reference!$O:$P,2,false) &amp;
"" &gt;= "" &amp; Reference!$R$2)) * M972,"""")"),"")</f>
        <v/>
      </c>
      <c r="O972" s="84" t="str">
        <f t="shared" si="2"/>
        <v/>
      </c>
    </row>
    <row r="973">
      <c r="A973" s="84"/>
      <c r="B973" s="84"/>
      <c r="C973" s="85"/>
      <c r="D973" s="86"/>
      <c r="E973" s="87"/>
      <c r="F973" s="86"/>
      <c r="G973" s="87"/>
      <c r="H973" s="86"/>
      <c r="I973" s="86"/>
      <c r="J973" s="86"/>
      <c r="K973" s="84"/>
      <c r="L973" s="84" t="str">
        <f>IFERROR(__xludf.DUMMYFUNCTION("IF(A973="""","""", COUNT(SPLIT(K973,"";"")))"),"")</f>
        <v/>
      </c>
      <c r="M973" s="84" t="str">
        <f t="shared" si="1"/>
        <v/>
      </c>
      <c r="N973" s="84" t="str">
        <f>IFERROR(__xludf.DUMMYFUNCTION("IFERROR(AVERAGE(query(INDIRECT(""'FR Table'!"" &amp; vlookup(rows($A$1:$A972),Reference!$O:$P,2,false) &amp; ""3:"" &amp; vlookup(rows($A$1:$A972),Reference!$O:$P,2,false)), 
""SELECT "" &amp; vlookup(rows($A$1:$A972),Reference!$O:$P,2,false) 
&amp; "" WHERE "" &amp; vlookup(row"&amp;"s($A$1:$A972),Reference!$O:$P,2,false) &amp;
"" &gt;= "" &amp; Reference!$R$2)) * M973,"""")"),"")</f>
        <v/>
      </c>
      <c r="O973" s="84" t="str">
        <f t="shared" si="2"/>
        <v/>
      </c>
    </row>
    <row r="974">
      <c r="A974" s="84"/>
      <c r="B974" s="84"/>
      <c r="C974" s="85"/>
      <c r="D974" s="86"/>
      <c r="E974" s="87"/>
      <c r="F974" s="86"/>
      <c r="G974" s="87"/>
      <c r="H974" s="86"/>
      <c r="I974" s="86"/>
      <c r="J974" s="86"/>
      <c r="K974" s="84"/>
      <c r="L974" s="84" t="str">
        <f>IFERROR(__xludf.DUMMYFUNCTION("IF(A974="""","""", COUNT(SPLIT(K974,"";"")))"),"")</f>
        <v/>
      </c>
      <c r="M974" s="84" t="str">
        <f t="shared" si="1"/>
        <v/>
      </c>
      <c r="N974" s="84" t="str">
        <f>IFERROR(__xludf.DUMMYFUNCTION("IFERROR(AVERAGE(query(INDIRECT(""'FR Table'!"" &amp; vlookup(rows($A$1:$A973),Reference!$O:$P,2,false) &amp; ""3:"" &amp; vlookup(rows($A$1:$A973),Reference!$O:$P,2,false)), 
""SELECT "" &amp; vlookup(rows($A$1:$A973),Reference!$O:$P,2,false) 
&amp; "" WHERE "" &amp; vlookup(row"&amp;"s($A$1:$A973),Reference!$O:$P,2,false) &amp;
"" &gt;= "" &amp; Reference!$R$2)) * M974,"""")"),"")</f>
        <v/>
      </c>
      <c r="O974" s="84" t="str">
        <f t="shared" si="2"/>
        <v/>
      </c>
    </row>
    <row r="975">
      <c r="A975" s="84"/>
      <c r="B975" s="84"/>
      <c r="C975" s="85"/>
      <c r="D975" s="86"/>
      <c r="E975" s="87"/>
      <c r="F975" s="86"/>
      <c r="G975" s="87"/>
      <c r="H975" s="86"/>
      <c r="I975" s="86"/>
      <c r="J975" s="86"/>
      <c r="K975" s="84"/>
      <c r="L975" s="84" t="str">
        <f>IFERROR(__xludf.DUMMYFUNCTION("IF(A975="""","""", COUNT(SPLIT(K975,"";"")))"),"")</f>
        <v/>
      </c>
      <c r="M975" s="84" t="str">
        <f t="shared" si="1"/>
        <v/>
      </c>
      <c r="N975" s="84" t="str">
        <f>IFERROR(__xludf.DUMMYFUNCTION("IFERROR(AVERAGE(query(INDIRECT(""'FR Table'!"" &amp; vlookup(rows($A$1:$A974),Reference!$O:$P,2,false) &amp; ""3:"" &amp; vlookup(rows($A$1:$A974),Reference!$O:$P,2,false)), 
""SELECT "" &amp; vlookup(rows($A$1:$A974),Reference!$O:$P,2,false) 
&amp; "" WHERE "" &amp; vlookup(row"&amp;"s($A$1:$A974),Reference!$O:$P,2,false) &amp;
"" &gt;= "" &amp; Reference!$R$2)) * M975,"""")"),"")</f>
        <v/>
      </c>
      <c r="O975" s="84" t="str">
        <f t="shared" si="2"/>
        <v/>
      </c>
    </row>
    <row r="976">
      <c r="A976" s="84"/>
      <c r="B976" s="84"/>
      <c r="C976" s="85"/>
      <c r="D976" s="86"/>
      <c r="E976" s="87"/>
      <c r="F976" s="86"/>
      <c r="G976" s="87"/>
      <c r="H976" s="86"/>
      <c r="I976" s="86"/>
      <c r="J976" s="86"/>
      <c r="K976" s="84"/>
      <c r="L976" s="84" t="str">
        <f>IFERROR(__xludf.DUMMYFUNCTION("IF(A976="""","""", COUNT(SPLIT(K976,"";"")))"),"")</f>
        <v/>
      </c>
      <c r="M976" s="84" t="str">
        <f t="shared" si="1"/>
        <v/>
      </c>
      <c r="N976" s="84" t="str">
        <f>IFERROR(__xludf.DUMMYFUNCTION("IFERROR(AVERAGE(query(INDIRECT(""'FR Table'!"" &amp; vlookup(rows($A$1:$A975),Reference!$O:$P,2,false) &amp; ""3:"" &amp; vlookup(rows($A$1:$A975),Reference!$O:$P,2,false)), 
""SELECT "" &amp; vlookup(rows($A$1:$A975),Reference!$O:$P,2,false) 
&amp; "" WHERE "" &amp; vlookup(row"&amp;"s($A$1:$A975),Reference!$O:$P,2,false) &amp;
"" &gt;= "" &amp; Reference!$R$2)) * M976,"""")"),"")</f>
        <v/>
      </c>
      <c r="O976" s="84" t="str">
        <f t="shared" si="2"/>
        <v/>
      </c>
    </row>
    <row r="977">
      <c r="A977" s="84"/>
      <c r="B977" s="84"/>
      <c r="C977" s="85"/>
      <c r="D977" s="86"/>
      <c r="E977" s="87"/>
      <c r="F977" s="86"/>
      <c r="G977" s="87"/>
      <c r="H977" s="86"/>
      <c r="I977" s="86"/>
      <c r="J977" s="86"/>
      <c r="K977" s="84"/>
      <c r="L977" s="84" t="str">
        <f>IFERROR(__xludf.DUMMYFUNCTION("IF(A977="""","""", COUNT(SPLIT(K977,"";"")))"),"")</f>
        <v/>
      </c>
      <c r="M977" s="84" t="str">
        <f t="shared" si="1"/>
        <v/>
      </c>
      <c r="N977" s="84" t="str">
        <f>IFERROR(__xludf.DUMMYFUNCTION("IFERROR(AVERAGE(query(INDIRECT(""'FR Table'!"" &amp; vlookup(rows($A$1:$A976),Reference!$O:$P,2,false) &amp; ""3:"" &amp; vlookup(rows($A$1:$A976),Reference!$O:$P,2,false)), 
""SELECT "" &amp; vlookup(rows($A$1:$A976),Reference!$O:$P,2,false) 
&amp; "" WHERE "" &amp; vlookup(row"&amp;"s($A$1:$A976),Reference!$O:$P,2,false) &amp;
"" &gt;= "" &amp; Reference!$R$2)) * M977,"""")"),"")</f>
        <v/>
      </c>
      <c r="O977" s="84" t="str">
        <f t="shared" si="2"/>
        <v/>
      </c>
    </row>
    <row r="978">
      <c r="A978" s="84"/>
      <c r="B978" s="84"/>
      <c r="C978" s="85"/>
      <c r="D978" s="86"/>
      <c r="E978" s="87"/>
      <c r="F978" s="86"/>
      <c r="G978" s="87"/>
      <c r="H978" s="86"/>
      <c r="I978" s="86"/>
      <c r="J978" s="86"/>
      <c r="K978" s="84"/>
      <c r="L978" s="84" t="str">
        <f>IFERROR(__xludf.DUMMYFUNCTION("IF(A978="""","""", COUNT(SPLIT(K978,"";"")))"),"")</f>
        <v/>
      </c>
      <c r="M978" s="84" t="str">
        <f t="shared" si="1"/>
        <v/>
      </c>
      <c r="N978" s="84" t="str">
        <f>IFERROR(__xludf.DUMMYFUNCTION("IFERROR(AVERAGE(query(INDIRECT(""'FR Table'!"" &amp; vlookup(rows($A$1:$A977),Reference!$O:$P,2,false) &amp; ""3:"" &amp; vlookup(rows($A$1:$A977),Reference!$O:$P,2,false)), 
""SELECT "" &amp; vlookup(rows($A$1:$A977),Reference!$O:$P,2,false) 
&amp; "" WHERE "" &amp; vlookup(row"&amp;"s($A$1:$A977),Reference!$O:$P,2,false) &amp;
"" &gt;= "" &amp; Reference!$R$2)) * M978,"""")"),"")</f>
        <v/>
      </c>
      <c r="O978" s="84" t="str">
        <f t="shared" si="2"/>
        <v/>
      </c>
    </row>
    <row r="979">
      <c r="A979" s="84"/>
      <c r="B979" s="84"/>
      <c r="C979" s="85"/>
      <c r="D979" s="86"/>
      <c r="E979" s="87"/>
      <c r="F979" s="86"/>
      <c r="G979" s="87"/>
      <c r="H979" s="86"/>
      <c r="I979" s="86"/>
      <c r="J979" s="86"/>
      <c r="K979" s="84"/>
      <c r="L979" s="84" t="str">
        <f>IFERROR(__xludf.DUMMYFUNCTION("IF(A979="""","""", COUNT(SPLIT(K979,"";"")))"),"")</f>
        <v/>
      </c>
      <c r="M979" s="84" t="str">
        <f t="shared" si="1"/>
        <v/>
      </c>
      <c r="N979" s="84" t="str">
        <f>IFERROR(__xludf.DUMMYFUNCTION("IFERROR(AVERAGE(query(INDIRECT(""'FR Table'!"" &amp; vlookup(rows($A$1:$A978),Reference!$O:$P,2,false) &amp; ""3:"" &amp; vlookup(rows($A$1:$A978),Reference!$O:$P,2,false)), 
""SELECT "" &amp; vlookup(rows($A$1:$A978),Reference!$O:$P,2,false) 
&amp; "" WHERE "" &amp; vlookup(row"&amp;"s($A$1:$A978),Reference!$O:$P,2,false) &amp;
"" &gt;= "" &amp; Reference!$R$2)) * M979,"""")"),"")</f>
        <v/>
      </c>
      <c r="O979" s="84" t="str">
        <f t="shared" si="2"/>
        <v/>
      </c>
    </row>
    <row r="980">
      <c r="A980" s="84"/>
      <c r="B980" s="84"/>
      <c r="C980" s="85"/>
      <c r="D980" s="86"/>
      <c r="E980" s="87"/>
      <c r="F980" s="86"/>
      <c r="G980" s="87"/>
      <c r="H980" s="86"/>
      <c r="I980" s="86"/>
      <c r="J980" s="86"/>
      <c r="K980" s="84"/>
      <c r="L980" s="84" t="str">
        <f>IFERROR(__xludf.DUMMYFUNCTION("IF(A980="""","""", COUNT(SPLIT(K980,"";"")))"),"")</f>
        <v/>
      </c>
      <c r="M980" s="84" t="str">
        <f t="shared" si="1"/>
        <v/>
      </c>
      <c r="N980" s="84" t="str">
        <f>IFERROR(__xludf.DUMMYFUNCTION("IFERROR(AVERAGE(query(INDIRECT(""'FR Table'!"" &amp; vlookup(rows($A$1:$A979),Reference!$O:$P,2,false) &amp; ""3:"" &amp; vlookup(rows($A$1:$A979),Reference!$O:$P,2,false)), 
""SELECT "" &amp; vlookup(rows($A$1:$A979),Reference!$O:$P,2,false) 
&amp; "" WHERE "" &amp; vlookup(row"&amp;"s($A$1:$A979),Reference!$O:$P,2,false) &amp;
"" &gt;= "" &amp; Reference!$R$2)) * M980,"""")"),"")</f>
        <v/>
      </c>
      <c r="O980" s="84" t="str">
        <f t="shared" si="2"/>
        <v/>
      </c>
    </row>
    <row r="981">
      <c r="A981" s="84"/>
      <c r="B981" s="84"/>
      <c r="C981" s="85"/>
      <c r="D981" s="86"/>
      <c r="E981" s="87"/>
      <c r="F981" s="86"/>
      <c r="G981" s="87"/>
      <c r="H981" s="86"/>
      <c r="I981" s="86"/>
      <c r="J981" s="86"/>
      <c r="K981" s="84"/>
      <c r="L981" s="84" t="str">
        <f>IFERROR(__xludf.DUMMYFUNCTION("IF(A981="""","""", COUNT(SPLIT(K981,"";"")))"),"")</f>
        <v/>
      </c>
      <c r="M981" s="84" t="str">
        <f t="shared" si="1"/>
        <v/>
      </c>
      <c r="N981" s="84" t="str">
        <f>IFERROR(__xludf.DUMMYFUNCTION("IFERROR(AVERAGE(query(INDIRECT(""'FR Table'!"" &amp; vlookup(rows($A$1:$A980),Reference!$O:$P,2,false) &amp; ""3:"" &amp; vlookup(rows($A$1:$A980),Reference!$O:$P,2,false)), 
""SELECT "" &amp; vlookup(rows($A$1:$A980),Reference!$O:$P,2,false) 
&amp; "" WHERE "" &amp; vlookup(row"&amp;"s($A$1:$A980),Reference!$O:$P,2,false) &amp;
"" &gt;= "" &amp; Reference!$R$2)) * M981,"""")"),"")</f>
        <v/>
      </c>
      <c r="O981" s="84" t="str">
        <f t="shared" si="2"/>
        <v/>
      </c>
    </row>
    <row r="982">
      <c r="A982" s="84"/>
      <c r="B982" s="84"/>
      <c r="C982" s="85"/>
      <c r="D982" s="86"/>
      <c r="E982" s="87"/>
      <c r="F982" s="86"/>
      <c r="G982" s="87"/>
      <c r="H982" s="86"/>
      <c r="I982" s="86"/>
      <c r="J982" s="86"/>
      <c r="K982" s="84"/>
      <c r="L982" s="84" t="str">
        <f>IFERROR(__xludf.DUMMYFUNCTION("IF(A982="""","""", COUNT(SPLIT(K982,"";"")))"),"")</f>
        <v/>
      </c>
      <c r="M982" s="84" t="str">
        <f t="shared" si="1"/>
        <v/>
      </c>
      <c r="N982" s="84" t="str">
        <f>IFERROR(__xludf.DUMMYFUNCTION("IFERROR(AVERAGE(query(INDIRECT(""'FR Table'!"" &amp; vlookup(rows($A$1:$A981),Reference!$O:$P,2,false) &amp; ""3:"" &amp; vlookup(rows($A$1:$A981),Reference!$O:$P,2,false)), 
""SELECT "" &amp; vlookup(rows($A$1:$A981),Reference!$O:$P,2,false) 
&amp; "" WHERE "" &amp; vlookup(row"&amp;"s($A$1:$A981),Reference!$O:$P,2,false) &amp;
"" &gt;= "" &amp; Reference!$R$2)) * M982,"""")"),"")</f>
        <v/>
      </c>
      <c r="O982" s="84" t="str">
        <f t="shared" si="2"/>
        <v/>
      </c>
    </row>
    <row r="983">
      <c r="A983" s="84"/>
      <c r="B983" s="84"/>
      <c r="C983" s="85"/>
      <c r="D983" s="86"/>
      <c r="E983" s="87"/>
      <c r="F983" s="86"/>
      <c r="G983" s="87"/>
      <c r="H983" s="86"/>
      <c r="I983" s="86"/>
      <c r="J983" s="86"/>
      <c r="K983" s="84"/>
      <c r="L983" s="84" t="str">
        <f>IFERROR(__xludf.DUMMYFUNCTION("IF(A983="""","""", COUNT(SPLIT(K983,"";"")))"),"")</f>
        <v/>
      </c>
      <c r="M983" s="84" t="str">
        <f t="shared" si="1"/>
        <v/>
      </c>
      <c r="N983" s="84" t="str">
        <f>IFERROR(__xludf.DUMMYFUNCTION("IFERROR(AVERAGE(query(INDIRECT(""'FR Table'!"" &amp; vlookup(rows($A$1:$A982),Reference!$O:$P,2,false) &amp; ""3:"" &amp; vlookup(rows($A$1:$A982),Reference!$O:$P,2,false)), 
""SELECT "" &amp; vlookup(rows($A$1:$A982),Reference!$O:$P,2,false) 
&amp; "" WHERE "" &amp; vlookup(row"&amp;"s($A$1:$A982),Reference!$O:$P,2,false) &amp;
"" &gt;= "" &amp; Reference!$R$2)) * M983,"""")"),"")</f>
        <v/>
      </c>
      <c r="O983" s="84" t="str">
        <f t="shared" si="2"/>
        <v/>
      </c>
    </row>
    <row r="984">
      <c r="A984" s="84"/>
      <c r="B984" s="84"/>
      <c r="C984" s="85"/>
      <c r="D984" s="86"/>
      <c r="E984" s="87"/>
      <c r="F984" s="86"/>
      <c r="G984" s="87"/>
      <c r="H984" s="86"/>
      <c r="I984" s="86"/>
      <c r="J984" s="86"/>
      <c r="K984" s="84"/>
      <c r="L984" s="84" t="str">
        <f>IFERROR(__xludf.DUMMYFUNCTION("IF(A984="""","""", COUNT(SPLIT(K984,"";"")))"),"")</f>
        <v/>
      </c>
      <c r="M984" s="84" t="str">
        <f t="shared" si="1"/>
        <v/>
      </c>
      <c r="N984" s="84" t="str">
        <f>IFERROR(__xludf.DUMMYFUNCTION("IFERROR(AVERAGE(query(INDIRECT(""'FR Table'!"" &amp; vlookup(rows($A$1:$A983),Reference!$O:$P,2,false) &amp; ""3:"" &amp; vlookup(rows($A$1:$A983),Reference!$O:$P,2,false)), 
""SELECT "" &amp; vlookup(rows($A$1:$A983),Reference!$O:$P,2,false) 
&amp; "" WHERE "" &amp; vlookup(row"&amp;"s($A$1:$A983),Reference!$O:$P,2,false) &amp;
"" &gt;= "" &amp; Reference!$R$2)) * M984,"""")"),"")</f>
        <v/>
      </c>
      <c r="O984" s="84" t="str">
        <f t="shared" si="2"/>
        <v/>
      </c>
    </row>
    <row r="985">
      <c r="A985" s="84"/>
      <c r="B985" s="84"/>
      <c r="C985" s="85"/>
      <c r="D985" s="86"/>
      <c r="E985" s="87"/>
      <c r="F985" s="86"/>
      <c r="G985" s="87"/>
      <c r="H985" s="86"/>
      <c r="I985" s="86"/>
      <c r="J985" s="86"/>
      <c r="K985" s="84"/>
      <c r="L985" s="84" t="str">
        <f>IFERROR(__xludf.DUMMYFUNCTION("IF(A985="""","""", COUNT(SPLIT(K985,"";"")))"),"")</f>
        <v/>
      </c>
      <c r="M985" s="84" t="str">
        <f t="shared" si="1"/>
        <v/>
      </c>
      <c r="N985" s="84" t="str">
        <f>IFERROR(__xludf.DUMMYFUNCTION("IFERROR(AVERAGE(query(INDIRECT(""'FR Table'!"" &amp; vlookup(rows($A$1:$A984),Reference!$O:$P,2,false) &amp; ""3:"" &amp; vlookup(rows($A$1:$A984),Reference!$O:$P,2,false)), 
""SELECT "" &amp; vlookup(rows($A$1:$A984),Reference!$O:$P,2,false) 
&amp; "" WHERE "" &amp; vlookup(row"&amp;"s($A$1:$A984),Reference!$O:$P,2,false) &amp;
"" &gt;= "" &amp; Reference!$R$2)) * M985,"""")"),"")</f>
        <v/>
      </c>
      <c r="O985" s="84" t="str">
        <f t="shared" si="2"/>
        <v/>
      </c>
    </row>
    <row r="986">
      <c r="A986" s="84"/>
      <c r="B986" s="84"/>
      <c r="C986" s="85"/>
      <c r="D986" s="86"/>
      <c r="E986" s="87"/>
      <c r="F986" s="86"/>
      <c r="G986" s="87"/>
      <c r="H986" s="86"/>
      <c r="I986" s="86"/>
      <c r="J986" s="86"/>
      <c r="K986" s="84"/>
      <c r="L986" s="84" t="str">
        <f>IFERROR(__xludf.DUMMYFUNCTION("IF(A986="""","""", COUNT(SPLIT(K986,"";"")))"),"")</f>
        <v/>
      </c>
      <c r="M986" s="84" t="str">
        <f t="shared" si="1"/>
        <v/>
      </c>
      <c r="N986" s="84" t="str">
        <f>IFERROR(__xludf.DUMMYFUNCTION("IFERROR(AVERAGE(query(INDIRECT(""'FR Table'!"" &amp; vlookup(rows($A$1:$A985),Reference!$O:$P,2,false) &amp; ""3:"" &amp; vlookup(rows($A$1:$A985),Reference!$O:$P,2,false)), 
""SELECT "" &amp; vlookup(rows($A$1:$A985),Reference!$O:$P,2,false) 
&amp; "" WHERE "" &amp; vlookup(row"&amp;"s($A$1:$A985),Reference!$O:$P,2,false) &amp;
"" &gt;= "" &amp; Reference!$R$2)) * M986,"""")"),"")</f>
        <v/>
      </c>
      <c r="O986" s="84" t="str">
        <f t="shared" si="2"/>
        <v/>
      </c>
    </row>
    <row r="987">
      <c r="A987" s="84"/>
      <c r="B987" s="84"/>
      <c r="C987" s="85"/>
      <c r="D987" s="86"/>
      <c r="E987" s="87"/>
      <c r="F987" s="86"/>
      <c r="G987" s="87"/>
      <c r="H987" s="86"/>
      <c r="I987" s="86"/>
      <c r="J987" s="86"/>
      <c r="K987" s="84"/>
      <c r="L987" s="84" t="str">
        <f>IFERROR(__xludf.DUMMYFUNCTION("IF(A987="""","""", COUNT(SPLIT(K987,"";"")))"),"")</f>
        <v/>
      </c>
      <c r="M987" s="84" t="str">
        <f t="shared" si="1"/>
        <v/>
      </c>
      <c r="N987" s="84" t="str">
        <f>IFERROR(__xludf.DUMMYFUNCTION("IFERROR(AVERAGE(query(INDIRECT(""'FR Table'!"" &amp; vlookup(rows($A$1:$A986),Reference!$O:$P,2,false) &amp; ""3:"" &amp; vlookup(rows($A$1:$A986),Reference!$O:$P,2,false)), 
""SELECT "" &amp; vlookup(rows($A$1:$A986),Reference!$O:$P,2,false) 
&amp; "" WHERE "" &amp; vlookup(row"&amp;"s($A$1:$A986),Reference!$O:$P,2,false) &amp;
"" &gt;= "" &amp; Reference!$R$2)) * M987,"""")"),"")</f>
        <v/>
      </c>
      <c r="O987" s="84" t="str">
        <f t="shared" si="2"/>
        <v/>
      </c>
    </row>
    <row r="988">
      <c r="A988" s="84"/>
      <c r="B988" s="84"/>
      <c r="C988" s="85"/>
      <c r="D988" s="86"/>
      <c r="E988" s="87"/>
      <c r="F988" s="86"/>
      <c r="G988" s="87"/>
      <c r="H988" s="86"/>
      <c r="I988" s="86"/>
      <c r="J988" s="86"/>
      <c r="K988" s="84"/>
      <c r="L988" s="84" t="str">
        <f>IFERROR(__xludf.DUMMYFUNCTION("IF(A988="""","""", COUNT(SPLIT(K988,"";"")))"),"")</f>
        <v/>
      </c>
      <c r="M988" s="84" t="str">
        <f t="shared" si="1"/>
        <v/>
      </c>
      <c r="N988" s="84" t="str">
        <f>IFERROR(__xludf.DUMMYFUNCTION("IFERROR(AVERAGE(query(INDIRECT(""'FR Table'!"" &amp; vlookup(rows($A$1:$A987),Reference!$O:$P,2,false) &amp; ""3:"" &amp; vlookup(rows($A$1:$A987),Reference!$O:$P,2,false)), 
""SELECT "" &amp; vlookup(rows($A$1:$A987),Reference!$O:$P,2,false) 
&amp; "" WHERE "" &amp; vlookup(row"&amp;"s($A$1:$A987),Reference!$O:$P,2,false) &amp;
"" &gt;= "" &amp; Reference!$R$2)) * M988,"""")"),"")</f>
        <v/>
      </c>
      <c r="O988" s="84" t="str">
        <f t="shared" si="2"/>
        <v/>
      </c>
    </row>
    <row r="989">
      <c r="A989" s="84"/>
      <c r="B989" s="84"/>
      <c r="C989" s="85"/>
      <c r="D989" s="86"/>
      <c r="E989" s="87"/>
      <c r="F989" s="86"/>
      <c r="G989" s="87"/>
      <c r="H989" s="86"/>
      <c r="I989" s="86"/>
      <c r="J989" s="86"/>
      <c r="K989" s="84"/>
      <c r="L989" s="84" t="str">
        <f>IFERROR(__xludf.DUMMYFUNCTION("IF(A989="""","""", COUNT(SPLIT(K989,"";"")))"),"")</f>
        <v/>
      </c>
      <c r="M989" s="84" t="str">
        <f t="shared" si="1"/>
        <v/>
      </c>
      <c r="N989" s="84" t="str">
        <f>IFERROR(__xludf.DUMMYFUNCTION("IFERROR(AVERAGE(query(INDIRECT(""'FR Table'!"" &amp; vlookup(rows($A$1:$A988),Reference!$O:$P,2,false) &amp; ""3:"" &amp; vlookup(rows($A$1:$A988),Reference!$O:$P,2,false)), 
""SELECT "" &amp; vlookup(rows($A$1:$A988),Reference!$O:$P,2,false) 
&amp; "" WHERE "" &amp; vlookup(row"&amp;"s($A$1:$A988),Reference!$O:$P,2,false) &amp;
"" &gt;= "" &amp; Reference!$R$2)) * M989,"""")"),"")</f>
        <v/>
      </c>
      <c r="O989" s="84" t="str">
        <f t="shared" si="2"/>
        <v/>
      </c>
    </row>
    <row r="990">
      <c r="A990" s="84"/>
      <c r="B990" s="84"/>
      <c r="C990" s="85"/>
      <c r="D990" s="86"/>
      <c r="E990" s="87"/>
      <c r="F990" s="86"/>
      <c r="G990" s="87"/>
      <c r="H990" s="86"/>
      <c r="I990" s="86"/>
      <c r="J990" s="86"/>
      <c r="K990" s="84"/>
      <c r="L990" s="84" t="str">
        <f>IFERROR(__xludf.DUMMYFUNCTION("IF(A990="""","""", COUNT(SPLIT(K990,"";"")))"),"")</f>
        <v/>
      </c>
      <c r="M990" s="84" t="str">
        <f t="shared" si="1"/>
        <v/>
      </c>
      <c r="N990" s="84" t="str">
        <f>IFERROR(__xludf.DUMMYFUNCTION("IFERROR(AVERAGE(query(INDIRECT(""'FR Table'!"" &amp; vlookup(rows($A$1:$A989),Reference!$O:$P,2,false) &amp; ""3:"" &amp; vlookup(rows($A$1:$A989),Reference!$O:$P,2,false)), 
""SELECT "" &amp; vlookup(rows($A$1:$A989),Reference!$O:$P,2,false) 
&amp; "" WHERE "" &amp; vlookup(row"&amp;"s($A$1:$A989),Reference!$O:$P,2,false) &amp;
"" &gt;= "" &amp; Reference!$R$2)) * M990,"""")"),"")</f>
        <v/>
      </c>
      <c r="O990" s="84" t="str">
        <f t="shared" si="2"/>
        <v/>
      </c>
    </row>
    <row r="991">
      <c r="A991" s="84"/>
      <c r="B991" s="84"/>
      <c r="C991" s="85"/>
      <c r="D991" s="86"/>
      <c r="E991" s="87"/>
      <c r="F991" s="86"/>
      <c r="G991" s="87"/>
      <c r="H991" s="86"/>
      <c r="I991" s="86"/>
      <c r="J991" s="86"/>
      <c r="K991" s="84"/>
      <c r="L991" s="84" t="str">
        <f>IFERROR(__xludf.DUMMYFUNCTION("IF(A991="""","""", COUNT(SPLIT(K991,"";"")))"),"")</f>
        <v/>
      </c>
      <c r="M991" s="84" t="str">
        <f t="shared" si="1"/>
        <v/>
      </c>
      <c r="N991" s="84" t="str">
        <f>IFERROR(__xludf.DUMMYFUNCTION("IFERROR(AVERAGE(query(INDIRECT(""'FR Table'!"" &amp; vlookup(rows($A$1:$A990),Reference!$O:$P,2,false) &amp; ""3:"" &amp; vlookup(rows($A$1:$A990),Reference!$O:$P,2,false)), 
""SELECT "" &amp; vlookup(rows($A$1:$A990),Reference!$O:$P,2,false) 
&amp; "" WHERE "" &amp; vlookup(row"&amp;"s($A$1:$A990),Reference!$O:$P,2,false) &amp;
"" &gt;= "" &amp; Reference!$R$2)) * M991,"""")"),"")</f>
        <v/>
      </c>
      <c r="O991" s="84" t="str">
        <f t="shared" si="2"/>
        <v/>
      </c>
    </row>
    <row r="992">
      <c r="A992" s="84"/>
      <c r="B992" s="84"/>
      <c r="C992" s="85"/>
      <c r="D992" s="86"/>
      <c r="E992" s="87"/>
      <c r="F992" s="86"/>
      <c r="G992" s="87"/>
      <c r="H992" s="86"/>
      <c r="I992" s="86"/>
      <c r="J992" s="86"/>
      <c r="K992" s="84"/>
      <c r="L992" s="84" t="str">
        <f>IFERROR(__xludf.DUMMYFUNCTION("IF(A992="""","""", COUNT(SPLIT(K992,"";"")))"),"")</f>
        <v/>
      </c>
      <c r="M992" s="84" t="str">
        <f t="shared" si="1"/>
        <v/>
      </c>
      <c r="N992" s="84" t="str">
        <f>IFERROR(__xludf.DUMMYFUNCTION("IFERROR(AVERAGE(query(INDIRECT(""'FR Table'!"" &amp; vlookup(rows($A$1:$A991),Reference!$O:$P,2,false) &amp; ""3:"" &amp; vlookup(rows($A$1:$A991),Reference!$O:$P,2,false)), 
""SELECT "" &amp; vlookup(rows($A$1:$A991),Reference!$O:$P,2,false) 
&amp; "" WHERE "" &amp; vlookup(row"&amp;"s($A$1:$A991),Reference!$O:$P,2,false) &amp;
"" &gt;= "" &amp; Reference!$R$2)) * M992,"""")"),"")</f>
        <v/>
      </c>
      <c r="O992" s="84" t="str">
        <f t="shared" si="2"/>
        <v/>
      </c>
    </row>
    <row r="993">
      <c r="A993" s="84"/>
      <c r="B993" s="84"/>
      <c r="C993" s="85"/>
      <c r="D993" s="86"/>
      <c r="E993" s="87"/>
      <c r="F993" s="86"/>
      <c r="G993" s="87"/>
      <c r="H993" s="86"/>
      <c r="I993" s="86"/>
      <c r="J993" s="86"/>
      <c r="K993" s="84"/>
      <c r="L993" s="84" t="str">
        <f>IFERROR(__xludf.DUMMYFUNCTION("IF(A993="""","""", COUNT(SPLIT(K993,"";"")))"),"")</f>
        <v/>
      </c>
      <c r="M993" s="84" t="str">
        <f t="shared" si="1"/>
        <v/>
      </c>
      <c r="N993" s="84" t="str">
        <f>IFERROR(__xludf.DUMMYFUNCTION("IFERROR(AVERAGE(query(INDIRECT(""'FR Table'!"" &amp; vlookup(rows($A$1:$A992),Reference!$O:$P,2,false) &amp; ""3:"" &amp; vlookup(rows($A$1:$A992),Reference!$O:$P,2,false)), 
""SELECT "" &amp; vlookup(rows($A$1:$A992),Reference!$O:$P,2,false) 
&amp; "" WHERE "" &amp; vlookup(row"&amp;"s($A$1:$A992),Reference!$O:$P,2,false) &amp;
"" &gt;= "" &amp; Reference!$R$2)) * M993,"""")"),"")</f>
        <v/>
      </c>
      <c r="O993" s="84" t="str">
        <f t="shared" si="2"/>
        <v/>
      </c>
    </row>
    <row r="994">
      <c r="A994" s="84"/>
      <c r="B994" s="84"/>
      <c r="C994" s="85"/>
      <c r="D994" s="86"/>
      <c r="E994" s="87"/>
      <c r="F994" s="86"/>
      <c r="G994" s="87"/>
      <c r="H994" s="86"/>
      <c r="I994" s="86"/>
      <c r="J994" s="86"/>
      <c r="K994" s="84"/>
      <c r="L994" s="84" t="str">
        <f>IFERROR(__xludf.DUMMYFUNCTION("IF(A994="""","""", COUNT(SPLIT(K994,"";"")))"),"")</f>
        <v/>
      </c>
      <c r="M994" s="84" t="str">
        <f t="shared" si="1"/>
        <v/>
      </c>
      <c r="N994" s="84" t="str">
        <f>IFERROR(__xludf.DUMMYFUNCTION("IFERROR(AVERAGE(query(INDIRECT(""'FR Table'!"" &amp; vlookup(rows($A$1:$A993),Reference!$O:$P,2,false) &amp; ""3:"" &amp; vlookup(rows($A$1:$A993),Reference!$O:$P,2,false)), 
""SELECT "" &amp; vlookup(rows($A$1:$A993),Reference!$O:$P,2,false) 
&amp; "" WHERE "" &amp; vlookup(row"&amp;"s($A$1:$A993),Reference!$O:$P,2,false) &amp;
"" &gt;= "" &amp; Reference!$R$2)) * M994,"""")"),"")</f>
        <v/>
      </c>
      <c r="O994" s="84" t="str">
        <f t="shared" si="2"/>
        <v/>
      </c>
    </row>
    <row r="995">
      <c r="A995" s="84"/>
      <c r="B995" s="84"/>
      <c r="C995" s="85"/>
      <c r="D995" s="86"/>
      <c r="E995" s="87"/>
      <c r="F995" s="86"/>
      <c r="G995" s="87"/>
      <c r="H995" s="86"/>
      <c r="I995" s="86"/>
      <c r="J995" s="86"/>
      <c r="K995" s="84"/>
      <c r="L995" s="84" t="str">
        <f>IFERROR(__xludf.DUMMYFUNCTION("IF(A995="""","""", COUNT(SPLIT(K995,"";"")))"),"")</f>
        <v/>
      </c>
      <c r="M995" s="84" t="str">
        <f t="shared" si="1"/>
        <v/>
      </c>
      <c r="N995" s="84" t="str">
        <f>IFERROR(__xludf.DUMMYFUNCTION("IFERROR(AVERAGE(query(INDIRECT(""'FR Table'!"" &amp; vlookup(rows($A$1:$A994),Reference!$O:$P,2,false) &amp; ""3:"" &amp; vlookup(rows($A$1:$A994),Reference!$O:$P,2,false)), 
""SELECT "" &amp; vlookup(rows($A$1:$A994),Reference!$O:$P,2,false) 
&amp; "" WHERE "" &amp; vlookup(row"&amp;"s($A$1:$A994),Reference!$O:$P,2,false) &amp;
"" &gt;= "" &amp; Reference!$R$2)) * M995,"""")"),"")</f>
        <v/>
      </c>
      <c r="O995" s="84" t="str">
        <f t="shared" si="2"/>
        <v/>
      </c>
    </row>
    <row r="996">
      <c r="A996" s="84"/>
      <c r="B996" s="84"/>
      <c r="C996" s="85"/>
      <c r="D996" s="86"/>
      <c r="E996" s="87"/>
      <c r="F996" s="86"/>
      <c r="G996" s="87"/>
      <c r="H996" s="86"/>
      <c r="I996" s="86"/>
      <c r="J996" s="86"/>
      <c r="K996" s="84"/>
      <c r="L996" s="84" t="str">
        <f>IFERROR(__xludf.DUMMYFUNCTION("IF(A996="""","""", COUNT(SPLIT(K996,"";"")))"),"")</f>
        <v/>
      </c>
      <c r="M996" s="84" t="str">
        <f t="shared" si="1"/>
        <v/>
      </c>
      <c r="N996" s="84" t="str">
        <f>IFERROR(__xludf.DUMMYFUNCTION("IFERROR(AVERAGE(query(INDIRECT(""'FR Table'!"" &amp; vlookup(rows($A$1:$A995),Reference!$O:$P,2,false) &amp; ""3:"" &amp; vlookup(rows($A$1:$A995),Reference!$O:$P,2,false)), 
""SELECT "" &amp; vlookup(rows($A$1:$A995),Reference!$O:$P,2,false) 
&amp; "" WHERE "" &amp; vlookup(row"&amp;"s($A$1:$A995),Reference!$O:$P,2,false) &amp;
"" &gt;= "" &amp; Reference!$R$2)) * M996,"""")"),"")</f>
        <v/>
      </c>
      <c r="O996" s="84" t="str">
        <f t="shared" si="2"/>
        <v/>
      </c>
    </row>
    <row r="997">
      <c r="A997" s="84"/>
      <c r="B997" s="84"/>
      <c r="C997" s="85"/>
      <c r="D997" s="86"/>
      <c r="E997" s="87"/>
      <c r="F997" s="86"/>
      <c r="G997" s="87"/>
      <c r="H997" s="86"/>
      <c r="I997" s="86"/>
      <c r="J997" s="86"/>
      <c r="K997" s="84"/>
      <c r="L997" s="84" t="str">
        <f>IFERROR(__xludf.DUMMYFUNCTION("IF(A997="""","""", COUNT(SPLIT(K997,"";"")))"),"")</f>
        <v/>
      </c>
      <c r="M997" s="84" t="str">
        <f t="shared" si="1"/>
        <v/>
      </c>
      <c r="N997" s="84" t="str">
        <f>IFERROR(__xludf.DUMMYFUNCTION("IFERROR(AVERAGE(query(INDIRECT(""'FR Table'!"" &amp; vlookup(rows($A$1:$A996),Reference!$O:$P,2,false) &amp; ""3:"" &amp; vlookup(rows($A$1:$A996),Reference!$O:$P,2,false)), 
""SELECT "" &amp; vlookup(rows($A$1:$A996),Reference!$O:$P,2,false) 
&amp; "" WHERE "" &amp; vlookup(row"&amp;"s($A$1:$A996),Reference!$O:$P,2,false) &amp;
"" &gt;= "" &amp; Reference!$R$2)) * M997,"""")"),"")</f>
        <v/>
      </c>
      <c r="O997" s="84" t="str">
        <f t="shared" si="2"/>
        <v/>
      </c>
    </row>
    <row r="998">
      <c r="A998" s="84"/>
      <c r="B998" s="84"/>
      <c r="C998" s="85"/>
      <c r="D998" s="86"/>
      <c r="E998" s="87"/>
      <c r="F998" s="86"/>
      <c r="G998" s="87"/>
      <c r="H998" s="86"/>
      <c r="I998" s="86"/>
      <c r="J998" s="86"/>
      <c r="K998" s="84"/>
      <c r="L998" s="84" t="str">
        <f>IFERROR(__xludf.DUMMYFUNCTION("IF(A998="""","""", COUNT(SPLIT(K998,"";"")))"),"")</f>
        <v/>
      </c>
      <c r="M998" s="84" t="str">
        <f t="shared" si="1"/>
        <v/>
      </c>
      <c r="N998" s="84" t="str">
        <f>IFERROR(__xludf.DUMMYFUNCTION("IFERROR(AVERAGE(query(INDIRECT(""'FR Table'!"" &amp; vlookup(rows($A$1:$A997),Reference!$O:$P,2,false) &amp; ""3:"" &amp; vlookup(rows($A$1:$A997),Reference!$O:$P,2,false)), 
""SELECT "" &amp; vlookup(rows($A$1:$A997),Reference!$O:$P,2,false) 
&amp; "" WHERE "" &amp; vlookup(row"&amp;"s($A$1:$A997),Reference!$O:$P,2,false) &amp;
"" &gt;= "" &amp; Reference!$R$2)) * M998,"""")"),"")</f>
        <v/>
      </c>
      <c r="O998" s="84" t="str">
        <f t="shared" si="2"/>
        <v/>
      </c>
    </row>
    <row r="999">
      <c r="A999" s="84"/>
      <c r="B999" s="84"/>
      <c r="C999" s="85"/>
      <c r="D999" s="86"/>
      <c r="E999" s="87"/>
      <c r="F999" s="86"/>
      <c r="G999" s="87"/>
      <c r="H999" s="86"/>
      <c r="I999" s="86"/>
      <c r="J999" s="86"/>
      <c r="K999" s="84"/>
      <c r="L999" s="84" t="str">
        <f>IFERROR(__xludf.DUMMYFUNCTION("IF(A999="""","""", COUNT(SPLIT(K999,"";"")))"),"")</f>
        <v/>
      </c>
      <c r="M999" s="84" t="str">
        <f t="shared" si="1"/>
        <v/>
      </c>
      <c r="N999" s="84" t="str">
        <f>IFERROR(__xludf.DUMMYFUNCTION("IFERROR(AVERAGE(query(INDIRECT(""'FR Table'!"" &amp; vlookup(rows($A$1:$A998),Reference!$O:$P,2,false) &amp; ""3:"" &amp; vlookup(rows($A$1:$A998),Reference!$O:$P,2,false)), 
""SELECT "" &amp; vlookup(rows($A$1:$A998),Reference!$O:$P,2,false) 
&amp; "" WHERE "" &amp; vlookup(row"&amp;"s($A$1:$A998),Reference!$O:$P,2,false) &amp;
"" &gt;= "" &amp; Reference!$R$2)) * M999,"""")"),"")</f>
        <v/>
      </c>
      <c r="O999" s="84" t="str">
        <f t="shared" si="2"/>
        <v/>
      </c>
    </row>
    <row r="1000">
      <c r="A1000" s="84"/>
      <c r="B1000" s="84"/>
      <c r="C1000" s="85"/>
      <c r="D1000" s="86"/>
      <c r="E1000" s="87"/>
      <c r="F1000" s="86"/>
      <c r="G1000" s="87"/>
      <c r="H1000" s="86"/>
      <c r="I1000" s="86"/>
      <c r="J1000" s="86"/>
      <c r="K1000" s="84"/>
      <c r="L1000" s="84" t="str">
        <f>IFERROR(__xludf.DUMMYFUNCTION("IF(A1000="""","""", COUNT(SPLIT(K1000,"";"")))"),"")</f>
        <v/>
      </c>
      <c r="M1000" s="84" t="str">
        <f t="shared" si="1"/>
        <v/>
      </c>
      <c r="N1000" s="84" t="str">
        <f>IFERROR(__xludf.DUMMYFUNCTION("IFERROR(AVERAGE(query(INDIRECT(""'FR Table'!"" &amp; vlookup(rows($A$1:$A999),Reference!$O:$P,2,false) &amp; ""3:"" &amp; vlookup(rows($A$1:$A999),Reference!$O:$P,2,false)), 
""SELECT "" &amp; vlookup(rows($A$1:$A999),Reference!$O:$P,2,false) 
&amp; "" WHERE "" &amp; vlookup(row"&amp;"s($A$1:$A999),Reference!$O:$P,2,false) &amp;
"" &gt;= "" &amp; Reference!$R$2)) * M1000,"""")"),"")</f>
        <v/>
      </c>
      <c r="O1000" s="84" t="str">
        <f t="shared" si="2"/>
        <v/>
      </c>
    </row>
    <row r="1001">
      <c r="A1001" s="84"/>
      <c r="B1001" s="84"/>
      <c r="C1001" s="85"/>
      <c r="D1001" s="86"/>
      <c r="E1001" s="87"/>
      <c r="F1001" s="86"/>
      <c r="G1001" s="87"/>
      <c r="H1001" s="86"/>
      <c r="I1001" s="86"/>
      <c r="J1001" s="86"/>
      <c r="K1001" s="84"/>
      <c r="L1001" s="84" t="str">
        <f>IFERROR(__xludf.DUMMYFUNCTION("IF(A1001="""","""", COUNT(SPLIT(K1001,"";"")))"),"")</f>
        <v/>
      </c>
      <c r="M1001" s="84" t="str">
        <f t="shared" si="1"/>
        <v/>
      </c>
      <c r="N1001" s="84" t="str">
        <f>IFERROR(__xludf.DUMMYFUNCTION("IFERROR(AVERAGE(query(INDIRECT(""'FR Table'!"" &amp; vlookup(rows($A$1:$A1000),Reference!$O:$P,2,false) &amp; ""3:"" &amp; vlookup(rows($A$1:$A1000),Reference!$O:$P,2,false)), 
""SELECT "" &amp; vlookup(rows($A$1:$A1000),Reference!$O:$P,2,false) 
&amp; "" WHERE "" &amp; vlookup("&amp;"rows($A$1:$A1000),Reference!$O:$P,2,false) &amp;
"" &gt;= "" &amp; Reference!$R$2)) * M1001,"""")"),"")</f>
        <v/>
      </c>
      <c r="O1001" s="84" t="str">
        <f t="shared" si="2"/>
        <v/>
      </c>
    </row>
    <row r="1002">
      <c r="A1002" s="84"/>
      <c r="B1002" s="84"/>
      <c r="C1002" s="85"/>
      <c r="D1002" s="86"/>
      <c r="E1002" s="87"/>
      <c r="F1002" s="86"/>
      <c r="G1002" s="87"/>
      <c r="H1002" s="86"/>
      <c r="I1002" s="86"/>
      <c r="J1002" s="86"/>
      <c r="K1002" s="84"/>
      <c r="L1002" s="84" t="str">
        <f>IFERROR(__xludf.DUMMYFUNCTION("IF(A1002="""","""", COUNT(SPLIT(K1002,"";"")))"),"")</f>
        <v/>
      </c>
      <c r="M1002" s="84" t="str">
        <f t="shared" si="1"/>
        <v/>
      </c>
      <c r="N1002" s="84" t="str">
        <f>IFERROR(__xludf.DUMMYFUNCTION("IFERROR(AVERAGE(query(INDIRECT(""'FR Table'!"" &amp; vlookup(rows($A$1:$A1001),Reference!$O:$P,2,false) &amp; ""3:"" &amp; vlookup(rows($A$1:$A1001),Reference!$O:$P,2,false)), 
""SELECT "" &amp; vlookup(rows($A$1:$A1001),Reference!$O:$P,2,false) 
&amp; "" WHERE "" &amp; vlookup("&amp;"rows($A$1:$A1001),Reference!$O:$P,2,false) &amp;
"" &gt;= "" &amp; Reference!$R$2)) * M1002,"""")"),"")</f>
        <v/>
      </c>
      <c r="O1002" s="84" t="str">
        <f t="shared" si="2"/>
        <v/>
      </c>
    </row>
    <row r="1003">
      <c r="A1003" s="84"/>
      <c r="B1003" s="84"/>
      <c r="C1003" s="85"/>
      <c r="D1003" s="86"/>
      <c r="E1003" s="87"/>
      <c r="F1003" s="86"/>
      <c r="G1003" s="87"/>
      <c r="H1003" s="86"/>
      <c r="I1003" s="86"/>
      <c r="J1003" s="86"/>
      <c r="K1003" s="84"/>
      <c r="L1003" s="84" t="str">
        <f>IFERROR(__xludf.DUMMYFUNCTION("IF(A1003="""","""", COUNT(SPLIT(K1003,"";"")))"),"")</f>
        <v/>
      </c>
      <c r="M1003" s="84" t="str">
        <f t="shared" si="1"/>
        <v/>
      </c>
      <c r="N1003" s="84" t="str">
        <f>IFERROR(__xludf.DUMMYFUNCTION("IFERROR(AVERAGE(query(INDIRECT(""'FR Table'!"" &amp; vlookup(rows($A$1:$A1002),Reference!$O:$P,2,false) &amp; ""3:"" &amp; vlookup(rows($A$1:$A1002),Reference!$O:$P,2,false)), 
""SELECT "" &amp; vlookup(rows($A$1:$A1002),Reference!$O:$P,2,false) 
&amp; "" WHERE "" &amp; vlookup("&amp;"rows($A$1:$A1002),Reference!$O:$P,2,false) &amp;
"" &gt;= "" &amp; Reference!$R$2)) * M1003,"""")"),"")</f>
        <v/>
      </c>
      <c r="O1003" s="84" t="str">
        <f t="shared" si="2"/>
        <v/>
      </c>
    </row>
    <row r="1004">
      <c r="A1004" s="84"/>
      <c r="B1004" s="84"/>
      <c r="C1004" s="85"/>
      <c r="D1004" s="86"/>
      <c r="E1004" s="87"/>
      <c r="F1004" s="86"/>
      <c r="G1004" s="87"/>
      <c r="H1004" s="86"/>
      <c r="I1004" s="86"/>
      <c r="J1004" s="86"/>
      <c r="K1004" s="84"/>
      <c r="L1004" s="84"/>
      <c r="M1004" s="84"/>
      <c r="N1004" s="84" t="str">
        <f>IFERROR(__xludf.DUMMYFUNCTION("IFERROR(AVERAGE(query(INDIRECT(""'FR Table'!"" &amp; vlookup(rows($A$1:$A1003),Reference!$O:$P,2,false) &amp; ""3:"" &amp; vlookup(rows($A$1:$A1003),Reference!$O:$P,2,false)), 
""SELECT "" &amp; vlookup(rows($A$1:$A1003),Reference!$O:$P,2,false) 
&amp; "" WHERE "" &amp; vlookup("&amp;"rows($A$1:$A1003),Reference!$O:$P,2,false) &amp;
"" &gt;= "" &amp; Reference!$R$2)) * M1004,"""")"),"")</f>
        <v/>
      </c>
      <c r="O1004" s="84" t="str">
        <f t="shared" si="2"/>
        <v/>
      </c>
    </row>
    <row r="1005">
      <c r="A1005" s="84"/>
      <c r="B1005" s="84"/>
      <c r="C1005" s="85"/>
      <c r="D1005" s="86"/>
      <c r="E1005" s="87"/>
      <c r="F1005" s="86"/>
      <c r="G1005" s="87"/>
      <c r="H1005" s="86"/>
      <c r="I1005" s="86"/>
      <c r="J1005" s="86"/>
      <c r="K1005" s="84"/>
      <c r="L1005" s="84"/>
      <c r="M1005" s="84"/>
      <c r="N1005" s="84" t="str">
        <f>IFERROR(__xludf.DUMMYFUNCTION("IFERROR(AVERAGE(query(INDIRECT(""'FR Table'!"" &amp; vlookup(rows($A$1:$A1004),Reference!$O:$P,2,false) &amp; ""3:"" &amp; vlookup(rows($A$1:$A1004),Reference!$O:$P,2,false)), 
""SELECT "" &amp; vlookup(rows($A$1:$A1004),Reference!$O:$P,2,false) 
&amp; "" WHERE "" &amp; vlookup("&amp;"rows($A$1:$A1004),Reference!$O:$P,2,false) &amp;
"" &gt;= "" &amp; Reference!$R$2)) * M1005,"""")"),"")</f>
        <v/>
      </c>
      <c r="O1005" s="84" t="str">
        <f t="shared" si="2"/>
        <v/>
      </c>
    </row>
    <row r="1006">
      <c r="A1006" s="84"/>
      <c r="B1006" s="84"/>
      <c r="C1006" s="85"/>
      <c r="D1006" s="86"/>
      <c r="E1006" s="87"/>
      <c r="F1006" s="86"/>
      <c r="G1006" s="87"/>
      <c r="H1006" s="86"/>
      <c r="I1006" s="86"/>
      <c r="J1006" s="86"/>
      <c r="K1006" s="84"/>
      <c r="L1006" s="84"/>
      <c r="M1006" s="84"/>
      <c r="N1006" s="84" t="str">
        <f>IFERROR(__xludf.DUMMYFUNCTION("IFERROR(AVERAGE(query(INDIRECT(""'FR Table'!"" &amp; vlookup(rows($A$1:$A1005),Reference!$O:$P,2,false) &amp; ""3:"" &amp; vlookup(rows($A$1:$A1005),Reference!$O:$P,2,false)), 
""SELECT "" &amp; vlookup(rows($A$1:$A1005),Reference!$O:$P,2,false) 
&amp; "" WHERE "" &amp; vlookup("&amp;"rows($A$1:$A1005),Reference!$O:$P,2,false) &amp;
"" &gt;= "" &amp; Reference!$R$2)) * M1006,"""")"),"")</f>
        <v/>
      </c>
      <c r="O1006" s="84" t="str">
        <f t="shared" si="2"/>
        <v/>
      </c>
    </row>
    <row r="1007">
      <c r="A1007" s="84"/>
      <c r="B1007" s="84"/>
      <c r="C1007" s="85"/>
      <c r="D1007" s="86"/>
      <c r="E1007" s="87"/>
      <c r="F1007" s="86"/>
      <c r="G1007" s="87"/>
      <c r="H1007" s="86"/>
      <c r="I1007" s="86"/>
      <c r="J1007" s="86"/>
      <c r="K1007" s="84"/>
      <c r="L1007" s="84"/>
      <c r="M1007" s="84"/>
      <c r="N1007" s="84" t="str">
        <f>IFERROR(__xludf.DUMMYFUNCTION("IFERROR(AVERAGE(query(INDIRECT(""'FR Table'!"" &amp; vlookup(rows($A$1:$A1006),Reference!$O:$P,2,false) &amp; ""3:"" &amp; vlookup(rows($A$1:$A1006),Reference!$O:$P,2,false)), 
""SELECT "" &amp; vlookup(rows($A$1:$A1006),Reference!$O:$P,2,false) 
&amp; "" WHERE "" &amp; vlookup("&amp;"rows($A$1:$A1006),Reference!$O:$P,2,false) &amp;
"" &gt;= "" &amp; Reference!$R$2)) * M1007,"""")"),"")</f>
        <v/>
      </c>
      <c r="O1007" s="84" t="str">
        <f t="shared" si="2"/>
        <v/>
      </c>
    </row>
    <row r="1008">
      <c r="A1008" s="84"/>
      <c r="B1008" s="84"/>
      <c r="C1008" s="85"/>
      <c r="D1008" s="86"/>
      <c r="E1008" s="87"/>
      <c r="F1008" s="86"/>
      <c r="G1008" s="87"/>
      <c r="H1008" s="86"/>
      <c r="I1008" s="86"/>
      <c r="J1008" s="86"/>
      <c r="K1008" s="84"/>
      <c r="L1008" s="84"/>
      <c r="M1008" s="84"/>
      <c r="N1008" s="84" t="str">
        <f>IFERROR(__xludf.DUMMYFUNCTION("IFERROR(AVERAGE(query(INDIRECT(""'FR Table'!"" &amp; vlookup(rows($A$1:$A1007),Reference!$O:$P,2,false) &amp; ""3:"" &amp; vlookup(rows($A$1:$A1007),Reference!$O:$P,2,false)), 
""SELECT "" &amp; vlookup(rows($A$1:$A1007),Reference!$O:$P,2,false) 
&amp; "" WHERE "" &amp; vlookup("&amp;"rows($A$1:$A1007),Reference!$O:$P,2,false) &amp;
"" &gt;= "" &amp; Reference!$R$2)) * M1008,"""")"),"")</f>
        <v/>
      </c>
      <c r="O1008" s="84" t="str">
        <f t="shared" si="2"/>
        <v/>
      </c>
    </row>
    <row r="1009">
      <c r="A1009" s="84"/>
      <c r="B1009" s="84"/>
      <c r="C1009" s="85"/>
      <c r="D1009" s="86"/>
      <c r="E1009" s="87"/>
      <c r="F1009" s="86"/>
      <c r="G1009" s="87"/>
      <c r="H1009" s="86"/>
      <c r="I1009" s="86"/>
      <c r="J1009" s="86"/>
      <c r="K1009" s="84"/>
      <c r="L1009" s="84"/>
      <c r="M1009" s="84"/>
      <c r="N1009" s="84" t="str">
        <f>IFERROR(__xludf.DUMMYFUNCTION("IFERROR(AVERAGE(query(INDIRECT(""'FR Table'!"" &amp; vlookup(rows($A$1:$A1008),Reference!$O:$P,2,false) &amp; ""3:"" &amp; vlookup(rows($A$1:$A1008),Reference!$O:$P,2,false)), 
""SELECT "" &amp; vlookup(rows($A$1:$A1008),Reference!$O:$P,2,false) 
&amp; "" WHERE "" &amp; vlookup("&amp;"rows($A$1:$A1008),Reference!$O:$P,2,false) &amp;
"" &gt;= "" &amp; Reference!$R$2)) * M1009,"""")"),"")</f>
        <v/>
      </c>
      <c r="O1009" s="84" t="str">
        <f t="shared" si="2"/>
        <v/>
      </c>
    </row>
    <row r="1010">
      <c r="A1010" s="84"/>
      <c r="B1010" s="84"/>
      <c r="C1010" s="85"/>
      <c r="D1010" s="86"/>
      <c r="E1010" s="87"/>
      <c r="F1010" s="86"/>
      <c r="G1010" s="87"/>
      <c r="H1010" s="86"/>
      <c r="I1010" s="86"/>
      <c r="J1010" s="86"/>
      <c r="K1010" s="84"/>
      <c r="L1010" s="84"/>
      <c r="M1010" s="84"/>
      <c r="N1010" s="84" t="str">
        <f>IFERROR(__xludf.DUMMYFUNCTION("IFERROR(AVERAGE(query(INDIRECT(""'FR Table'!"" &amp; vlookup(rows($A$1:$A1009),Reference!$O:$P,2,false) &amp; ""3:"" &amp; vlookup(rows($A$1:$A1009),Reference!$O:$P,2,false)), 
""SELECT "" &amp; vlookup(rows($A$1:$A1009),Reference!$O:$P,2,false) 
&amp; "" WHERE "" &amp; vlookup("&amp;"rows($A$1:$A1009),Reference!$O:$P,2,false) &amp;
"" &gt;= "" &amp; Reference!$R$2)) * M1010,"""")"),"")</f>
        <v/>
      </c>
      <c r="O1010" s="84" t="str">
        <f t="shared" si="2"/>
        <v/>
      </c>
    </row>
    <row r="1011">
      <c r="A1011" s="84"/>
      <c r="B1011" s="84"/>
      <c r="C1011" s="85"/>
      <c r="D1011" s="86"/>
      <c r="E1011" s="87"/>
      <c r="F1011" s="86"/>
      <c r="G1011" s="87"/>
      <c r="H1011" s="86"/>
      <c r="I1011" s="86"/>
      <c r="J1011" s="86"/>
      <c r="K1011" s="84"/>
      <c r="L1011" s="84"/>
      <c r="M1011" s="84"/>
      <c r="N1011" s="84" t="str">
        <f>IFERROR(__xludf.DUMMYFUNCTION("IFERROR(AVERAGE(query(INDIRECT(""'FR Table'!"" &amp; vlookup(rows($A$1:$A1010),Reference!$O:$P,2,false) &amp; ""3:"" &amp; vlookup(rows($A$1:$A1010),Reference!$O:$P,2,false)), 
""SELECT "" &amp; vlookup(rows($A$1:$A1010),Reference!$O:$P,2,false) 
&amp; "" WHERE "" &amp; vlookup("&amp;"rows($A$1:$A1010),Reference!$O:$P,2,false) &amp;
"" &gt;= "" &amp; Reference!$R$2)) * M1011,"""")"),"")</f>
        <v/>
      </c>
      <c r="O1011" s="84" t="str">
        <f t="shared" si="2"/>
        <v/>
      </c>
    </row>
    <row r="1012">
      <c r="A1012" s="84"/>
      <c r="B1012" s="84"/>
      <c r="C1012" s="85"/>
      <c r="D1012" s="86"/>
      <c r="E1012" s="87"/>
      <c r="F1012" s="86"/>
      <c r="G1012" s="87"/>
      <c r="H1012" s="86"/>
      <c r="I1012" s="86"/>
      <c r="J1012" s="86"/>
      <c r="K1012" s="84"/>
      <c r="L1012" s="84"/>
      <c r="M1012" s="84"/>
      <c r="N1012" s="84" t="str">
        <f>IFERROR(__xludf.DUMMYFUNCTION("IFERROR(AVERAGE(query(INDIRECT(""'FR Table'!"" &amp; vlookup(rows($A$1:$A1011),Reference!$O:$P,2,false) &amp; ""3:"" &amp; vlookup(rows($A$1:$A1011),Reference!$O:$P,2,false)), 
""SELECT "" &amp; vlookup(rows($A$1:$A1011),Reference!$O:$P,2,false) 
&amp; "" WHERE "" &amp; vlookup("&amp;"rows($A$1:$A1011),Reference!$O:$P,2,false) &amp;
"" &gt;= "" &amp; Reference!$R$2)) * M1012,"""")"),"")</f>
        <v/>
      </c>
      <c r="O1012" s="84" t="str">
        <f t="shared" si="2"/>
        <v/>
      </c>
    </row>
    <row r="1013">
      <c r="A1013" s="84"/>
      <c r="B1013" s="84"/>
      <c r="C1013" s="85"/>
      <c r="D1013" s="86"/>
      <c r="E1013" s="87"/>
      <c r="F1013" s="86"/>
      <c r="G1013" s="87"/>
      <c r="H1013" s="86"/>
      <c r="I1013" s="86"/>
      <c r="J1013" s="86"/>
      <c r="K1013" s="84"/>
      <c r="L1013" s="84"/>
      <c r="M1013" s="84"/>
      <c r="N1013" s="84" t="str">
        <f>IFERROR(__xludf.DUMMYFUNCTION("IFERROR(AVERAGE(query(INDIRECT(""'FR Table'!"" &amp; vlookup(rows($A$1:$A1012),Reference!$O:$P,2,false) &amp; ""3:"" &amp; vlookup(rows($A$1:$A1012),Reference!$O:$P,2,false)), 
""SELECT "" &amp; vlookup(rows($A$1:$A1012),Reference!$O:$P,2,false) 
&amp; "" WHERE "" &amp; vlookup("&amp;"rows($A$1:$A1012),Reference!$O:$P,2,false) &amp;
"" &gt;= "" &amp; Reference!$R$2)) * M1013,"""")"),"")</f>
        <v/>
      </c>
      <c r="O1013" s="84" t="str">
        <f t="shared" si="2"/>
        <v/>
      </c>
    </row>
    <row r="1014">
      <c r="A1014" s="84"/>
      <c r="B1014" s="84"/>
      <c r="C1014" s="85"/>
      <c r="D1014" s="86"/>
      <c r="E1014" s="87"/>
      <c r="F1014" s="86"/>
      <c r="G1014" s="87"/>
      <c r="H1014" s="86"/>
      <c r="I1014" s="86"/>
      <c r="J1014" s="86"/>
      <c r="K1014" s="84"/>
      <c r="L1014" s="84"/>
      <c r="M1014" s="84"/>
      <c r="N1014" s="84" t="str">
        <f>IFERROR(__xludf.DUMMYFUNCTION("IFERROR(AVERAGE(query(INDIRECT(""'FR Table'!"" &amp; vlookup(rows($A$1:$A1013),Reference!$O:$P,2,false) &amp; ""3:"" &amp; vlookup(rows($A$1:$A1013),Reference!$O:$P,2,false)), 
""SELECT "" &amp; vlookup(rows($A$1:$A1013),Reference!$O:$P,2,false) 
&amp; "" WHERE "" &amp; vlookup("&amp;"rows($A$1:$A1013),Reference!$O:$P,2,false) &amp;
"" &gt;= "" &amp; Reference!$R$2)) * M1014,"""")"),"")</f>
        <v/>
      </c>
      <c r="O1014" s="84" t="str">
        <f t="shared" si="2"/>
        <v/>
      </c>
    </row>
    <row r="1015">
      <c r="A1015" s="84"/>
      <c r="B1015" s="84"/>
      <c r="C1015" s="85"/>
      <c r="D1015" s="86"/>
      <c r="E1015" s="87"/>
      <c r="F1015" s="86"/>
      <c r="G1015" s="87"/>
      <c r="H1015" s="86"/>
      <c r="I1015" s="86"/>
      <c r="J1015" s="86"/>
      <c r="K1015" s="84"/>
      <c r="L1015" s="84"/>
      <c r="M1015" s="84"/>
      <c r="N1015" s="84" t="str">
        <f>IFERROR(__xludf.DUMMYFUNCTION("IFERROR(AVERAGE(query(INDIRECT(""'FR Table'!"" &amp; vlookup(rows($A$1:$A1014),Reference!$O:$P,2,false) &amp; ""3:"" &amp; vlookup(rows($A$1:$A1014),Reference!$O:$P,2,false)), 
""SELECT "" &amp; vlookup(rows($A$1:$A1014),Reference!$O:$P,2,false) 
&amp; "" WHERE "" &amp; vlookup("&amp;"rows($A$1:$A1014),Reference!$O:$P,2,false) &amp;
"" &gt;= "" &amp; Reference!$R$2)) * M1015,"""")"),"")</f>
        <v/>
      </c>
      <c r="O1015" s="84" t="str">
        <f t="shared" si="2"/>
        <v/>
      </c>
    </row>
    <row r="1016">
      <c r="A1016" s="84"/>
      <c r="B1016" s="84"/>
      <c r="C1016" s="85"/>
      <c r="D1016" s="86"/>
      <c r="E1016" s="87"/>
      <c r="F1016" s="86"/>
      <c r="G1016" s="87"/>
      <c r="H1016" s="86"/>
      <c r="I1016" s="86"/>
      <c r="J1016" s="86"/>
      <c r="K1016" s="84"/>
      <c r="L1016" s="84"/>
      <c r="M1016" s="84"/>
      <c r="N1016" s="84" t="str">
        <f>IFERROR(__xludf.DUMMYFUNCTION("IFERROR(AVERAGE(query(INDIRECT(""'FR Table'!"" &amp; vlookup(rows($A$1:$A1015),Reference!$O:$P,2,false) &amp; ""3:"" &amp; vlookup(rows($A$1:$A1015),Reference!$O:$P,2,false)), 
""SELECT "" &amp; vlookup(rows($A$1:$A1015),Reference!$O:$P,2,false) 
&amp; "" WHERE "" &amp; vlookup("&amp;"rows($A$1:$A1015),Reference!$O:$P,2,false) &amp;
"" &gt;= "" &amp; Reference!$R$2)) * M1016,"""")"),"")</f>
        <v/>
      </c>
      <c r="O1016" s="84" t="str">
        <f t="shared" si="2"/>
        <v/>
      </c>
    </row>
    <row r="1017">
      <c r="A1017" s="84"/>
      <c r="B1017" s="84"/>
      <c r="C1017" s="85"/>
      <c r="D1017" s="86"/>
      <c r="E1017" s="87"/>
      <c r="F1017" s="86"/>
      <c r="G1017" s="87"/>
      <c r="H1017" s="86"/>
      <c r="I1017" s="86"/>
      <c r="J1017" s="86"/>
      <c r="K1017" s="84"/>
      <c r="L1017" s="84"/>
      <c r="M1017" s="84"/>
      <c r="N1017" s="84" t="str">
        <f>IFERROR(__xludf.DUMMYFUNCTION("IFERROR(AVERAGE(query(INDIRECT(""'FR Table'!"" &amp; vlookup(rows($A$1:$A1016),Reference!$O:$P,2,false) &amp; ""3:"" &amp; vlookup(rows($A$1:$A1016),Reference!$O:$P,2,false)), 
""SELECT "" &amp; vlookup(rows($A$1:$A1016),Reference!$O:$P,2,false) 
&amp; "" WHERE "" &amp; vlookup("&amp;"rows($A$1:$A1016),Reference!$O:$P,2,false) &amp;
"" &gt;= "" &amp; Reference!$R$2)) * M1017,"""")"),"")</f>
        <v/>
      </c>
      <c r="O1017" s="84" t="str">
        <f t="shared" si="2"/>
        <v/>
      </c>
    </row>
    <row r="1018">
      <c r="A1018" s="84"/>
      <c r="B1018" s="84"/>
      <c r="C1018" s="85"/>
      <c r="D1018" s="86"/>
      <c r="E1018" s="87"/>
      <c r="F1018" s="86"/>
      <c r="G1018" s="87"/>
      <c r="H1018" s="86"/>
      <c r="I1018" s="86"/>
      <c r="J1018" s="86"/>
      <c r="K1018" s="84"/>
      <c r="L1018" s="84"/>
      <c r="M1018" s="84"/>
      <c r="N1018" s="84" t="str">
        <f>IFERROR(__xludf.DUMMYFUNCTION("IFERROR(AVERAGE(query(INDIRECT(""'FR Table'!"" &amp; vlookup(rows($A$1:$A1017),Reference!$O:$P,2,false) &amp; ""3:"" &amp; vlookup(rows($A$1:$A1017),Reference!$O:$P,2,false)), 
""SELECT "" &amp; vlookup(rows($A$1:$A1017),Reference!$O:$P,2,false) 
&amp; "" WHERE "" &amp; vlookup("&amp;"rows($A$1:$A1017),Reference!$O:$P,2,false) &amp;
"" &gt;= "" &amp; Reference!$R$2)) * M1018,"""")"),"")</f>
        <v/>
      </c>
      <c r="O1018" s="84" t="str">
        <f t="shared" si="2"/>
        <v/>
      </c>
    </row>
    <row r="1019">
      <c r="A1019" s="84"/>
      <c r="B1019" s="84"/>
      <c r="C1019" s="85"/>
      <c r="D1019" s="86"/>
      <c r="E1019" s="87"/>
      <c r="F1019" s="86"/>
      <c r="G1019" s="87"/>
      <c r="H1019" s="86"/>
      <c r="I1019" s="86"/>
      <c r="J1019" s="86"/>
      <c r="K1019" s="84"/>
      <c r="L1019" s="84"/>
      <c r="M1019" s="84"/>
      <c r="N1019" s="84" t="str">
        <f>IFERROR(__xludf.DUMMYFUNCTION("IFERROR(AVERAGE(query(INDIRECT(""'FR Table'!"" &amp; vlookup(rows($A$1:$A1018),Reference!$O:$P,2,false) &amp; ""3:"" &amp; vlookup(rows($A$1:$A1018),Reference!$O:$P,2,false)), 
""SELECT "" &amp; vlookup(rows($A$1:$A1018),Reference!$O:$P,2,false) 
&amp; "" WHERE "" &amp; vlookup("&amp;"rows($A$1:$A1018),Reference!$O:$P,2,false) &amp;
"" &gt;= "" &amp; Reference!$R$2)) * M1019,"""")"),"")</f>
        <v/>
      </c>
      <c r="O1019" s="84" t="str">
        <f t="shared" si="2"/>
        <v/>
      </c>
    </row>
    <row r="1020">
      <c r="A1020" s="84"/>
      <c r="B1020" s="84"/>
      <c r="C1020" s="85"/>
      <c r="D1020" s="86"/>
      <c r="E1020" s="87"/>
      <c r="F1020" s="86"/>
      <c r="G1020" s="87"/>
      <c r="H1020" s="86"/>
      <c r="I1020" s="86"/>
      <c r="J1020" s="86"/>
      <c r="K1020" s="84"/>
      <c r="L1020" s="84"/>
      <c r="M1020" s="84"/>
      <c r="N1020" s="84" t="str">
        <f>IFERROR(__xludf.DUMMYFUNCTION("IFERROR(AVERAGE(query(INDIRECT(""'FR Table'!"" &amp; vlookup(rows($A$1:$A1019),Reference!$O:$P,2,false) &amp; ""3:"" &amp; vlookup(rows($A$1:$A1019),Reference!$O:$P,2,false)), 
""SELECT "" &amp; vlookup(rows($A$1:$A1019),Reference!$O:$P,2,false) 
&amp; "" WHERE "" &amp; vlookup("&amp;"rows($A$1:$A1019),Reference!$O:$P,2,false) &amp;
"" &gt;= "" &amp; Reference!$R$2)) * M1020,"""")"),"")</f>
        <v/>
      </c>
      <c r="O1020" s="84" t="str">
        <f t="shared" si="2"/>
        <v/>
      </c>
    </row>
    <row r="1021">
      <c r="A1021" s="84"/>
      <c r="B1021" s="84"/>
      <c r="C1021" s="85"/>
      <c r="D1021" s="86"/>
      <c r="E1021" s="87"/>
      <c r="F1021" s="86"/>
      <c r="G1021" s="87"/>
      <c r="H1021" s="86"/>
      <c r="I1021" s="86"/>
      <c r="J1021" s="86"/>
      <c r="K1021" s="84"/>
      <c r="L1021" s="84"/>
      <c r="M1021" s="84"/>
      <c r="N1021" s="84" t="str">
        <f>IFERROR(__xludf.DUMMYFUNCTION("IFERROR(AVERAGE(query(INDIRECT(""'FR Table'!"" &amp; vlookup(rows($A$1:$A1020),Reference!$O:$P,2,false) &amp; ""3:"" &amp; vlookup(rows($A$1:$A1020),Reference!$O:$P,2,false)), 
""SELECT "" &amp; vlookup(rows($A$1:$A1020),Reference!$O:$P,2,false) 
&amp; "" WHERE "" &amp; vlookup("&amp;"rows($A$1:$A1020),Reference!$O:$P,2,false) &amp;
"" &gt;= "" &amp; Reference!$R$2)) * M1021,"""")"),"")</f>
        <v/>
      </c>
      <c r="O1021" s="84" t="str">
        <f t="shared" si="2"/>
        <v/>
      </c>
    </row>
    <row r="1022">
      <c r="A1022" s="84"/>
      <c r="B1022" s="84"/>
      <c r="C1022" s="85"/>
      <c r="D1022" s="86"/>
      <c r="E1022" s="87"/>
      <c r="F1022" s="86"/>
      <c r="G1022" s="87"/>
      <c r="H1022" s="86"/>
      <c r="I1022" s="86"/>
      <c r="J1022" s="86"/>
      <c r="K1022" s="84"/>
      <c r="L1022" s="84"/>
      <c r="M1022" s="84"/>
      <c r="N1022" s="84" t="str">
        <f>IFERROR(__xludf.DUMMYFUNCTION("IFERROR(AVERAGE(query(INDIRECT(""'FR Table'!"" &amp; vlookup(rows($A$1:$A1021),Reference!$O:$P,2,false) &amp; ""3:"" &amp; vlookup(rows($A$1:$A1021),Reference!$O:$P,2,false)), 
""SELECT "" &amp; vlookup(rows($A$1:$A1021),Reference!$O:$P,2,false) 
&amp; "" WHERE "" &amp; vlookup("&amp;"rows($A$1:$A1021),Reference!$O:$P,2,false) &amp;
"" &gt;= "" &amp; Reference!$R$2)) * M1022,"""")"),"")</f>
        <v/>
      </c>
      <c r="O1022" s="84" t="str">
        <f t="shared" si="2"/>
        <v/>
      </c>
    </row>
    <row r="1023">
      <c r="A1023" s="84"/>
      <c r="B1023" s="84"/>
      <c r="C1023" s="85"/>
      <c r="D1023" s="86"/>
      <c r="E1023" s="87"/>
      <c r="F1023" s="86"/>
      <c r="G1023" s="87"/>
      <c r="H1023" s="86"/>
      <c r="I1023" s="86"/>
      <c r="J1023" s="86"/>
      <c r="K1023" s="84"/>
      <c r="L1023" s="84"/>
      <c r="M1023" s="84"/>
      <c r="N1023" s="84" t="str">
        <f>IFERROR(__xludf.DUMMYFUNCTION("IFERROR(AVERAGE(query(INDIRECT(""'FR Table'!"" &amp; vlookup(rows($A$1:$A1022),Reference!$O:$P,2,false) &amp; ""3:"" &amp; vlookup(rows($A$1:$A1022),Reference!$O:$P,2,false)), 
""SELECT "" &amp; vlookup(rows($A$1:$A1022),Reference!$O:$P,2,false) 
&amp; "" WHERE "" &amp; vlookup("&amp;"rows($A$1:$A1022),Reference!$O:$P,2,false) &amp;
"" &gt;= "" &amp; Reference!$R$2)) * M1023,"""")"),"")</f>
        <v/>
      </c>
      <c r="O1023" s="84" t="str">
        <f t="shared" si="2"/>
        <v/>
      </c>
    </row>
    <row r="1024">
      <c r="A1024" s="84"/>
      <c r="B1024" s="84"/>
      <c r="C1024" s="85"/>
      <c r="D1024" s="86"/>
      <c r="E1024" s="87"/>
      <c r="F1024" s="86"/>
      <c r="G1024" s="87"/>
      <c r="H1024" s="86"/>
      <c r="I1024" s="86"/>
      <c r="J1024" s="86"/>
      <c r="K1024" s="84"/>
      <c r="L1024" s="84"/>
      <c r="M1024" s="84"/>
      <c r="N1024" s="84" t="str">
        <f>IFERROR(__xludf.DUMMYFUNCTION("IFERROR(AVERAGE(query(INDIRECT(""'FR Table'!"" &amp; vlookup(rows($A$1:$A1023),Reference!$O:$P,2,false) &amp; ""3:"" &amp; vlookup(rows($A$1:$A1023),Reference!$O:$P,2,false)), 
""SELECT "" &amp; vlookup(rows($A$1:$A1023),Reference!$O:$P,2,false) 
&amp; "" WHERE "" &amp; vlookup("&amp;"rows($A$1:$A1023),Reference!$O:$P,2,false) &amp;
"" &gt;= "" &amp; Reference!$R$2)) * M1024,"""")"),"")</f>
        <v/>
      </c>
      <c r="O1024" s="84" t="str">
        <f t="shared" si="2"/>
        <v/>
      </c>
    </row>
    <row r="1025">
      <c r="A1025" s="84"/>
      <c r="B1025" s="84"/>
      <c r="C1025" s="85"/>
      <c r="D1025" s="86"/>
      <c r="E1025" s="87"/>
      <c r="F1025" s="86"/>
      <c r="G1025" s="87"/>
      <c r="H1025" s="86"/>
      <c r="I1025" s="86"/>
      <c r="J1025" s="86"/>
      <c r="K1025" s="84"/>
      <c r="L1025" s="84"/>
      <c r="M1025" s="84"/>
      <c r="N1025" s="84" t="str">
        <f>IFERROR(__xludf.DUMMYFUNCTION("IFERROR(AVERAGE(query(INDIRECT(""'FR Table'!"" &amp; vlookup(rows($A$1:$A1024),Reference!$O:$P,2,false) &amp; ""3:"" &amp; vlookup(rows($A$1:$A1024),Reference!$O:$P,2,false)), 
""SELECT "" &amp; vlookup(rows($A$1:$A1024),Reference!$O:$P,2,false) 
&amp; "" WHERE "" &amp; vlookup("&amp;"rows($A$1:$A1024),Reference!$O:$P,2,false) &amp;
"" &gt;= "" &amp; Reference!$R$2)) * M1025,"""")"),"")</f>
        <v/>
      </c>
      <c r="O1025" s="84" t="str">
        <f t="shared" si="2"/>
        <v/>
      </c>
    </row>
    <row r="1026">
      <c r="A1026" s="84"/>
      <c r="B1026" s="84"/>
      <c r="C1026" s="85"/>
      <c r="D1026" s="86"/>
      <c r="E1026" s="87"/>
      <c r="F1026" s="86"/>
      <c r="G1026" s="87"/>
      <c r="H1026" s="86"/>
      <c r="I1026" s="86"/>
      <c r="J1026" s="86"/>
      <c r="K1026" s="84"/>
      <c r="L1026" s="84"/>
      <c r="M1026" s="84"/>
      <c r="N1026" s="84" t="str">
        <f>IFERROR(__xludf.DUMMYFUNCTION("IFERROR(AVERAGE(query(INDIRECT(""'FR Table'!"" &amp; vlookup(rows($A$1:$A1025),Reference!$O:$P,2,false) &amp; ""3:"" &amp; vlookup(rows($A$1:$A1025),Reference!$O:$P,2,false)), 
""SELECT "" &amp; vlookup(rows($A$1:$A1025),Reference!$O:$P,2,false) 
&amp; "" WHERE "" &amp; vlookup("&amp;"rows($A$1:$A1025),Reference!$O:$P,2,false) &amp;
"" &gt;= "" &amp; Reference!$R$2)) * M1026,"""")"),"")</f>
        <v/>
      </c>
      <c r="O1026" s="84" t="str">
        <f t="shared" si="2"/>
        <v/>
      </c>
    </row>
    <row r="1027">
      <c r="A1027" s="84"/>
      <c r="B1027" s="84"/>
      <c r="C1027" s="85"/>
      <c r="D1027" s="86"/>
      <c r="E1027" s="87"/>
      <c r="F1027" s="86"/>
      <c r="G1027" s="87"/>
      <c r="H1027" s="86"/>
      <c r="I1027" s="86"/>
      <c r="J1027" s="86"/>
      <c r="K1027" s="84"/>
      <c r="L1027" s="84"/>
      <c r="M1027" s="84"/>
      <c r="N1027" s="84" t="str">
        <f>IFERROR(__xludf.DUMMYFUNCTION("IFERROR(AVERAGE(query(INDIRECT(""'FR Table'!"" &amp; vlookup(rows($A$1:$A1026),Reference!$O:$P,2,false) &amp; ""3:"" &amp; vlookup(rows($A$1:$A1026),Reference!$O:$P,2,false)), 
""SELECT "" &amp; vlookup(rows($A$1:$A1026),Reference!$O:$P,2,false) 
&amp; "" WHERE "" &amp; vlookup("&amp;"rows($A$1:$A1026),Reference!$O:$P,2,false) &amp;
"" &gt;= "" &amp; Reference!$R$2)) * M1027,"""")"),"")</f>
        <v/>
      </c>
      <c r="O1027" s="84" t="str">
        <f t="shared" si="2"/>
        <v/>
      </c>
    </row>
    <row r="1028">
      <c r="A1028" s="84"/>
      <c r="B1028" s="84"/>
      <c r="C1028" s="85"/>
      <c r="D1028" s="86"/>
      <c r="E1028" s="87"/>
      <c r="F1028" s="86"/>
      <c r="G1028" s="87"/>
      <c r="H1028" s="86"/>
      <c r="I1028" s="86"/>
      <c r="J1028" s="86"/>
      <c r="K1028" s="84"/>
      <c r="L1028" s="84"/>
      <c r="M1028" s="84"/>
      <c r="N1028" s="84" t="str">
        <f>IFERROR(__xludf.DUMMYFUNCTION("IFERROR(AVERAGE(query(INDIRECT(""'FR Table'!"" &amp; vlookup(rows($A$1:$A1027),Reference!$O:$P,2,false) &amp; ""3:"" &amp; vlookup(rows($A$1:$A1027),Reference!$O:$P,2,false)), 
""SELECT "" &amp; vlookup(rows($A$1:$A1027),Reference!$O:$P,2,false) 
&amp; "" WHERE "" &amp; vlookup("&amp;"rows($A$1:$A1027),Reference!$O:$P,2,false) &amp;
"" &gt;= "" &amp; Reference!$R$2)) * M1028,"""")"),"")</f>
        <v/>
      </c>
      <c r="O1028" s="84" t="str">
        <f t="shared" si="2"/>
        <v/>
      </c>
    </row>
    <row r="1029">
      <c r="A1029" s="84"/>
      <c r="B1029" s="84"/>
      <c r="C1029" s="85"/>
      <c r="D1029" s="86"/>
      <c r="E1029" s="87"/>
      <c r="F1029" s="86"/>
      <c r="G1029" s="87"/>
      <c r="H1029" s="86"/>
      <c r="I1029" s="86"/>
      <c r="J1029" s="86"/>
      <c r="K1029" s="84"/>
      <c r="L1029" s="84"/>
      <c r="M1029" s="84"/>
      <c r="N1029" s="84" t="str">
        <f>IFERROR(__xludf.DUMMYFUNCTION("IFERROR(AVERAGE(query(INDIRECT(""'FR Table'!"" &amp; vlookup(rows($A$1:$A1028),Reference!$O:$P,2,false) &amp; ""3:"" &amp; vlookup(rows($A$1:$A1028),Reference!$O:$P,2,false)), 
""SELECT "" &amp; vlookup(rows($A$1:$A1028),Reference!$O:$P,2,false) 
&amp; "" WHERE "" &amp; vlookup("&amp;"rows($A$1:$A1028),Reference!$O:$P,2,false) &amp;
"" &gt;= "" &amp; Reference!$R$2)) * M1029,"""")"),"")</f>
        <v/>
      </c>
      <c r="O1029" s="84" t="str">
        <f t="shared" si="2"/>
        <v/>
      </c>
    </row>
    <row r="1030">
      <c r="A1030" s="84"/>
      <c r="B1030" s="84"/>
      <c r="C1030" s="85"/>
      <c r="D1030" s="86"/>
      <c r="E1030" s="87"/>
      <c r="F1030" s="86"/>
      <c r="G1030" s="87"/>
      <c r="H1030" s="86"/>
      <c r="I1030" s="86"/>
      <c r="J1030" s="86"/>
      <c r="K1030" s="84"/>
      <c r="L1030" s="84"/>
      <c r="M1030" s="84"/>
      <c r="N1030" s="84" t="str">
        <f>IFERROR(__xludf.DUMMYFUNCTION("IFERROR(AVERAGE(query(INDIRECT(""'FR Table'!"" &amp; vlookup(rows($A$1:$A1029),Reference!$O:$P,2,false) &amp; ""3:"" &amp; vlookup(rows($A$1:$A1029),Reference!$O:$P,2,false)), 
""SELECT "" &amp; vlookup(rows($A$1:$A1029),Reference!$O:$P,2,false) 
&amp; "" WHERE "" &amp; vlookup("&amp;"rows($A$1:$A1029),Reference!$O:$P,2,false) &amp;
"" &gt;= "" &amp; Reference!$R$2)) * M1030,"""")"),"")</f>
        <v/>
      </c>
      <c r="O1030" s="84" t="str">
        <f t="shared" si="2"/>
        <v/>
      </c>
    </row>
    <row r="1031">
      <c r="A1031" s="84"/>
      <c r="B1031" s="84"/>
      <c r="C1031" s="85"/>
      <c r="D1031" s="86"/>
      <c r="E1031" s="87"/>
      <c r="F1031" s="86"/>
      <c r="G1031" s="87"/>
      <c r="H1031" s="86"/>
      <c r="I1031" s="86"/>
      <c r="J1031" s="86"/>
      <c r="K1031" s="84"/>
      <c r="L1031" s="84"/>
      <c r="M1031" s="84"/>
      <c r="N1031" s="84" t="str">
        <f>IFERROR(__xludf.DUMMYFUNCTION("IFERROR(AVERAGE(query(INDIRECT(""'FR Table'!"" &amp; vlookup(rows($A$1:$A1030),Reference!$O:$P,2,false) &amp; ""3:"" &amp; vlookup(rows($A$1:$A1030),Reference!$O:$P,2,false)), 
""SELECT "" &amp; vlookup(rows($A$1:$A1030),Reference!$O:$P,2,false) 
&amp; "" WHERE "" &amp; vlookup("&amp;"rows($A$1:$A1030),Reference!$O:$P,2,false) &amp;
"" &gt;= "" &amp; Reference!$R$2)) * M1031,"""")"),"")</f>
        <v/>
      </c>
      <c r="O1031" s="84" t="str">
        <f t="shared" si="2"/>
        <v/>
      </c>
    </row>
    <row r="1032">
      <c r="A1032" s="84"/>
      <c r="B1032" s="84"/>
      <c r="C1032" s="85"/>
      <c r="D1032" s="86"/>
      <c r="E1032" s="87"/>
      <c r="F1032" s="86"/>
      <c r="G1032" s="87"/>
      <c r="H1032" s="86"/>
      <c r="I1032" s="86"/>
      <c r="J1032" s="86"/>
      <c r="K1032" s="84"/>
      <c r="L1032" s="84"/>
      <c r="M1032" s="84"/>
      <c r="N1032" s="84" t="str">
        <f>IFERROR(__xludf.DUMMYFUNCTION("IFERROR(AVERAGE(query(INDIRECT(""'FR Table'!"" &amp; vlookup(rows($A$1:$A1031),Reference!$O:$P,2,false) &amp; ""3:"" &amp; vlookup(rows($A$1:$A1031),Reference!$O:$P,2,false)), 
""SELECT "" &amp; vlookup(rows($A$1:$A1031),Reference!$O:$P,2,false) 
&amp; "" WHERE "" &amp; vlookup("&amp;"rows($A$1:$A1031),Reference!$O:$P,2,false) &amp;
"" &gt;= "" &amp; Reference!$R$2)) * M1032,"""")"),"")</f>
        <v/>
      </c>
      <c r="O1032" s="84" t="str">
        <f t="shared" si="2"/>
        <v/>
      </c>
    </row>
    <row r="1033">
      <c r="A1033" s="84"/>
      <c r="B1033" s="84"/>
      <c r="C1033" s="85"/>
      <c r="D1033" s="86"/>
      <c r="E1033" s="87"/>
      <c r="F1033" s="86"/>
      <c r="G1033" s="87"/>
      <c r="H1033" s="86"/>
      <c r="I1033" s="86"/>
      <c r="J1033" s="86"/>
      <c r="K1033" s="84"/>
      <c r="L1033" s="84"/>
      <c r="M1033" s="84"/>
      <c r="N1033" s="84" t="str">
        <f>IFERROR(__xludf.DUMMYFUNCTION("IFERROR(AVERAGE(query(INDIRECT(""'FR Table'!"" &amp; vlookup(rows($A$1:$A1032),Reference!$O:$P,2,false) &amp; ""3:"" &amp; vlookup(rows($A$1:$A1032),Reference!$O:$P,2,false)), 
""SELECT "" &amp; vlookup(rows($A$1:$A1032),Reference!$O:$P,2,false) 
&amp; "" WHERE "" &amp; vlookup("&amp;"rows($A$1:$A1032),Reference!$O:$P,2,false) &amp;
"" &gt;= "" &amp; Reference!$R$2)) * M1033,"""")"),"")</f>
        <v/>
      </c>
      <c r="O1033" s="84" t="str">
        <f t="shared" si="2"/>
        <v/>
      </c>
    </row>
    <row r="1034">
      <c r="A1034" s="84"/>
      <c r="B1034" s="84"/>
      <c r="C1034" s="85"/>
      <c r="D1034" s="86"/>
      <c r="E1034" s="87"/>
      <c r="F1034" s="86"/>
      <c r="G1034" s="87"/>
      <c r="H1034" s="86"/>
      <c r="I1034" s="86"/>
      <c r="J1034" s="86"/>
      <c r="K1034" s="84"/>
      <c r="L1034" s="84"/>
      <c r="M1034" s="84"/>
      <c r="N1034" s="84" t="str">
        <f>IFERROR(__xludf.DUMMYFUNCTION("IFERROR(AVERAGE(query(INDIRECT(""'FR Table'!"" &amp; vlookup(rows($A$1:$A1033),Reference!$O:$P,2,false) &amp; ""3:"" &amp; vlookup(rows($A$1:$A1033),Reference!$O:$P,2,false)), 
""SELECT "" &amp; vlookup(rows($A$1:$A1033),Reference!$O:$P,2,false) 
&amp; "" WHERE "" &amp; vlookup("&amp;"rows($A$1:$A1033),Reference!$O:$P,2,false) &amp;
"" &gt;= "" &amp; Reference!$R$2)) * M1034,"""")"),"")</f>
        <v/>
      </c>
      <c r="O1034" s="84" t="str">
        <f t="shared" si="2"/>
        <v/>
      </c>
    </row>
    <row r="1035">
      <c r="A1035" s="84"/>
      <c r="B1035" s="84"/>
      <c r="C1035" s="85"/>
      <c r="D1035" s="86"/>
      <c r="E1035" s="87"/>
      <c r="F1035" s="86"/>
      <c r="G1035" s="87"/>
      <c r="H1035" s="86"/>
      <c r="I1035" s="86"/>
      <c r="J1035" s="86"/>
      <c r="K1035" s="84"/>
      <c r="L1035" s="84"/>
      <c r="M1035" s="84"/>
      <c r="N1035" s="84" t="str">
        <f>IFERROR(__xludf.DUMMYFUNCTION("IFERROR(AVERAGE(query(INDIRECT(""'FR Table'!"" &amp; vlookup(rows($A$1:$A1034),Reference!$O:$P,2,false) &amp; ""3:"" &amp; vlookup(rows($A$1:$A1034),Reference!$O:$P,2,false)), 
""SELECT "" &amp; vlookup(rows($A$1:$A1034),Reference!$O:$P,2,false) 
&amp; "" WHERE "" &amp; vlookup("&amp;"rows($A$1:$A1034),Reference!$O:$P,2,false) &amp;
"" &gt;= "" &amp; Reference!$R$2)) * M1035,"""")"),"")</f>
        <v/>
      </c>
      <c r="O1035" s="84" t="str">
        <f t="shared" si="2"/>
        <v/>
      </c>
    </row>
    <row r="1036">
      <c r="A1036" s="84"/>
      <c r="B1036" s="84"/>
      <c r="C1036" s="85"/>
      <c r="D1036" s="86"/>
      <c r="E1036" s="87"/>
      <c r="F1036" s="86"/>
      <c r="G1036" s="87"/>
      <c r="H1036" s="86"/>
      <c r="I1036" s="86"/>
      <c r="J1036" s="86"/>
      <c r="K1036" s="84"/>
      <c r="L1036" s="84"/>
      <c r="M1036" s="84"/>
      <c r="N1036" s="84" t="str">
        <f>IFERROR(__xludf.DUMMYFUNCTION("IFERROR(AVERAGE(query(INDIRECT(""'FR Table'!"" &amp; vlookup(rows($A$1:$A1035),Reference!$O:$P,2,false) &amp; ""3:"" &amp; vlookup(rows($A$1:$A1035),Reference!$O:$P,2,false)), 
""SELECT "" &amp; vlookup(rows($A$1:$A1035),Reference!$O:$P,2,false) 
&amp; "" WHERE "" &amp; vlookup("&amp;"rows($A$1:$A1035),Reference!$O:$P,2,false) &amp;
"" &gt;= "" &amp; Reference!$R$2)) * M1036,"""")"),"")</f>
        <v/>
      </c>
      <c r="O1036" s="84" t="str">
        <f t="shared" si="2"/>
        <v/>
      </c>
    </row>
    <row r="1037">
      <c r="A1037" s="84"/>
      <c r="B1037" s="84"/>
      <c r="C1037" s="85"/>
      <c r="D1037" s="86"/>
      <c r="E1037" s="87"/>
      <c r="F1037" s="86"/>
      <c r="G1037" s="87"/>
      <c r="H1037" s="86"/>
      <c r="I1037" s="86"/>
      <c r="J1037" s="86"/>
      <c r="K1037" s="84"/>
      <c r="L1037" s="84"/>
      <c r="M1037" s="84"/>
      <c r="N1037" s="84" t="str">
        <f>IFERROR(__xludf.DUMMYFUNCTION("IFERROR(AVERAGE(query(INDIRECT(""'FR Table'!"" &amp; vlookup(rows($A$1:$A1036),Reference!$O:$P,2,false) &amp; ""3:"" &amp; vlookup(rows($A$1:$A1036),Reference!$O:$P,2,false)), 
""SELECT "" &amp; vlookup(rows($A$1:$A1036),Reference!$O:$P,2,false) 
&amp; "" WHERE "" &amp; vlookup("&amp;"rows($A$1:$A1036),Reference!$O:$P,2,false) &amp;
"" &gt;= "" &amp; Reference!$R$2)) * M1037,"""")"),"")</f>
        <v/>
      </c>
      <c r="O1037" s="84" t="str">
        <f t="shared" si="2"/>
        <v/>
      </c>
    </row>
    <row r="1038">
      <c r="A1038" s="84"/>
      <c r="B1038" s="84"/>
      <c r="C1038" s="85"/>
      <c r="D1038" s="86"/>
      <c r="E1038" s="87"/>
      <c r="F1038" s="86"/>
      <c r="G1038" s="87"/>
      <c r="H1038" s="86"/>
      <c r="I1038" s="86"/>
      <c r="J1038" s="86"/>
      <c r="K1038" s="84"/>
      <c r="L1038" s="84"/>
      <c r="M1038" s="84"/>
      <c r="N1038" s="84" t="str">
        <f>IFERROR(__xludf.DUMMYFUNCTION("IFERROR(AVERAGE(query(INDIRECT(""'FR Table'!"" &amp; vlookup(rows($A$1:$A1037),Reference!$O:$P,2,false) &amp; ""3:"" &amp; vlookup(rows($A$1:$A1037),Reference!$O:$P,2,false)), 
""SELECT "" &amp; vlookup(rows($A$1:$A1037),Reference!$O:$P,2,false) 
&amp; "" WHERE "" &amp; vlookup("&amp;"rows($A$1:$A1037),Reference!$O:$P,2,false) &amp;
"" &gt;= "" &amp; Reference!$R$2)) * M1038,"""")"),"")</f>
        <v/>
      </c>
      <c r="O1038" s="84" t="str">
        <f t="shared" si="2"/>
        <v/>
      </c>
    </row>
    <row r="1039">
      <c r="A1039" s="84"/>
      <c r="B1039" s="84"/>
      <c r="C1039" s="85"/>
      <c r="D1039" s="86"/>
      <c r="E1039" s="87"/>
      <c r="F1039" s="86"/>
      <c r="G1039" s="87"/>
      <c r="H1039" s="86"/>
      <c r="I1039" s="86"/>
      <c r="J1039" s="86"/>
      <c r="K1039" s="84"/>
      <c r="L1039" s="84"/>
      <c r="M1039" s="84"/>
      <c r="N1039" s="84" t="str">
        <f>IFERROR(__xludf.DUMMYFUNCTION("IFERROR(AVERAGE(query(INDIRECT(""'FR Table'!"" &amp; vlookup(rows($A$1:$A1038),Reference!$O:$P,2,false) &amp; ""3:"" &amp; vlookup(rows($A$1:$A1038),Reference!$O:$P,2,false)), 
""SELECT "" &amp; vlookup(rows($A$1:$A1038),Reference!$O:$P,2,false) 
&amp; "" WHERE "" &amp; vlookup("&amp;"rows($A$1:$A1038),Reference!$O:$P,2,false) &amp;
"" &gt;= "" &amp; Reference!$R$2)) * M1039,"""")"),"")</f>
        <v/>
      </c>
      <c r="O1039" s="84" t="str">
        <f t="shared" si="2"/>
        <v/>
      </c>
    </row>
    <row r="1040">
      <c r="A1040" s="84"/>
      <c r="B1040" s="84"/>
      <c r="C1040" s="85"/>
      <c r="D1040" s="86"/>
      <c r="E1040" s="87"/>
      <c r="F1040" s="86"/>
      <c r="G1040" s="87"/>
      <c r="H1040" s="86"/>
      <c r="I1040" s="86"/>
      <c r="J1040" s="86"/>
      <c r="K1040" s="84"/>
      <c r="L1040" s="84"/>
      <c r="M1040" s="84"/>
      <c r="N1040" s="84" t="str">
        <f>IFERROR(__xludf.DUMMYFUNCTION("IFERROR(AVERAGE(query(INDIRECT(""'FR Table'!"" &amp; vlookup(rows($A$1:$A1039),Reference!$O:$P,2,false) &amp; ""3:"" &amp; vlookup(rows($A$1:$A1039),Reference!$O:$P,2,false)), 
""SELECT "" &amp; vlookup(rows($A$1:$A1039),Reference!$O:$P,2,false) 
&amp; "" WHERE "" &amp; vlookup("&amp;"rows($A$1:$A1039),Reference!$O:$P,2,false) &amp;
"" &gt;= "" &amp; Reference!$R$2)) * M1040,"""")"),"")</f>
        <v/>
      </c>
      <c r="O1040" s="84" t="str">
        <f t="shared" si="2"/>
        <v/>
      </c>
    </row>
    <row r="1041">
      <c r="A1041" s="84"/>
      <c r="B1041" s="84"/>
      <c r="C1041" s="85"/>
      <c r="D1041" s="86"/>
      <c r="E1041" s="87"/>
      <c r="F1041" s="86"/>
      <c r="G1041" s="87"/>
      <c r="H1041" s="86"/>
      <c r="I1041" s="86"/>
      <c r="J1041" s="86"/>
      <c r="K1041" s="84"/>
      <c r="L1041" s="84"/>
      <c r="M1041" s="84"/>
      <c r="N1041" s="84" t="str">
        <f>IFERROR(__xludf.DUMMYFUNCTION("IFERROR(AVERAGE(query(INDIRECT(""'FR Table'!"" &amp; vlookup(rows($A$1:$A1040),Reference!$O:$P,2,false) &amp; ""3:"" &amp; vlookup(rows($A$1:$A1040),Reference!$O:$P,2,false)), 
""SELECT "" &amp; vlookup(rows($A$1:$A1040),Reference!$O:$P,2,false) 
&amp; "" WHERE "" &amp; vlookup("&amp;"rows($A$1:$A1040),Reference!$O:$P,2,false) &amp;
"" &gt;= "" &amp; Reference!$R$2)) * M1041,"""")"),"")</f>
        <v/>
      </c>
      <c r="O1041" s="84" t="str">
        <f t="shared" si="2"/>
        <v/>
      </c>
    </row>
    <row r="1042">
      <c r="A1042" s="84"/>
      <c r="B1042" s="84"/>
      <c r="C1042" s="85"/>
      <c r="D1042" s="86"/>
      <c r="E1042" s="87"/>
      <c r="F1042" s="86"/>
      <c r="G1042" s="87"/>
      <c r="H1042" s="86"/>
      <c r="I1042" s="86"/>
      <c r="J1042" s="86"/>
      <c r="K1042" s="84"/>
      <c r="L1042" s="84"/>
      <c r="M1042" s="84"/>
      <c r="N1042" s="84" t="str">
        <f>IFERROR(__xludf.DUMMYFUNCTION("IFERROR(AVERAGE(query(INDIRECT(""'FR Table'!"" &amp; vlookup(rows($A$1:$A1041),Reference!$O:$P,2,false) &amp; ""3:"" &amp; vlookup(rows($A$1:$A1041),Reference!$O:$P,2,false)), 
""SELECT "" &amp; vlookup(rows($A$1:$A1041),Reference!$O:$P,2,false) 
&amp; "" WHERE "" &amp; vlookup("&amp;"rows($A$1:$A1041),Reference!$O:$P,2,false) &amp;
"" &gt;= "" &amp; Reference!$R$2)) * M1042,"""")"),"")</f>
        <v/>
      </c>
      <c r="O1042" s="84" t="str">
        <f t="shared" si="2"/>
        <v/>
      </c>
    </row>
    <row r="1043">
      <c r="A1043" s="84"/>
      <c r="B1043" s="84"/>
      <c r="C1043" s="85"/>
      <c r="D1043" s="86"/>
      <c r="E1043" s="87"/>
      <c r="F1043" s="86"/>
      <c r="G1043" s="87"/>
      <c r="H1043" s="86"/>
      <c r="I1043" s="86"/>
      <c r="J1043" s="86"/>
      <c r="K1043" s="84"/>
      <c r="L1043" s="84"/>
      <c r="M1043" s="84"/>
      <c r="N1043" s="84" t="str">
        <f>IFERROR(__xludf.DUMMYFUNCTION("IFERROR(AVERAGE(query(INDIRECT(""'FR Table'!"" &amp; vlookup(rows($A$1:$A1042),Reference!$O:$P,2,false) &amp; ""3:"" &amp; vlookup(rows($A$1:$A1042),Reference!$O:$P,2,false)), 
""SELECT "" &amp; vlookup(rows($A$1:$A1042),Reference!$O:$P,2,false) 
&amp; "" WHERE "" &amp; vlookup("&amp;"rows($A$1:$A1042),Reference!$O:$P,2,false) &amp;
"" &gt;= "" &amp; Reference!$R$2)) * M1043,"""")"),"")</f>
        <v/>
      </c>
      <c r="O1043" s="84" t="str">
        <f t="shared" si="2"/>
        <v/>
      </c>
    </row>
    <row r="1044">
      <c r="A1044" s="84"/>
      <c r="B1044" s="84"/>
      <c r="C1044" s="85"/>
      <c r="D1044" s="86"/>
      <c r="E1044" s="87"/>
      <c r="F1044" s="86"/>
      <c r="G1044" s="87"/>
      <c r="H1044" s="86"/>
      <c r="I1044" s="86"/>
      <c r="J1044" s="86"/>
      <c r="K1044" s="84"/>
      <c r="L1044" s="84"/>
      <c r="M1044" s="84"/>
      <c r="N1044" s="84" t="str">
        <f>IFERROR(__xludf.DUMMYFUNCTION("IFERROR(AVERAGE(query(INDIRECT(""'FR Table'!"" &amp; vlookup(rows($A$1:$A1043),Reference!$O:$P,2,false) &amp; ""3:"" &amp; vlookup(rows($A$1:$A1043),Reference!$O:$P,2,false)), 
""SELECT "" &amp; vlookup(rows($A$1:$A1043),Reference!$O:$P,2,false) 
&amp; "" WHERE "" &amp; vlookup("&amp;"rows($A$1:$A1043),Reference!$O:$P,2,false) &amp;
"" &gt;= "" &amp; Reference!$R$2)) * M1044,"""")"),"")</f>
        <v/>
      </c>
      <c r="O1044" s="84" t="str">
        <f t="shared" si="2"/>
        <v/>
      </c>
    </row>
    <row r="1045">
      <c r="A1045" s="84"/>
      <c r="B1045" s="84"/>
      <c r="C1045" s="85"/>
      <c r="D1045" s="86"/>
      <c r="E1045" s="87"/>
      <c r="F1045" s="86"/>
      <c r="G1045" s="87"/>
      <c r="H1045" s="86"/>
      <c r="I1045" s="86"/>
      <c r="J1045" s="86"/>
      <c r="K1045" s="84"/>
      <c r="L1045" s="84"/>
      <c r="M1045" s="84"/>
      <c r="N1045" s="84" t="str">
        <f>IFERROR(__xludf.DUMMYFUNCTION("IFERROR(AVERAGE(query(INDIRECT(""'FR Table'!"" &amp; vlookup(rows($A$1:$A1044),Reference!$O:$P,2,false) &amp; ""3:"" &amp; vlookup(rows($A$1:$A1044),Reference!$O:$P,2,false)), 
""SELECT "" &amp; vlookup(rows($A$1:$A1044),Reference!$O:$P,2,false) 
&amp; "" WHERE "" &amp; vlookup("&amp;"rows($A$1:$A1044),Reference!$O:$P,2,false) &amp;
"" &gt;= "" &amp; Reference!$R$2)) * M1045,"""")"),"")</f>
        <v/>
      </c>
      <c r="O1045" s="84" t="str">
        <f t="shared" si="2"/>
        <v/>
      </c>
    </row>
    <row r="1046">
      <c r="A1046" s="84"/>
      <c r="B1046" s="84"/>
      <c r="C1046" s="85"/>
      <c r="D1046" s="86"/>
      <c r="E1046" s="87"/>
      <c r="F1046" s="86"/>
      <c r="G1046" s="87"/>
      <c r="H1046" s="86"/>
      <c r="I1046" s="86"/>
      <c r="J1046" s="86"/>
      <c r="K1046" s="84"/>
      <c r="L1046" s="84"/>
      <c r="M1046" s="84"/>
      <c r="N1046" s="84" t="str">
        <f>IFERROR(__xludf.DUMMYFUNCTION("IFERROR(AVERAGE(query(INDIRECT(""'FR Table'!"" &amp; vlookup(rows($A$1:$A1045),Reference!$O:$P,2,false) &amp; ""3:"" &amp; vlookup(rows($A$1:$A1045),Reference!$O:$P,2,false)), 
""SELECT "" &amp; vlookup(rows($A$1:$A1045),Reference!$O:$P,2,false) 
&amp; "" WHERE "" &amp; vlookup("&amp;"rows($A$1:$A1045),Reference!$O:$P,2,false) &amp;
"" &gt;= "" &amp; Reference!$R$2)) * M1046,"""")"),"")</f>
        <v/>
      </c>
      <c r="O1046" s="84" t="str">
        <f t="shared" si="2"/>
        <v/>
      </c>
    </row>
    <row r="1047">
      <c r="A1047" s="84"/>
      <c r="B1047" s="84"/>
      <c r="C1047" s="85"/>
      <c r="D1047" s="86"/>
      <c r="E1047" s="87"/>
      <c r="F1047" s="86"/>
      <c r="G1047" s="87"/>
      <c r="H1047" s="86"/>
      <c r="I1047" s="86"/>
      <c r="J1047" s="86"/>
      <c r="K1047" s="84"/>
      <c r="L1047" s="84"/>
      <c r="M1047" s="84"/>
      <c r="N1047" s="84" t="str">
        <f>IFERROR(__xludf.DUMMYFUNCTION("IFERROR(AVERAGE(query(INDIRECT(""'FR Table'!"" &amp; vlookup(rows($A$1:$A1046),Reference!$O:$P,2,false) &amp; ""3:"" &amp; vlookup(rows($A$1:$A1046),Reference!$O:$P,2,false)), 
""SELECT "" &amp; vlookup(rows($A$1:$A1046),Reference!$O:$P,2,false) 
&amp; "" WHERE "" &amp; vlookup("&amp;"rows($A$1:$A1046),Reference!$O:$P,2,false) &amp;
"" &gt;= "" &amp; Reference!$R$2)) * M1047,"""")"),"")</f>
        <v/>
      </c>
      <c r="O1047" s="84" t="str">
        <f t="shared" si="2"/>
        <v/>
      </c>
    </row>
    <row r="1048">
      <c r="A1048" s="84"/>
      <c r="B1048" s="84"/>
      <c r="C1048" s="85"/>
      <c r="D1048" s="86"/>
      <c r="E1048" s="87"/>
      <c r="F1048" s="86"/>
      <c r="G1048" s="87"/>
      <c r="H1048" s="86"/>
      <c r="I1048" s="86"/>
      <c r="J1048" s="86"/>
      <c r="K1048" s="84"/>
      <c r="L1048" s="84"/>
      <c r="M1048" s="84"/>
      <c r="N1048" s="84" t="str">
        <f>IFERROR(__xludf.DUMMYFUNCTION("IFERROR(AVERAGE(query(INDIRECT(""'FR Table'!"" &amp; vlookup(rows($A$1:$A1047),Reference!$O:$P,2,false) &amp; ""3:"" &amp; vlookup(rows($A$1:$A1047),Reference!$O:$P,2,false)), 
""SELECT "" &amp; vlookup(rows($A$1:$A1047),Reference!$O:$P,2,false) 
&amp; "" WHERE "" &amp; vlookup("&amp;"rows($A$1:$A1047),Reference!$O:$P,2,false) &amp;
"" &gt;= "" &amp; Reference!$R$2)) * M1048,"""")"),"")</f>
        <v/>
      </c>
      <c r="O1048" s="84" t="str">
        <f t="shared" si="2"/>
        <v/>
      </c>
    </row>
    <row r="1049">
      <c r="A1049" s="84"/>
      <c r="B1049" s="84"/>
      <c r="C1049" s="85"/>
      <c r="D1049" s="86"/>
      <c r="E1049" s="87"/>
      <c r="F1049" s="86"/>
      <c r="G1049" s="87"/>
      <c r="H1049" s="86"/>
      <c r="I1049" s="86"/>
      <c r="J1049" s="86"/>
      <c r="K1049" s="84"/>
      <c r="L1049" s="84"/>
      <c r="M1049" s="84"/>
      <c r="N1049" s="84" t="str">
        <f>IFERROR(__xludf.DUMMYFUNCTION("IFERROR(AVERAGE(query(INDIRECT(""'FR Table'!"" &amp; vlookup(rows($A$1:$A1048),Reference!$O:$P,2,false) &amp; ""3:"" &amp; vlookup(rows($A$1:$A1048),Reference!$O:$P,2,false)), 
""SELECT "" &amp; vlookup(rows($A$1:$A1048),Reference!$O:$P,2,false) 
&amp; "" WHERE "" &amp; vlookup("&amp;"rows($A$1:$A1048),Reference!$O:$P,2,false) &amp;
"" &gt;= "" &amp; Reference!$R$2)) * M1049,"""")"),"")</f>
        <v/>
      </c>
      <c r="O1049" s="84" t="str">
        <f t="shared" si="2"/>
        <v/>
      </c>
    </row>
    <row r="1050">
      <c r="A1050" s="84"/>
      <c r="B1050" s="84"/>
      <c r="C1050" s="85"/>
      <c r="D1050" s="86"/>
      <c r="E1050" s="87"/>
      <c r="F1050" s="86"/>
      <c r="G1050" s="87"/>
      <c r="H1050" s="86"/>
      <c r="I1050" s="86"/>
      <c r="J1050" s="86"/>
      <c r="K1050" s="84"/>
      <c r="L1050" s="84"/>
      <c r="M1050" s="84"/>
      <c r="N1050" s="84" t="str">
        <f>IFERROR(__xludf.DUMMYFUNCTION("IFERROR(AVERAGE(query(INDIRECT(""'FR Table'!"" &amp; vlookup(rows($A$1:$A1049),Reference!$O:$P,2,false) &amp; ""3:"" &amp; vlookup(rows($A$1:$A1049),Reference!$O:$P,2,false)), 
""SELECT "" &amp; vlookup(rows($A$1:$A1049),Reference!$O:$P,2,false) 
&amp; "" WHERE "" &amp; vlookup("&amp;"rows($A$1:$A1049),Reference!$O:$P,2,false) &amp;
"" &gt;= "" &amp; Reference!$R$2)) * M1050,"""")"),"")</f>
        <v/>
      </c>
      <c r="O1050" s="84" t="str">
        <f t="shared" si="2"/>
        <v/>
      </c>
    </row>
    <row r="1051">
      <c r="A1051" s="84"/>
      <c r="B1051" s="84"/>
      <c r="C1051" s="85"/>
      <c r="D1051" s="86"/>
      <c r="E1051" s="87"/>
      <c r="F1051" s="86"/>
      <c r="G1051" s="87"/>
      <c r="H1051" s="86"/>
      <c r="I1051" s="86"/>
      <c r="J1051" s="86"/>
      <c r="K1051" s="84"/>
      <c r="L1051" s="84"/>
      <c r="M1051" s="84"/>
      <c r="N1051" s="84" t="str">
        <f>IFERROR(__xludf.DUMMYFUNCTION("IFERROR(AVERAGE(query(INDIRECT(""'FR Table'!"" &amp; vlookup(rows($A$1:$A1050),Reference!$O:$P,2,false) &amp; ""3:"" &amp; vlookup(rows($A$1:$A1050),Reference!$O:$P,2,false)), 
""SELECT "" &amp; vlookup(rows($A$1:$A1050),Reference!$O:$P,2,false) 
&amp; "" WHERE "" &amp; vlookup("&amp;"rows($A$1:$A1050),Reference!$O:$P,2,false) &amp;
"" &gt;= "" &amp; Reference!$R$2)) * M1051,"""")"),"")</f>
        <v/>
      </c>
      <c r="O1051" s="84" t="str">
        <f t="shared" si="2"/>
        <v/>
      </c>
    </row>
    <row r="1052">
      <c r="A1052" s="84"/>
      <c r="B1052" s="84"/>
      <c r="C1052" s="85"/>
      <c r="D1052" s="86"/>
      <c r="E1052" s="87"/>
      <c r="F1052" s="86"/>
      <c r="G1052" s="87"/>
      <c r="H1052" s="86"/>
      <c r="I1052" s="86"/>
      <c r="J1052" s="86"/>
      <c r="K1052" s="84"/>
      <c r="L1052" s="84"/>
      <c r="M1052" s="84"/>
      <c r="N1052" s="84" t="str">
        <f>IFERROR(__xludf.DUMMYFUNCTION("IFERROR(AVERAGE(query(INDIRECT(""'FR Table'!"" &amp; vlookup(rows($A$1:$A1051),Reference!$O:$P,2,false) &amp; ""3:"" &amp; vlookup(rows($A$1:$A1051),Reference!$O:$P,2,false)), 
""SELECT "" &amp; vlookup(rows($A$1:$A1051),Reference!$O:$P,2,false) 
&amp; "" WHERE "" &amp; vlookup("&amp;"rows($A$1:$A1051),Reference!$O:$P,2,false) &amp;
"" &gt;= "" &amp; Reference!$R$2)) * M1052,"""")"),"")</f>
        <v/>
      </c>
      <c r="O1052" s="84" t="str">
        <f t="shared" si="2"/>
        <v/>
      </c>
    </row>
    <row r="1053">
      <c r="A1053" s="84"/>
      <c r="B1053" s="84"/>
      <c r="C1053" s="85"/>
      <c r="D1053" s="86"/>
      <c r="E1053" s="87"/>
      <c r="F1053" s="86"/>
      <c r="G1053" s="87"/>
      <c r="H1053" s="86"/>
      <c r="I1053" s="86"/>
      <c r="J1053" s="86"/>
      <c r="K1053" s="84"/>
      <c r="L1053" s="84"/>
      <c r="M1053" s="84"/>
      <c r="N1053" s="84" t="str">
        <f>IFERROR(__xludf.DUMMYFUNCTION("IFERROR(AVERAGE(query(INDIRECT(""'FR Table'!"" &amp; vlookup(rows($A$1:$A1052),Reference!$O:$P,2,false) &amp; ""3:"" &amp; vlookup(rows($A$1:$A1052),Reference!$O:$P,2,false)), 
""SELECT "" &amp; vlookup(rows($A$1:$A1052),Reference!$O:$P,2,false) 
&amp; "" WHERE "" &amp; vlookup("&amp;"rows($A$1:$A1052),Reference!$O:$P,2,false) &amp;
"" &gt;= "" &amp; Reference!$R$2)) * M1053,"""")"),"")</f>
        <v/>
      </c>
      <c r="O1053" s="84" t="str">
        <f t="shared" si="2"/>
        <v/>
      </c>
    </row>
    <row r="1054">
      <c r="A1054" s="84"/>
      <c r="B1054" s="84"/>
      <c r="C1054" s="85"/>
      <c r="D1054" s="86"/>
      <c r="E1054" s="87"/>
      <c r="F1054" s="86"/>
      <c r="G1054" s="87"/>
      <c r="H1054" s="86"/>
      <c r="I1054" s="86"/>
      <c r="J1054" s="86"/>
      <c r="K1054" s="84"/>
      <c r="L1054" s="84"/>
      <c r="M1054" s="84"/>
      <c r="N1054" s="84" t="str">
        <f>IFERROR(__xludf.DUMMYFUNCTION("IFERROR(AVERAGE(query(INDIRECT(""'FR Table'!"" &amp; vlookup(rows($A$1:$A1053),Reference!$O:$P,2,false) &amp; ""3:"" &amp; vlookup(rows($A$1:$A1053),Reference!$O:$P,2,false)), 
""SELECT "" &amp; vlookup(rows($A$1:$A1053),Reference!$O:$P,2,false) 
&amp; "" WHERE "" &amp; vlookup("&amp;"rows($A$1:$A1053),Reference!$O:$P,2,false) &amp;
"" &gt;= "" &amp; Reference!$R$2)) * M1054,"""")"),"")</f>
        <v/>
      </c>
      <c r="O1054" s="84" t="str">
        <f t="shared" si="2"/>
        <v/>
      </c>
    </row>
    <row r="1055">
      <c r="A1055" s="84"/>
      <c r="B1055" s="84"/>
      <c r="C1055" s="85"/>
      <c r="D1055" s="86"/>
      <c r="E1055" s="87"/>
      <c r="F1055" s="86"/>
      <c r="G1055" s="87"/>
      <c r="H1055" s="86"/>
      <c r="I1055" s="86"/>
      <c r="J1055" s="86"/>
      <c r="K1055" s="84"/>
      <c r="L1055" s="84"/>
      <c r="M1055" s="84"/>
      <c r="N1055" s="84" t="str">
        <f>IFERROR(__xludf.DUMMYFUNCTION("IFERROR(AVERAGE(query(INDIRECT(""'FR Table'!"" &amp; vlookup(rows($A$1:$A1054),Reference!$O:$P,2,false) &amp; ""3:"" &amp; vlookup(rows($A$1:$A1054),Reference!$O:$P,2,false)), 
""SELECT "" &amp; vlookup(rows($A$1:$A1054),Reference!$O:$P,2,false) 
&amp; "" WHERE "" &amp; vlookup("&amp;"rows($A$1:$A1054),Reference!$O:$P,2,false) &amp;
"" &gt;= "" &amp; Reference!$R$2)) * M1055,"""")"),"")</f>
        <v/>
      </c>
      <c r="O1055" s="84" t="str">
        <f t="shared" si="2"/>
        <v/>
      </c>
    </row>
    <row r="1056">
      <c r="A1056" s="84"/>
      <c r="B1056" s="84"/>
      <c r="C1056" s="85"/>
      <c r="D1056" s="86"/>
      <c r="E1056" s="87"/>
      <c r="F1056" s="86"/>
      <c r="G1056" s="87"/>
      <c r="H1056" s="86"/>
      <c r="I1056" s="86"/>
      <c r="J1056" s="86"/>
      <c r="K1056" s="84"/>
      <c r="L1056" s="84"/>
      <c r="M1056" s="84"/>
      <c r="N1056" s="84" t="str">
        <f>IFERROR(__xludf.DUMMYFUNCTION("IFERROR(AVERAGE(query(INDIRECT(""'FR Table'!"" &amp; vlookup(rows($A$1:$A1055),Reference!$O:$P,2,false) &amp; ""3:"" &amp; vlookup(rows($A$1:$A1055),Reference!$O:$P,2,false)), 
""SELECT "" &amp; vlookup(rows($A$1:$A1055),Reference!$O:$P,2,false) 
&amp; "" WHERE "" &amp; vlookup("&amp;"rows($A$1:$A1055),Reference!$O:$P,2,false) &amp;
"" &gt;= "" &amp; Reference!$R$2)) * M1056,"""")"),"")</f>
        <v/>
      </c>
      <c r="O1056" s="84" t="str">
        <f t="shared" si="2"/>
        <v/>
      </c>
    </row>
    <row r="1057">
      <c r="A1057" s="84"/>
      <c r="B1057" s="84"/>
      <c r="C1057" s="85"/>
      <c r="D1057" s="86"/>
      <c r="E1057" s="87"/>
      <c r="F1057" s="86"/>
      <c r="G1057" s="87"/>
      <c r="H1057" s="86"/>
      <c r="I1057" s="86"/>
      <c r="J1057" s="86"/>
      <c r="K1057" s="84"/>
      <c r="L1057" s="84"/>
      <c r="M1057" s="84"/>
      <c r="N1057" s="84" t="str">
        <f>IFERROR(__xludf.DUMMYFUNCTION("IFERROR(AVERAGE(query(INDIRECT(""'FR Table'!"" &amp; vlookup(rows($A$1:$A1056),Reference!$O:$P,2,false) &amp; ""3:"" &amp; vlookup(rows($A$1:$A1056),Reference!$O:$P,2,false)), 
""SELECT "" &amp; vlookup(rows($A$1:$A1056),Reference!$O:$P,2,false) 
&amp; "" WHERE "" &amp; vlookup("&amp;"rows($A$1:$A1056),Reference!$O:$P,2,false) &amp;
"" &gt;= "" &amp; Reference!$R$2)) * M1057,"""")"),"")</f>
        <v/>
      </c>
      <c r="O1057" s="84" t="str">
        <f t="shared" si="2"/>
        <v/>
      </c>
    </row>
    <row r="1058">
      <c r="A1058" s="84"/>
      <c r="B1058" s="84"/>
      <c r="C1058" s="85"/>
      <c r="D1058" s="86"/>
      <c r="E1058" s="87"/>
      <c r="F1058" s="86"/>
      <c r="G1058" s="87"/>
      <c r="H1058" s="86"/>
      <c r="I1058" s="86"/>
      <c r="J1058" s="86"/>
      <c r="K1058" s="84"/>
      <c r="L1058" s="84"/>
      <c r="M1058" s="84"/>
      <c r="N1058" s="84" t="str">
        <f>IFERROR(__xludf.DUMMYFUNCTION("IFERROR(AVERAGE(query(INDIRECT(""'FR Table'!"" &amp; vlookup(rows($A$1:$A1057),Reference!$O:$P,2,false) &amp; ""3:"" &amp; vlookup(rows($A$1:$A1057),Reference!$O:$P,2,false)), 
""SELECT "" &amp; vlookup(rows($A$1:$A1057),Reference!$O:$P,2,false) 
&amp; "" WHERE "" &amp; vlookup("&amp;"rows($A$1:$A1057),Reference!$O:$P,2,false) &amp;
"" &gt;= "" &amp; Reference!$R$2)) * M1058,"""")"),"")</f>
        <v/>
      </c>
      <c r="O1058" s="84" t="str">
        <f t="shared" si="2"/>
        <v/>
      </c>
    </row>
    <row r="1059">
      <c r="A1059" s="84"/>
      <c r="B1059" s="84"/>
      <c r="C1059" s="85"/>
      <c r="D1059" s="86"/>
      <c r="E1059" s="87"/>
      <c r="F1059" s="86"/>
      <c r="G1059" s="87"/>
      <c r="H1059" s="86"/>
      <c r="I1059" s="86"/>
      <c r="J1059" s="86"/>
      <c r="K1059" s="84"/>
      <c r="L1059" s="84"/>
      <c r="M1059" s="84"/>
      <c r="N1059" s="84" t="str">
        <f>IFERROR(__xludf.DUMMYFUNCTION("IFERROR(AVERAGE(query(INDIRECT(""'FR Table'!"" &amp; vlookup(rows($A$1:$A1058),Reference!$O:$P,2,false) &amp; ""3:"" &amp; vlookup(rows($A$1:$A1058),Reference!$O:$P,2,false)), 
""SELECT "" &amp; vlookup(rows($A$1:$A1058),Reference!$O:$P,2,false) 
&amp; "" WHERE "" &amp; vlookup("&amp;"rows($A$1:$A1058),Reference!$O:$P,2,false) &amp;
"" &gt;= "" &amp; Reference!$R$2)) * M1059,"""")"),"")</f>
        <v/>
      </c>
      <c r="O1059" s="84" t="str">
        <f t="shared" si="2"/>
        <v/>
      </c>
    </row>
    <row r="1060">
      <c r="A1060" s="84"/>
      <c r="B1060" s="84"/>
      <c r="C1060" s="85"/>
      <c r="D1060" s="86"/>
      <c r="E1060" s="87"/>
      <c r="F1060" s="86"/>
      <c r="G1060" s="87"/>
      <c r="H1060" s="86"/>
      <c r="I1060" s="86"/>
      <c r="J1060" s="86"/>
      <c r="K1060" s="84"/>
      <c r="L1060" s="84"/>
      <c r="M1060" s="84"/>
      <c r="N1060" s="84" t="str">
        <f>IFERROR(__xludf.DUMMYFUNCTION("IFERROR(AVERAGE(query(INDIRECT(""'FR Table'!"" &amp; vlookup(rows($A$1:$A1059),Reference!$O:$P,2,false) &amp; ""3:"" &amp; vlookup(rows($A$1:$A1059),Reference!$O:$P,2,false)), 
""SELECT "" &amp; vlookup(rows($A$1:$A1059),Reference!$O:$P,2,false) 
&amp; "" WHERE "" &amp; vlookup("&amp;"rows($A$1:$A1059),Reference!$O:$P,2,false) &amp;
"" &gt;= "" &amp; Reference!$R$2)) * M1060,"""")"),"")</f>
        <v/>
      </c>
      <c r="O1060" s="84" t="str">
        <f t="shared" si="2"/>
        <v/>
      </c>
    </row>
    <row r="1061">
      <c r="A1061" s="84"/>
      <c r="B1061" s="84"/>
      <c r="C1061" s="85"/>
      <c r="D1061" s="86"/>
      <c r="E1061" s="87"/>
      <c r="F1061" s="86"/>
      <c r="G1061" s="87"/>
      <c r="H1061" s="86"/>
      <c r="I1061" s="86"/>
      <c r="J1061" s="86"/>
      <c r="K1061" s="84"/>
      <c r="L1061" s="84"/>
      <c r="M1061" s="84"/>
      <c r="N1061" s="84" t="str">
        <f>IFERROR(__xludf.DUMMYFUNCTION("IFERROR(AVERAGE(query(INDIRECT(""'FR Table'!"" &amp; vlookup(rows($A$1:$A1060),Reference!$O:$P,2,false) &amp; ""3:"" &amp; vlookup(rows($A$1:$A1060),Reference!$O:$P,2,false)), 
""SELECT "" &amp; vlookup(rows($A$1:$A1060),Reference!$O:$P,2,false) 
&amp; "" WHERE "" &amp; vlookup("&amp;"rows($A$1:$A1060),Reference!$O:$P,2,false) &amp;
"" &gt;= "" &amp; Reference!$R$2)) * M1061,"""")"),"")</f>
        <v/>
      </c>
      <c r="O1061" s="84" t="str">
        <f t="shared" si="2"/>
        <v/>
      </c>
    </row>
    <row r="1062">
      <c r="A1062" s="84"/>
      <c r="B1062" s="84"/>
      <c r="C1062" s="85"/>
      <c r="D1062" s="86"/>
      <c r="E1062" s="87"/>
      <c r="F1062" s="86"/>
      <c r="G1062" s="87"/>
      <c r="H1062" s="86"/>
      <c r="I1062" s="86"/>
      <c r="J1062" s="86"/>
      <c r="K1062" s="84"/>
      <c r="L1062" s="84"/>
      <c r="M1062" s="84"/>
      <c r="N1062" s="84" t="str">
        <f>IFERROR(__xludf.DUMMYFUNCTION("IFERROR(AVERAGE(query(INDIRECT(""'FR Table'!"" &amp; vlookup(rows($A$1:$A1061),Reference!$O:$P,2,false) &amp; ""3:"" &amp; vlookup(rows($A$1:$A1061),Reference!$O:$P,2,false)), 
""SELECT "" &amp; vlookup(rows($A$1:$A1061),Reference!$O:$P,2,false) 
&amp; "" WHERE "" &amp; vlookup("&amp;"rows($A$1:$A1061),Reference!$O:$P,2,false) &amp;
"" &gt;= "" &amp; Reference!$R$2)) * M1062,"""")"),"")</f>
        <v/>
      </c>
      <c r="O1062" s="84" t="str">
        <f t="shared" si="2"/>
        <v/>
      </c>
    </row>
    <row r="1063">
      <c r="A1063" s="84"/>
      <c r="B1063" s="84"/>
      <c r="C1063" s="85"/>
      <c r="D1063" s="86"/>
      <c r="E1063" s="87"/>
      <c r="F1063" s="86"/>
      <c r="G1063" s="87"/>
      <c r="H1063" s="86"/>
      <c r="I1063" s="86"/>
      <c r="J1063" s="86"/>
      <c r="K1063" s="84"/>
      <c r="L1063" s="84"/>
      <c r="M1063" s="84"/>
      <c r="N1063" s="84" t="str">
        <f>IFERROR(__xludf.DUMMYFUNCTION("IFERROR(AVERAGE(query(INDIRECT(""'FR Table'!"" &amp; vlookup(rows($A$1:$A1062),Reference!$O:$P,2,false) &amp; ""3:"" &amp; vlookup(rows($A$1:$A1062),Reference!$O:$P,2,false)), 
""SELECT "" &amp; vlookup(rows($A$1:$A1062),Reference!$O:$P,2,false) 
&amp; "" WHERE "" &amp; vlookup("&amp;"rows($A$1:$A1062),Reference!$O:$P,2,false) &amp;
"" &gt;= "" &amp; Reference!$R$2)) * M1063,"""")"),"")</f>
        <v/>
      </c>
      <c r="O1063" s="84" t="str">
        <f t="shared" si="2"/>
        <v/>
      </c>
    </row>
    <row r="1064">
      <c r="A1064" s="84"/>
      <c r="B1064" s="84"/>
      <c r="C1064" s="85"/>
      <c r="D1064" s="86"/>
      <c r="E1064" s="87"/>
      <c r="F1064" s="86"/>
      <c r="G1064" s="87"/>
      <c r="H1064" s="86"/>
      <c r="I1064" s="86"/>
      <c r="J1064" s="86"/>
      <c r="K1064" s="84"/>
      <c r="L1064" s="84"/>
      <c r="M1064" s="84"/>
      <c r="N1064" s="84" t="str">
        <f>IFERROR(__xludf.DUMMYFUNCTION("IFERROR(AVERAGE(query(INDIRECT(""'FR Table'!"" &amp; vlookup(rows($A$1:$A1063),Reference!$O:$P,2,false) &amp; ""3:"" &amp; vlookup(rows($A$1:$A1063),Reference!$O:$P,2,false)), 
""SELECT "" &amp; vlookup(rows($A$1:$A1063),Reference!$O:$P,2,false) 
&amp; "" WHERE "" &amp; vlookup("&amp;"rows($A$1:$A1063),Reference!$O:$P,2,false) &amp;
"" &gt;= "" &amp; Reference!$R$2)) * M1064,"""")"),"")</f>
        <v/>
      </c>
      <c r="O1064" s="84" t="str">
        <f t="shared" si="2"/>
        <v/>
      </c>
    </row>
    <row r="1065">
      <c r="A1065" s="84"/>
      <c r="B1065" s="84"/>
      <c r="C1065" s="85"/>
      <c r="D1065" s="86"/>
      <c r="E1065" s="87"/>
      <c r="F1065" s="86"/>
      <c r="G1065" s="87"/>
      <c r="H1065" s="86"/>
      <c r="I1065" s="86"/>
      <c r="J1065" s="86"/>
      <c r="K1065" s="84"/>
      <c r="L1065" s="84"/>
      <c r="M1065" s="84"/>
      <c r="N1065" s="84" t="str">
        <f>IFERROR(__xludf.DUMMYFUNCTION("IFERROR(AVERAGE(query(INDIRECT(""'FR Table'!"" &amp; vlookup(rows($A$1:$A1064),Reference!$O:$P,2,false) &amp; ""3:"" &amp; vlookup(rows($A$1:$A1064),Reference!$O:$P,2,false)), 
""SELECT "" &amp; vlookup(rows($A$1:$A1064),Reference!$O:$P,2,false) 
&amp; "" WHERE "" &amp; vlookup("&amp;"rows($A$1:$A1064),Reference!$O:$P,2,false) &amp;
"" &gt;= "" &amp; Reference!$R$2)) * M1065,"""")"),"")</f>
        <v/>
      </c>
      <c r="O1065" s="84" t="str">
        <f t="shared" si="2"/>
        <v/>
      </c>
    </row>
    <row r="1066">
      <c r="A1066" s="84"/>
      <c r="B1066" s="84"/>
      <c r="C1066" s="85"/>
      <c r="D1066" s="86"/>
      <c r="E1066" s="87"/>
      <c r="F1066" s="86"/>
      <c r="G1066" s="87"/>
      <c r="H1066" s="86"/>
      <c r="I1066" s="86"/>
      <c r="J1066" s="86"/>
      <c r="K1066" s="84"/>
      <c r="L1066" s="84"/>
      <c r="M1066" s="84"/>
      <c r="N1066" s="84" t="str">
        <f>IFERROR(__xludf.DUMMYFUNCTION("IFERROR(AVERAGE(query(INDIRECT(""'FR Table'!"" &amp; vlookup(rows($A$1:$A1065),Reference!$O:$P,2,false) &amp; ""3:"" &amp; vlookup(rows($A$1:$A1065),Reference!$O:$P,2,false)), 
""SELECT "" &amp; vlookup(rows($A$1:$A1065),Reference!$O:$P,2,false) 
&amp; "" WHERE "" &amp; vlookup("&amp;"rows($A$1:$A1065),Reference!$O:$P,2,false) &amp;
"" &gt;= "" &amp; Reference!$R$2)) * M1066,"""")"),"")</f>
        <v/>
      </c>
      <c r="O1066" s="84" t="str">
        <f t="shared" si="2"/>
        <v/>
      </c>
    </row>
    <row r="1067">
      <c r="A1067" s="84"/>
      <c r="B1067" s="84"/>
      <c r="C1067" s="85"/>
      <c r="D1067" s="86"/>
      <c r="E1067" s="87"/>
      <c r="F1067" s="86"/>
      <c r="G1067" s="87"/>
      <c r="H1067" s="86"/>
      <c r="I1067" s="86"/>
      <c r="J1067" s="86"/>
      <c r="K1067" s="84"/>
      <c r="L1067" s="84"/>
      <c r="M1067" s="84"/>
      <c r="N1067" s="84" t="str">
        <f>IFERROR(__xludf.DUMMYFUNCTION("IFERROR(AVERAGE(query(INDIRECT(""'FR Table'!"" &amp; vlookup(rows($A$1:$A1066),Reference!$O:$P,2,false) &amp; ""3:"" &amp; vlookup(rows($A$1:$A1066),Reference!$O:$P,2,false)), 
""SELECT "" &amp; vlookup(rows($A$1:$A1066),Reference!$O:$P,2,false) 
&amp; "" WHERE "" &amp; vlookup("&amp;"rows($A$1:$A1066),Reference!$O:$P,2,false) &amp;
"" &gt;= "" &amp; Reference!$R$2)) * M1067,"""")"),"")</f>
        <v/>
      </c>
      <c r="O1067" s="84" t="str">
        <f t="shared" si="2"/>
        <v/>
      </c>
    </row>
    <row r="1068">
      <c r="A1068" s="84"/>
      <c r="B1068" s="84"/>
      <c r="C1068" s="85"/>
      <c r="D1068" s="86"/>
      <c r="E1068" s="87"/>
      <c r="F1068" s="86"/>
      <c r="G1068" s="87"/>
      <c r="H1068" s="86"/>
      <c r="I1068" s="86"/>
      <c r="J1068" s="86"/>
      <c r="K1068" s="84"/>
      <c r="L1068" s="84"/>
      <c r="M1068" s="84"/>
      <c r="N1068" s="84" t="str">
        <f>IFERROR(__xludf.DUMMYFUNCTION("IFERROR(AVERAGE(query(INDIRECT(""'FR Table'!"" &amp; vlookup(rows($A$1:$A1067),Reference!$O:$P,2,false) &amp; ""3:"" &amp; vlookup(rows($A$1:$A1067),Reference!$O:$P,2,false)), 
""SELECT "" &amp; vlookup(rows($A$1:$A1067),Reference!$O:$P,2,false) 
&amp; "" WHERE "" &amp; vlookup("&amp;"rows($A$1:$A1067),Reference!$O:$P,2,false) &amp;
"" &gt;= "" &amp; Reference!$R$2)) * M1068,"""")"),"")</f>
        <v/>
      </c>
      <c r="O1068" s="84" t="str">
        <f t="shared" si="2"/>
        <v/>
      </c>
    </row>
    <row r="1069">
      <c r="A1069" s="84"/>
      <c r="B1069" s="84"/>
      <c r="C1069" s="85"/>
      <c r="D1069" s="86"/>
      <c r="E1069" s="87"/>
      <c r="F1069" s="86"/>
      <c r="G1069" s="87"/>
      <c r="H1069" s="86"/>
      <c r="I1069" s="86"/>
      <c r="J1069" s="86"/>
      <c r="K1069" s="84"/>
      <c r="L1069" s="84"/>
      <c r="M1069" s="84"/>
      <c r="N1069" s="84" t="str">
        <f>IFERROR(__xludf.DUMMYFUNCTION("IFERROR(AVERAGE(query(INDIRECT(""'FR Table'!"" &amp; vlookup(rows($A$1:$A1068),Reference!$O:$P,2,false) &amp; ""3:"" &amp; vlookup(rows($A$1:$A1068),Reference!$O:$P,2,false)), 
""SELECT "" &amp; vlookup(rows($A$1:$A1068),Reference!$O:$P,2,false) 
&amp; "" WHERE "" &amp; vlookup("&amp;"rows($A$1:$A1068),Reference!$O:$P,2,false) &amp;
"" &gt;= "" &amp; Reference!$R$2)) * M1069,"""")"),"")</f>
        <v/>
      </c>
      <c r="O1069" s="84" t="str">
        <f t="shared" si="2"/>
        <v/>
      </c>
    </row>
    <row r="1070">
      <c r="A1070" s="84"/>
      <c r="B1070" s="84"/>
      <c r="C1070" s="85"/>
      <c r="D1070" s="86"/>
      <c r="E1070" s="87"/>
      <c r="F1070" s="86"/>
      <c r="G1070" s="87"/>
      <c r="H1070" s="86"/>
      <c r="I1070" s="86"/>
      <c r="J1070" s="86"/>
      <c r="K1070" s="84"/>
      <c r="L1070" s="84"/>
      <c r="M1070" s="84"/>
      <c r="N1070" s="84" t="str">
        <f>IFERROR(__xludf.DUMMYFUNCTION("IFERROR(AVERAGE(query(INDIRECT(""'FR Table'!"" &amp; vlookup(rows($A$1:$A1069),Reference!$O:$P,2,false) &amp; ""3:"" &amp; vlookup(rows($A$1:$A1069),Reference!$O:$P,2,false)), 
""SELECT "" &amp; vlookup(rows($A$1:$A1069),Reference!$O:$P,2,false) 
&amp; "" WHERE "" &amp; vlookup("&amp;"rows($A$1:$A1069),Reference!$O:$P,2,false) &amp;
"" &gt;= "" &amp; Reference!$R$2)) * M1070,"""")"),"")</f>
        <v/>
      </c>
      <c r="O1070" s="84" t="str">
        <f t="shared" si="2"/>
        <v/>
      </c>
    </row>
    <row r="1071">
      <c r="A1071" s="84"/>
      <c r="B1071" s="84"/>
      <c r="C1071" s="85"/>
      <c r="D1071" s="86"/>
      <c r="E1071" s="87"/>
      <c r="F1071" s="86"/>
      <c r="G1071" s="87"/>
      <c r="H1071" s="86"/>
      <c r="I1071" s="86"/>
      <c r="J1071" s="86"/>
      <c r="K1071" s="84"/>
      <c r="L1071" s="84"/>
      <c r="M1071" s="84"/>
      <c r="N1071" s="84" t="str">
        <f>IFERROR(__xludf.DUMMYFUNCTION("IFERROR(AVERAGE(query(INDIRECT(""'FR Table'!"" &amp; vlookup(rows($A$1:$A1070),Reference!$O:$P,2,false) &amp; ""3:"" &amp; vlookup(rows($A$1:$A1070),Reference!$O:$P,2,false)), 
""SELECT "" &amp; vlookup(rows($A$1:$A1070),Reference!$O:$P,2,false) 
&amp; "" WHERE "" &amp; vlookup("&amp;"rows($A$1:$A1070),Reference!$O:$P,2,false) &amp;
"" &gt;= "" &amp; Reference!$R$2)) * M1071,"""")"),"")</f>
        <v/>
      </c>
      <c r="O1071" s="84" t="str">
        <f t="shared" si="2"/>
        <v/>
      </c>
    </row>
    <row r="1072">
      <c r="A1072" s="84"/>
      <c r="B1072" s="84"/>
      <c r="C1072" s="85"/>
      <c r="D1072" s="86"/>
      <c r="E1072" s="87"/>
      <c r="F1072" s="86"/>
      <c r="G1072" s="87"/>
      <c r="H1072" s="86"/>
      <c r="I1072" s="86"/>
      <c r="J1072" s="86"/>
      <c r="K1072" s="84"/>
      <c r="L1072" s="84"/>
      <c r="M1072" s="84"/>
      <c r="N1072" s="84" t="str">
        <f>IFERROR(__xludf.DUMMYFUNCTION("IFERROR(AVERAGE(query(INDIRECT(""'FR Table'!"" &amp; vlookup(rows($A$1:$A1071),Reference!$O:$P,2,false) &amp; ""3:"" &amp; vlookup(rows($A$1:$A1071),Reference!$O:$P,2,false)), 
""SELECT "" &amp; vlookup(rows($A$1:$A1071),Reference!$O:$P,2,false) 
&amp; "" WHERE "" &amp; vlookup("&amp;"rows($A$1:$A1071),Reference!$O:$P,2,false) &amp;
"" &gt;= "" &amp; Reference!$R$2)) * M1072,"""")"),"")</f>
        <v/>
      </c>
      <c r="O1072" s="84" t="str">
        <f t="shared" si="2"/>
        <v/>
      </c>
    </row>
    <row r="1073">
      <c r="A1073" s="84"/>
      <c r="B1073" s="84"/>
      <c r="C1073" s="85"/>
      <c r="D1073" s="86"/>
      <c r="E1073" s="87"/>
      <c r="F1073" s="86"/>
      <c r="G1073" s="87"/>
      <c r="H1073" s="86"/>
      <c r="I1073" s="86"/>
      <c r="J1073" s="86"/>
      <c r="K1073" s="84"/>
      <c r="L1073" s="84"/>
      <c r="M1073" s="84"/>
      <c r="N1073" s="84" t="str">
        <f>IFERROR(__xludf.DUMMYFUNCTION("IFERROR(AVERAGE(query(INDIRECT(""'FR Table'!"" &amp; vlookup(rows($A$1:$A1072),Reference!$O:$P,2,false) &amp; ""3:"" &amp; vlookup(rows($A$1:$A1072),Reference!$O:$P,2,false)), 
""SELECT "" &amp; vlookup(rows($A$1:$A1072),Reference!$O:$P,2,false) 
&amp; "" WHERE "" &amp; vlookup("&amp;"rows($A$1:$A1072),Reference!$O:$P,2,false) &amp;
"" &gt;= "" &amp; Reference!$R$2)) * M1073,"""")"),"")</f>
        <v/>
      </c>
      <c r="O1073" s="84" t="str">
        <f t="shared" si="2"/>
        <v/>
      </c>
    </row>
    <row r="1074">
      <c r="A1074" s="84"/>
      <c r="B1074" s="84"/>
      <c r="C1074" s="85"/>
      <c r="D1074" s="86"/>
      <c r="E1074" s="87"/>
      <c r="F1074" s="86"/>
      <c r="G1074" s="87"/>
      <c r="H1074" s="86"/>
      <c r="I1074" s="86"/>
      <c r="J1074" s="86"/>
      <c r="K1074" s="84"/>
      <c r="L1074" s="84"/>
      <c r="M1074" s="84"/>
      <c r="N1074" s="84" t="str">
        <f>IFERROR(__xludf.DUMMYFUNCTION("IFERROR(AVERAGE(query(INDIRECT(""'FR Table'!"" &amp; vlookup(rows($A$1:$A1073),Reference!$O:$P,2,false) &amp; ""3:"" &amp; vlookup(rows($A$1:$A1073),Reference!$O:$P,2,false)), 
""SELECT "" &amp; vlookup(rows($A$1:$A1073),Reference!$O:$P,2,false) 
&amp; "" WHERE "" &amp; vlookup("&amp;"rows($A$1:$A1073),Reference!$O:$P,2,false) &amp;
"" &gt;= "" &amp; Reference!$R$2)) * M1074,"""")"),"")</f>
        <v/>
      </c>
      <c r="O1074" s="84" t="str">
        <f t="shared" si="2"/>
        <v/>
      </c>
    </row>
    <row r="1075">
      <c r="A1075" s="84"/>
      <c r="B1075" s="84"/>
      <c r="C1075" s="85"/>
      <c r="D1075" s="86"/>
      <c r="E1075" s="87"/>
      <c r="F1075" s="86"/>
      <c r="G1075" s="87"/>
      <c r="H1075" s="86"/>
      <c r="I1075" s="86"/>
      <c r="J1075" s="86"/>
      <c r="K1075" s="84"/>
      <c r="L1075" s="84"/>
      <c r="M1075" s="84"/>
      <c r="N1075" s="84" t="str">
        <f>IFERROR(__xludf.DUMMYFUNCTION("IFERROR(AVERAGE(query(INDIRECT(""'FR Table'!"" &amp; vlookup(rows($A$1:$A1074),Reference!$O:$P,2,false) &amp; ""3:"" &amp; vlookup(rows($A$1:$A1074),Reference!$O:$P,2,false)), 
""SELECT "" &amp; vlookup(rows($A$1:$A1074),Reference!$O:$P,2,false) 
&amp; "" WHERE "" &amp; vlookup("&amp;"rows($A$1:$A1074),Reference!$O:$P,2,false) &amp;
"" &gt;= "" &amp; Reference!$R$2)) * M1075,"""")"),"")</f>
        <v/>
      </c>
      <c r="O1075" s="84" t="str">
        <f t="shared" si="2"/>
        <v/>
      </c>
    </row>
    <row r="1076">
      <c r="A1076" s="84"/>
      <c r="B1076" s="84"/>
      <c r="C1076" s="85"/>
      <c r="D1076" s="86"/>
      <c r="E1076" s="87"/>
      <c r="F1076" s="86"/>
      <c r="G1076" s="87"/>
      <c r="H1076" s="86"/>
      <c r="I1076" s="86"/>
      <c r="J1076" s="86"/>
      <c r="K1076" s="84"/>
      <c r="L1076" s="84"/>
      <c r="M1076" s="84"/>
      <c r="N1076" s="84" t="str">
        <f>IFERROR(__xludf.DUMMYFUNCTION("IFERROR(AVERAGE(query(INDIRECT(""'FR Table'!"" &amp; vlookup(rows($A$1:$A1075),Reference!$O:$P,2,false) &amp; ""3:"" &amp; vlookup(rows($A$1:$A1075),Reference!$O:$P,2,false)), 
""SELECT "" &amp; vlookup(rows($A$1:$A1075),Reference!$O:$P,2,false) 
&amp; "" WHERE "" &amp; vlookup("&amp;"rows($A$1:$A1075),Reference!$O:$P,2,false) &amp;
"" &gt;= "" &amp; Reference!$R$2)) * M1076,"""")"),"")</f>
        <v/>
      </c>
      <c r="O1076" s="84" t="str">
        <f t="shared" si="2"/>
        <v/>
      </c>
    </row>
    <row r="1077">
      <c r="A1077" s="84"/>
      <c r="B1077" s="84"/>
      <c r="C1077" s="85"/>
      <c r="D1077" s="86"/>
      <c r="E1077" s="87"/>
      <c r="F1077" s="86"/>
      <c r="G1077" s="87"/>
      <c r="H1077" s="86"/>
      <c r="I1077" s="86"/>
      <c r="J1077" s="86"/>
      <c r="K1077" s="84"/>
      <c r="L1077" s="84"/>
      <c r="M1077" s="84"/>
      <c r="N1077" s="84" t="str">
        <f>IFERROR(__xludf.DUMMYFUNCTION("IFERROR(AVERAGE(query(INDIRECT(""'FR Table'!"" &amp; vlookup(rows($A$1:$A1076),Reference!$O:$P,2,false) &amp; ""3:"" &amp; vlookup(rows($A$1:$A1076),Reference!$O:$P,2,false)), 
""SELECT "" &amp; vlookup(rows($A$1:$A1076),Reference!$O:$P,2,false) 
&amp; "" WHERE "" &amp; vlookup("&amp;"rows($A$1:$A1076),Reference!$O:$P,2,false) &amp;
"" &gt;= "" &amp; Reference!$R$2)) * M1077,"""")"),"")</f>
        <v/>
      </c>
      <c r="O1077" s="84" t="str">
        <f t="shared" si="2"/>
        <v/>
      </c>
    </row>
    <row r="1078">
      <c r="A1078" s="84"/>
      <c r="B1078" s="84"/>
      <c r="C1078" s="85"/>
      <c r="D1078" s="86"/>
      <c r="E1078" s="87"/>
      <c r="F1078" s="86"/>
      <c r="G1078" s="87"/>
      <c r="H1078" s="86"/>
      <c r="I1078" s="86"/>
      <c r="J1078" s="86"/>
      <c r="K1078" s="84"/>
      <c r="L1078" s="84"/>
      <c r="M1078" s="84"/>
      <c r="N1078" s="84" t="str">
        <f>IFERROR(__xludf.DUMMYFUNCTION("IFERROR(AVERAGE(query(INDIRECT(""'FR Table'!"" &amp; vlookup(rows($A$1:$A1077),Reference!$O:$P,2,false) &amp; ""3:"" &amp; vlookup(rows($A$1:$A1077),Reference!$O:$P,2,false)), 
""SELECT "" &amp; vlookup(rows($A$1:$A1077),Reference!$O:$P,2,false) 
&amp; "" WHERE "" &amp; vlookup("&amp;"rows($A$1:$A1077),Reference!$O:$P,2,false) &amp;
"" &gt;= "" &amp; Reference!$R$2)) * M1078,"""")"),"")</f>
        <v/>
      </c>
      <c r="O1078" s="84" t="str">
        <f t="shared" si="2"/>
        <v/>
      </c>
    </row>
    <row r="1079">
      <c r="A1079" s="84"/>
      <c r="B1079" s="84"/>
      <c r="C1079" s="85"/>
      <c r="D1079" s="86"/>
      <c r="E1079" s="87"/>
      <c r="F1079" s="86"/>
      <c r="G1079" s="87"/>
      <c r="H1079" s="86"/>
      <c r="I1079" s="86"/>
      <c r="J1079" s="86"/>
      <c r="K1079" s="84"/>
      <c r="L1079" s="84"/>
      <c r="M1079" s="84"/>
      <c r="N1079" s="84" t="str">
        <f>IFERROR(__xludf.DUMMYFUNCTION("IFERROR(AVERAGE(query(INDIRECT(""'FR Table'!"" &amp; vlookup(rows($A$1:$A1078),Reference!$O:$P,2,false) &amp; ""3:"" &amp; vlookup(rows($A$1:$A1078),Reference!$O:$P,2,false)), 
""SELECT "" &amp; vlookup(rows($A$1:$A1078),Reference!$O:$P,2,false) 
&amp; "" WHERE "" &amp; vlookup("&amp;"rows($A$1:$A1078),Reference!$O:$P,2,false) &amp;
"" &gt;= "" &amp; Reference!$R$2)) * M1079,"""")"),"")</f>
        <v/>
      </c>
      <c r="O1079" s="84" t="str">
        <f t="shared" si="2"/>
        <v/>
      </c>
    </row>
    <row r="1080">
      <c r="A1080" s="84"/>
      <c r="B1080" s="84"/>
      <c r="C1080" s="85"/>
      <c r="D1080" s="86"/>
      <c r="E1080" s="87"/>
      <c r="F1080" s="86"/>
      <c r="G1080" s="87"/>
      <c r="H1080" s="86"/>
      <c r="I1080" s="86"/>
      <c r="J1080" s="86"/>
      <c r="K1080" s="84"/>
      <c r="L1080" s="84"/>
      <c r="M1080" s="84"/>
      <c r="N1080" s="84" t="str">
        <f>IFERROR(__xludf.DUMMYFUNCTION("IFERROR(AVERAGE(query(INDIRECT(""'FR Table'!"" &amp; vlookup(rows($A$1:$A1079),Reference!$O:$P,2,false) &amp; ""3:"" &amp; vlookup(rows($A$1:$A1079),Reference!$O:$P,2,false)), 
""SELECT "" &amp; vlookup(rows($A$1:$A1079),Reference!$O:$P,2,false) 
&amp; "" WHERE "" &amp; vlookup("&amp;"rows($A$1:$A1079),Reference!$O:$P,2,false) &amp;
"" &gt;= "" &amp; Reference!$R$2)) * M1080,"""")"),"")</f>
        <v/>
      </c>
      <c r="O1080" s="84" t="str">
        <f t="shared" si="2"/>
        <v/>
      </c>
    </row>
    <row r="1081">
      <c r="A1081" s="84"/>
      <c r="B1081" s="84"/>
      <c r="C1081" s="85"/>
      <c r="D1081" s="86"/>
      <c r="E1081" s="87"/>
      <c r="F1081" s="86"/>
      <c r="G1081" s="87"/>
      <c r="H1081" s="86"/>
      <c r="I1081" s="86"/>
      <c r="J1081" s="86"/>
      <c r="K1081" s="84"/>
      <c r="L1081" s="84"/>
      <c r="M1081" s="84"/>
      <c r="N1081" s="84" t="str">
        <f>IFERROR(__xludf.DUMMYFUNCTION("IFERROR(AVERAGE(query(INDIRECT(""'FR Table'!"" &amp; vlookup(rows($A$1:$A1080),Reference!$O:$P,2,false) &amp; ""3:"" &amp; vlookup(rows($A$1:$A1080),Reference!$O:$P,2,false)), 
""SELECT "" &amp; vlookup(rows($A$1:$A1080),Reference!$O:$P,2,false) 
&amp; "" WHERE "" &amp; vlookup("&amp;"rows($A$1:$A1080),Reference!$O:$P,2,false) &amp;
"" &gt;= "" &amp; Reference!$R$2)) * M1081,"""")"),"")</f>
        <v/>
      </c>
      <c r="O1081" s="84" t="str">
        <f t="shared" si="2"/>
        <v/>
      </c>
    </row>
    <row r="1082">
      <c r="A1082" s="84"/>
      <c r="B1082" s="84"/>
      <c r="C1082" s="85"/>
      <c r="D1082" s="86"/>
      <c r="E1082" s="87"/>
      <c r="F1082" s="86"/>
      <c r="G1082" s="87"/>
      <c r="H1082" s="86"/>
      <c r="I1082" s="86"/>
      <c r="J1082" s="86"/>
      <c r="K1082" s="84"/>
      <c r="L1082" s="84"/>
      <c r="M1082" s="84"/>
      <c r="N1082" s="84" t="str">
        <f>IFERROR(__xludf.DUMMYFUNCTION("IFERROR(AVERAGE(query(INDIRECT(""'FR Table'!"" &amp; vlookup(rows($A$1:$A1081),Reference!$O:$P,2,false) &amp; ""3:"" &amp; vlookup(rows($A$1:$A1081),Reference!$O:$P,2,false)), 
""SELECT "" &amp; vlookup(rows($A$1:$A1081),Reference!$O:$P,2,false) 
&amp; "" WHERE "" &amp; vlookup("&amp;"rows($A$1:$A1081),Reference!$O:$P,2,false) &amp;
"" &gt;= "" &amp; Reference!$R$2)) * M1082,"""")"),"")</f>
        <v/>
      </c>
      <c r="O1082" s="84" t="str">
        <f t="shared" si="2"/>
        <v/>
      </c>
    </row>
    <row r="1083">
      <c r="A1083" s="84"/>
      <c r="B1083" s="84"/>
      <c r="C1083" s="85"/>
      <c r="D1083" s="86"/>
      <c r="E1083" s="87"/>
      <c r="F1083" s="86"/>
      <c r="G1083" s="87"/>
      <c r="H1083" s="86"/>
      <c r="I1083" s="86"/>
      <c r="J1083" s="86"/>
      <c r="K1083" s="84"/>
      <c r="L1083" s="84"/>
      <c r="M1083" s="84"/>
      <c r="N1083" s="84" t="str">
        <f>IFERROR(__xludf.DUMMYFUNCTION("IFERROR(AVERAGE(query(INDIRECT(""'FR Table'!"" &amp; vlookup(rows($A$1:$A1082),Reference!$O:$P,2,false) &amp; ""3:"" &amp; vlookup(rows($A$1:$A1082),Reference!$O:$P,2,false)), 
""SELECT "" &amp; vlookup(rows($A$1:$A1082),Reference!$O:$P,2,false) 
&amp; "" WHERE "" &amp; vlookup("&amp;"rows($A$1:$A1082),Reference!$O:$P,2,false) &amp;
"" &gt;= "" &amp; Reference!$R$2)) * M1083,"""")"),"")</f>
        <v/>
      </c>
      <c r="O1083" s="84" t="str">
        <f t="shared" si="2"/>
        <v/>
      </c>
    </row>
    <row r="1084">
      <c r="A1084" s="84"/>
      <c r="B1084" s="84"/>
      <c r="C1084" s="85"/>
      <c r="D1084" s="86"/>
      <c r="E1084" s="87"/>
      <c r="F1084" s="86"/>
      <c r="G1084" s="87"/>
      <c r="H1084" s="86"/>
      <c r="I1084" s="86"/>
      <c r="J1084" s="86"/>
      <c r="K1084" s="84"/>
      <c r="L1084" s="84"/>
      <c r="M1084" s="84"/>
      <c r="N1084" s="84" t="str">
        <f>IFERROR(__xludf.DUMMYFUNCTION("IFERROR(AVERAGE(query(INDIRECT(""'FR Table'!"" &amp; vlookup(rows($A$1:$A1083),Reference!$O:$P,2,false) &amp; ""3:"" &amp; vlookup(rows($A$1:$A1083),Reference!$O:$P,2,false)), 
""SELECT "" &amp; vlookup(rows($A$1:$A1083),Reference!$O:$P,2,false) 
&amp; "" WHERE "" &amp; vlookup("&amp;"rows($A$1:$A1083),Reference!$O:$P,2,false) &amp;
"" &gt;= "" &amp; Reference!$R$2)) * M1084,"""")"),"")</f>
        <v/>
      </c>
      <c r="O1084" s="84" t="str">
        <f t="shared" si="2"/>
        <v/>
      </c>
    </row>
    <row r="1085">
      <c r="A1085" s="84"/>
      <c r="B1085" s="84"/>
      <c r="C1085" s="85"/>
      <c r="D1085" s="86"/>
      <c r="E1085" s="87"/>
      <c r="F1085" s="86"/>
      <c r="G1085" s="87"/>
      <c r="H1085" s="86"/>
      <c r="I1085" s="86"/>
      <c r="J1085" s="86"/>
      <c r="K1085" s="84"/>
      <c r="L1085" s="84"/>
      <c r="M1085" s="84"/>
      <c r="N1085" s="84" t="str">
        <f>IFERROR(__xludf.DUMMYFUNCTION("IFERROR(AVERAGE(query(INDIRECT(""'FR Table'!"" &amp; vlookup(rows($A$1:$A1084),Reference!$O:$P,2,false) &amp; ""3:"" &amp; vlookup(rows($A$1:$A1084),Reference!$O:$P,2,false)), 
""SELECT "" &amp; vlookup(rows($A$1:$A1084),Reference!$O:$P,2,false) 
&amp; "" WHERE "" &amp; vlookup("&amp;"rows($A$1:$A1084),Reference!$O:$P,2,false) &amp;
"" &gt;= "" &amp; Reference!$R$2)) * M1085,"""")"),"")</f>
        <v/>
      </c>
      <c r="O1085" s="84" t="str">
        <f t="shared" si="2"/>
        <v/>
      </c>
    </row>
    <row r="1086">
      <c r="A1086" s="84"/>
      <c r="B1086" s="84"/>
      <c r="C1086" s="85"/>
      <c r="D1086" s="86"/>
      <c r="E1086" s="87"/>
      <c r="F1086" s="86"/>
      <c r="G1086" s="87"/>
      <c r="H1086" s="86"/>
      <c r="I1086" s="86"/>
      <c r="J1086" s="86"/>
      <c r="K1086" s="84"/>
      <c r="L1086" s="84"/>
      <c r="M1086" s="84"/>
      <c r="N1086" s="84" t="str">
        <f>IFERROR(__xludf.DUMMYFUNCTION("IFERROR(AVERAGE(query(INDIRECT(""'FR Table'!"" &amp; vlookup(rows($A$1:$A1085),Reference!$O:$P,2,false) &amp; ""3:"" &amp; vlookup(rows($A$1:$A1085),Reference!$O:$P,2,false)), 
""SELECT "" &amp; vlookup(rows($A$1:$A1085),Reference!$O:$P,2,false) 
&amp; "" WHERE "" &amp; vlookup("&amp;"rows($A$1:$A1085),Reference!$O:$P,2,false) &amp;
"" &gt;= "" &amp; Reference!$R$2)) * M1086,"""")"),"")</f>
        <v/>
      </c>
      <c r="O1086" s="84" t="str">
        <f t="shared" si="2"/>
        <v/>
      </c>
    </row>
    <row r="1087">
      <c r="A1087" s="84"/>
      <c r="B1087" s="84"/>
      <c r="C1087" s="85"/>
      <c r="D1087" s="86"/>
      <c r="E1087" s="87"/>
      <c r="F1087" s="86"/>
      <c r="G1087" s="87"/>
      <c r="H1087" s="86"/>
      <c r="I1087" s="86"/>
      <c r="J1087" s="86"/>
      <c r="K1087" s="84"/>
      <c r="L1087" s="84"/>
      <c r="M1087" s="84"/>
      <c r="N1087" s="84" t="str">
        <f>IFERROR(__xludf.DUMMYFUNCTION("IFERROR(AVERAGE(query(INDIRECT(""'FR Table'!"" &amp; vlookup(rows($A$1:$A1086),Reference!$O:$P,2,false) &amp; ""3:"" &amp; vlookup(rows($A$1:$A1086),Reference!$O:$P,2,false)), 
""SELECT "" &amp; vlookup(rows($A$1:$A1086),Reference!$O:$P,2,false) 
&amp; "" WHERE "" &amp; vlookup("&amp;"rows($A$1:$A1086),Reference!$O:$P,2,false) &amp;
"" &gt;= "" &amp; Reference!$R$2)) * M1087,"""")"),"")</f>
        <v/>
      </c>
      <c r="O1087" s="84" t="str">
        <f t="shared" si="2"/>
        <v/>
      </c>
    </row>
    <row r="1088">
      <c r="A1088" s="84"/>
      <c r="B1088" s="84"/>
      <c r="C1088" s="85"/>
      <c r="D1088" s="86"/>
      <c r="E1088" s="87"/>
      <c r="F1088" s="86"/>
      <c r="G1088" s="87"/>
      <c r="H1088" s="86"/>
      <c r="I1088" s="86"/>
      <c r="J1088" s="86"/>
      <c r="K1088" s="84"/>
      <c r="L1088" s="84"/>
      <c r="M1088" s="84"/>
      <c r="N1088" s="84" t="str">
        <f>IFERROR(__xludf.DUMMYFUNCTION("IFERROR(AVERAGE(query(INDIRECT(""'FR Table'!"" &amp; vlookup(rows($A$1:$A1087),Reference!$O:$P,2,false) &amp; ""3:"" &amp; vlookup(rows($A$1:$A1087),Reference!$O:$P,2,false)), 
""SELECT "" &amp; vlookup(rows($A$1:$A1087),Reference!$O:$P,2,false) 
&amp; "" WHERE "" &amp; vlookup("&amp;"rows($A$1:$A1087),Reference!$O:$P,2,false) &amp;
"" &gt;= "" &amp; Reference!$R$2)) * M1088,"""")"),"")</f>
        <v/>
      </c>
      <c r="O1088" s="84" t="str">
        <f t="shared" si="2"/>
        <v/>
      </c>
    </row>
    <row r="1089">
      <c r="A1089" s="84"/>
      <c r="B1089" s="84"/>
      <c r="C1089" s="85"/>
      <c r="D1089" s="86"/>
      <c r="E1089" s="87"/>
      <c r="F1089" s="86"/>
      <c r="G1089" s="87"/>
      <c r="H1089" s="86"/>
      <c r="I1089" s="86"/>
      <c r="J1089" s="86"/>
      <c r="K1089" s="84"/>
      <c r="L1089" s="84"/>
      <c r="M1089" s="84"/>
      <c r="N1089" s="84" t="str">
        <f>IFERROR(__xludf.DUMMYFUNCTION("IFERROR(AVERAGE(query(INDIRECT(""'FR Table'!"" &amp; vlookup(rows($A$1:$A1088),Reference!$O:$P,2,false) &amp; ""3:"" &amp; vlookup(rows($A$1:$A1088),Reference!$O:$P,2,false)), 
""SELECT "" &amp; vlookup(rows($A$1:$A1088),Reference!$O:$P,2,false) 
&amp; "" WHERE "" &amp; vlookup("&amp;"rows($A$1:$A1088),Reference!$O:$P,2,false) &amp;
"" &gt;= "" &amp; Reference!$R$2)) * M1089,"""")"),"")</f>
        <v/>
      </c>
      <c r="O1089" s="84" t="str">
        <f t="shared" si="2"/>
        <v/>
      </c>
    </row>
    <row r="1090">
      <c r="A1090" s="84"/>
      <c r="B1090" s="84"/>
      <c r="C1090" s="85"/>
      <c r="D1090" s="86"/>
      <c r="E1090" s="87"/>
      <c r="F1090" s="86"/>
      <c r="G1090" s="87"/>
      <c r="H1090" s="86"/>
      <c r="I1090" s="86"/>
      <c r="J1090" s="86"/>
      <c r="K1090" s="84"/>
      <c r="L1090" s="84"/>
      <c r="M1090" s="84"/>
      <c r="N1090" s="84" t="str">
        <f>IFERROR(__xludf.DUMMYFUNCTION("IFERROR(AVERAGE(query(INDIRECT(""'FR Table'!"" &amp; vlookup(rows($A$1:$A1089),Reference!$O:$P,2,false) &amp; ""3:"" &amp; vlookup(rows($A$1:$A1089),Reference!$O:$P,2,false)), 
""SELECT "" &amp; vlookup(rows($A$1:$A1089),Reference!$O:$P,2,false) 
&amp; "" WHERE "" &amp; vlookup("&amp;"rows($A$1:$A1089),Reference!$O:$P,2,false) &amp;
"" &gt;= "" &amp; Reference!$R$2)) * M1090,"""")"),"")</f>
        <v/>
      </c>
      <c r="O1090" s="84" t="str">
        <f t="shared" si="2"/>
        <v/>
      </c>
    </row>
    <row r="1091">
      <c r="A1091" s="84"/>
      <c r="B1091" s="84"/>
      <c r="C1091" s="85"/>
      <c r="D1091" s="86"/>
      <c r="E1091" s="87"/>
      <c r="F1091" s="86"/>
      <c r="G1091" s="87"/>
      <c r="H1091" s="86"/>
      <c r="I1091" s="86"/>
      <c r="J1091" s="86"/>
      <c r="K1091" s="84"/>
      <c r="L1091" s="84"/>
      <c r="M1091" s="84"/>
      <c r="N1091" s="84" t="str">
        <f>IFERROR(__xludf.DUMMYFUNCTION("IFERROR(AVERAGE(query(INDIRECT(""'FR Table'!"" &amp; vlookup(rows($A$1:$A1090),Reference!$O:$P,2,false) &amp; ""3:"" &amp; vlookup(rows($A$1:$A1090),Reference!$O:$P,2,false)), 
""SELECT "" &amp; vlookup(rows($A$1:$A1090),Reference!$O:$P,2,false) 
&amp; "" WHERE "" &amp; vlookup("&amp;"rows($A$1:$A1090),Reference!$O:$P,2,false) &amp;
"" &gt;= "" &amp; Reference!$R$2)) * M1091,"""")"),"")</f>
        <v/>
      </c>
      <c r="O1091" s="84" t="str">
        <f t="shared" si="2"/>
        <v/>
      </c>
    </row>
    <row r="1092">
      <c r="A1092" s="84"/>
      <c r="B1092" s="84"/>
      <c r="C1092" s="85"/>
      <c r="D1092" s="86"/>
      <c r="E1092" s="87"/>
      <c r="F1092" s="86"/>
      <c r="G1092" s="87"/>
      <c r="H1092" s="86"/>
      <c r="I1092" s="86"/>
      <c r="J1092" s="86"/>
      <c r="K1092" s="84"/>
      <c r="L1092" s="84"/>
      <c r="M1092" s="84"/>
      <c r="N1092" s="84" t="str">
        <f>IFERROR(__xludf.DUMMYFUNCTION("IFERROR(AVERAGE(query(INDIRECT(""'FR Table'!"" &amp; vlookup(rows($A$1:$A1091),Reference!$O:$P,2,false) &amp; ""3:"" &amp; vlookup(rows($A$1:$A1091),Reference!$O:$P,2,false)), 
""SELECT "" &amp; vlookup(rows($A$1:$A1091),Reference!$O:$P,2,false) 
&amp; "" WHERE "" &amp; vlookup("&amp;"rows($A$1:$A1091),Reference!$O:$P,2,false) &amp;
"" &gt;= "" &amp; Reference!$R$2)) * M1092,"""")"),"")</f>
        <v/>
      </c>
      <c r="O1092" s="84" t="str">
        <f t="shared" si="2"/>
        <v/>
      </c>
    </row>
    <row r="1093">
      <c r="A1093" s="84"/>
      <c r="B1093" s="84"/>
      <c r="C1093" s="85"/>
      <c r="D1093" s="86"/>
      <c r="E1093" s="87"/>
      <c r="F1093" s="86"/>
      <c r="G1093" s="87"/>
      <c r="H1093" s="86"/>
      <c r="I1093" s="86"/>
      <c r="J1093" s="86"/>
      <c r="K1093" s="84"/>
      <c r="L1093" s="84"/>
      <c r="M1093" s="84"/>
      <c r="N1093" s="84" t="str">
        <f>IFERROR(__xludf.DUMMYFUNCTION("IFERROR(AVERAGE(query(INDIRECT(""'FR Table'!"" &amp; vlookup(rows($A$1:$A1092),Reference!$O:$P,2,false) &amp; ""3:"" &amp; vlookup(rows($A$1:$A1092),Reference!$O:$P,2,false)), 
""SELECT "" &amp; vlookup(rows($A$1:$A1092),Reference!$O:$P,2,false) 
&amp; "" WHERE "" &amp; vlookup("&amp;"rows($A$1:$A1092),Reference!$O:$P,2,false) &amp;
"" &gt;= "" &amp; Reference!$R$2)) * M1093,"""")"),"")</f>
        <v/>
      </c>
      <c r="O1093" s="84" t="str">
        <f t="shared" si="2"/>
        <v/>
      </c>
    </row>
    <row r="1094">
      <c r="A1094" s="84"/>
      <c r="B1094" s="84"/>
      <c r="C1094" s="85"/>
      <c r="D1094" s="86"/>
      <c r="E1094" s="87"/>
      <c r="F1094" s="86"/>
      <c r="G1094" s="87"/>
      <c r="H1094" s="86"/>
      <c r="I1094" s="86"/>
      <c r="J1094" s="86"/>
      <c r="K1094" s="84"/>
      <c r="L1094" s="84"/>
      <c r="M1094" s="84"/>
      <c r="N1094" s="84" t="str">
        <f>IFERROR(__xludf.DUMMYFUNCTION("IFERROR(AVERAGE(query(INDIRECT(""'FR Table'!"" &amp; vlookup(rows($A$1:$A1093),Reference!$O:$P,2,false) &amp; ""3:"" &amp; vlookup(rows($A$1:$A1093),Reference!$O:$P,2,false)), 
""SELECT "" &amp; vlookup(rows($A$1:$A1093),Reference!$O:$P,2,false) 
&amp; "" WHERE "" &amp; vlookup("&amp;"rows($A$1:$A1093),Reference!$O:$P,2,false) &amp;
"" &gt;= "" &amp; Reference!$R$2)) * M1094,"""")"),"")</f>
        <v/>
      </c>
      <c r="O1094" s="84" t="str">
        <f t="shared" si="2"/>
        <v/>
      </c>
    </row>
    <row r="1095">
      <c r="A1095" s="84"/>
      <c r="B1095" s="84"/>
      <c r="C1095" s="85"/>
      <c r="D1095" s="86"/>
      <c r="E1095" s="87"/>
      <c r="F1095" s="86"/>
      <c r="G1095" s="87"/>
      <c r="H1095" s="86"/>
      <c r="I1095" s="86"/>
      <c r="J1095" s="86"/>
      <c r="K1095" s="84"/>
      <c r="L1095" s="84"/>
      <c r="M1095" s="84"/>
      <c r="N1095" s="84" t="str">
        <f>IFERROR(__xludf.DUMMYFUNCTION("IFERROR(AVERAGE(query(INDIRECT(""'FR Table'!"" &amp; vlookup(rows($A$1:$A1094),Reference!$O:$P,2,false) &amp; ""3:"" &amp; vlookup(rows($A$1:$A1094),Reference!$O:$P,2,false)), 
""SELECT "" &amp; vlookup(rows($A$1:$A1094),Reference!$O:$P,2,false) 
&amp; "" WHERE "" &amp; vlookup("&amp;"rows($A$1:$A1094),Reference!$O:$P,2,false) &amp;
"" &gt;= "" &amp; Reference!$R$2)) * M1095,"""")"),"")</f>
        <v/>
      </c>
      <c r="O1095" s="84" t="str">
        <f t="shared" si="2"/>
        <v/>
      </c>
    </row>
    <row r="1096">
      <c r="A1096" s="84"/>
      <c r="B1096" s="84"/>
      <c r="C1096" s="85"/>
      <c r="D1096" s="86"/>
      <c r="E1096" s="87"/>
      <c r="F1096" s="86"/>
      <c r="G1096" s="87"/>
      <c r="H1096" s="86"/>
      <c r="I1096" s="86"/>
      <c r="J1096" s="86"/>
      <c r="K1096" s="84"/>
      <c r="L1096" s="84"/>
      <c r="M1096" s="84"/>
      <c r="N1096" s="84" t="str">
        <f>IFERROR(__xludf.DUMMYFUNCTION("IFERROR(AVERAGE(query(INDIRECT(""'FR Table'!"" &amp; vlookup(rows($A$1:$A1095),Reference!$O:$P,2,false) &amp; ""3:"" &amp; vlookup(rows($A$1:$A1095),Reference!$O:$P,2,false)), 
""SELECT "" &amp; vlookup(rows($A$1:$A1095),Reference!$O:$P,2,false) 
&amp; "" WHERE "" &amp; vlookup("&amp;"rows($A$1:$A1095),Reference!$O:$P,2,false) &amp;
"" &gt;= "" &amp; Reference!$R$2)) * M1096,"""")"),"")</f>
        <v/>
      </c>
      <c r="O1096" s="84" t="str">
        <f t="shared" si="2"/>
        <v/>
      </c>
    </row>
    <row r="1097">
      <c r="A1097" s="84"/>
      <c r="B1097" s="84"/>
      <c r="C1097" s="85"/>
      <c r="D1097" s="86"/>
      <c r="E1097" s="87"/>
      <c r="F1097" s="86"/>
      <c r="G1097" s="87"/>
      <c r="H1097" s="86"/>
      <c r="I1097" s="86"/>
      <c r="J1097" s="86"/>
      <c r="K1097" s="84"/>
      <c r="L1097" s="84"/>
      <c r="M1097" s="84"/>
      <c r="N1097" s="84" t="str">
        <f>IFERROR(__xludf.DUMMYFUNCTION("IFERROR(AVERAGE(query(INDIRECT(""'FR Table'!"" &amp; vlookup(rows($A$1:$A1096),Reference!$O:$P,2,false) &amp; ""3:"" &amp; vlookup(rows($A$1:$A1096),Reference!$O:$P,2,false)), 
""SELECT "" &amp; vlookup(rows($A$1:$A1096),Reference!$O:$P,2,false) 
&amp; "" WHERE "" &amp; vlookup("&amp;"rows($A$1:$A1096),Reference!$O:$P,2,false) &amp;
"" &gt;= "" &amp; Reference!$R$2)) * M1097,"""")"),"")</f>
        <v/>
      </c>
      <c r="O1097" s="84" t="str">
        <f t="shared" si="2"/>
        <v/>
      </c>
    </row>
    <row r="1098">
      <c r="A1098" s="84"/>
      <c r="B1098" s="84"/>
      <c r="C1098" s="85"/>
      <c r="D1098" s="86"/>
      <c r="E1098" s="87"/>
      <c r="F1098" s="86"/>
      <c r="G1098" s="87"/>
      <c r="H1098" s="86"/>
      <c r="I1098" s="86"/>
      <c r="J1098" s="86"/>
      <c r="K1098" s="84"/>
      <c r="L1098" s="84"/>
      <c r="M1098" s="84"/>
      <c r="N1098" s="84" t="str">
        <f>IFERROR(__xludf.DUMMYFUNCTION("IFERROR(AVERAGE(query(INDIRECT(""'FR Table'!"" &amp; vlookup(rows($A$1:$A1097),Reference!$O:$P,2,false) &amp; ""3:"" &amp; vlookup(rows($A$1:$A1097),Reference!$O:$P,2,false)), 
""SELECT "" &amp; vlookup(rows($A$1:$A1097),Reference!$O:$P,2,false) 
&amp; "" WHERE "" &amp; vlookup("&amp;"rows($A$1:$A1097),Reference!$O:$P,2,false) &amp;
"" &gt;= "" &amp; Reference!$R$2)) * M1098,"""")"),"")</f>
        <v/>
      </c>
      <c r="O1098" s="84" t="str">
        <f t="shared" si="2"/>
        <v/>
      </c>
    </row>
    <row r="1099">
      <c r="A1099" s="84"/>
      <c r="B1099" s="84"/>
      <c r="C1099" s="85"/>
      <c r="D1099" s="86"/>
      <c r="E1099" s="87"/>
      <c r="F1099" s="86"/>
      <c r="G1099" s="87"/>
      <c r="H1099" s="86"/>
      <c r="I1099" s="86"/>
      <c r="J1099" s="86"/>
      <c r="K1099" s="84"/>
      <c r="L1099" s="84"/>
      <c r="M1099" s="84"/>
      <c r="N1099" s="84" t="str">
        <f>IFERROR(__xludf.DUMMYFUNCTION("IFERROR(AVERAGE(query(INDIRECT(""'FR Table'!"" &amp; vlookup(rows($A$1:$A1098),Reference!$O:$P,2,false) &amp; ""3:"" &amp; vlookup(rows($A$1:$A1098),Reference!$O:$P,2,false)), 
""SELECT "" &amp; vlookup(rows($A$1:$A1098),Reference!$O:$P,2,false) 
&amp; "" WHERE "" &amp; vlookup("&amp;"rows($A$1:$A1098),Reference!$O:$P,2,false) &amp;
"" &gt;= "" &amp; Reference!$R$2)) * M1099,"""")"),"")</f>
        <v/>
      </c>
      <c r="O1099" s="84" t="str">
        <f t="shared" si="2"/>
        <v/>
      </c>
    </row>
    <row r="1100">
      <c r="A1100" s="84"/>
      <c r="B1100" s="84"/>
      <c r="C1100" s="85"/>
      <c r="D1100" s="86"/>
      <c r="E1100" s="87"/>
      <c r="F1100" s="86"/>
      <c r="G1100" s="87"/>
      <c r="H1100" s="86"/>
      <c r="I1100" s="86"/>
      <c r="J1100" s="86"/>
      <c r="K1100" s="84"/>
      <c r="L1100" s="84"/>
      <c r="M1100" s="84"/>
      <c r="N1100" s="84" t="str">
        <f>IFERROR(__xludf.DUMMYFUNCTION("IFERROR(AVERAGE(query(INDIRECT(""'FR Table'!"" &amp; vlookup(rows($A$1:$A1099),Reference!$O:$P,2,false) &amp; ""3:"" &amp; vlookup(rows($A$1:$A1099),Reference!$O:$P,2,false)), 
""SELECT "" &amp; vlookup(rows($A$1:$A1099),Reference!$O:$P,2,false) 
&amp; "" WHERE "" &amp; vlookup("&amp;"rows($A$1:$A1099),Reference!$O:$P,2,false) &amp;
"" &gt;= "" &amp; Reference!$R$2)) * M1100,"""")"),"")</f>
        <v/>
      </c>
      <c r="O1100" s="84" t="str">
        <f t="shared" si="2"/>
        <v/>
      </c>
    </row>
    <row r="1101">
      <c r="A1101" s="84"/>
      <c r="B1101" s="84"/>
      <c r="C1101" s="85"/>
      <c r="D1101" s="86"/>
      <c r="E1101" s="87"/>
      <c r="F1101" s="86"/>
      <c r="G1101" s="87"/>
      <c r="H1101" s="86"/>
      <c r="I1101" s="86"/>
      <c r="J1101" s="86"/>
      <c r="K1101" s="84"/>
      <c r="L1101" s="84"/>
      <c r="M1101" s="84"/>
      <c r="N1101" s="84" t="str">
        <f>IFERROR(__xludf.DUMMYFUNCTION("IFERROR(AVERAGE(query(INDIRECT(""'FR Table'!"" &amp; vlookup(rows($A$1:$A1100),Reference!$O:$P,2,false) &amp; ""3:"" &amp; vlookup(rows($A$1:$A1100),Reference!$O:$P,2,false)), 
""SELECT "" &amp; vlookup(rows($A$1:$A1100),Reference!$O:$P,2,false) 
&amp; "" WHERE "" &amp; vlookup("&amp;"rows($A$1:$A1100),Reference!$O:$P,2,false) &amp;
"" &gt;= "" &amp; Reference!$R$2)) * M1101,"""")"),"")</f>
        <v/>
      </c>
      <c r="O1101" s="84" t="str">
        <f t="shared" si="2"/>
        <v/>
      </c>
    </row>
    <row r="1102">
      <c r="A1102" s="84"/>
      <c r="B1102" s="84"/>
      <c r="C1102" s="85"/>
      <c r="D1102" s="86"/>
      <c r="E1102" s="87"/>
      <c r="F1102" s="86"/>
      <c r="G1102" s="87"/>
      <c r="H1102" s="86"/>
      <c r="I1102" s="86"/>
      <c r="J1102" s="86"/>
      <c r="K1102" s="84"/>
      <c r="L1102" s="84"/>
      <c r="M1102" s="84"/>
      <c r="N1102" s="84" t="str">
        <f>IFERROR(__xludf.DUMMYFUNCTION("IFERROR(AVERAGE(query(INDIRECT(""'FR Table'!"" &amp; vlookup(rows($A$1:$A1101),Reference!$O:$P,2,false) &amp; ""3:"" &amp; vlookup(rows($A$1:$A1101),Reference!$O:$P,2,false)), 
""SELECT "" &amp; vlookup(rows($A$1:$A1101),Reference!$O:$P,2,false) 
&amp; "" WHERE "" &amp; vlookup("&amp;"rows($A$1:$A1101),Reference!$O:$P,2,false) &amp;
"" &gt;= "" &amp; Reference!$R$2)) * M1102,"""")"),"")</f>
        <v/>
      </c>
      <c r="O1102" s="84" t="str">
        <f t="shared" si="2"/>
        <v/>
      </c>
    </row>
    <row r="1103">
      <c r="A1103" s="84"/>
      <c r="B1103" s="84"/>
      <c r="C1103" s="85"/>
      <c r="D1103" s="86"/>
      <c r="E1103" s="87"/>
      <c r="F1103" s="86"/>
      <c r="G1103" s="87"/>
      <c r="H1103" s="86"/>
      <c r="I1103" s="86"/>
      <c r="J1103" s="86"/>
      <c r="K1103" s="84"/>
      <c r="L1103" s="84"/>
      <c r="M1103" s="84"/>
      <c r="N1103" s="84" t="str">
        <f>IFERROR(__xludf.DUMMYFUNCTION("IFERROR(AVERAGE(query(INDIRECT(""'FR Table'!"" &amp; vlookup(rows($A$1:$A1102),Reference!$O:$P,2,false) &amp; ""3:"" &amp; vlookup(rows($A$1:$A1102),Reference!$O:$P,2,false)), 
""SELECT "" &amp; vlookup(rows($A$1:$A1102),Reference!$O:$P,2,false) 
&amp; "" WHERE "" &amp; vlookup("&amp;"rows($A$1:$A1102),Reference!$O:$P,2,false) &amp;
"" &gt;= "" &amp; Reference!$R$2)) * M1103,"""")"),"")</f>
        <v/>
      </c>
      <c r="O1103" s="84" t="str">
        <f t="shared" si="2"/>
        <v/>
      </c>
    </row>
    <row r="1104">
      <c r="A1104" s="84"/>
      <c r="B1104" s="84"/>
      <c r="C1104" s="85"/>
      <c r="D1104" s="86"/>
      <c r="E1104" s="87"/>
      <c r="F1104" s="86"/>
      <c r="G1104" s="87"/>
      <c r="H1104" s="86"/>
      <c r="I1104" s="86"/>
      <c r="J1104" s="86"/>
      <c r="K1104" s="84"/>
      <c r="L1104" s="84"/>
      <c r="M1104" s="84"/>
      <c r="N1104" s="84" t="str">
        <f>IFERROR(__xludf.DUMMYFUNCTION("IFERROR(AVERAGE(query(INDIRECT(""'FR Table'!"" &amp; vlookup(rows($A$1:$A1103),Reference!$O:$P,2,false) &amp; ""3:"" &amp; vlookup(rows($A$1:$A1103),Reference!$O:$P,2,false)), 
""SELECT "" &amp; vlookup(rows($A$1:$A1103),Reference!$O:$P,2,false) 
&amp; "" WHERE "" &amp; vlookup("&amp;"rows($A$1:$A1103),Reference!$O:$P,2,false) &amp;
"" &gt;= "" &amp; Reference!$R$2)) * M1104,"""")"),"")</f>
        <v/>
      </c>
      <c r="O1104" s="84" t="str">
        <f t="shared" si="2"/>
        <v/>
      </c>
    </row>
    <row r="1105">
      <c r="A1105" s="84"/>
      <c r="B1105" s="84"/>
      <c r="C1105" s="85"/>
      <c r="D1105" s="86"/>
      <c r="E1105" s="87"/>
      <c r="F1105" s="86"/>
      <c r="G1105" s="87"/>
      <c r="H1105" s="86"/>
      <c r="I1105" s="86"/>
      <c r="J1105" s="86"/>
      <c r="K1105" s="84"/>
      <c r="L1105" s="84"/>
      <c r="M1105" s="84"/>
      <c r="N1105" s="84" t="str">
        <f>IFERROR(__xludf.DUMMYFUNCTION("IFERROR(AVERAGE(query(INDIRECT(""'FR Table'!"" &amp; vlookup(rows($A$1:$A1104),Reference!$O:$P,2,false) &amp; ""3:"" &amp; vlookup(rows($A$1:$A1104),Reference!$O:$P,2,false)), 
""SELECT "" &amp; vlookup(rows($A$1:$A1104),Reference!$O:$P,2,false) 
&amp; "" WHERE "" &amp; vlookup("&amp;"rows($A$1:$A1104),Reference!$O:$P,2,false) &amp;
"" &gt;= "" &amp; Reference!$R$2)) * M1105,"""")"),"")</f>
        <v/>
      </c>
      <c r="O1105" s="84" t="str">
        <f t="shared" si="2"/>
        <v/>
      </c>
    </row>
    <row r="1106">
      <c r="A1106" s="84"/>
      <c r="B1106" s="84"/>
      <c r="C1106" s="85"/>
      <c r="D1106" s="86"/>
      <c r="E1106" s="87"/>
      <c r="F1106" s="86"/>
      <c r="G1106" s="87"/>
      <c r="H1106" s="86"/>
      <c r="I1106" s="86"/>
      <c r="J1106" s="86"/>
      <c r="K1106" s="84"/>
      <c r="L1106" s="84"/>
      <c r="M1106" s="84"/>
      <c r="N1106" s="84" t="str">
        <f>IFERROR(__xludf.DUMMYFUNCTION("IFERROR(AVERAGE(query(INDIRECT(""'FR Table'!"" &amp; vlookup(rows($A$1:$A1105),Reference!$O:$P,2,false) &amp; ""3:"" &amp; vlookup(rows($A$1:$A1105),Reference!$O:$P,2,false)), 
""SELECT "" &amp; vlookup(rows($A$1:$A1105),Reference!$O:$P,2,false) 
&amp; "" WHERE "" &amp; vlookup("&amp;"rows($A$1:$A1105),Reference!$O:$P,2,false) &amp;
"" &gt;= "" &amp; Reference!$R$2)) * M1106,"""")"),"")</f>
        <v/>
      </c>
      <c r="O1106" s="84" t="str">
        <f t="shared" si="2"/>
        <v/>
      </c>
    </row>
    <row r="1107">
      <c r="A1107" s="84"/>
      <c r="B1107" s="84"/>
      <c r="C1107" s="85"/>
      <c r="D1107" s="86"/>
      <c r="E1107" s="87"/>
      <c r="F1107" s="86"/>
      <c r="G1107" s="87"/>
      <c r="H1107" s="86"/>
      <c r="I1107" s="86"/>
      <c r="J1107" s="86"/>
      <c r="K1107" s="84"/>
      <c r="L1107" s="84"/>
      <c r="M1107" s="84"/>
      <c r="N1107" s="84" t="str">
        <f>IFERROR(__xludf.DUMMYFUNCTION("IFERROR(AVERAGE(query(INDIRECT(""'FR Table'!"" &amp; vlookup(rows($A$1:$A1106),Reference!$O:$P,2,false) &amp; ""3:"" &amp; vlookup(rows($A$1:$A1106),Reference!$O:$P,2,false)), 
""SELECT "" &amp; vlookup(rows($A$1:$A1106),Reference!$O:$P,2,false) 
&amp; "" WHERE "" &amp; vlookup("&amp;"rows($A$1:$A1106),Reference!$O:$P,2,false) &amp;
"" &gt;= "" &amp; Reference!$R$2)) * M1107,"""")"),"")</f>
        <v/>
      </c>
      <c r="O1107" s="84" t="str">
        <f t="shared" si="2"/>
        <v/>
      </c>
    </row>
    <row r="1108">
      <c r="A1108" s="84"/>
      <c r="B1108" s="84"/>
      <c r="C1108" s="85"/>
      <c r="D1108" s="86"/>
      <c r="E1108" s="87"/>
      <c r="F1108" s="86"/>
      <c r="G1108" s="87"/>
      <c r="H1108" s="86"/>
      <c r="I1108" s="86"/>
      <c r="J1108" s="86"/>
      <c r="K1108" s="84"/>
      <c r="L1108" s="84"/>
      <c r="M1108" s="84"/>
      <c r="N1108" s="84" t="str">
        <f>IFERROR(__xludf.DUMMYFUNCTION("IFERROR(AVERAGE(query(INDIRECT(""'FR Table'!"" &amp; vlookup(rows($A$1:$A1107),Reference!$O:$P,2,false) &amp; ""3:"" &amp; vlookup(rows($A$1:$A1107),Reference!$O:$P,2,false)), 
""SELECT "" &amp; vlookup(rows($A$1:$A1107),Reference!$O:$P,2,false) 
&amp; "" WHERE "" &amp; vlookup("&amp;"rows($A$1:$A1107),Reference!$O:$P,2,false) &amp;
"" &gt;= "" &amp; Reference!$R$2)) * M1108,"""")"),"")</f>
        <v/>
      </c>
      <c r="O1108" s="84" t="str">
        <f t="shared" si="2"/>
        <v/>
      </c>
    </row>
    <row r="1109">
      <c r="A1109" s="84"/>
      <c r="B1109" s="84"/>
      <c r="C1109" s="85"/>
      <c r="D1109" s="86"/>
      <c r="E1109" s="87"/>
      <c r="F1109" s="86"/>
      <c r="G1109" s="87"/>
      <c r="H1109" s="86"/>
      <c r="I1109" s="86"/>
      <c r="J1109" s="86"/>
      <c r="K1109" s="84"/>
      <c r="L1109" s="84"/>
      <c r="M1109" s="84"/>
      <c r="N1109" s="84" t="str">
        <f>IFERROR(__xludf.DUMMYFUNCTION("IFERROR(AVERAGE(query(INDIRECT(""'FR Table'!"" &amp; vlookup(rows($A$1:$A1108),Reference!$O:$P,2,false) &amp; ""3:"" &amp; vlookup(rows($A$1:$A1108),Reference!$O:$P,2,false)), 
""SELECT "" &amp; vlookup(rows($A$1:$A1108),Reference!$O:$P,2,false) 
&amp; "" WHERE "" &amp; vlookup("&amp;"rows($A$1:$A1108),Reference!$O:$P,2,false) &amp;
"" &gt;= "" &amp; Reference!$R$2)) * M1109,"""")"),"")</f>
        <v/>
      </c>
      <c r="O1109" s="84" t="str">
        <f t="shared" si="2"/>
        <v/>
      </c>
    </row>
    <row r="1110">
      <c r="A1110" s="84"/>
      <c r="B1110" s="84"/>
      <c r="C1110" s="85"/>
      <c r="D1110" s="86"/>
      <c r="E1110" s="87"/>
      <c r="F1110" s="86"/>
      <c r="G1110" s="87"/>
      <c r="H1110" s="86"/>
      <c r="I1110" s="86"/>
      <c r="J1110" s="86"/>
      <c r="K1110" s="84"/>
      <c r="L1110" s="84"/>
      <c r="M1110" s="84"/>
      <c r="N1110" s="84" t="str">
        <f>IFERROR(__xludf.DUMMYFUNCTION("IFERROR(AVERAGE(query(INDIRECT(""'FR Table'!"" &amp; vlookup(rows($A$1:$A1109),Reference!$O:$P,2,false) &amp; ""3:"" &amp; vlookup(rows($A$1:$A1109),Reference!$O:$P,2,false)), 
""SELECT "" &amp; vlookup(rows($A$1:$A1109),Reference!$O:$P,2,false) 
&amp; "" WHERE "" &amp; vlookup("&amp;"rows($A$1:$A1109),Reference!$O:$P,2,false) &amp;
"" &gt;= "" &amp; Reference!$R$2)) * M1110,"""")"),"")</f>
        <v/>
      </c>
      <c r="O1110" s="84" t="str">
        <f t="shared" si="2"/>
        <v/>
      </c>
    </row>
    <row r="1111">
      <c r="A1111" s="84"/>
      <c r="B1111" s="84"/>
      <c r="C1111" s="85"/>
      <c r="D1111" s="86"/>
      <c r="E1111" s="87"/>
      <c r="F1111" s="86"/>
      <c r="G1111" s="87"/>
      <c r="H1111" s="86"/>
      <c r="I1111" s="86"/>
      <c r="J1111" s="86"/>
      <c r="K1111" s="84"/>
      <c r="L1111" s="84"/>
      <c r="M1111" s="84"/>
      <c r="N1111" s="84" t="str">
        <f>IFERROR(__xludf.DUMMYFUNCTION("IFERROR(AVERAGE(query(INDIRECT(""'FR Table'!"" &amp; vlookup(rows($A$1:$A1110),Reference!$O:$P,2,false) &amp; ""3:"" &amp; vlookup(rows($A$1:$A1110),Reference!$O:$P,2,false)), 
""SELECT "" &amp; vlookup(rows($A$1:$A1110),Reference!$O:$P,2,false) 
&amp; "" WHERE "" &amp; vlookup("&amp;"rows($A$1:$A1110),Reference!$O:$P,2,false) &amp;
"" &gt;= "" &amp; Reference!$R$2)) * M1111,"""")"),"")</f>
        <v/>
      </c>
      <c r="O1111" s="84" t="str">
        <f t="shared" si="2"/>
        <v/>
      </c>
    </row>
    <row r="1112">
      <c r="A1112" s="84"/>
      <c r="B1112" s="84"/>
      <c r="C1112" s="85"/>
      <c r="D1112" s="86"/>
      <c r="E1112" s="87"/>
      <c r="F1112" s="86"/>
      <c r="G1112" s="87"/>
      <c r="H1112" s="86"/>
      <c r="I1112" s="86"/>
      <c r="J1112" s="86"/>
      <c r="K1112" s="84"/>
      <c r="L1112" s="84"/>
      <c r="M1112" s="84"/>
      <c r="N1112" s="84" t="str">
        <f>IFERROR(__xludf.DUMMYFUNCTION("IFERROR(AVERAGE(query(INDIRECT(""'FR Table'!"" &amp; vlookup(rows($A$1:$A1111),Reference!$O:$P,2,false) &amp; ""3:"" &amp; vlookup(rows($A$1:$A1111),Reference!$O:$P,2,false)), 
""SELECT "" &amp; vlookup(rows($A$1:$A1111),Reference!$O:$P,2,false) 
&amp; "" WHERE "" &amp; vlookup("&amp;"rows($A$1:$A1111),Reference!$O:$P,2,false) &amp;
"" &gt;= "" &amp; Reference!$R$2)) * M1112,"""")"),"")</f>
        <v/>
      </c>
      <c r="O1112" s="84" t="str">
        <f t="shared" si="2"/>
        <v/>
      </c>
    </row>
    <row r="1113">
      <c r="A1113" s="84"/>
      <c r="B1113" s="84"/>
      <c r="C1113" s="85"/>
      <c r="D1113" s="86"/>
      <c r="E1113" s="87"/>
      <c r="F1113" s="86"/>
      <c r="G1113" s="87"/>
      <c r="H1113" s="86"/>
      <c r="I1113" s="86"/>
      <c r="J1113" s="86"/>
      <c r="K1113" s="84"/>
      <c r="L1113" s="84"/>
      <c r="M1113" s="84"/>
      <c r="N1113" s="84" t="str">
        <f>IFERROR(__xludf.DUMMYFUNCTION("IFERROR(AVERAGE(query(INDIRECT(""'FR Table'!"" &amp; vlookup(rows($A$1:$A1112),Reference!$O:$P,2,false) &amp; ""3:"" &amp; vlookup(rows($A$1:$A1112),Reference!$O:$P,2,false)), 
""SELECT "" &amp; vlookup(rows($A$1:$A1112),Reference!$O:$P,2,false) 
&amp; "" WHERE "" &amp; vlookup("&amp;"rows($A$1:$A1112),Reference!$O:$P,2,false) &amp;
"" &gt;= "" &amp; Reference!$R$2)) * M1113,"""")"),"")</f>
        <v/>
      </c>
      <c r="O1113" s="84" t="str">
        <f t="shared" si="2"/>
        <v/>
      </c>
    </row>
    <row r="1114">
      <c r="A1114" s="84"/>
      <c r="B1114" s="84"/>
      <c r="C1114" s="85"/>
      <c r="D1114" s="86"/>
      <c r="E1114" s="87"/>
      <c r="F1114" s="86"/>
      <c r="G1114" s="87"/>
      <c r="H1114" s="86"/>
      <c r="I1114" s="86"/>
      <c r="J1114" s="86"/>
      <c r="K1114" s="84"/>
      <c r="L1114" s="84"/>
      <c r="M1114" s="84"/>
      <c r="N1114" s="84" t="str">
        <f>IFERROR(__xludf.DUMMYFUNCTION("IFERROR(AVERAGE(query(INDIRECT(""'FR Table'!"" &amp; vlookup(rows($A$1:$A1113),Reference!$O:$P,2,false) &amp; ""3:"" &amp; vlookup(rows($A$1:$A1113),Reference!$O:$P,2,false)), 
""SELECT "" &amp; vlookup(rows($A$1:$A1113),Reference!$O:$P,2,false) 
&amp; "" WHERE "" &amp; vlookup("&amp;"rows($A$1:$A1113),Reference!$O:$P,2,false) &amp;
"" &gt;= "" &amp; Reference!$R$2)) * M1114,"""")"),"")</f>
        <v/>
      </c>
      <c r="O1114" s="84" t="str">
        <f t="shared" si="2"/>
        <v/>
      </c>
    </row>
    <row r="1115">
      <c r="A1115" s="84"/>
      <c r="B1115" s="84"/>
      <c r="C1115" s="85"/>
      <c r="D1115" s="86"/>
      <c r="E1115" s="87"/>
      <c r="F1115" s="86"/>
      <c r="G1115" s="87"/>
      <c r="H1115" s="86"/>
      <c r="I1115" s="86"/>
      <c r="J1115" s="86"/>
      <c r="K1115" s="84"/>
      <c r="L1115" s="84"/>
      <c r="M1115" s="84"/>
      <c r="N1115" s="84" t="str">
        <f>IFERROR(__xludf.DUMMYFUNCTION("IFERROR(AVERAGE(query(INDIRECT(""'FR Table'!"" &amp; vlookup(rows($A$1:$A1114),Reference!$O:$P,2,false) &amp; ""3:"" &amp; vlookup(rows($A$1:$A1114),Reference!$O:$P,2,false)), 
""SELECT "" &amp; vlookup(rows($A$1:$A1114),Reference!$O:$P,2,false) 
&amp; "" WHERE "" &amp; vlookup("&amp;"rows($A$1:$A1114),Reference!$O:$P,2,false) &amp;
"" &gt;= "" &amp; Reference!$R$2)) * M1115,"""")"),"")</f>
        <v/>
      </c>
      <c r="O1115" s="84" t="str">
        <f t="shared" si="2"/>
        <v/>
      </c>
    </row>
    <row r="1116">
      <c r="A1116" s="84"/>
      <c r="B1116" s="84"/>
      <c r="C1116" s="85"/>
      <c r="D1116" s="86"/>
      <c r="E1116" s="87"/>
      <c r="F1116" s="86"/>
      <c r="G1116" s="87"/>
      <c r="H1116" s="86"/>
      <c r="I1116" s="86"/>
      <c r="J1116" s="86"/>
      <c r="K1116" s="84"/>
      <c r="L1116" s="84"/>
      <c r="M1116" s="84"/>
      <c r="N1116" s="84" t="str">
        <f>IFERROR(__xludf.DUMMYFUNCTION("IFERROR(AVERAGE(query(INDIRECT(""'FR Table'!"" &amp; vlookup(rows($A$1:$A1115),Reference!$O:$P,2,false) &amp; ""3:"" &amp; vlookup(rows($A$1:$A1115),Reference!$O:$P,2,false)), 
""SELECT "" &amp; vlookup(rows($A$1:$A1115),Reference!$O:$P,2,false) 
&amp; "" WHERE "" &amp; vlookup("&amp;"rows($A$1:$A1115),Reference!$O:$P,2,false) &amp;
"" &gt;= "" &amp; Reference!$R$2)) * M1116,"""")"),"")</f>
        <v/>
      </c>
      <c r="O1116" s="84" t="str">
        <f t="shared" si="2"/>
        <v/>
      </c>
    </row>
    <row r="1117">
      <c r="A1117" s="84"/>
      <c r="B1117" s="84"/>
      <c r="C1117" s="85"/>
      <c r="D1117" s="86"/>
      <c r="E1117" s="87"/>
      <c r="F1117" s="86"/>
      <c r="G1117" s="87"/>
      <c r="H1117" s="86"/>
      <c r="I1117" s="86"/>
      <c r="J1117" s="86"/>
      <c r="K1117" s="84"/>
      <c r="L1117" s="84"/>
      <c r="M1117" s="84"/>
      <c r="N1117" s="84" t="str">
        <f>IFERROR(__xludf.DUMMYFUNCTION("IFERROR(AVERAGE(query(INDIRECT(""'FR Table'!"" &amp; vlookup(rows($A$1:$A1116),Reference!$O:$P,2,false) &amp; ""3:"" &amp; vlookup(rows($A$1:$A1116),Reference!$O:$P,2,false)), 
""SELECT "" &amp; vlookup(rows($A$1:$A1116),Reference!$O:$P,2,false) 
&amp; "" WHERE "" &amp; vlookup("&amp;"rows($A$1:$A1116),Reference!$O:$P,2,false) &amp;
"" &gt;= "" &amp; Reference!$R$2)) * M1117,"""")"),"")</f>
        <v/>
      </c>
      <c r="O1117" s="84" t="str">
        <f t="shared" si="2"/>
        <v/>
      </c>
    </row>
    <row r="1118">
      <c r="A1118" s="84"/>
      <c r="B1118" s="84"/>
      <c r="C1118" s="85"/>
      <c r="D1118" s="86"/>
      <c r="E1118" s="87"/>
      <c r="F1118" s="86"/>
      <c r="G1118" s="87"/>
      <c r="H1118" s="86"/>
      <c r="I1118" s="86"/>
      <c r="J1118" s="86"/>
      <c r="K1118" s="84"/>
      <c r="L1118" s="84"/>
      <c r="M1118" s="84"/>
      <c r="N1118" s="84" t="str">
        <f>IFERROR(__xludf.DUMMYFUNCTION("IFERROR(AVERAGE(query(INDIRECT(""'FR Table'!"" &amp; vlookup(rows($A$1:$A1117),Reference!$O:$P,2,false) &amp; ""3:"" &amp; vlookup(rows($A$1:$A1117),Reference!$O:$P,2,false)), 
""SELECT "" &amp; vlookup(rows($A$1:$A1117),Reference!$O:$P,2,false) 
&amp; "" WHERE "" &amp; vlookup("&amp;"rows($A$1:$A1117),Reference!$O:$P,2,false) &amp;
"" &gt;= "" &amp; Reference!$R$2)) * M1118,"""")"),"")</f>
        <v/>
      </c>
      <c r="O1118" s="84" t="str">
        <f t="shared" si="2"/>
        <v/>
      </c>
    </row>
    <row r="1119">
      <c r="A1119" s="84"/>
      <c r="B1119" s="84"/>
      <c r="C1119" s="85"/>
      <c r="D1119" s="86"/>
      <c r="E1119" s="87"/>
      <c r="F1119" s="86"/>
      <c r="G1119" s="87"/>
      <c r="H1119" s="86"/>
      <c r="I1119" s="86"/>
      <c r="J1119" s="86"/>
      <c r="K1119" s="84"/>
      <c r="L1119" s="84"/>
      <c r="M1119" s="84"/>
      <c r="N1119" s="84" t="str">
        <f>IFERROR(__xludf.DUMMYFUNCTION("IFERROR(AVERAGE(query(INDIRECT(""'FR Table'!"" &amp; vlookup(rows($A$1:$A1118),Reference!$O:$P,2,false) &amp; ""3:"" &amp; vlookup(rows($A$1:$A1118),Reference!$O:$P,2,false)), 
""SELECT "" &amp; vlookup(rows($A$1:$A1118),Reference!$O:$P,2,false) 
&amp; "" WHERE "" &amp; vlookup("&amp;"rows($A$1:$A1118),Reference!$O:$P,2,false) &amp;
"" &gt;= "" &amp; Reference!$R$2)) * M1119,"""")"),"")</f>
        <v/>
      </c>
      <c r="O1119" s="84" t="str">
        <f t="shared" si="2"/>
        <v/>
      </c>
    </row>
    <row r="1120">
      <c r="A1120" s="84"/>
      <c r="B1120" s="84"/>
      <c r="C1120" s="85"/>
      <c r="D1120" s="86"/>
      <c r="E1120" s="87"/>
      <c r="F1120" s="86"/>
      <c r="G1120" s="87"/>
      <c r="H1120" s="86"/>
      <c r="I1120" s="86"/>
      <c r="J1120" s="86"/>
      <c r="K1120" s="84"/>
      <c r="L1120" s="84"/>
      <c r="M1120" s="84"/>
      <c r="N1120" s="84" t="str">
        <f>IFERROR(__xludf.DUMMYFUNCTION("IFERROR(AVERAGE(query(INDIRECT(""'FR Table'!"" &amp; vlookup(rows($A$1:$A1119),Reference!$O:$P,2,false) &amp; ""3:"" &amp; vlookup(rows($A$1:$A1119),Reference!$O:$P,2,false)), 
""SELECT "" &amp; vlookup(rows($A$1:$A1119),Reference!$O:$P,2,false) 
&amp; "" WHERE "" &amp; vlookup("&amp;"rows($A$1:$A1119),Reference!$O:$P,2,false) &amp;
"" &gt;= "" &amp; Reference!$R$2)) * M1120,"""")"),"")</f>
        <v/>
      </c>
      <c r="O1120" s="84" t="str">
        <f t="shared" si="2"/>
        <v/>
      </c>
    </row>
    <row r="1121">
      <c r="A1121" s="84"/>
      <c r="B1121" s="84"/>
      <c r="C1121" s="85"/>
      <c r="D1121" s="86"/>
      <c r="E1121" s="87"/>
      <c r="F1121" s="86"/>
      <c r="G1121" s="87"/>
      <c r="H1121" s="86"/>
      <c r="I1121" s="86"/>
      <c r="J1121" s="86"/>
      <c r="K1121" s="84"/>
      <c r="L1121" s="84"/>
      <c r="M1121" s="84"/>
      <c r="N1121" s="84" t="str">
        <f>IFERROR(__xludf.DUMMYFUNCTION("IFERROR(AVERAGE(query(INDIRECT(""'FR Table'!"" &amp; vlookup(rows($A$1:$A1120),Reference!$O:$P,2,false) &amp; ""3:"" &amp; vlookup(rows($A$1:$A1120),Reference!$O:$P,2,false)), 
""SELECT "" &amp; vlookup(rows($A$1:$A1120),Reference!$O:$P,2,false) 
&amp; "" WHERE "" &amp; vlookup("&amp;"rows($A$1:$A1120),Reference!$O:$P,2,false) &amp;
"" &gt;= "" &amp; Reference!$R$2)) * M1121,"""")"),"")</f>
        <v/>
      </c>
      <c r="O1121" s="84" t="str">
        <f t="shared" si="2"/>
        <v/>
      </c>
    </row>
    <row r="1122">
      <c r="A1122" s="84"/>
      <c r="B1122" s="84"/>
      <c r="C1122" s="85"/>
      <c r="D1122" s="86"/>
      <c r="E1122" s="87"/>
      <c r="F1122" s="86"/>
      <c r="G1122" s="87"/>
      <c r="H1122" s="86"/>
      <c r="I1122" s="86"/>
      <c r="J1122" s="86"/>
      <c r="K1122" s="84"/>
      <c r="L1122" s="84"/>
      <c r="M1122" s="84"/>
      <c r="N1122" s="84" t="str">
        <f>IFERROR(__xludf.DUMMYFUNCTION("IFERROR(AVERAGE(query(INDIRECT(""'FR Table'!"" &amp; vlookup(rows($A$1:$A1121),Reference!$O:$P,2,false) &amp; ""3:"" &amp; vlookup(rows($A$1:$A1121),Reference!$O:$P,2,false)), 
""SELECT "" &amp; vlookup(rows($A$1:$A1121),Reference!$O:$P,2,false) 
&amp; "" WHERE "" &amp; vlookup("&amp;"rows($A$1:$A1121),Reference!$O:$P,2,false) &amp;
"" &gt;= "" &amp; Reference!$R$2)) * M1122,"""")"),"")</f>
        <v/>
      </c>
      <c r="O1122" s="84" t="str">
        <f t="shared" si="2"/>
        <v/>
      </c>
    </row>
    <row r="1123">
      <c r="A1123" s="84"/>
      <c r="B1123" s="84"/>
      <c r="C1123" s="85"/>
      <c r="D1123" s="86"/>
      <c r="E1123" s="87"/>
      <c r="F1123" s="86"/>
      <c r="G1123" s="87"/>
      <c r="H1123" s="86"/>
      <c r="I1123" s="86"/>
      <c r="J1123" s="86"/>
      <c r="K1123" s="84"/>
      <c r="L1123" s="84"/>
      <c r="M1123" s="84"/>
      <c r="N1123" s="84" t="str">
        <f>IFERROR(__xludf.DUMMYFUNCTION("IFERROR(AVERAGE(query(INDIRECT(""'FR Table'!"" &amp; vlookup(rows($A$1:$A1122),Reference!$O:$P,2,false) &amp; ""3:"" &amp; vlookup(rows($A$1:$A1122),Reference!$O:$P,2,false)), 
""SELECT "" &amp; vlookup(rows($A$1:$A1122),Reference!$O:$P,2,false) 
&amp; "" WHERE "" &amp; vlookup("&amp;"rows($A$1:$A1122),Reference!$O:$P,2,false) &amp;
"" &gt;= "" &amp; Reference!$R$2)) * M1123,"""")"),"")</f>
        <v/>
      </c>
      <c r="O1123" s="84" t="str">
        <f t="shared" si="2"/>
        <v/>
      </c>
    </row>
    <row r="1124">
      <c r="A1124" s="84"/>
      <c r="B1124" s="84"/>
      <c r="C1124" s="85"/>
      <c r="D1124" s="86"/>
      <c r="E1124" s="87"/>
      <c r="F1124" s="86"/>
      <c r="G1124" s="87"/>
      <c r="H1124" s="86"/>
      <c r="I1124" s="86"/>
      <c r="J1124" s="86"/>
      <c r="K1124" s="84"/>
      <c r="L1124" s="84"/>
      <c r="M1124" s="84"/>
      <c r="N1124" s="84" t="str">
        <f>IFERROR(__xludf.DUMMYFUNCTION("IFERROR(AVERAGE(query(INDIRECT(""'FR Table'!"" &amp; vlookup(rows($A$1:$A1123),Reference!$O:$P,2,false) &amp; ""3:"" &amp; vlookup(rows($A$1:$A1123),Reference!$O:$P,2,false)), 
""SELECT "" &amp; vlookup(rows($A$1:$A1123),Reference!$O:$P,2,false) 
&amp; "" WHERE "" &amp; vlookup("&amp;"rows($A$1:$A1123),Reference!$O:$P,2,false) &amp;
"" &gt;= "" &amp; Reference!$R$2)) * M1124,"""")"),"")</f>
        <v/>
      </c>
      <c r="O1124" s="84" t="str">
        <f t="shared" si="2"/>
        <v/>
      </c>
    </row>
    <row r="1125">
      <c r="A1125" s="84"/>
      <c r="B1125" s="84"/>
      <c r="C1125" s="85"/>
      <c r="D1125" s="86"/>
      <c r="E1125" s="87"/>
      <c r="F1125" s="86"/>
      <c r="G1125" s="87"/>
      <c r="H1125" s="86"/>
      <c r="I1125" s="86"/>
      <c r="J1125" s="86"/>
      <c r="K1125" s="84"/>
      <c r="L1125" s="84"/>
      <c r="M1125" s="84"/>
      <c r="N1125" s="84" t="str">
        <f>IFERROR(__xludf.DUMMYFUNCTION("IFERROR(AVERAGE(query(INDIRECT(""'FR Table'!"" &amp; vlookup(rows($A$1:$A1124),Reference!$O:$P,2,false) &amp; ""3:"" &amp; vlookup(rows($A$1:$A1124),Reference!$O:$P,2,false)), 
""SELECT "" &amp; vlookup(rows($A$1:$A1124),Reference!$O:$P,2,false) 
&amp; "" WHERE "" &amp; vlookup("&amp;"rows($A$1:$A1124),Reference!$O:$P,2,false) &amp;
"" &gt;= "" &amp; Reference!$R$2)) * M1125,"""")"),"")</f>
        <v/>
      </c>
      <c r="O1125" s="84" t="str">
        <f t="shared" si="2"/>
        <v/>
      </c>
    </row>
    <row r="1126">
      <c r="A1126" s="84"/>
      <c r="B1126" s="84"/>
      <c r="C1126" s="85"/>
      <c r="D1126" s="86"/>
      <c r="E1126" s="87"/>
      <c r="F1126" s="86"/>
      <c r="G1126" s="87"/>
      <c r="H1126" s="86"/>
      <c r="I1126" s="86"/>
      <c r="J1126" s="86"/>
      <c r="K1126" s="84"/>
      <c r="L1126" s="84"/>
      <c r="M1126" s="84"/>
      <c r="N1126" s="84" t="str">
        <f>IFERROR(__xludf.DUMMYFUNCTION("IFERROR(AVERAGE(query(INDIRECT(""'FR Table'!"" &amp; vlookup(rows($A$1:$A1125),Reference!$O:$P,2,false) &amp; ""3:"" &amp; vlookup(rows($A$1:$A1125),Reference!$O:$P,2,false)), 
""SELECT "" &amp; vlookup(rows($A$1:$A1125),Reference!$O:$P,2,false) 
&amp; "" WHERE "" &amp; vlookup("&amp;"rows($A$1:$A1125),Reference!$O:$P,2,false) &amp;
"" &gt;= "" &amp; Reference!$R$2)) * M1126,"""")"),"")</f>
        <v/>
      </c>
      <c r="O1126" s="84" t="str">
        <f t="shared" si="2"/>
        <v/>
      </c>
    </row>
    <row r="1127">
      <c r="A1127" s="84"/>
      <c r="B1127" s="84"/>
      <c r="C1127" s="85"/>
      <c r="D1127" s="86"/>
      <c r="E1127" s="87"/>
      <c r="F1127" s="86"/>
      <c r="G1127" s="87"/>
      <c r="H1127" s="86"/>
      <c r="I1127" s="86"/>
      <c r="J1127" s="86"/>
      <c r="K1127" s="84"/>
      <c r="L1127" s="84"/>
      <c r="M1127" s="84"/>
      <c r="N1127" s="84" t="str">
        <f>IFERROR(__xludf.DUMMYFUNCTION("IFERROR(AVERAGE(query(INDIRECT(""'FR Table'!"" &amp; vlookup(rows($A$1:$A1126),Reference!$O:$P,2,false) &amp; ""3:"" &amp; vlookup(rows($A$1:$A1126),Reference!$O:$P,2,false)), 
""SELECT "" &amp; vlookup(rows($A$1:$A1126),Reference!$O:$P,2,false) 
&amp; "" WHERE "" &amp; vlookup("&amp;"rows($A$1:$A1126),Reference!$O:$P,2,false) &amp;
"" &gt;= "" &amp; Reference!$R$2)) * M1127,"""")"),"")</f>
        <v/>
      </c>
      <c r="O1127" s="84" t="str">
        <f t="shared" si="2"/>
        <v/>
      </c>
    </row>
    <row r="1128">
      <c r="A1128" s="84"/>
      <c r="B1128" s="84"/>
      <c r="C1128" s="85"/>
      <c r="D1128" s="86"/>
      <c r="E1128" s="87"/>
      <c r="F1128" s="86"/>
      <c r="G1128" s="87"/>
      <c r="H1128" s="86"/>
      <c r="I1128" s="86"/>
      <c r="J1128" s="86"/>
      <c r="K1128" s="84"/>
      <c r="L1128" s="84"/>
      <c r="M1128" s="84"/>
      <c r="N1128" s="84" t="str">
        <f>IFERROR(__xludf.DUMMYFUNCTION("IFERROR(AVERAGE(query(INDIRECT(""'FR Table'!"" &amp; vlookup(rows($A$1:$A1127),Reference!$O:$P,2,false) &amp; ""3:"" &amp; vlookup(rows($A$1:$A1127),Reference!$O:$P,2,false)), 
""SELECT "" &amp; vlookup(rows($A$1:$A1127),Reference!$O:$P,2,false) 
&amp; "" WHERE "" &amp; vlookup("&amp;"rows($A$1:$A1127),Reference!$O:$P,2,false) &amp;
"" &gt;= "" &amp; Reference!$R$2)) * M1128,"""")"),"")</f>
        <v/>
      </c>
      <c r="O1128" s="84" t="str">
        <f t="shared" si="2"/>
        <v/>
      </c>
    </row>
    <row r="1129">
      <c r="A1129" s="84"/>
      <c r="B1129" s="84"/>
      <c r="C1129" s="85"/>
      <c r="D1129" s="86"/>
      <c r="E1129" s="87"/>
      <c r="F1129" s="86"/>
      <c r="G1129" s="87"/>
      <c r="H1129" s="86"/>
      <c r="I1129" s="86"/>
      <c r="J1129" s="86"/>
      <c r="K1129" s="84"/>
      <c r="L1129" s="84"/>
      <c r="M1129" s="84"/>
      <c r="N1129" s="84" t="str">
        <f>IFERROR(__xludf.DUMMYFUNCTION("IFERROR(AVERAGE(query(INDIRECT(""'FR Table'!"" &amp; vlookup(rows($A$1:$A1128),Reference!$O:$P,2,false) &amp; ""3:"" &amp; vlookup(rows($A$1:$A1128),Reference!$O:$P,2,false)), 
""SELECT "" &amp; vlookup(rows($A$1:$A1128),Reference!$O:$P,2,false) 
&amp; "" WHERE "" &amp; vlookup("&amp;"rows($A$1:$A1128),Reference!$O:$P,2,false) &amp;
"" &gt;= "" &amp; Reference!$R$2)) * M1129,"""")"),"")</f>
        <v/>
      </c>
      <c r="O1129" s="84" t="str">
        <f t="shared" si="2"/>
        <v/>
      </c>
    </row>
    <row r="1130">
      <c r="A1130" s="84"/>
      <c r="B1130" s="84"/>
      <c r="C1130" s="85"/>
      <c r="D1130" s="86"/>
      <c r="E1130" s="87"/>
      <c r="F1130" s="86"/>
      <c r="G1130" s="87"/>
      <c r="H1130" s="86"/>
      <c r="I1130" s="86"/>
      <c r="J1130" s="86"/>
      <c r="K1130" s="84"/>
      <c r="L1130" s="84"/>
      <c r="M1130" s="84"/>
      <c r="N1130" s="84" t="str">
        <f>IFERROR(__xludf.DUMMYFUNCTION("IFERROR(AVERAGE(query(INDIRECT(""'FR Table'!"" &amp; vlookup(rows($A$1:$A1129),Reference!$O:$P,2,false) &amp; ""3:"" &amp; vlookup(rows($A$1:$A1129),Reference!$O:$P,2,false)), 
""SELECT "" &amp; vlookup(rows($A$1:$A1129),Reference!$O:$P,2,false) 
&amp; "" WHERE "" &amp; vlookup("&amp;"rows($A$1:$A1129),Reference!$O:$P,2,false) &amp;
"" &gt;= "" &amp; Reference!$R$2)) * M1130,"""")"),"")</f>
        <v/>
      </c>
      <c r="O1130" s="84" t="str">
        <f t="shared" si="2"/>
        <v/>
      </c>
    </row>
    <row r="1131">
      <c r="A1131" s="84"/>
      <c r="B1131" s="84"/>
      <c r="C1131" s="85"/>
      <c r="D1131" s="86"/>
      <c r="E1131" s="87"/>
      <c r="F1131" s="86"/>
      <c r="G1131" s="87"/>
      <c r="H1131" s="86"/>
      <c r="I1131" s="86"/>
      <c r="J1131" s="86"/>
      <c r="K1131" s="84"/>
      <c r="L1131" s="84"/>
      <c r="M1131" s="84"/>
      <c r="N1131" s="84" t="str">
        <f>IFERROR(__xludf.DUMMYFUNCTION("IFERROR(AVERAGE(query(INDIRECT(""'FR Table'!"" &amp; vlookup(rows($A$1:$A1130),Reference!$O:$P,2,false) &amp; ""3:"" &amp; vlookup(rows($A$1:$A1130),Reference!$O:$P,2,false)), 
""SELECT "" &amp; vlookup(rows($A$1:$A1130),Reference!$O:$P,2,false) 
&amp; "" WHERE "" &amp; vlookup("&amp;"rows($A$1:$A1130),Reference!$O:$P,2,false) &amp;
"" &gt;= "" &amp; Reference!$R$2)) * M1131,"""")"),"")</f>
        <v/>
      </c>
      <c r="O1131" s="84" t="str">
        <f t="shared" si="2"/>
        <v/>
      </c>
    </row>
    <row r="1132">
      <c r="A1132" s="84"/>
      <c r="B1132" s="84"/>
      <c r="C1132" s="85"/>
      <c r="D1132" s="86"/>
      <c r="E1132" s="87"/>
      <c r="F1132" s="86"/>
      <c r="G1132" s="87"/>
      <c r="H1132" s="86"/>
      <c r="I1132" s="86"/>
      <c r="J1132" s="86"/>
      <c r="K1132" s="84"/>
      <c r="L1132" s="84"/>
      <c r="M1132" s="84"/>
      <c r="N1132" s="84" t="str">
        <f>IFERROR(__xludf.DUMMYFUNCTION("IFERROR(AVERAGE(query(INDIRECT(""'FR Table'!"" &amp; vlookup(rows($A$1:$A1131),Reference!$O:$P,2,false) &amp; ""3:"" &amp; vlookup(rows($A$1:$A1131),Reference!$O:$P,2,false)), 
""SELECT "" &amp; vlookup(rows($A$1:$A1131),Reference!$O:$P,2,false) 
&amp; "" WHERE "" &amp; vlookup("&amp;"rows($A$1:$A1131),Reference!$O:$P,2,false) &amp;
"" &gt;= "" &amp; Reference!$R$2)) * M1132,"""")"),"")</f>
        <v/>
      </c>
      <c r="O1132" s="84" t="str">
        <f t="shared" si="2"/>
        <v/>
      </c>
    </row>
    <row r="1133">
      <c r="A1133" s="84"/>
      <c r="B1133" s="84"/>
      <c r="C1133" s="85"/>
      <c r="D1133" s="86"/>
      <c r="E1133" s="87"/>
      <c r="F1133" s="86"/>
      <c r="G1133" s="87"/>
      <c r="H1133" s="86"/>
      <c r="I1133" s="86"/>
      <c r="J1133" s="86"/>
      <c r="K1133" s="84"/>
      <c r="L1133" s="84"/>
      <c r="M1133" s="84"/>
      <c r="N1133" s="84" t="str">
        <f>IFERROR(__xludf.DUMMYFUNCTION("IFERROR(AVERAGE(query(INDIRECT(""'FR Table'!"" &amp; vlookup(rows($A$1:$A1132),Reference!$O:$P,2,false) &amp; ""3:"" &amp; vlookup(rows($A$1:$A1132),Reference!$O:$P,2,false)), 
""SELECT "" &amp; vlookup(rows($A$1:$A1132),Reference!$O:$P,2,false) 
&amp; "" WHERE "" &amp; vlookup("&amp;"rows($A$1:$A1132),Reference!$O:$P,2,false) &amp;
"" &gt;= "" &amp; Reference!$R$2)) * M1133,"""")"),"")</f>
        <v/>
      </c>
      <c r="O1133" s="84" t="str">
        <f t="shared" si="2"/>
        <v/>
      </c>
    </row>
    <row r="1134">
      <c r="A1134" s="84"/>
      <c r="B1134" s="84"/>
      <c r="C1134" s="85"/>
      <c r="D1134" s="86"/>
      <c r="E1134" s="87"/>
      <c r="F1134" s="86"/>
      <c r="G1134" s="87"/>
      <c r="H1134" s="86"/>
      <c r="I1134" s="86"/>
      <c r="J1134" s="86"/>
      <c r="K1134" s="84"/>
      <c r="L1134" s="84"/>
      <c r="M1134" s="84"/>
      <c r="N1134" s="84" t="str">
        <f>IFERROR(__xludf.DUMMYFUNCTION("IFERROR(AVERAGE(query(INDIRECT(""'FR Table'!"" &amp; vlookup(rows($A$1:$A1133),Reference!$O:$P,2,false) &amp; ""3:"" &amp; vlookup(rows($A$1:$A1133),Reference!$O:$P,2,false)), 
""SELECT "" &amp; vlookup(rows($A$1:$A1133),Reference!$O:$P,2,false) 
&amp; "" WHERE "" &amp; vlookup("&amp;"rows($A$1:$A1133),Reference!$O:$P,2,false) &amp;
"" &gt;= "" &amp; Reference!$R$2)) * M1134,"""")"),"")</f>
        <v/>
      </c>
      <c r="O1134" s="84" t="str">
        <f t="shared" si="2"/>
        <v/>
      </c>
    </row>
    <row r="1135">
      <c r="A1135" s="84"/>
      <c r="B1135" s="84"/>
      <c r="C1135" s="85"/>
      <c r="D1135" s="86"/>
      <c r="E1135" s="87"/>
      <c r="F1135" s="86"/>
      <c r="G1135" s="87"/>
      <c r="H1135" s="86"/>
      <c r="I1135" s="86"/>
      <c r="J1135" s="86"/>
      <c r="K1135" s="84"/>
      <c r="L1135" s="84"/>
      <c r="M1135" s="84"/>
      <c r="N1135" s="84" t="str">
        <f>IFERROR(__xludf.DUMMYFUNCTION("IFERROR(AVERAGE(query(INDIRECT(""'FR Table'!"" &amp; vlookup(rows($A$1:$A1134),Reference!$O:$P,2,false) &amp; ""3:"" &amp; vlookup(rows($A$1:$A1134),Reference!$O:$P,2,false)), 
""SELECT "" &amp; vlookup(rows($A$1:$A1134),Reference!$O:$P,2,false) 
&amp; "" WHERE "" &amp; vlookup("&amp;"rows($A$1:$A1134),Reference!$O:$P,2,false) &amp;
"" &gt;= "" &amp; Reference!$R$2)) * M1135,"""")"),"")</f>
        <v/>
      </c>
      <c r="O1135" s="84" t="str">
        <f t="shared" si="2"/>
        <v/>
      </c>
    </row>
    <row r="1136">
      <c r="A1136" s="84"/>
      <c r="B1136" s="84"/>
      <c r="C1136" s="85"/>
      <c r="D1136" s="86"/>
      <c r="E1136" s="87"/>
      <c r="F1136" s="86"/>
      <c r="G1136" s="87"/>
      <c r="H1136" s="86"/>
      <c r="I1136" s="86"/>
      <c r="J1136" s="86"/>
      <c r="K1136" s="84"/>
      <c r="L1136" s="84"/>
      <c r="M1136" s="84"/>
      <c r="N1136" s="84" t="str">
        <f>IFERROR(__xludf.DUMMYFUNCTION("IFERROR(AVERAGE(query(INDIRECT(""'FR Table'!"" &amp; vlookup(rows($A$1:$A1135),Reference!$O:$P,2,false) &amp; ""3:"" &amp; vlookup(rows($A$1:$A1135),Reference!$O:$P,2,false)), 
""SELECT "" &amp; vlookup(rows($A$1:$A1135),Reference!$O:$P,2,false) 
&amp; "" WHERE "" &amp; vlookup("&amp;"rows($A$1:$A1135),Reference!$O:$P,2,false) &amp;
"" &gt;= "" &amp; Reference!$R$2)) * M1136,"""")"),"")</f>
        <v/>
      </c>
      <c r="O1136" s="84" t="str">
        <f t="shared" si="2"/>
        <v/>
      </c>
    </row>
    <row r="1137">
      <c r="A1137" s="84"/>
      <c r="B1137" s="84"/>
      <c r="C1137" s="85"/>
      <c r="D1137" s="86"/>
      <c r="E1137" s="87"/>
      <c r="F1137" s="86"/>
      <c r="G1137" s="87"/>
      <c r="H1137" s="86"/>
      <c r="I1137" s="86"/>
      <c r="J1137" s="86"/>
      <c r="K1137" s="84"/>
      <c r="L1137" s="84"/>
      <c r="M1137" s="84"/>
      <c r="N1137" s="84" t="str">
        <f>IFERROR(__xludf.DUMMYFUNCTION("IFERROR(AVERAGE(query(INDIRECT(""'FR Table'!"" &amp; vlookup(rows($A$1:$A1136),Reference!$O:$P,2,false) &amp; ""3:"" &amp; vlookup(rows($A$1:$A1136),Reference!$O:$P,2,false)), 
""SELECT "" &amp; vlookup(rows($A$1:$A1136),Reference!$O:$P,2,false) 
&amp; "" WHERE "" &amp; vlookup("&amp;"rows($A$1:$A1136),Reference!$O:$P,2,false) &amp;
"" &gt;= "" &amp; Reference!$R$2)) * M1137,"""")"),"")</f>
        <v/>
      </c>
      <c r="O1137" s="84" t="str">
        <f t="shared" si="2"/>
        <v/>
      </c>
    </row>
    <row r="1138">
      <c r="A1138" s="84"/>
      <c r="B1138" s="84"/>
      <c r="C1138" s="85"/>
      <c r="D1138" s="86"/>
      <c r="E1138" s="87"/>
      <c r="F1138" s="86"/>
      <c r="G1138" s="87"/>
      <c r="H1138" s="86"/>
      <c r="I1138" s="86"/>
      <c r="J1138" s="86"/>
      <c r="K1138" s="84"/>
      <c r="L1138" s="84"/>
      <c r="M1138" s="84"/>
      <c r="N1138" s="84" t="str">
        <f>IFERROR(__xludf.DUMMYFUNCTION("IFERROR(AVERAGE(query(INDIRECT(""'FR Table'!"" &amp; vlookup(rows($A$1:$A1137),Reference!$O:$P,2,false) &amp; ""3:"" &amp; vlookup(rows($A$1:$A1137),Reference!$O:$P,2,false)), 
""SELECT "" &amp; vlookup(rows($A$1:$A1137),Reference!$O:$P,2,false) 
&amp; "" WHERE "" &amp; vlookup("&amp;"rows($A$1:$A1137),Reference!$O:$P,2,false) &amp;
"" &gt;= "" &amp; Reference!$R$2)) * M1138,"""")"),"")</f>
        <v/>
      </c>
      <c r="O1138" s="84" t="str">
        <f t="shared" si="2"/>
        <v/>
      </c>
    </row>
    <row r="1139">
      <c r="A1139" s="84"/>
      <c r="B1139" s="84"/>
      <c r="C1139" s="85"/>
      <c r="D1139" s="86"/>
      <c r="E1139" s="87"/>
      <c r="F1139" s="86"/>
      <c r="G1139" s="87"/>
      <c r="H1139" s="86"/>
      <c r="I1139" s="86"/>
      <c r="J1139" s="86"/>
      <c r="K1139" s="84"/>
      <c r="L1139" s="84"/>
      <c r="M1139" s="84"/>
      <c r="N1139" s="84" t="str">
        <f>IFERROR(__xludf.DUMMYFUNCTION("IFERROR(AVERAGE(query(INDIRECT(""'FR Table'!"" &amp; vlookup(rows($A$1:$A1138),Reference!$O:$P,2,false) &amp; ""3:"" &amp; vlookup(rows($A$1:$A1138),Reference!$O:$P,2,false)), 
""SELECT "" &amp; vlookup(rows($A$1:$A1138),Reference!$O:$P,2,false) 
&amp; "" WHERE "" &amp; vlookup("&amp;"rows($A$1:$A1138),Reference!$O:$P,2,false) &amp;
"" &gt;= "" &amp; Reference!$R$2)) * M1139,"""")"),"")</f>
        <v/>
      </c>
      <c r="O1139" s="84" t="str">
        <f t="shared" si="2"/>
        <v/>
      </c>
    </row>
    <row r="1140">
      <c r="A1140" s="84"/>
      <c r="B1140" s="84"/>
      <c r="C1140" s="85"/>
      <c r="D1140" s="86"/>
      <c r="E1140" s="87"/>
      <c r="F1140" s="86"/>
      <c r="G1140" s="87"/>
      <c r="H1140" s="86"/>
      <c r="I1140" s="86"/>
      <c r="J1140" s="86"/>
      <c r="K1140" s="84"/>
      <c r="L1140" s="84"/>
      <c r="M1140" s="84"/>
      <c r="N1140" s="84" t="str">
        <f>IFERROR(__xludf.DUMMYFUNCTION("IFERROR(AVERAGE(query(INDIRECT(""'FR Table'!"" &amp; vlookup(rows($A$1:$A1139),Reference!$O:$P,2,false) &amp; ""3:"" &amp; vlookup(rows($A$1:$A1139),Reference!$O:$P,2,false)), 
""SELECT "" &amp; vlookup(rows($A$1:$A1139),Reference!$O:$P,2,false) 
&amp; "" WHERE "" &amp; vlookup("&amp;"rows($A$1:$A1139),Reference!$O:$P,2,false) &amp;
"" &gt;= "" &amp; Reference!$R$2)) * M1140,"""")"),"")</f>
        <v/>
      </c>
      <c r="O1140" s="84" t="str">
        <f t="shared" si="2"/>
        <v/>
      </c>
    </row>
    <row r="1141">
      <c r="A1141" s="84"/>
      <c r="B1141" s="84"/>
      <c r="C1141" s="85"/>
      <c r="D1141" s="86"/>
      <c r="E1141" s="87"/>
      <c r="F1141" s="86"/>
      <c r="G1141" s="87"/>
      <c r="H1141" s="86"/>
      <c r="I1141" s="86"/>
      <c r="J1141" s="86"/>
      <c r="K1141" s="84"/>
      <c r="L1141" s="84"/>
      <c r="M1141" s="84"/>
      <c r="N1141" s="84" t="str">
        <f>IFERROR(__xludf.DUMMYFUNCTION("IFERROR(AVERAGE(query(INDIRECT(""'FR Table'!"" &amp; vlookup(rows($A$1:$A1140),Reference!$O:$P,2,false) &amp; ""3:"" &amp; vlookup(rows($A$1:$A1140),Reference!$O:$P,2,false)), 
""SELECT "" &amp; vlookup(rows($A$1:$A1140),Reference!$O:$P,2,false) 
&amp; "" WHERE "" &amp; vlookup("&amp;"rows($A$1:$A1140),Reference!$O:$P,2,false) &amp;
"" &gt;= "" &amp; Reference!$R$2)) * M1141,"""")"),"")</f>
        <v/>
      </c>
      <c r="O1141" s="84" t="str">
        <f t="shared" si="2"/>
        <v/>
      </c>
    </row>
    <row r="1142">
      <c r="A1142" s="84"/>
      <c r="B1142" s="84"/>
      <c r="C1142" s="85"/>
      <c r="D1142" s="86"/>
      <c r="E1142" s="87"/>
      <c r="F1142" s="86"/>
      <c r="G1142" s="87"/>
      <c r="H1142" s="86"/>
      <c r="I1142" s="86"/>
      <c r="J1142" s="86"/>
      <c r="K1142" s="84"/>
      <c r="L1142" s="84"/>
      <c r="M1142" s="84"/>
      <c r="N1142" s="84" t="str">
        <f>IFERROR(__xludf.DUMMYFUNCTION("IFERROR(AVERAGE(query(INDIRECT(""'FR Table'!"" &amp; vlookup(rows($A$1:$A1141),Reference!$O:$P,2,false) &amp; ""3:"" &amp; vlookup(rows($A$1:$A1141),Reference!$O:$P,2,false)), 
""SELECT "" &amp; vlookup(rows($A$1:$A1141),Reference!$O:$P,2,false) 
&amp; "" WHERE "" &amp; vlookup("&amp;"rows($A$1:$A1141),Reference!$O:$P,2,false) &amp;
"" &gt;= "" &amp; Reference!$R$2)) * M1142,"""")"),"")</f>
        <v/>
      </c>
      <c r="O1142" s="84" t="str">
        <f t="shared" si="2"/>
        <v/>
      </c>
    </row>
    <row r="1143">
      <c r="A1143" s="84"/>
      <c r="B1143" s="84"/>
      <c r="C1143" s="85"/>
      <c r="D1143" s="86"/>
      <c r="E1143" s="87"/>
      <c r="F1143" s="86"/>
      <c r="G1143" s="87"/>
      <c r="H1143" s="86"/>
      <c r="I1143" s="86"/>
      <c r="J1143" s="86"/>
      <c r="K1143" s="84"/>
      <c r="L1143" s="84"/>
      <c r="M1143" s="84"/>
      <c r="N1143" s="84" t="str">
        <f>IFERROR(__xludf.DUMMYFUNCTION("IFERROR(AVERAGE(query(INDIRECT(""'FR Table'!"" &amp; vlookup(rows($A$1:$A1142),Reference!$O:$P,2,false) &amp; ""3:"" &amp; vlookup(rows($A$1:$A1142),Reference!$O:$P,2,false)), 
""SELECT "" &amp; vlookup(rows($A$1:$A1142),Reference!$O:$P,2,false) 
&amp; "" WHERE "" &amp; vlookup("&amp;"rows($A$1:$A1142),Reference!$O:$P,2,false) &amp;
"" &gt;= "" &amp; Reference!$R$2)) * M1143,"""")"),"")</f>
        <v/>
      </c>
      <c r="O1143" s="84" t="str">
        <f t="shared" si="2"/>
        <v/>
      </c>
    </row>
    <row r="1144">
      <c r="A1144" s="84"/>
      <c r="B1144" s="84"/>
      <c r="C1144" s="85"/>
      <c r="D1144" s="86"/>
      <c r="E1144" s="87"/>
      <c r="F1144" s="86"/>
      <c r="G1144" s="87"/>
      <c r="H1144" s="86"/>
      <c r="I1144" s="86"/>
      <c r="J1144" s="86"/>
      <c r="K1144" s="84"/>
      <c r="L1144" s="84"/>
      <c r="M1144" s="84"/>
      <c r="N1144" s="84" t="str">
        <f>IFERROR(__xludf.DUMMYFUNCTION("IFERROR(AVERAGE(query(INDIRECT(""'FR Table'!"" &amp; vlookup(rows($A$1:$A1143),Reference!$O:$P,2,false) &amp; ""3:"" &amp; vlookup(rows($A$1:$A1143),Reference!$O:$P,2,false)), 
""SELECT "" &amp; vlookup(rows($A$1:$A1143),Reference!$O:$P,2,false) 
&amp; "" WHERE "" &amp; vlookup("&amp;"rows($A$1:$A1143),Reference!$O:$P,2,false) &amp;
"" &gt;= "" &amp; Reference!$R$2)) * M1144,"""")"),"")</f>
        <v/>
      </c>
      <c r="O1144" s="84" t="str">
        <f t="shared" si="2"/>
        <v/>
      </c>
    </row>
    <row r="1145">
      <c r="A1145" s="84"/>
      <c r="B1145" s="84"/>
      <c r="C1145" s="85"/>
      <c r="D1145" s="86"/>
      <c r="E1145" s="87"/>
      <c r="F1145" s="86"/>
      <c r="G1145" s="87"/>
      <c r="H1145" s="86"/>
      <c r="I1145" s="86"/>
      <c r="J1145" s="86"/>
      <c r="K1145" s="84"/>
      <c r="L1145" s="84"/>
      <c r="M1145" s="84"/>
      <c r="N1145" s="84" t="str">
        <f>IFERROR(__xludf.DUMMYFUNCTION("IFERROR(AVERAGE(query(INDIRECT(""'FR Table'!"" &amp; vlookup(rows($A$1:$A1144),Reference!$O:$P,2,false) &amp; ""3:"" &amp; vlookup(rows($A$1:$A1144),Reference!$O:$P,2,false)), 
""SELECT "" &amp; vlookup(rows($A$1:$A1144),Reference!$O:$P,2,false) 
&amp; "" WHERE "" &amp; vlookup("&amp;"rows($A$1:$A1144),Reference!$O:$P,2,false) &amp;
"" &gt;= "" &amp; Reference!$R$2)) * M1145,"""")"),"")</f>
        <v/>
      </c>
      <c r="O1145" s="84" t="str">
        <f t="shared" si="2"/>
        <v/>
      </c>
    </row>
    <row r="1146">
      <c r="A1146" s="84"/>
      <c r="B1146" s="84"/>
      <c r="C1146" s="85"/>
      <c r="D1146" s="86"/>
      <c r="E1146" s="87"/>
      <c r="F1146" s="86"/>
      <c r="G1146" s="87"/>
      <c r="H1146" s="86"/>
      <c r="I1146" s="86"/>
      <c r="J1146" s="86"/>
      <c r="K1146" s="84"/>
      <c r="L1146" s="84"/>
      <c r="M1146" s="84"/>
      <c r="N1146" s="84" t="str">
        <f>IFERROR(__xludf.DUMMYFUNCTION("IFERROR(AVERAGE(query(INDIRECT(""'FR Table'!"" &amp; vlookup(rows($A$1:$A1145),Reference!$O:$P,2,false) &amp; ""3:"" &amp; vlookup(rows($A$1:$A1145),Reference!$O:$P,2,false)), 
""SELECT "" &amp; vlookup(rows($A$1:$A1145),Reference!$O:$P,2,false) 
&amp; "" WHERE "" &amp; vlookup("&amp;"rows($A$1:$A1145),Reference!$O:$P,2,false) &amp;
"" &gt;= "" &amp; Reference!$R$2)) * M1146,"""")"),"")</f>
        <v/>
      </c>
      <c r="O1146" s="84" t="str">
        <f t="shared" si="2"/>
        <v/>
      </c>
    </row>
    <row r="1147">
      <c r="A1147" s="84"/>
      <c r="B1147" s="84"/>
      <c r="C1147" s="85"/>
      <c r="D1147" s="86"/>
      <c r="E1147" s="87"/>
      <c r="F1147" s="86"/>
      <c r="G1147" s="87"/>
      <c r="H1147" s="86"/>
      <c r="I1147" s="86"/>
      <c r="J1147" s="86"/>
      <c r="K1147" s="84"/>
      <c r="L1147" s="84"/>
      <c r="M1147" s="84"/>
      <c r="N1147" s="84" t="str">
        <f>IFERROR(__xludf.DUMMYFUNCTION("IFERROR(AVERAGE(query(INDIRECT(""'FR Table'!"" &amp; vlookup(rows($A$1:$A1146),Reference!$O:$P,2,false) &amp; ""3:"" &amp; vlookup(rows($A$1:$A1146),Reference!$O:$P,2,false)), 
""SELECT "" &amp; vlookup(rows($A$1:$A1146),Reference!$O:$P,2,false) 
&amp; "" WHERE "" &amp; vlookup("&amp;"rows($A$1:$A1146),Reference!$O:$P,2,false) &amp;
"" &gt;= "" &amp; Reference!$R$2)) * M1147,"""")"),"")</f>
        <v/>
      </c>
      <c r="O1147" s="84" t="str">
        <f t="shared" si="2"/>
        <v/>
      </c>
    </row>
    <row r="1148">
      <c r="A1148" s="84"/>
      <c r="B1148" s="84"/>
      <c r="C1148" s="85"/>
      <c r="D1148" s="86"/>
      <c r="E1148" s="87"/>
      <c r="F1148" s="86"/>
      <c r="G1148" s="87"/>
      <c r="H1148" s="86"/>
      <c r="I1148" s="86"/>
      <c r="J1148" s="86"/>
      <c r="K1148" s="84"/>
      <c r="L1148" s="84"/>
      <c r="M1148" s="84"/>
      <c r="N1148" s="84" t="str">
        <f>IFERROR(__xludf.DUMMYFUNCTION("IFERROR(AVERAGE(query(INDIRECT(""'FR Table'!"" &amp; vlookup(rows($A$1:$A1147),Reference!$O:$P,2,false) &amp; ""3:"" &amp; vlookup(rows($A$1:$A1147),Reference!$O:$P,2,false)), 
""SELECT "" &amp; vlookup(rows($A$1:$A1147),Reference!$O:$P,2,false) 
&amp; "" WHERE "" &amp; vlookup("&amp;"rows($A$1:$A1147),Reference!$O:$P,2,false) &amp;
"" &gt;= "" &amp; Reference!$R$2)) * M1148,"""")"),"")</f>
        <v/>
      </c>
      <c r="O1148" s="84" t="str">
        <f t="shared" si="2"/>
        <v/>
      </c>
    </row>
    <row r="1149">
      <c r="A1149" s="84"/>
      <c r="B1149" s="84"/>
      <c r="C1149" s="85"/>
      <c r="D1149" s="86"/>
      <c r="E1149" s="87"/>
      <c r="F1149" s="86"/>
      <c r="G1149" s="87"/>
      <c r="H1149" s="86"/>
      <c r="I1149" s="86"/>
      <c r="J1149" s="86"/>
      <c r="K1149" s="84"/>
      <c r="L1149" s="84"/>
      <c r="M1149" s="84"/>
      <c r="N1149" s="84" t="str">
        <f>IFERROR(__xludf.DUMMYFUNCTION("IFERROR(AVERAGE(query(INDIRECT(""'FR Table'!"" &amp; vlookup(rows($A$1:$A1148),Reference!$O:$P,2,false) &amp; ""3:"" &amp; vlookup(rows($A$1:$A1148),Reference!$O:$P,2,false)), 
""SELECT "" &amp; vlookup(rows($A$1:$A1148),Reference!$O:$P,2,false) 
&amp; "" WHERE "" &amp; vlookup("&amp;"rows($A$1:$A1148),Reference!$O:$P,2,false) &amp;
"" &gt;= "" &amp; Reference!$R$2)) * M1149,"""")"),"")</f>
        <v/>
      </c>
      <c r="O1149" s="84" t="str">
        <f t="shared" si="2"/>
        <v/>
      </c>
    </row>
    <row r="1150">
      <c r="A1150" s="84"/>
      <c r="B1150" s="84"/>
      <c r="C1150" s="85"/>
      <c r="D1150" s="86"/>
      <c r="E1150" s="87"/>
      <c r="F1150" s="86"/>
      <c r="G1150" s="87"/>
      <c r="H1150" s="86"/>
      <c r="I1150" s="86"/>
      <c r="J1150" s="86"/>
      <c r="K1150" s="84"/>
      <c r="L1150" s="84"/>
      <c r="M1150" s="84"/>
      <c r="N1150" s="84" t="str">
        <f>IFERROR(__xludf.DUMMYFUNCTION("IFERROR(AVERAGE(query(INDIRECT(""'FR Table'!"" &amp; vlookup(rows($A$1:$A1149),Reference!$O:$P,2,false) &amp; ""3:"" &amp; vlookup(rows($A$1:$A1149),Reference!$O:$P,2,false)), 
""SELECT "" &amp; vlookup(rows($A$1:$A1149),Reference!$O:$P,2,false) 
&amp; "" WHERE "" &amp; vlookup("&amp;"rows($A$1:$A1149),Reference!$O:$P,2,false) &amp;
"" &gt;= "" &amp; Reference!$R$2)) * M1150,"""")"),"")</f>
        <v/>
      </c>
      <c r="O1150" s="84" t="str">
        <f t="shared" si="2"/>
        <v/>
      </c>
    </row>
    <row r="1151">
      <c r="A1151" s="84"/>
      <c r="B1151" s="84"/>
      <c r="C1151" s="85"/>
      <c r="D1151" s="86"/>
      <c r="E1151" s="87"/>
      <c r="F1151" s="86"/>
      <c r="G1151" s="87"/>
      <c r="H1151" s="86"/>
      <c r="I1151" s="86"/>
      <c r="J1151" s="86"/>
      <c r="K1151" s="84"/>
      <c r="L1151" s="84"/>
      <c r="M1151" s="84"/>
      <c r="N1151" s="84" t="str">
        <f>IFERROR(__xludf.DUMMYFUNCTION("IFERROR(AVERAGE(query(INDIRECT(""'FR Table'!"" &amp; vlookup(rows($A$1:$A1150),Reference!$O:$P,2,false) &amp; ""3:"" &amp; vlookup(rows($A$1:$A1150),Reference!$O:$P,2,false)), 
""SELECT "" &amp; vlookup(rows($A$1:$A1150),Reference!$O:$P,2,false) 
&amp; "" WHERE "" &amp; vlookup("&amp;"rows($A$1:$A1150),Reference!$O:$P,2,false) &amp;
"" &gt;= "" &amp; Reference!$R$2)) * M1151,"""")"),"")</f>
        <v/>
      </c>
      <c r="O1151" s="84" t="str">
        <f t="shared" si="2"/>
        <v/>
      </c>
    </row>
    <row r="1152">
      <c r="A1152" s="84"/>
      <c r="B1152" s="84"/>
      <c r="C1152" s="85"/>
      <c r="D1152" s="86"/>
      <c r="E1152" s="87"/>
      <c r="F1152" s="86"/>
      <c r="G1152" s="87"/>
      <c r="H1152" s="86"/>
      <c r="I1152" s="86"/>
      <c r="J1152" s="86"/>
      <c r="K1152" s="84"/>
      <c r="L1152" s="84"/>
      <c r="M1152" s="84"/>
      <c r="N1152" s="84" t="str">
        <f>IFERROR(__xludf.DUMMYFUNCTION("IFERROR(AVERAGE(query(INDIRECT(""'FR Table'!"" &amp; vlookup(rows($A$1:$A1151),Reference!$O:$P,2,false) &amp; ""3:"" &amp; vlookup(rows($A$1:$A1151),Reference!$O:$P,2,false)), 
""SELECT "" &amp; vlookup(rows($A$1:$A1151),Reference!$O:$P,2,false) 
&amp; "" WHERE "" &amp; vlookup("&amp;"rows($A$1:$A1151),Reference!$O:$P,2,false) &amp;
"" &gt;= "" &amp; Reference!$R$2)) * M1152,"""")"),"")</f>
        <v/>
      </c>
      <c r="O1152" s="84" t="str">
        <f t="shared" si="2"/>
        <v/>
      </c>
    </row>
    <row r="1153">
      <c r="A1153" s="84"/>
      <c r="B1153" s="84"/>
      <c r="C1153" s="85"/>
      <c r="D1153" s="86"/>
      <c r="E1153" s="87"/>
      <c r="F1153" s="86"/>
      <c r="G1153" s="87"/>
      <c r="H1153" s="86"/>
      <c r="I1153" s="86"/>
      <c r="J1153" s="86"/>
      <c r="K1153" s="84"/>
      <c r="L1153" s="84"/>
      <c r="M1153" s="84"/>
      <c r="N1153" s="84" t="str">
        <f>IFERROR(__xludf.DUMMYFUNCTION("IFERROR(AVERAGE(query(INDIRECT(""'FR Table'!"" &amp; vlookup(rows($A$1:$A1152),Reference!$O:$P,2,false) &amp; ""3:"" &amp; vlookup(rows($A$1:$A1152),Reference!$O:$P,2,false)), 
""SELECT "" &amp; vlookup(rows($A$1:$A1152),Reference!$O:$P,2,false) 
&amp; "" WHERE "" &amp; vlookup("&amp;"rows($A$1:$A1152),Reference!$O:$P,2,false) &amp;
"" &gt;= "" &amp; Reference!$R$2)) * M1153,"""")"),"")</f>
        <v/>
      </c>
      <c r="O1153" s="84" t="str">
        <f t="shared" si="2"/>
        <v/>
      </c>
    </row>
    <row r="1154">
      <c r="A1154" s="84"/>
      <c r="B1154" s="84"/>
      <c r="C1154" s="85"/>
      <c r="D1154" s="86"/>
      <c r="E1154" s="87"/>
      <c r="F1154" s="86"/>
      <c r="G1154" s="87"/>
      <c r="H1154" s="86"/>
      <c r="I1154" s="86"/>
      <c r="J1154" s="86"/>
      <c r="K1154" s="84"/>
      <c r="L1154" s="84"/>
      <c r="M1154" s="84"/>
      <c r="N1154" s="84" t="str">
        <f>IFERROR(__xludf.DUMMYFUNCTION("IFERROR(AVERAGE(query(INDIRECT(""'FR Table'!"" &amp; vlookup(rows($A$1:$A1153),Reference!$O:$P,2,false) &amp; ""3:"" &amp; vlookup(rows($A$1:$A1153),Reference!$O:$P,2,false)), 
""SELECT "" &amp; vlookup(rows($A$1:$A1153),Reference!$O:$P,2,false) 
&amp; "" WHERE "" &amp; vlookup("&amp;"rows($A$1:$A1153),Reference!$O:$P,2,false) &amp;
"" &gt;= "" &amp; Reference!$R$2)) * M1154,"""")"),"")</f>
        <v/>
      </c>
      <c r="O1154" s="84" t="str">
        <f t="shared" si="2"/>
        <v/>
      </c>
    </row>
    <row r="1155">
      <c r="A1155" s="84"/>
      <c r="B1155" s="84"/>
      <c r="C1155" s="85"/>
      <c r="D1155" s="86"/>
      <c r="E1155" s="87"/>
      <c r="F1155" s="86"/>
      <c r="G1155" s="87"/>
      <c r="H1155" s="86"/>
      <c r="I1155" s="86"/>
      <c r="J1155" s="86"/>
      <c r="K1155" s="84"/>
      <c r="L1155" s="84"/>
      <c r="M1155" s="84"/>
      <c r="N1155" s="84" t="str">
        <f>IFERROR(__xludf.DUMMYFUNCTION("IFERROR(AVERAGE(query(INDIRECT(""'FR Table'!"" &amp; vlookup(rows($A$1:$A1154),Reference!$O:$P,2,false) &amp; ""3:"" &amp; vlookup(rows($A$1:$A1154),Reference!$O:$P,2,false)), 
""SELECT "" &amp; vlookup(rows($A$1:$A1154),Reference!$O:$P,2,false) 
&amp; "" WHERE "" &amp; vlookup("&amp;"rows($A$1:$A1154),Reference!$O:$P,2,false) &amp;
"" &gt;= "" &amp; Reference!$R$2)) * M1155,"""")"),"")</f>
        <v/>
      </c>
      <c r="O1155" s="84" t="str">
        <f t="shared" si="2"/>
        <v/>
      </c>
    </row>
    <row r="1156">
      <c r="A1156" s="84"/>
      <c r="B1156" s="84"/>
      <c r="C1156" s="85"/>
      <c r="D1156" s="86"/>
      <c r="E1156" s="87"/>
      <c r="F1156" s="86"/>
      <c r="G1156" s="87"/>
      <c r="H1156" s="86"/>
      <c r="I1156" s="86"/>
      <c r="J1156" s="86"/>
      <c r="K1156" s="84"/>
      <c r="L1156" s="84"/>
      <c r="M1156" s="84"/>
      <c r="N1156" s="84" t="str">
        <f>IFERROR(__xludf.DUMMYFUNCTION("IFERROR(AVERAGE(query(INDIRECT(""'FR Table'!"" &amp; vlookup(rows($A$1:$A1155),Reference!$O:$P,2,false) &amp; ""3:"" &amp; vlookup(rows($A$1:$A1155),Reference!$O:$P,2,false)), 
""SELECT "" &amp; vlookup(rows($A$1:$A1155),Reference!$O:$P,2,false) 
&amp; "" WHERE "" &amp; vlookup("&amp;"rows($A$1:$A1155),Reference!$O:$P,2,false) &amp;
"" &gt;= "" &amp; Reference!$R$2)) * M1156,"""")"),"")</f>
        <v/>
      </c>
      <c r="O1156" s="84" t="str">
        <f t="shared" si="2"/>
        <v/>
      </c>
    </row>
    <row r="1157">
      <c r="A1157" s="84"/>
      <c r="B1157" s="84"/>
      <c r="C1157" s="85"/>
      <c r="D1157" s="86"/>
      <c r="E1157" s="87"/>
      <c r="F1157" s="86"/>
      <c r="G1157" s="87"/>
      <c r="H1157" s="86"/>
      <c r="I1157" s="86"/>
      <c r="J1157" s="86"/>
      <c r="K1157" s="84"/>
      <c r="L1157" s="84"/>
      <c r="M1157" s="84"/>
      <c r="N1157" s="84" t="str">
        <f>IFERROR(__xludf.DUMMYFUNCTION("IFERROR(AVERAGE(query(INDIRECT(""'FR Table'!"" &amp; vlookup(rows($A$1:$A1156),Reference!$O:$P,2,false) &amp; ""3:"" &amp; vlookup(rows($A$1:$A1156),Reference!$O:$P,2,false)), 
""SELECT "" &amp; vlookup(rows($A$1:$A1156),Reference!$O:$P,2,false) 
&amp; "" WHERE "" &amp; vlookup("&amp;"rows($A$1:$A1156),Reference!$O:$P,2,false) &amp;
"" &gt;= "" &amp; Reference!$R$2)) * M1157,"""")"),"")</f>
        <v/>
      </c>
      <c r="O1157" s="84" t="str">
        <f t="shared" si="2"/>
        <v/>
      </c>
    </row>
    <row r="1158">
      <c r="A1158" s="84"/>
      <c r="B1158" s="84"/>
      <c r="C1158" s="85"/>
      <c r="D1158" s="86"/>
      <c r="E1158" s="87"/>
      <c r="F1158" s="86"/>
      <c r="G1158" s="87"/>
      <c r="H1158" s="86"/>
      <c r="I1158" s="86"/>
      <c r="J1158" s="86"/>
      <c r="K1158" s="84"/>
      <c r="L1158" s="84"/>
      <c r="M1158" s="84"/>
      <c r="N1158" s="84" t="str">
        <f>IFERROR(__xludf.DUMMYFUNCTION("IFERROR(AVERAGE(query(INDIRECT(""'FR Table'!"" &amp; vlookup(rows($A$1:$A1157),Reference!$O:$P,2,false) &amp; ""3:"" &amp; vlookup(rows($A$1:$A1157),Reference!$O:$P,2,false)), 
""SELECT "" &amp; vlookup(rows($A$1:$A1157),Reference!$O:$P,2,false) 
&amp; "" WHERE "" &amp; vlookup("&amp;"rows($A$1:$A1157),Reference!$O:$P,2,false) &amp;
"" &gt;= "" &amp; Reference!$R$2)) * M1158,"""")"),"")</f>
        <v/>
      </c>
      <c r="O1158" s="84" t="str">
        <f t="shared" si="2"/>
        <v/>
      </c>
    </row>
    <row r="1159">
      <c r="A1159" s="84"/>
      <c r="B1159" s="84"/>
      <c r="C1159" s="85"/>
      <c r="D1159" s="86"/>
      <c r="E1159" s="87"/>
      <c r="F1159" s="86"/>
      <c r="G1159" s="87"/>
      <c r="H1159" s="86"/>
      <c r="I1159" s="86"/>
      <c r="J1159" s="86"/>
      <c r="K1159" s="84"/>
      <c r="L1159" s="84"/>
      <c r="M1159" s="84"/>
      <c r="N1159" s="84" t="str">
        <f>IFERROR(__xludf.DUMMYFUNCTION("IFERROR(AVERAGE(query(INDIRECT(""'FR Table'!"" &amp; vlookup(rows($A$1:$A1158),Reference!$O:$P,2,false) &amp; ""3:"" &amp; vlookup(rows($A$1:$A1158),Reference!$O:$P,2,false)), 
""SELECT "" &amp; vlookup(rows($A$1:$A1158),Reference!$O:$P,2,false) 
&amp; "" WHERE "" &amp; vlookup("&amp;"rows($A$1:$A1158),Reference!$O:$P,2,false) &amp;
"" &gt;= "" &amp; Reference!$R$2)) * M1159,"""")"),"")</f>
        <v/>
      </c>
      <c r="O1159" s="84" t="str">
        <f t="shared" si="2"/>
        <v/>
      </c>
    </row>
    <row r="1160">
      <c r="A1160" s="84"/>
      <c r="B1160" s="84"/>
      <c r="C1160" s="85"/>
      <c r="D1160" s="86"/>
      <c r="E1160" s="87"/>
      <c r="F1160" s="86"/>
      <c r="G1160" s="87"/>
      <c r="H1160" s="86"/>
      <c r="I1160" s="86"/>
      <c r="J1160" s="86"/>
      <c r="K1160" s="84"/>
      <c r="L1160" s="84"/>
      <c r="M1160" s="84"/>
      <c r="N1160" s="84" t="str">
        <f>IFERROR(__xludf.DUMMYFUNCTION("IFERROR(AVERAGE(query(INDIRECT(""'FR Table'!"" &amp; vlookup(rows($A$1:$A1159),Reference!$O:$P,2,false) &amp; ""3:"" &amp; vlookup(rows($A$1:$A1159),Reference!$O:$P,2,false)), 
""SELECT "" &amp; vlookup(rows($A$1:$A1159),Reference!$O:$P,2,false) 
&amp; "" WHERE "" &amp; vlookup("&amp;"rows($A$1:$A1159),Reference!$O:$P,2,false) &amp;
"" &gt;= "" &amp; Reference!$R$2)) * M1160,"""")"),"")</f>
        <v/>
      </c>
      <c r="O1160" s="84" t="str">
        <f t="shared" si="2"/>
        <v/>
      </c>
    </row>
    <row r="1161">
      <c r="A1161" s="84"/>
      <c r="B1161" s="84"/>
      <c r="C1161" s="85"/>
      <c r="D1161" s="86"/>
      <c r="E1161" s="87"/>
      <c r="F1161" s="86"/>
      <c r="G1161" s="87"/>
      <c r="H1161" s="86"/>
      <c r="I1161" s="86"/>
      <c r="J1161" s="86"/>
      <c r="K1161" s="84"/>
      <c r="L1161" s="84"/>
      <c r="M1161" s="84"/>
      <c r="N1161" s="84" t="str">
        <f>IFERROR(__xludf.DUMMYFUNCTION("IFERROR(AVERAGE(query(INDIRECT(""'FR Table'!"" &amp; vlookup(rows($A$1:$A1160),Reference!$O:$P,2,false) &amp; ""3:"" &amp; vlookup(rows($A$1:$A1160),Reference!$O:$P,2,false)), 
""SELECT "" &amp; vlookup(rows($A$1:$A1160),Reference!$O:$P,2,false) 
&amp; "" WHERE "" &amp; vlookup("&amp;"rows($A$1:$A1160),Reference!$O:$P,2,false) &amp;
"" &gt;= "" &amp; Reference!$R$2)) * M1161,"""")"),"")</f>
        <v/>
      </c>
      <c r="O1161" s="84" t="str">
        <f t="shared" si="2"/>
        <v/>
      </c>
    </row>
    <row r="1162">
      <c r="A1162" s="84"/>
      <c r="B1162" s="84"/>
      <c r="C1162" s="85"/>
      <c r="D1162" s="86"/>
      <c r="E1162" s="87"/>
      <c r="F1162" s="86"/>
      <c r="G1162" s="87"/>
      <c r="H1162" s="86"/>
      <c r="I1162" s="86"/>
      <c r="J1162" s="86"/>
      <c r="K1162" s="84"/>
      <c r="L1162" s="84"/>
      <c r="M1162" s="84"/>
      <c r="N1162" s="84" t="str">
        <f>IFERROR(__xludf.DUMMYFUNCTION("IFERROR(AVERAGE(query(INDIRECT(""'FR Table'!"" &amp; vlookup(rows($A$1:$A1161),Reference!$O:$P,2,false) &amp; ""3:"" &amp; vlookup(rows($A$1:$A1161),Reference!$O:$P,2,false)), 
""SELECT "" &amp; vlookup(rows($A$1:$A1161),Reference!$O:$P,2,false) 
&amp; "" WHERE "" &amp; vlookup("&amp;"rows($A$1:$A1161),Reference!$O:$P,2,false) &amp;
"" &gt;= "" &amp; Reference!$R$2)) * M1162,"""")"),"")</f>
        <v/>
      </c>
      <c r="O1162" s="84" t="str">
        <f t="shared" si="2"/>
        <v/>
      </c>
    </row>
    <row r="1163">
      <c r="A1163" s="84"/>
      <c r="B1163" s="84"/>
      <c r="C1163" s="85"/>
      <c r="D1163" s="86"/>
      <c r="E1163" s="87"/>
      <c r="F1163" s="86"/>
      <c r="G1163" s="87"/>
      <c r="H1163" s="86"/>
      <c r="I1163" s="86"/>
      <c r="J1163" s="86"/>
      <c r="K1163" s="84"/>
      <c r="L1163" s="84"/>
      <c r="M1163" s="84"/>
      <c r="N1163" s="84" t="str">
        <f>IFERROR(__xludf.DUMMYFUNCTION("IFERROR(AVERAGE(query(INDIRECT(""'FR Table'!"" &amp; vlookup(rows($A$1:$A1162),Reference!$O:$P,2,false) &amp; ""3:"" &amp; vlookup(rows($A$1:$A1162),Reference!$O:$P,2,false)), 
""SELECT "" &amp; vlookup(rows($A$1:$A1162),Reference!$O:$P,2,false) 
&amp; "" WHERE "" &amp; vlookup("&amp;"rows($A$1:$A1162),Reference!$O:$P,2,false) &amp;
"" &gt;= "" &amp; Reference!$R$2)) * M1163,"""")"),"")</f>
        <v/>
      </c>
      <c r="O1163" s="84" t="str">
        <f t="shared" si="2"/>
        <v/>
      </c>
    </row>
    <row r="1164">
      <c r="A1164" s="84"/>
      <c r="B1164" s="84"/>
      <c r="C1164" s="85"/>
      <c r="D1164" s="86"/>
      <c r="E1164" s="87"/>
      <c r="F1164" s="86"/>
      <c r="G1164" s="87"/>
      <c r="H1164" s="86"/>
      <c r="I1164" s="86"/>
      <c r="J1164" s="86"/>
      <c r="K1164" s="84"/>
      <c r="L1164" s="84"/>
      <c r="M1164" s="84"/>
      <c r="N1164" s="84" t="str">
        <f>IFERROR(__xludf.DUMMYFUNCTION("IFERROR(AVERAGE(query(INDIRECT(""'FR Table'!"" &amp; vlookup(rows($A$1:$A1163),Reference!$O:$P,2,false) &amp; ""3:"" &amp; vlookup(rows($A$1:$A1163),Reference!$O:$P,2,false)), 
""SELECT "" &amp; vlookup(rows($A$1:$A1163),Reference!$O:$P,2,false) 
&amp; "" WHERE "" &amp; vlookup("&amp;"rows($A$1:$A1163),Reference!$O:$P,2,false) &amp;
"" &gt;= "" &amp; Reference!$R$2)) * M1164,"""")"),"")</f>
        <v/>
      </c>
      <c r="O1164" s="84" t="str">
        <f t="shared" si="2"/>
        <v/>
      </c>
    </row>
    <row r="1165">
      <c r="A1165" s="84"/>
      <c r="B1165" s="84"/>
      <c r="C1165" s="85"/>
      <c r="D1165" s="86"/>
      <c r="E1165" s="87"/>
      <c r="F1165" s="86"/>
      <c r="G1165" s="87"/>
      <c r="H1165" s="86"/>
      <c r="I1165" s="86"/>
      <c r="J1165" s="86"/>
      <c r="K1165" s="84"/>
      <c r="L1165" s="84"/>
      <c r="M1165" s="84"/>
      <c r="N1165" s="84" t="str">
        <f>IFERROR(__xludf.DUMMYFUNCTION("IFERROR(AVERAGE(query(INDIRECT(""'FR Table'!"" &amp; vlookup(rows($A$1:$A1164),Reference!$O:$P,2,false) &amp; ""3:"" &amp; vlookup(rows($A$1:$A1164),Reference!$O:$P,2,false)), 
""SELECT "" &amp; vlookup(rows($A$1:$A1164),Reference!$O:$P,2,false) 
&amp; "" WHERE "" &amp; vlookup("&amp;"rows($A$1:$A1164),Reference!$O:$P,2,false) &amp;
"" &gt;= "" &amp; Reference!$R$2)) * M1165,"""")"),"")</f>
        <v/>
      </c>
      <c r="O1165" s="84" t="str">
        <f t="shared" si="2"/>
        <v/>
      </c>
    </row>
    <row r="1166">
      <c r="A1166" s="84"/>
      <c r="B1166" s="84"/>
      <c r="C1166" s="85"/>
      <c r="D1166" s="86"/>
      <c r="E1166" s="87"/>
      <c r="F1166" s="86"/>
      <c r="G1166" s="87"/>
      <c r="H1166" s="86"/>
      <c r="I1166" s="86"/>
      <c r="J1166" s="86"/>
      <c r="K1166" s="84"/>
      <c r="L1166" s="84"/>
      <c r="M1166" s="84"/>
      <c r="N1166" s="84" t="str">
        <f>IFERROR(__xludf.DUMMYFUNCTION("IFERROR(AVERAGE(query(INDIRECT(""'FR Table'!"" &amp; vlookup(rows($A$1:$A1165),Reference!$O:$P,2,false) &amp; ""3:"" &amp; vlookup(rows($A$1:$A1165),Reference!$O:$P,2,false)), 
""SELECT "" &amp; vlookup(rows($A$1:$A1165),Reference!$O:$P,2,false) 
&amp; "" WHERE "" &amp; vlookup("&amp;"rows($A$1:$A1165),Reference!$O:$P,2,false) &amp;
"" &gt;= "" &amp; Reference!$R$2)) * M1166,"""")"),"")</f>
        <v/>
      </c>
      <c r="O1166" s="84" t="str">
        <f t="shared" si="2"/>
        <v/>
      </c>
    </row>
    <row r="1167">
      <c r="A1167" s="84"/>
      <c r="B1167" s="84"/>
      <c r="C1167" s="85"/>
      <c r="D1167" s="86"/>
      <c r="E1167" s="87"/>
      <c r="F1167" s="86"/>
      <c r="G1167" s="87"/>
      <c r="H1167" s="86"/>
      <c r="I1167" s="86"/>
      <c r="J1167" s="86"/>
      <c r="K1167" s="84"/>
      <c r="L1167" s="84"/>
      <c r="M1167" s="84"/>
      <c r="N1167" s="84" t="str">
        <f>IFERROR(__xludf.DUMMYFUNCTION("IFERROR(AVERAGE(query(INDIRECT(""'FR Table'!"" &amp; vlookup(rows($A$1:$A1166),Reference!$O:$P,2,false) &amp; ""3:"" &amp; vlookup(rows($A$1:$A1166),Reference!$O:$P,2,false)), 
""SELECT "" &amp; vlookup(rows($A$1:$A1166),Reference!$O:$P,2,false) 
&amp; "" WHERE "" &amp; vlookup("&amp;"rows($A$1:$A1166),Reference!$O:$P,2,false) &amp;
"" &gt;= "" &amp; Reference!$R$2)) * M1167,"""")"),"")</f>
        <v/>
      </c>
      <c r="O1167" s="84" t="str">
        <f t="shared" si="2"/>
        <v/>
      </c>
    </row>
    <row r="1168">
      <c r="A1168" s="84"/>
      <c r="B1168" s="84"/>
      <c r="C1168" s="85"/>
      <c r="D1168" s="86"/>
      <c r="E1168" s="87"/>
      <c r="F1168" s="86"/>
      <c r="G1168" s="87"/>
      <c r="H1168" s="86"/>
      <c r="I1168" s="86"/>
      <c r="J1168" s="86"/>
      <c r="K1168" s="84"/>
      <c r="L1168" s="84"/>
      <c r="M1168" s="84"/>
      <c r="N1168" s="84" t="str">
        <f>IFERROR(__xludf.DUMMYFUNCTION("IFERROR(AVERAGE(query(INDIRECT(""'FR Table'!"" &amp; vlookup(rows($A$1:$A1167),Reference!$O:$P,2,false) &amp; ""3:"" &amp; vlookup(rows($A$1:$A1167),Reference!$O:$P,2,false)), 
""SELECT "" &amp; vlookup(rows($A$1:$A1167),Reference!$O:$P,2,false) 
&amp; "" WHERE "" &amp; vlookup("&amp;"rows($A$1:$A1167),Reference!$O:$P,2,false) &amp;
"" &gt;= "" &amp; Reference!$R$2)) * M1168,"""")"),"")</f>
        <v/>
      </c>
      <c r="O1168" s="84" t="str">
        <f t="shared" si="2"/>
        <v/>
      </c>
    </row>
    <row r="1169">
      <c r="A1169" s="84"/>
      <c r="B1169" s="84"/>
      <c r="C1169" s="85"/>
      <c r="D1169" s="86"/>
      <c r="E1169" s="87"/>
      <c r="F1169" s="86"/>
      <c r="G1169" s="87"/>
      <c r="H1169" s="86"/>
      <c r="I1169" s="86"/>
      <c r="J1169" s="86"/>
      <c r="K1169" s="84"/>
      <c r="L1169" s="84"/>
      <c r="M1169" s="84"/>
      <c r="N1169" s="84" t="str">
        <f>IFERROR(__xludf.DUMMYFUNCTION("IFERROR(AVERAGE(query(INDIRECT(""'FR Table'!"" &amp; vlookup(rows($A$1:$A1168),Reference!$O:$P,2,false) &amp; ""3:"" &amp; vlookup(rows($A$1:$A1168),Reference!$O:$P,2,false)), 
""SELECT "" &amp; vlookup(rows($A$1:$A1168),Reference!$O:$P,2,false) 
&amp; "" WHERE "" &amp; vlookup("&amp;"rows($A$1:$A1168),Reference!$O:$P,2,false) &amp;
"" &gt;= "" &amp; Reference!$R$2)) * M1169,"""")"),"")</f>
        <v/>
      </c>
      <c r="O1169" s="84" t="str">
        <f t="shared" si="2"/>
        <v/>
      </c>
    </row>
    <row r="1170">
      <c r="A1170" s="84"/>
      <c r="B1170" s="84"/>
      <c r="C1170" s="85"/>
      <c r="D1170" s="86"/>
      <c r="E1170" s="87"/>
      <c r="F1170" s="86"/>
      <c r="G1170" s="87"/>
      <c r="H1170" s="86"/>
      <c r="I1170" s="86"/>
      <c r="J1170" s="86"/>
      <c r="K1170" s="84"/>
      <c r="L1170" s="84"/>
      <c r="M1170" s="84"/>
      <c r="N1170" s="84" t="str">
        <f>IFERROR(__xludf.DUMMYFUNCTION("IFERROR(AVERAGE(query(INDIRECT(""'FR Table'!"" &amp; vlookup(rows($A$1:$A1169),Reference!$O:$P,2,false) &amp; ""3:"" &amp; vlookup(rows($A$1:$A1169),Reference!$O:$P,2,false)), 
""SELECT "" &amp; vlookup(rows($A$1:$A1169),Reference!$O:$P,2,false) 
&amp; "" WHERE "" &amp; vlookup("&amp;"rows($A$1:$A1169),Reference!$O:$P,2,false) &amp;
"" &gt;= "" &amp; Reference!$R$2)) * M1170,"""")"),"")</f>
        <v/>
      </c>
      <c r="O1170" s="84" t="str">
        <f t="shared" si="2"/>
        <v/>
      </c>
    </row>
    <row r="1171">
      <c r="A1171" s="84"/>
      <c r="B1171" s="84"/>
      <c r="C1171" s="85"/>
      <c r="D1171" s="86"/>
      <c r="E1171" s="87"/>
      <c r="F1171" s="86"/>
      <c r="G1171" s="87"/>
      <c r="H1171" s="86"/>
      <c r="I1171" s="86"/>
      <c r="J1171" s="86"/>
      <c r="K1171" s="84"/>
      <c r="L1171" s="84"/>
      <c r="M1171" s="84"/>
      <c r="N1171" s="84" t="str">
        <f>IFERROR(__xludf.DUMMYFUNCTION("IFERROR(AVERAGE(query(INDIRECT(""'FR Table'!"" &amp; vlookup(rows($A$1:$A1170),Reference!$O:$P,2,false) &amp; ""3:"" &amp; vlookup(rows($A$1:$A1170),Reference!$O:$P,2,false)), 
""SELECT "" &amp; vlookup(rows($A$1:$A1170),Reference!$O:$P,2,false) 
&amp; "" WHERE "" &amp; vlookup("&amp;"rows($A$1:$A1170),Reference!$O:$P,2,false) &amp;
"" &gt;= "" &amp; Reference!$R$2)) * M1171,"""")"),"")</f>
        <v/>
      </c>
      <c r="O1171" s="84" t="str">
        <f t="shared" si="2"/>
        <v/>
      </c>
    </row>
    <row r="1172">
      <c r="A1172" s="84"/>
      <c r="B1172" s="84"/>
      <c r="C1172" s="85"/>
      <c r="D1172" s="86"/>
      <c r="E1172" s="87"/>
      <c r="F1172" s="86"/>
      <c r="G1172" s="87"/>
      <c r="H1172" s="86"/>
      <c r="I1172" s="86"/>
      <c r="J1172" s="86"/>
      <c r="K1172" s="84"/>
      <c r="L1172" s="84"/>
      <c r="M1172" s="84"/>
      <c r="N1172" s="84" t="str">
        <f>IFERROR(__xludf.DUMMYFUNCTION("IFERROR(AVERAGE(query(INDIRECT(""'FR Table'!"" &amp; vlookup(rows($A$1:$A1171),Reference!$O:$P,2,false) &amp; ""3:"" &amp; vlookup(rows($A$1:$A1171),Reference!$O:$P,2,false)), 
""SELECT "" &amp; vlookup(rows($A$1:$A1171),Reference!$O:$P,2,false) 
&amp; "" WHERE "" &amp; vlookup("&amp;"rows($A$1:$A1171),Reference!$O:$P,2,false) &amp;
"" &gt;= "" &amp; Reference!$R$2)) * M1172,"""")"),"")</f>
        <v/>
      </c>
      <c r="O1172" s="84" t="str">
        <f t="shared" si="2"/>
        <v/>
      </c>
    </row>
    <row r="1173">
      <c r="A1173" s="84"/>
      <c r="B1173" s="84"/>
      <c r="C1173" s="85"/>
      <c r="D1173" s="86"/>
      <c r="E1173" s="87"/>
      <c r="F1173" s="86"/>
      <c r="G1173" s="87"/>
      <c r="H1173" s="86"/>
      <c r="I1173" s="86"/>
      <c r="J1173" s="86"/>
      <c r="K1173" s="84"/>
      <c r="L1173" s="84"/>
      <c r="M1173" s="84"/>
      <c r="N1173" s="84" t="str">
        <f>IFERROR(__xludf.DUMMYFUNCTION("IFERROR(AVERAGE(query(INDIRECT(""'FR Table'!"" &amp; vlookup(rows($A$1:$A1172),Reference!$O:$P,2,false) &amp; ""3:"" &amp; vlookup(rows($A$1:$A1172),Reference!$O:$P,2,false)), 
""SELECT "" &amp; vlookup(rows($A$1:$A1172),Reference!$O:$P,2,false) 
&amp; "" WHERE "" &amp; vlookup("&amp;"rows($A$1:$A1172),Reference!$O:$P,2,false) &amp;
"" &gt;= "" &amp; Reference!$R$2)) * M1173,"""")"),"")</f>
        <v/>
      </c>
      <c r="O1173" s="84" t="str">
        <f t="shared" si="2"/>
        <v/>
      </c>
    </row>
    <row r="1174">
      <c r="A1174" s="84"/>
      <c r="B1174" s="84"/>
      <c r="C1174" s="85"/>
      <c r="D1174" s="86"/>
      <c r="E1174" s="87"/>
      <c r="F1174" s="86"/>
      <c r="G1174" s="87"/>
      <c r="H1174" s="86"/>
      <c r="I1174" s="86"/>
      <c r="J1174" s="86"/>
      <c r="K1174" s="84"/>
      <c r="L1174" s="84"/>
      <c r="M1174" s="84"/>
      <c r="N1174" s="84" t="str">
        <f>IFERROR(__xludf.DUMMYFUNCTION("IFERROR(AVERAGE(query(INDIRECT(""'FR Table'!"" &amp; vlookup(rows($A$1:$A1173),Reference!$O:$P,2,false) &amp; ""3:"" &amp; vlookup(rows($A$1:$A1173),Reference!$O:$P,2,false)), 
""SELECT "" &amp; vlookup(rows($A$1:$A1173),Reference!$O:$P,2,false) 
&amp; "" WHERE "" &amp; vlookup("&amp;"rows($A$1:$A1173),Reference!$O:$P,2,false) &amp;
"" &gt;= "" &amp; Reference!$R$2)) * M1174,"""")"),"")</f>
        <v/>
      </c>
      <c r="O1174" s="84" t="str">
        <f t="shared" si="2"/>
        <v/>
      </c>
    </row>
    <row r="1175">
      <c r="A1175" s="84"/>
      <c r="B1175" s="84"/>
      <c r="C1175" s="85"/>
      <c r="D1175" s="86"/>
      <c r="E1175" s="87"/>
      <c r="F1175" s="86"/>
      <c r="G1175" s="87"/>
      <c r="H1175" s="86"/>
      <c r="I1175" s="86"/>
      <c r="J1175" s="86"/>
      <c r="K1175" s="84"/>
      <c r="L1175" s="84"/>
      <c r="M1175" s="84"/>
      <c r="N1175" s="84" t="str">
        <f>IFERROR(__xludf.DUMMYFUNCTION("IFERROR(AVERAGE(query(INDIRECT(""'FR Table'!"" &amp; vlookup(rows($A$1:$A1174),Reference!$O:$P,2,false) &amp; ""3:"" &amp; vlookup(rows($A$1:$A1174),Reference!$O:$P,2,false)), 
""SELECT "" &amp; vlookup(rows($A$1:$A1174),Reference!$O:$P,2,false) 
&amp; "" WHERE "" &amp; vlookup("&amp;"rows($A$1:$A1174),Reference!$O:$P,2,false) &amp;
"" &gt;= "" &amp; Reference!$R$2)) * M1175,"""")"),"")</f>
        <v/>
      </c>
      <c r="O1175" s="84" t="str">
        <f t="shared" si="2"/>
        <v/>
      </c>
    </row>
    <row r="1176">
      <c r="A1176" s="84"/>
      <c r="B1176" s="84"/>
      <c r="C1176" s="85"/>
      <c r="D1176" s="86"/>
      <c r="E1176" s="87"/>
      <c r="F1176" s="86"/>
      <c r="G1176" s="87"/>
      <c r="H1176" s="86"/>
      <c r="I1176" s="86"/>
      <c r="J1176" s="86"/>
      <c r="K1176" s="84"/>
      <c r="L1176" s="84"/>
      <c r="M1176" s="84"/>
      <c r="N1176" s="84" t="str">
        <f>IFERROR(__xludf.DUMMYFUNCTION("IFERROR(AVERAGE(query(INDIRECT(""'FR Table'!"" &amp; vlookup(rows($A$1:$A1175),Reference!$O:$P,2,false) &amp; ""3:"" &amp; vlookup(rows($A$1:$A1175),Reference!$O:$P,2,false)), 
""SELECT "" &amp; vlookup(rows($A$1:$A1175),Reference!$O:$P,2,false) 
&amp; "" WHERE "" &amp; vlookup("&amp;"rows($A$1:$A1175),Reference!$O:$P,2,false) &amp;
"" &gt;= "" &amp; Reference!$R$2)) * M1176,"""")"),"")</f>
        <v/>
      </c>
      <c r="O1176" s="84" t="str">
        <f t="shared" si="2"/>
        <v/>
      </c>
    </row>
    <row r="1177">
      <c r="A1177" s="84"/>
      <c r="B1177" s="84"/>
      <c r="C1177" s="85"/>
      <c r="D1177" s="86"/>
      <c r="E1177" s="87"/>
      <c r="F1177" s="86"/>
      <c r="G1177" s="87"/>
      <c r="H1177" s="86"/>
      <c r="I1177" s="86"/>
      <c r="J1177" s="86"/>
      <c r="K1177" s="84"/>
      <c r="L1177" s="84"/>
      <c r="M1177" s="84"/>
      <c r="N1177" s="84" t="str">
        <f>IFERROR(__xludf.DUMMYFUNCTION("IFERROR(AVERAGE(query(INDIRECT(""'FR Table'!"" &amp; vlookup(rows($A$1:$A1176),Reference!$O:$P,2,false) &amp; ""3:"" &amp; vlookup(rows($A$1:$A1176),Reference!$O:$P,2,false)), 
""SELECT "" &amp; vlookup(rows($A$1:$A1176),Reference!$O:$P,2,false) 
&amp; "" WHERE "" &amp; vlookup("&amp;"rows($A$1:$A1176),Reference!$O:$P,2,false) &amp;
"" &gt;= "" &amp; Reference!$R$2)) * M1177,"""")"),"")</f>
        <v/>
      </c>
      <c r="O1177" s="84" t="str">
        <f t="shared" si="2"/>
        <v/>
      </c>
    </row>
    <row r="1178">
      <c r="A1178" s="84"/>
      <c r="B1178" s="84"/>
      <c r="C1178" s="85"/>
      <c r="D1178" s="86"/>
      <c r="E1178" s="87"/>
      <c r="F1178" s="86"/>
      <c r="G1178" s="87"/>
      <c r="H1178" s="86"/>
      <c r="I1178" s="86"/>
      <c r="J1178" s="86"/>
      <c r="K1178" s="84"/>
      <c r="L1178" s="84"/>
      <c r="M1178" s="84"/>
      <c r="N1178" s="84" t="str">
        <f>IFERROR(__xludf.DUMMYFUNCTION("IFERROR(AVERAGE(query(INDIRECT(""'FR Table'!"" &amp; vlookup(rows($A$1:$A1177),Reference!$O:$P,2,false) &amp; ""3:"" &amp; vlookup(rows($A$1:$A1177),Reference!$O:$P,2,false)), 
""SELECT "" &amp; vlookup(rows($A$1:$A1177),Reference!$O:$P,2,false) 
&amp; "" WHERE "" &amp; vlookup("&amp;"rows($A$1:$A1177),Reference!$O:$P,2,false) &amp;
"" &gt;= "" &amp; Reference!$R$2)) * M1178,"""")"),"")</f>
        <v/>
      </c>
      <c r="O1178" s="84" t="str">
        <f t="shared" si="2"/>
        <v/>
      </c>
    </row>
    <row r="1179">
      <c r="A1179" s="84"/>
      <c r="B1179" s="84"/>
      <c r="C1179" s="85"/>
      <c r="D1179" s="86"/>
      <c r="E1179" s="87"/>
      <c r="F1179" s="86"/>
      <c r="G1179" s="87"/>
      <c r="H1179" s="86"/>
      <c r="I1179" s="86"/>
      <c r="J1179" s="86"/>
      <c r="K1179" s="84"/>
      <c r="L1179" s="84"/>
      <c r="M1179" s="84"/>
      <c r="N1179" s="84" t="str">
        <f>IFERROR(__xludf.DUMMYFUNCTION("IFERROR(AVERAGE(query(INDIRECT(""'FR Table'!"" &amp; vlookup(rows($A$1:$A1178),Reference!$O:$P,2,false) &amp; ""3:"" &amp; vlookup(rows($A$1:$A1178),Reference!$O:$P,2,false)), 
""SELECT "" &amp; vlookup(rows($A$1:$A1178),Reference!$O:$P,2,false) 
&amp; "" WHERE "" &amp; vlookup("&amp;"rows($A$1:$A1178),Reference!$O:$P,2,false) &amp;
"" &gt;= "" &amp; Reference!$R$2)) * M1179,"""")"),"")</f>
        <v/>
      </c>
      <c r="O1179" s="84" t="str">
        <f t="shared" si="2"/>
        <v/>
      </c>
    </row>
    <row r="1180">
      <c r="A1180" s="84"/>
      <c r="B1180" s="84"/>
      <c r="C1180" s="85"/>
      <c r="D1180" s="86"/>
      <c r="E1180" s="87"/>
      <c r="F1180" s="86"/>
      <c r="G1180" s="87"/>
      <c r="H1180" s="86"/>
      <c r="I1180" s="86"/>
      <c r="J1180" s="86"/>
      <c r="K1180" s="84"/>
      <c r="L1180" s="84"/>
      <c r="M1180" s="84"/>
      <c r="N1180" s="84" t="str">
        <f>IFERROR(__xludf.DUMMYFUNCTION("IFERROR(AVERAGE(query(INDIRECT(""'FR Table'!"" &amp; vlookup(rows($A$1:$A1179),Reference!$O:$P,2,false) &amp; ""3:"" &amp; vlookup(rows($A$1:$A1179),Reference!$O:$P,2,false)), 
""SELECT "" &amp; vlookup(rows($A$1:$A1179),Reference!$O:$P,2,false) 
&amp; "" WHERE "" &amp; vlookup("&amp;"rows($A$1:$A1179),Reference!$O:$P,2,false) &amp;
"" &gt;= "" &amp; Reference!$R$2)) * M1180,"""")"),"")</f>
        <v/>
      </c>
      <c r="O1180" s="84" t="str">
        <f t="shared" si="2"/>
        <v/>
      </c>
    </row>
    <row r="1181">
      <c r="A1181" s="84"/>
      <c r="B1181" s="84"/>
      <c r="C1181" s="85"/>
      <c r="D1181" s="86"/>
      <c r="E1181" s="87"/>
      <c r="F1181" s="86"/>
      <c r="G1181" s="87"/>
      <c r="H1181" s="86"/>
      <c r="I1181" s="86"/>
      <c r="J1181" s="86"/>
      <c r="K1181" s="84"/>
      <c r="L1181" s="84"/>
      <c r="M1181" s="84"/>
      <c r="N1181" s="84" t="str">
        <f>IFERROR(__xludf.DUMMYFUNCTION("IFERROR(AVERAGE(query(INDIRECT(""'FR Table'!"" &amp; vlookup(rows($A$1:$A1180),Reference!$O:$P,2,false) &amp; ""3:"" &amp; vlookup(rows($A$1:$A1180),Reference!$O:$P,2,false)), 
""SELECT "" &amp; vlookup(rows($A$1:$A1180),Reference!$O:$P,2,false) 
&amp; "" WHERE "" &amp; vlookup("&amp;"rows($A$1:$A1180),Reference!$O:$P,2,false) &amp;
"" &gt;= "" &amp; Reference!$R$2)) * M1181,"""")"),"")</f>
        <v/>
      </c>
      <c r="O1181" s="84" t="str">
        <f t="shared" si="2"/>
        <v/>
      </c>
    </row>
    <row r="1182">
      <c r="A1182" s="84"/>
      <c r="B1182" s="84"/>
      <c r="C1182" s="85"/>
      <c r="D1182" s="86"/>
      <c r="E1182" s="87"/>
      <c r="F1182" s="86"/>
      <c r="G1182" s="87"/>
      <c r="H1182" s="86"/>
      <c r="I1182" s="86"/>
      <c r="J1182" s="86"/>
      <c r="K1182" s="84"/>
      <c r="L1182" s="84"/>
      <c r="M1182" s="84"/>
      <c r="N1182" s="84" t="str">
        <f>IFERROR(__xludf.DUMMYFUNCTION("IFERROR(AVERAGE(query(INDIRECT(""'FR Table'!"" &amp; vlookup(rows($A$1:$A1181),Reference!$O:$P,2,false) &amp; ""3:"" &amp; vlookup(rows($A$1:$A1181),Reference!$O:$P,2,false)), 
""SELECT "" &amp; vlookup(rows($A$1:$A1181),Reference!$O:$P,2,false) 
&amp; "" WHERE "" &amp; vlookup("&amp;"rows($A$1:$A1181),Reference!$O:$P,2,false) &amp;
"" &gt;= "" &amp; Reference!$R$2)) * M1182,"""")"),"")</f>
        <v/>
      </c>
      <c r="O1182" s="84" t="str">
        <f t="shared" si="2"/>
        <v/>
      </c>
    </row>
    <row r="1183">
      <c r="A1183" s="84"/>
      <c r="B1183" s="84"/>
      <c r="C1183" s="85"/>
      <c r="D1183" s="86"/>
      <c r="E1183" s="87"/>
      <c r="F1183" s="86"/>
      <c r="G1183" s="87"/>
      <c r="H1183" s="86"/>
      <c r="I1183" s="86"/>
      <c r="J1183" s="86"/>
      <c r="K1183" s="84"/>
      <c r="L1183" s="84"/>
      <c r="M1183" s="84"/>
      <c r="N1183" s="84" t="str">
        <f>IFERROR(__xludf.DUMMYFUNCTION("IFERROR(AVERAGE(query(INDIRECT(""'FR Table'!"" &amp; vlookup(rows($A$1:$A1182),Reference!$O:$P,2,false) &amp; ""3:"" &amp; vlookup(rows($A$1:$A1182),Reference!$O:$P,2,false)), 
""SELECT "" &amp; vlookup(rows($A$1:$A1182),Reference!$O:$P,2,false) 
&amp; "" WHERE "" &amp; vlookup("&amp;"rows($A$1:$A1182),Reference!$O:$P,2,false) &amp;
"" &gt;= "" &amp; Reference!$R$2)) * M1183,"""")"),"")</f>
        <v/>
      </c>
      <c r="O1183" s="84" t="str">
        <f t="shared" si="2"/>
        <v/>
      </c>
    </row>
    <row r="1184">
      <c r="A1184" s="84"/>
      <c r="B1184" s="84"/>
      <c r="C1184" s="85"/>
      <c r="D1184" s="86"/>
      <c r="E1184" s="87"/>
      <c r="F1184" s="86"/>
      <c r="G1184" s="87"/>
      <c r="H1184" s="86"/>
      <c r="I1184" s="86"/>
      <c r="J1184" s="86"/>
      <c r="K1184" s="84"/>
      <c r="L1184" s="84"/>
      <c r="M1184" s="84"/>
      <c r="N1184" s="84" t="str">
        <f>IFERROR(__xludf.DUMMYFUNCTION("IFERROR(AVERAGE(query(INDIRECT(""'FR Table'!"" &amp; vlookup(rows($A$1:$A1183),Reference!$O:$P,2,false) &amp; ""3:"" &amp; vlookup(rows($A$1:$A1183),Reference!$O:$P,2,false)), 
""SELECT "" &amp; vlookup(rows($A$1:$A1183),Reference!$O:$P,2,false) 
&amp; "" WHERE "" &amp; vlookup("&amp;"rows($A$1:$A1183),Reference!$O:$P,2,false) &amp;
"" &gt;= "" &amp; Reference!$R$2)) * M1184,"""")"),"")</f>
        <v/>
      </c>
      <c r="O1184" s="84" t="str">
        <f t="shared" si="2"/>
        <v/>
      </c>
    </row>
    <row r="1185">
      <c r="A1185" s="84"/>
      <c r="B1185" s="84"/>
      <c r="C1185" s="85"/>
      <c r="D1185" s="86"/>
      <c r="E1185" s="87"/>
      <c r="F1185" s="86"/>
      <c r="G1185" s="87"/>
      <c r="H1185" s="86"/>
      <c r="I1185" s="86"/>
      <c r="J1185" s="86"/>
      <c r="K1185" s="84"/>
      <c r="L1185" s="84"/>
      <c r="M1185" s="84"/>
      <c r="N1185" s="84" t="str">
        <f>IFERROR(__xludf.DUMMYFUNCTION("IFERROR(AVERAGE(query(INDIRECT(""'FR Table'!"" &amp; vlookup(rows($A$1:$A1184),Reference!$O:$P,2,false) &amp; ""3:"" &amp; vlookup(rows($A$1:$A1184),Reference!$O:$P,2,false)), 
""SELECT "" &amp; vlookup(rows($A$1:$A1184),Reference!$O:$P,2,false) 
&amp; "" WHERE "" &amp; vlookup("&amp;"rows($A$1:$A1184),Reference!$O:$P,2,false) &amp;
"" &gt;= "" &amp; Reference!$R$2)) * M1185,"""")"),"")</f>
        <v/>
      </c>
      <c r="O1185" s="84" t="str">
        <f t="shared" si="2"/>
        <v/>
      </c>
    </row>
    <row r="1186">
      <c r="A1186" s="84"/>
      <c r="B1186" s="84"/>
      <c r="C1186" s="85"/>
      <c r="D1186" s="86"/>
      <c r="E1186" s="87"/>
      <c r="F1186" s="86"/>
      <c r="G1186" s="87"/>
      <c r="H1186" s="86"/>
      <c r="I1186" s="86"/>
      <c r="J1186" s="86"/>
      <c r="K1186" s="84"/>
      <c r="L1186" s="84"/>
      <c r="M1186" s="84"/>
      <c r="N1186" s="84" t="str">
        <f>IFERROR(__xludf.DUMMYFUNCTION("IFERROR(AVERAGE(query(INDIRECT(""'FR Table'!"" &amp; vlookup(rows($A$1:$A1185),Reference!$O:$P,2,false) &amp; ""3:"" &amp; vlookup(rows($A$1:$A1185),Reference!$O:$P,2,false)), 
""SELECT "" &amp; vlookup(rows($A$1:$A1185),Reference!$O:$P,2,false) 
&amp; "" WHERE "" &amp; vlookup("&amp;"rows($A$1:$A1185),Reference!$O:$P,2,false) &amp;
"" &gt;= "" &amp; Reference!$R$2)) * M1186,"""")"),"")</f>
        <v/>
      </c>
      <c r="O1186" s="84" t="str">
        <f t="shared" si="2"/>
        <v/>
      </c>
    </row>
    <row r="1187">
      <c r="A1187" s="84"/>
      <c r="B1187" s="84"/>
      <c r="C1187" s="85"/>
      <c r="D1187" s="86"/>
      <c r="E1187" s="87"/>
      <c r="F1187" s="86"/>
      <c r="G1187" s="87"/>
      <c r="H1187" s="86"/>
      <c r="I1187" s="86"/>
      <c r="J1187" s="86"/>
      <c r="K1187" s="84"/>
      <c r="L1187" s="84"/>
      <c r="M1187" s="84"/>
      <c r="N1187" s="84" t="str">
        <f>IFERROR(__xludf.DUMMYFUNCTION("IFERROR(AVERAGE(query(INDIRECT(""'FR Table'!"" &amp; vlookup(rows($A$1:$A1186),Reference!$O:$P,2,false) &amp; ""3:"" &amp; vlookup(rows($A$1:$A1186),Reference!$O:$P,2,false)), 
""SELECT "" &amp; vlookup(rows($A$1:$A1186),Reference!$O:$P,2,false) 
&amp; "" WHERE "" &amp; vlookup("&amp;"rows($A$1:$A1186),Reference!$O:$P,2,false) &amp;
"" &gt;= "" &amp; Reference!$R$2)) * M1187,"""")"),"")</f>
        <v/>
      </c>
      <c r="O1187" s="84" t="str">
        <f t="shared" si="2"/>
        <v/>
      </c>
    </row>
    <row r="1188">
      <c r="A1188" s="84"/>
      <c r="B1188" s="84"/>
      <c r="C1188" s="85"/>
      <c r="D1188" s="86"/>
      <c r="E1188" s="87"/>
      <c r="F1188" s="86"/>
      <c r="G1188" s="87"/>
      <c r="H1188" s="86"/>
      <c r="I1188" s="86"/>
      <c r="J1188" s="86"/>
      <c r="K1188" s="84"/>
      <c r="L1188" s="84"/>
      <c r="M1188" s="84"/>
      <c r="N1188" s="84" t="str">
        <f>IFERROR(__xludf.DUMMYFUNCTION("IFERROR(AVERAGE(query(INDIRECT(""'FR Table'!"" &amp; vlookup(rows($A$1:$A1187),Reference!$O:$P,2,false) &amp; ""3:"" &amp; vlookup(rows($A$1:$A1187),Reference!$O:$P,2,false)), 
""SELECT "" &amp; vlookup(rows($A$1:$A1187),Reference!$O:$P,2,false) 
&amp; "" WHERE "" &amp; vlookup("&amp;"rows($A$1:$A1187),Reference!$O:$P,2,false) &amp;
"" &gt;= "" &amp; Reference!$R$2)) * M1188,"""")"),"")</f>
        <v/>
      </c>
      <c r="O1188" s="84" t="str">
        <f t="shared" si="2"/>
        <v/>
      </c>
    </row>
    <row r="1189">
      <c r="A1189" s="84"/>
      <c r="B1189" s="84"/>
      <c r="C1189" s="85"/>
      <c r="D1189" s="86"/>
      <c r="E1189" s="87"/>
      <c r="F1189" s="86"/>
      <c r="G1189" s="87"/>
      <c r="H1189" s="86"/>
      <c r="I1189" s="86"/>
      <c r="J1189" s="86"/>
      <c r="K1189" s="84"/>
      <c r="L1189" s="84"/>
      <c r="M1189" s="84"/>
      <c r="N1189" s="84" t="str">
        <f>IFERROR(__xludf.DUMMYFUNCTION("IFERROR(AVERAGE(query(INDIRECT(""'FR Table'!"" &amp; vlookup(rows($A$1:$A1188),Reference!$O:$P,2,false) &amp; ""3:"" &amp; vlookup(rows($A$1:$A1188),Reference!$O:$P,2,false)), 
""SELECT "" &amp; vlookup(rows($A$1:$A1188),Reference!$O:$P,2,false) 
&amp; "" WHERE "" &amp; vlookup("&amp;"rows($A$1:$A1188),Reference!$O:$P,2,false) &amp;
"" &gt;= "" &amp; Reference!$R$2)) * M1189,"""")"),"")</f>
        <v/>
      </c>
      <c r="O1189" s="84" t="str">
        <f t="shared" si="2"/>
        <v/>
      </c>
    </row>
    <row r="1190">
      <c r="A1190" s="84"/>
      <c r="B1190" s="84"/>
      <c r="C1190" s="85"/>
      <c r="D1190" s="86"/>
      <c r="E1190" s="87"/>
      <c r="F1190" s="86"/>
      <c r="G1190" s="87"/>
      <c r="H1190" s="86"/>
      <c r="I1190" s="86"/>
      <c r="J1190" s="86"/>
      <c r="K1190" s="84"/>
      <c r="L1190" s="84"/>
      <c r="M1190" s="84"/>
      <c r="N1190" s="84" t="str">
        <f>IFERROR(__xludf.DUMMYFUNCTION("IFERROR(AVERAGE(query(INDIRECT(""'FR Table'!"" &amp; vlookup(rows($A$1:$A1189),Reference!$O:$P,2,false) &amp; ""3:"" &amp; vlookup(rows($A$1:$A1189),Reference!$O:$P,2,false)), 
""SELECT "" &amp; vlookup(rows($A$1:$A1189),Reference!$O:$P,2,false) 
&amp; "" WHERE "" &amp; vlookup("&amp;"rows($A$1:$A1189),Reference!$O:$P,2,false) &amp;
"" &gt;= "" &amp; Reference!$R$2)) * M1190,"""")"),"")</f>
        <v/>
      </c>
      <c r="O1190" s="84" t="str">
        <f t="shared" si="2"/>
        <v/>
      </c>
    </row>
    <row r="1191">
      <c r="A1191" s="84"/>
      <c r="B1191" s="84"/>
      <c r="C1191" s="85"/>
      <c r="D1191" s="86"/>
      <c r="E1191" s="87"/>
      <c r="F1191" s="86"/>
      <c r="G1191" s="87"/>
      <c r="H1191" s="86"/>
      <c r="I1191" s="86"/>
      <c r="J1191" s="86"/>
      <c r="K1191" s="84"/>
      <c r="L1191" s="84"/>
      <c r="M1191" s="84"/>
      <c r="N1191" s="84" t="str">
        <f>IFERROR(__xludf.DUMMYFUNCTION("IFERROR(AVERAGE(query(INDIRECT(""'FR Table'!"" &amp; vlookup(rows($A$1:$A1190),Reference!$O:$P,2,false) &amp; ""3:"" &amp; vlookup(rows($A$1:$A1190),Reference!$O:$P,2,false)), 
""SELECT "" &amp; vlookup(rows($A$1:$A1190),Reference!$O:$P,2,false) 
&amp; "" WHERE "" &amp; vlookup("&amp;"rows($A$1:$A1190),Reference!$O:$P,2,false) &amp;
"" &gt;= "" &amp; Reference!$R$2)) * M1191,"""")"),"")</f>
        <v/>
      </c>
      <c r="O1191" s="84" t="str">
        <f t="shared" si="2"/>
        <v/>
      </c>
    </row>
    <row r="1192">
      <c r="A1192" s="84"/>
      <c r="B1192" s="84"/>
      <c r="C1192" s="85"/>
      <c r="D1192" s="86"/>
      <c r="E1192" s="87"/>
      <c r="F1192" s="86"/>
      <c r="G1192" s="87"/>
      <c r="H1192" s="86"/>
      <c r="I1192" s="86"/>
      <c r="J1192" s="86"/>
      <c r="K1192" s="84"/>
      <c r="L1192" s="84"/>
      <c r="M1192" s="84"/>
      <c r="N1192" s="84" t="str">
        <f>IFERROR(__xludf.DUMMYFUNCTION("IFERROR(AVERAGE(query(INDIRECT(""'FR Table'!"" &amp; vlookup(rows($A$1:$A1191),Reference!$O:$P,2,false) &amp; ""3:"" &amp; vlookup(rows($A$1:$A1191),Reference!$O:$P,2,false)), 
""SELECT "" &amp; vlookup(rows($A$1:$A1191),Reference!$O:$P,2,false) 
&amp; "" WHERE "" &amp; vlookup("&amp;"rows($A$1:$A1191),Reference!$O:$P,2,false) &amp;
"" &gt;= "" &amp; Reference!$R$2)) * M1192,"""")"),"")</f>
        <v/>
      </c>
      <c r="O1192" s="84" t="str">
        <f t="shared" si="2"/>
        <v/>
      </c>
    </row>
    <row r="1193">
      <c r="A1193" s="84"/>
      <c r="B1193" s="84"/>
      <c r="C1193" s="85"/>
      <c r="D1193" s="86"/>
      <c r="E1193" s="87"/>
      <c r="F1193" s="86"/>
      <c r="G1193" s="87"/>
      <c r="H1193" s="86"/>
      <c r="I1193" s="86"/>
      <c r="J1193" s="86"/>
      <c r="K1193" s="84"/>
      <c r="L1193" s="84"/>
      <c r="M1193" s="84"/>
      <c r="N1193" s="84" t="str">
        <f>IFERROR(__xludf.DUMMYFUNCTION("IFERROR(AVERAGE(query(INDIRECT(""'FR Table'!"" &amp; vlookup(rows($A$1:$A1192),Reference!$O:$P,2,false) &amp; ""3:"" &amp; vlookup(rows($A$1:$A1192),Reference!$O:$P,2,false)), 
""SELECT "" &amp; vlookup(rows($A$1:$A1192),Reference!$O:$P,2,false) 
&amp; "" WHERE "" &amp; vlookup("&amp;"rows($A$1:$A1192),Reference!$O:$P,2,false) &amp;
"" &gt;= "" &amp; Reference!$R$2)) * M1193,"""")"),"")</f>
        <v/>
      </c>
      <c r="O1193" s="84" t="str">
        <f t="shared" si="2"/>
        <v/>
      </c>
    </row>
    <row r="1194">
      <c r="A1194" s="84"/>
      <c r="B1194" s="84"/>
      <c r="C1194" s="85"/>
      <c r="D1194" s="86"/>
      <c r="E1194" s="87"/>
      <c r="F1194" s="86"/>
      <c r="G1194" s="87"/>
      <c r="H1194" s="86"/>
      <c r="I1194" s="86"/>
      <c r="J1194" s="86"/>
      <c r="K1194" s="84"/>
      <c r="L1194" s="84"/>
      <c r="M1194" s="84"/>
      <c r="N1194" s="84" t="str">
        <f>IFERROR(__xludf.DUMMYFUNCTION("IFERROR(AVERAGE(query(INDIRECT(""'FR Table'!"" &amp; vlookup(rows($A$1:$A1193),Reference!$O:$P,2,false) &amp; ""3:"" &amp; vlookup(rows($A$1:$A1193),Reference!$O:$P,2,false)), 
""SELECT "" &amp; vlookup(rows($A$1:$A1193),Reference!$O:$P,2,false) 
&amp; "" WHERE "" &amp; vlookup("&amp;"rows($A$1:$A1193),Reference!$O:$P,2,false) &amp;
"" &gt;= "" &amp; Reference!$R$2)) * M1194,"""")"),"")</f>
        <v/>
      </c>
      <c r="O1194" s="84" t="str">
        <f t="shared" si="2"/>
        <v/>
      </c>
    </row>
    <row r="1195">
      <c r="A1195" s="84"/>
      <c r="B1195" s="84"/>
      <c r="C1195" s="85"/>
      <c r="D1195" s="86"/>
      <c r="E1195" s="87"/>
      <c r="F1195" s="86"/>
      <c r="G1195" s="87"/>
      <c r="H1195" s="86"/>
      <c r="I1195" s="86"/>
      <c r="J1195" s="86"/>
      <c r="K1195" s="84"/>
      <c r="L1195" s="84"/>
      <c r="M1195" s="84"/>
      <c r="N1195" s="84" t="str">
        <f>IFERROR(__xludf.DUMMYFUNCTION("IFERROR(AVERAGE(query(INDIRECT(""'FR Table'!"" &amp; vlookup(rows($A$1:$A1194),Reference!$O:$P,2,false) &amp; ""3:"" &amp; vlookup(rows($A$1:$A1194),Reference!$O:$P,2,false)), 
""SELECT "" &amp; vlookup(rows($A$1:$A1194),Reference!$O:$P,2,false) 
&amp; "" WHERE "" &amp; vlookup("&amp;"rows($A$1:$A1194),Reference!$O:$P,2,false) &amp;
"" &gt;= "" &amp; Reference!$R$2)) * M1195,"""")"),"")</f>
        <v/>
      </c>
      <c r="O1195" s="84" t="str">
        <f t="shared" si="2"/>
        <v/>
      </c>
    </row>
    <row r="1196">
      <c r="A1196" s="84"/>
      <c r="B1196" s="84"/>
      <c r="C1196" s="85"/>
      <c r="D1196" s="86"/>
      <c r="E1196" s="87"/>
      <c r="F1196" s="86"/>
      <c r="G1196" s="87"/>
      <c r="H1196" s="86"/>
      <c r="I1196" s="86"/>
      <c r="J1196" s="86"/>
      <c r="K1196" s="84"/>
      <c r="L1196" s="84"/>
      <c r="M1196" s="84"/>
      <c r="N1196" s="84" t="str">
        <f>IFERROR(__xludf.DUMMYFUNCTION("IFERROR(AVERAGE(query(INDIRECT(""'FR Table'!"" &amp; vlookup(rows($A$1:$A1195),Reference!$O:$P,2,false) &amp; ""3:"" &amp; vlookup(rows($A$1:$A1195),Reference!$O:$P,2,false)), 
""SELECT "" &amp; vlookup(rows($A$1:$A1195),Reference!$O:$P,2,false) 
&amp; "" WHERE "" &amp; vlookup("&amp;"rows($A$1:$A1195),Reference!$O:$P,2,false) &amp;
"" &gt;= "" &amp; Reference!$R$2)) * M1196,"""")"),"")</f>
        <v/>
      </c>
      <c r="O1196" s="84" t="str">
        <f t="shared" si="2"/>
        <v/>
      </c>
    </row>
    <row r="1197">
      <c r="A1197" s="84"/>
      <c r="B1197" s="84"/>
      <c r="C1197" s="85"/>
      <c r="D1197" s="86"/>
      <c r="E1197" s="87"/>
      <c r="F1197" s="86"/>
      <c r="G1197" s="87"/>
      <c r="H1197" s="86"/>
      <c r="I1197" s="86"/>
      <c r="J1197" s="86"/>
      <c r="K1197" s="84"/>
      <c r="L1197" s="84"/>
      <c r="M1197" s="84"/>
      <c r="N1197" s="84" t="str">
        <f>IFERROR(__xludf.DUMMYFUNCTION("IFERROR(AVERAGE(query(INDIRECT(""'FR Table'!"" &amp; vlookup(rows($A$1:$A1196),Reference!$O:$P,2,false) &amp; ""3:"" &amp; vlookup(rows($A$1:$A1196),Reference!$O:$P,2,false)), 
""SELECT "" &amp; vlookup(rows($A$1:$A1196),Reference!$O:$P,2,false) 
&amp; "" WHERE "" &amp; vlookup("&amp;"rows($A$1:$A1196),Reference!$O:$P,2,false) &amp;
"" &gt;= "" &amp; Reference!$R$2)) * M1197,"""")"),"")</f>
        <v/>
      </c>
      <c r="O1197" s="84" t="str">
        <f t="shared" si="2"/>
        <v/>
      </c>
    </row>
    <row r="1198">
      <c r="A1198" s="84"/>
      <c r="B1198" s="84"/>
      <c r="C1198" s="85"/>
      <c r="D1198" s="86"/>
      <c r="E1198" s="87"/>
      <c r="F1198" s="86"/>
      <c r="G1198" s="87"/>
      <c r="H1198" s="86"/>
      <c r="I1198" s="86"/>
      <c r="J1198" s="86"/>
      <c r="K1198" s="84"/>
      <c r="L1198" s="84"/>
      <c r="M1198" s="84"/>
      <c r="N1198" s="84" t="str">
        <f>IFERROR(__xludf.DUMMYFUNCTION("IFERROR(AVERAGE(query(INDIRECT(""'FR Table'!"" &amp; vlookup(rows($A$1:$A1197),Reference!$O:$P,2,false) &amp; ""3:"" &amp; vlookup(rows($A$1:$A1197),Reference!$O:$P,2,false)), 
""SELECT "" &amp; vlookup(rows($A$1:$A1197),Reference!$O:$P,2,false) 
&amp; "" WHERE "" &amp; vlookup("&amp;"rows($A$1:$A1197),Reference!$O:$P,2,false) &amp;
"" &gt;= "" &amp; Reference!$R$2)) * M1198,"""")"),"")</f>
        <v/>
      </c>
      <c r="O1198" s="84" t="str">
        <f t="shared" si="2"/>
        <v/>
      </c>
    </row>
    <row r="1199">
      <c r="A1199" s="84"/>
      <c r="B1199" s="84"/>
      <c r="C1199" s="85"/>
      <c r="D1199" s="86"/>
      <c r="E1199" s="87"/>
      <c r="F1199" s="86"/>
      <c r="G1199" s="87"/>
      <c r="H1199" s="86"/>
      <c r="I1199" s="86"/>
      <c r="J1199" s="86"/>
      <c r="K1199" s="84"/>
      <c r="L1199" s="84"/>
      <c r="M1199" s="84"/>
      <c r="N1199" s="84" t="str">
        <f>IFERROR(__xludf.DUMMYFUNCTION("IFERROR(AVERAGE(query(INDIRECT(""'FR Table'!"" &amp; vlookup(rows($A$1:$A1198),Reference!$O:$P,2,false) &amp; ""3:"" &amp; vlookup(rows($A$1:$A1198),Reference!$O:$P,2,false)), 
""SELECT "" &amp; vlookup(rows($A$1:$A1198),Reference!$O:$P,2,false) 
&amp; "" WHERE "" &amp; vlookup("&amp;"rows($A$1:$A1198),Reference!$O:$P,2,false) &amp;
"" &gt;= "" &amp; Reference!$R$2)) * M1199,"""")"),"")</f>
        <v/>
      </c>
      <c r="O1199" s="84" t="str">
        <f t="shared" si="2"/>
        <v/>
      </c>
    </row>
    <row r="1200">
      <c r="A1200" s="84"/>
      <c r="B1200" s="84"/>
      <c r="C1200" s="85"/>
      <c r="D1200" s="86"/>
      <c r="E1200" s="87"/>
      <c r="F1200" s="86"/>
      <c r="G1200" s="87"/>
      <c r="H1200" s="86"/>
      <c r="I1200" s="86"/>
      <c r="J1200" s="86"/>
      <c r="K1200" s="84"/>
      <c r="L1200" s="84"/>
      <c r="M1200" s="84"/>
      <c r="N1200" s="84" t="str">
        <f>IFERROR(__xludf.DUMMYFUNCTION("IFERROR(AVERAGE(query(INDIRECT(""'FR Table'!"" &amp; vlookup(rows($A$1:$A1199),Reference!$O:$P,2,false) &amp; ""3:"" &amp; vlookup(rows($A$1:$A1199),Reference!$O:$P,2,false)), 
""SELECT "" &amp; vlookup(rows($A$1:$A1199),Reference!$O:$P,2,false) 
&amp; "" WHERE "" &amp; vlookup("&amp;"rows($A$1:$A1199),Reference!$O:$P,2,false) &amp;
"" &gt;= "" &amp; Reference!$R$2)) * M1200,"""")"),"")</f>
        <v/>
      </c>
      <c r="O1200" s="84" t="str">
        <f t="shared" si="2"/>
        <v/>
      </c>
    </row>
    <row r="1201">
      <c r="A1201" s="84"/>
      <c r="B1201" s="84"/>
      <c r="C1201" s="85"/>
      <c r="D1201" s="86"/>
      <c r="E1201" s="87"/>
      <c r="F1201" s="86"/>
      <c r="G1201" s="87"/>
      <c r="H1201" s="86"/>
      <c r="I1201" s="86"/>
      <c r="J1201" s="86"/>
      <c r="K1201" s="84"/>
      <c r="L1201" s="84"/>
      <c r="M1201" s="84"/>
      <c r="N1201" s="84" t="str">
        <f>IFERROR(__xludf.DUMMYFUNCTION("IFERROR(AVERAGE(query(INDIRECT(""'FR Table'!"" &amp; vlookup(rows($A$1:$A1200),Reference!$O:$P,2,false) &amp; ""3:"" &amp; vlookup(rows($A$1:$A1200),Reference!$O:$P,2,false)), 
""SELECT "" &amp; vlookup(rows($A$1:$A1200),Reference!$O:$P,2,false) 
&amp; "" WHERE "" &amp; vlookup("&amp;"rows($A$1:$A1200),Reference!$O:$P,2,false) &amp;
"" &gt;= "" &amp; Reference!$R$2)) * M1201,"""")"),"")</f>
        <v/>
      </c>
      <c r="O1201" s="84" t="str">
        <f t="shared" si="2"/>
        <v/>
      </c>
    </row>
    <row r="1202">
      <c r="A1202" s="84"/>
      <c r="B1202" s="84"/>
      <c r="C1202" s="85"/>
      <c r="D1202" s="86"/>
      <c r="E1202" s="87"/>
      <c r="F1202" s="86"/>
      <c r="G1202" s="87"/>
      <c r="H1202" s="86"/>
      <c r="I1202" s="86"/>
      <c r="J1202" s="86"/>
      <c r="K1202" s="84"/>
      <c r="L1202" s="84"/>
      <c r="M1202" s="84"/>
      <c r="N1202" s="84" t="str">
        <f>IFERROR(__xludf.DUMMYFUNCTION("IFERROR(AVERAGE(query(INDIRECT(""'FR Table'!"" &amp; vlookup(rows($A$1:$A1201),Reference!$O:$P,2,false) &amp; ""3:"" &amp; vlookup(rows($A$1:$A1201),Reference!$O:$P,2,false)), 
""SELECT "" &amp; vlookup(rows($A$1:$A1201),Reference!$O:$P,2,false) 
&amp; "" WHERE "" &amp; vlookup("&amp;"rows($A$1:$A1201),Reference!$O:$P,2,false) &amp;
"" &gt;= "" &amp; Reference!$R$2)) * M1202,"""")"),"")</f>
        <v/>
      </c>
      <c r="O1202" s="84" t="str">
        <f t="shared" si="2"/>
        <v/>
      </c>
    </row>
    <row r="1203">
      <c r="A1203" s="84"/>
      <c r="B1203" s="84"/>
      <c r="C1203" s="85"/>
      <c r="D1203" s="86"/>
      <c r="E1203" s="87"/>
      <c r="F1203" s="86"/>
      <c r="G1203" s="87"/>
      <c r="H1203" s="86"/>
      <c r="I1203" s="86"/>
      <c r="J1203" s="86"/>
      <c r="K1203" s="84"/>
      <c r="L1203" s="84"/>
      <c r="M1203" s="84"/>
      <c r="N1203" s="84" t="str">
        <f>IFERROR(__xludf.DUMMYFUNCTION("IFERROR(AVERAGE(query(INDIRECT(""'FR Table'!"" &amp; vlookup(rows($A$1:$A1202),Reference!$O:$P,2,false) &amp; ""3:"" &amp; vlookup(rows($A$1:$A1202),Reference!$O:$P,2,false)), 
""SELECT "" &amp; vlookup(rows($A$1:$A1202),Reference!$O:$P,2,false) 
&amp; "" WHERE "" &amp; vlookup("&amp;"rows($A$1:$A1202),Reference!$O:$P,2,false) &amp;
"" &gt;= "" &amp; Reference!$R$2)) * M1203,"""")"),"")</f>
        <v/>
      </c>
      <c r="O1203" s="84" t="str">
        <f t="shared" si="2"/>
        <v/>
      </c>
    </row>
    <row r="1204">
      <c r="A1204" s="84"/>
      <c r="B1204" s="84"/>
      <c r="C1204" s="85"/>
      <c r="D1204" s="86"/>
      <c r="E1204" s="87"/>
      <c r="F1204" s="86"/>
      <c r="G1204" s="87"/>
      <c r="H1204" s="86"/>
      <c r="I1204" s="86"/>
      <c r="J1204" s="86"/>
      <c r="K1204" s="84"/>
      <c r="L1204" s="84"/>
      <c r="M1204" s="84"/>
      <c r="N1204" s="84" t="str">
        <f>IFERROR(__xludf.DUMMYFUNCTION("IFERROR(AVERAGE(query(INDIRECT(""'FR Table'!"" &amp; vlookup(rows($A$1:$A1203),Reference!$O:$P,2,false) &amp; ""3:"" &amp; vlookup(rows($A$1:$A1203),Reference!$O:$P,2,false)), 
""SELECT "" &amp; vlookup(rows($A$1:$A1203),Reference!$O:$P,2,false) 
&amp; "" WHERE "" &amp; vlookup("&amp;"rows($A$1:$A1203),Reference!$O:$P,2,false) &amp;
"" &gt;= "" &amp; Reference!$R$2)) * M1204,"""")"),"")</f>
        <v/>
      </c>
      <c r="O1204" s="84" t="str">
        <f t="shared" si="2"/>
        <v/>
      </c>
    </row>
    <row r="1205">
      <c r="A1205" s="84"/>
      <c r="B1205" s="84"/>
      <c r="C1205" s="85"/>
      <c r="D1205" s="86"/>
      <c r="E1205" s="87"/>
      <c r="F1205" s="86"/>
      <c r="G1205" s="87"/>
      <c r="H1205" s="86"/>
      <c r="I1205" s="86"/>
      <c r="J1205" s="86"/>
      <c r="K1205" s="84"/>
      <c r="L1205" s="84"/>
      <c r="M1205" s="84"/>
      <c r="N1205" s="84" t="str">
        <f>IFERROR(__xludf.DUMMYFUNCTION("IFERROR(AVERAGE(query(INDIRECT(""'FR Table'!"" &amp; vlookup(rows($A$1:$A1204),Reference!$O:$P,2,false) &amp; ""3:"" &amp; vlookup(rows($A$1:$A1204),Reference!$O:$P,2,false)), 
""SELECT "" &amp; vlookup(rows($A$1:$A1204),Reference!$O:$P,2,false) 
&amp; "" WHERE "" &amp; vlookup("&amp;"rows($A$1:$A1204),Reference!$O:$P,2,false) &amp;
"" &gt;= "" &amp; Reference!$R$2)) * M1205,"""")"),"")</f>
        <v/>
      </c>
      <c r="O1205" s="84" t="str">
        <f t="shared" si="2"/>
        <v/>
      </c>
    </row>
    <row r="1206">
      <c r="A1206" s="84"/>
      <c r="B1206" s="84"/>
      <c r="C1206" s="85"/>
      <c r="D1206" s="86"/>
      <c r="E1206" s="87"/>
      <c r="F1206" s="86"/>
      <c r="G1206" s="87"/>
      <c r="H1206" s="86"/>
      <c r="I1206" s="86"/>
      <c r="J1206" s="86"/>
      <c r="K1206" s="84"/>
      <c r="L1206" s="84"/>
      <c r="M1206" s="84"/>
      <c r="N1206" s="84" t="str">
        <f>IFERROR(__xludf.DUMMYFUNCTION("IFERROR(AVERAGE(query(INDIRECT(""'FR Table'!"" &amp; vlookup(rows($A$1:$A1205),Reference!$O:$P,2,false) &amp; ""3:"" &amp; vlookup(rows($A$1:$A1205),Reference!$O:$P,2,false)), 
""SELECT "" &amp; vlookup(rows($A$1:$A1205),Reference!$O:$P,2,false) 
&amp; "" WHERE "" &amp; vlookup("&amp;"rows($A$1:$A1205),Reference!$O:$P,2,false) &amp;
"" &gt;= "" &amp; Reference!$R$2)) * M1206,"""")"),"")</f>
        <v/>
      </c>
      <c r="O1206" s="84" t="str">
        <f t="shared" si="2"/>
        <v/>
      </c>
    </row>
    <row r="1207">
      <c r="A1207" s="84"/>
      <c r="B1207" s="84"/>
      <c r="C1207" s="85"/>
      <c r="D1207" s="86"/>
      <c r="E1207" s="87"/>
      <c r="F1207" s="86"/>
      <c r="G1207" s="87"/>
      <c r="H1207" s="86"/>
      <c r="I1207" s="86"/>
      <c r="J1207" s="86"/>
      <c r="K1207" s="84"/>
      <c r="L1207" s="84"/>
      <c r="M1207" s="84"/>
      <c r="N1207" s="84" t="str">
        <f>IFERROR(__xludf.DUMMYFUNCTION("IFERROR(AVERAGE(query(INDIRECT(""'FR Table'!"" &amp; vlookup(rows($A$1:$A1206),Reference!$O:$P,2,false) &amp; ""3:"" &amp; vlookup(rows($A$1:$A1206),Reference!$O:$P,2,false)), 
""SELECT "" &amp; vlookup(rows($A$1:$A1206),Reference!$O:$P,2,false) 
&amp; "" WHERE "" &amp; vlookup("&amp;"rows($A$1:$A1206),Reference!$O:$P,2,false) &amp;
"" &gt;= "" &amp; Reference!$R$2)) * M1207,"""")"),"")</f>
        <v/>
      </c>
      <c r="O1207" s="84" t="str">
        <f t="shared" si="2"/>
        <v/>
      </c>
    </row>
    <row r="1208">
      <c r="A1208" s="84"/>
      <c r="B1208" s="84"/>
      <c r="C1208" s="85"/>
      <c r="D1208" s="86"/>
      <c r="E1208" s="87"/>
      <c r="F1208" s="86"/>
      <c r="G1208" s="87"/>
      <c r="H1208" s="86"/>
      <c r="I1208" s="86"/>
      <c r="J1208" s="86"/>
      <c r="K1208" s="84"/>
      <c r="L1208" s="84"/>
      <c r="M1208" s="84"/>
      <c r="N1208" s="84" t="str">
        <f>IFERROR(__xludf.DUMMYFUNCTION("IFERROR(AVERAGE(query(INDIRECT(""'FR Table'!"" &amp; vlookup(rows($A$1:$A1207),Reference!$O:$P,2,false) &amp; ""3:"" &amp; vlookup(rows($A$1:$A1207),Reference!$O:$P,2,false)), 
""SELECT "" &amp; vlookup(rows($A$1:$A1207),Reference!$O:$P,2,false) 
&amp; "" WHERE "" &amp; vlookup("&amp;"rows($A$1:$A1207),Reference!$O:$P,2,false) &amp;
"" &gt;= "" &amp; Reference!$R$2)) * M1208,"""")"),"")</f>
        <v/>
      </c>
      <c r="O1208" s="84" t="str">
        <f t="shared" si="2"/>
        <v/>
      </c>
    </row>
    <row r="1209">
      <c r="A1209" s="84"/>
      <c r="B1209" s="84"/>
      <c r="C1209" s="85"/>
      <c r="D1209" s="86"/>
      <c r="E1209" s="87"/>
      <c r="F1209" s="86"/>
      <c r="G1209" s="87"/>
      <c r="H1209" s="86"/>
      <c r="I1209" s="86"/>
      <c r="J1209" s="86"/>
      <c r="K1209" s="84"/>
      <c r="L1209" s="84"/>
      <c r="M1209" s="84"/>
      <c r="N1209" s="84" t="str">
        <f>IFERROR(__xludf.DUMMYFUNCTION("IFERROR(AVERAGE(query(INDIRECT(""'FR Table'!"" &amp; vlookup(rows($A$1:$A1208),Reference!$O:$P,2,false) &amp; ""3:"" &amp; vlookup(rows($A$1:$A1208),Reference!$O:$P,2,false)), 
""SELECT "" &amp; vlookup(rows($A$1:$A1208),Reference!$O:$P,2,false) 
&amp; "" WHERE "" &amp; vlookup("&amp;"rows($A$1:$A1208),Reference!$O:$P,2,false) &amp;
"" &gt;= "" &amp; Reference!$R$2)) * M1209,"""")"),"")</f>
        <v/>
      </c>
      <c r="O1209" s="84" t="str">
        <f t="shared" si="2"/>
        <v/>
      </c>
    </row>
    <row r="1210">
      <c r="A1210" s="84"/>
      <c r="B1210" s="84"/>
      <c r="C1210" s="85"/>
      <c r="D1210" s="86"/>
      <c r="E1210" s="87"/>
      <c r="F1210" s="86"/>
      <c r="G1210" s="87"/>
      <c r="H1210" s="86"/>
      <c r="I1210" s="86"/>
      <c r="J1210" s="86"/>
      <c r="K1210" s="84"/>
      <c r="L1210" s="84"/>
      <c r="M1210" s="84"/>
      <c r="N1210" s="84" t="str">
        <f>IFERROR(__xludf.DUMMYFUNCTION("IFERROR(AVERAGE(query(INDIRECT(""'FR Table'!"" &amp; vlookup(rows($A$1:$A1209),Reference!$O:$P,2,false) &amp; ""3:"" &amp; vlookup(rows($A$1:$A1209),Reference!$O:$P,2,false)), 
""SELECT "" &amp; vlookup(rows($A$1:$A1209),Reference!$O:$P,2,false) 
&amp; "" WHERE "" &amp; vlookup("&amp;"rows($A$1:$A1209),Reference!$O:$P,2,false) &amp;
"" &gt;= "" &amp; Reference!$R$2)) * M1210,"""")"),"")</f>
        <v/>
      </c>
      <c r="O1210" s="84" t="str">
        <f t="shared" si="2"/>
        <v/>
      </c>
    </row>
    <row r="1211">
      <c r="A1211" s="84"/>
      <c r="B1211" s="84"/>
      <c r="C1211" s="85"/>
      <c r="D1211" s="86"/>
      <c r="E1211" s="87"/>
      <c r="F1211" s="86"/>
      <c r="G1211" s="87"/>
      <c r="H1211" s="86"/>
      <c r="I1211" s="86"/>
      <c r="J1211" s="86"/>
      <c r="K1211" s="84"/>
      <c r="L1211" s="84"/>
      <c r="M1211" s="84"/>
      <c r="N1211" s="84" t="str">
        <f>IFERROR(__xludf.DUMMYFUNCTION("IFERROR(AVERAGE(query(INDIRECT(""'FR Table'!"" &amp; vlookup(rows($A$1:$A1210),Reference!$O:$P,2,false) &amp; ""3:"" &amp; vlookup(rows($A$1:$A1210),Reference!$O:$P,2,false)), 
""SELECT "" &amp; vlookup(rows($A$1:$A1210),Reference!$O:$P,2,false) 
&amp; "" WHERE "" &amp; vlookup("&amp;"rows($A$1:$A1210),Reference!$O:$P,2,false) &amp;
"" &gt;= "" &amp; Reference!$R$2)) * M1211,"""")"),"")</f>
        <v/>
      </c>
      <c r="O1211" s="84" t="str">
        <f t="shared" si="2"/>
        <v/>
      </c>
    </row>
    <row r="1212">
      <c r="A1212" s="84"/>
      <c r="B1212" s="84"/>
      <c r="C1212" s="85"/>
      <c r="D1212" s="86"/>
      <c r="E1212" s="87"/>
      <c r="F1212" s="86"/>
      <c r="G1212" s="87"/>
      <c r="H1212" s="86"/>
      <c r="I1212" s="86"/>
      <c r="J1212" s="86"/>
      <c r="K1212" s="84"/>
      <c r="L1212" s="84"/>
      <c r="M1212" s="84"/>
      <c r="N1212" s="84" t="str">
        <f>IFERROR(__xludf.DUMMYFUNCTION("IFERROR(AVERAGE(query(INDIRECT(""'FR Table'!"" &amp; vlookup(rows($A$1:$A1211),Reference!$O:$P,2,false) &amp; ""3:"" &amp; vlookup(rows($A$1:$A1211),Reference!$O:$P,2,false)), 
""SELECT "" &amp; vlookup(rows($A$1:$A1211),Reference!$O:$P,2,false) 
&amp; "" WHERE "" &amp; vlookup("&amp;"rows($A$1:$A1211),Reference!$O:$P,2,false) &amp;
"" &gt;= "" &amp; Reference!$R$2)) * M1212,"""")"),"")</f>
        <v/>
      </c>
      <c r="O1212" s="84" t="str">
        <f t="shared" si="2"/>
        <v/>
      </c>
    </row>
    <row r="1213">
      <c r="A1213" s="84"/>
      <c r="B1213" s="84"/>
      <c r="C1213" s="85"/>
      <c r="D1213" s="86"/>
      <c r="E1213" s="87"/>
      <c r="F1213" s="86"/>
      <c r="G1213" s="87"/>
      <c r="H1213" s="86"/>
      <c r="I1213" s="86"/>
      <c r="J1213" s="86"/>
      <c r="K1213" s="84"/>
      <c r="L1213" s="84"/>
      <c r="M1213" s="84"/>
      <c r="N1213" s="84" t="str">
        <f>IFERROR(__xludf.DUMMYFUNCTION("IFERROR(AVERAGE(query(INDIRECT(""'FR Table'!"" &amp; vlookup(rows($A$1:$A1212),Reference!$O:$P,2,false) &amp; ""3:"" &amp; vlookup(rows($A$1:$A1212),Reference!$O:$P,2,false)), 
""SELECT "" &amp; vlookup(rows($A$1:$A1212),Reference!$O:$P,2,false) 
&amp; "" WHERE "" &amp; vlookup("&amp;"rows($A$1:$A1212),Reference!$O:$P,2,false) &amp;
"" &gt;= "" &amp; Reference!$R$2)) * M1213,"""")"),"")</f>
        <v/>
      </c>
      <c r="O1213" s="84" t="str">
        <f t="shared" si="2"/>
        <v/>
      </c>
    </row>
    <row r="1214">
      <c r="A1214" s="84"/>
      <c r="B1214" s="84"/>
      <c r="C1214" s="85"/>
      <c r="D1214" s="86"/>
      <c r="E1214" s="87"/>
      <c r="F1214" s="86"/>
      <c r="G1214" s="87"/>
      <c r="H1214" s="86"/>
      <c r="I1214" s="86"/>
      <c r="J1214" s="86"/>
      <c r="K1214" s="84"/>
      <c r="L1214" s="84"/>
      <c r="M1214" s="84"/>
      <c r="N1214" s="84" t="str">
        <f>IFERROR(__xludf.DUMMYFUNCTION("IFERROR(AVERAGE(query(INDIRECT(""'FR Table'!"" &amp; vlookup(rows($A$1:$A1213),Reference!$O:$P,2,false) &amp; ""3:"" &amp; vlookup(rows($A$1:$A1213),Reference!$O:$P,2,false)), 
""SELECT "" &amp; vlookup(rows($A$1:$A1213),Reference!$O:$P,2,false) 
&amp; "" WHERE "" &amp; vlookup("&amp;"rows($A$1:$A1213),Reference!$O:$P,2,false) &amp;
"" &gt;= "" &amp; Reference!$R$2)) * M1214,"""")"),"")</f>
        <v/>
      </c>
      <c r="O1214" s="84" t="str">
        <f t="shared" si="2"/>
        <v/>
      </c>
    </row>
    <row r="1215">
      <c r="A1215" s="84"/>
      <c r="B1215" s="84"/>
      <c r="C1215" s="85"/>
      <c r="D1215" s="86"/>
      <c r="E1215" s="87"/>
      <c r="F1215" s="86"/>
      <c r="G1215" s="87"/>
      <c r="H1215" s="86"/>
      <c r="I1215" s="86"/>
      <c r="J1215" s="86"/>
      <c r="K1215" s="84"/>
      <c r="L1215" s="84"/>
      <c r="M1215" s="84"/>
      <c r="N1215" s="84" t="str">
        <f>IFERROR(__xludf.DUMMYFUNCTION("IFERROR(AVERAGE(query(INDIRECT(""'FR Table'!"" &amp; vlookup(rows($A$1:$A1214),Reference!$O:$P,2,false) &amp; ""3:"" &amp; vlookup(rows($A$1:$A1214),Reference!$O:$P,2,false)), 
""SELECT "" &amp; vlookup(rows($A$1:$A1214),Reference!$O:$P,2,false) 
&amp; "" WHERE "" &amp; vlookup("&amp;"rows($A$1:$A1214),Reference!$O:$P,2,false) &amp;
"" &gt;= "" &amp; Reference!$R$2)) * M1215,"""")"),"")</f>
        <v/>
      </c>
      <c r="O1215" s="84" t="str">
        <f t="shared" si="2"/>
        <v/>
      </c>
    </row>
    <row r="1216">
      <c r="A1216" s="84"/>
      <c r="B1216" s="84"/>
      <c r="C1216" s="85"/>
      <c r="D1216" s="86"/>
      <c r="E1216" s="87"/>
      <c r="F1216" s="86"/>
      <c r="G1216" s="87"/>
      <c r="H1216" s="86"/>
      <c r="I1216" s="86"/>
      <c r="J1216" s="86"/>
      <c r="K1216" s="84"/>
      <c r="L1216" s="84"/>
      <c r="M1216" s="84"/>
      <c r="N1216" s="84" t="str">
        <f>IFERROR(__xludf.DUMMYFUNCTION("IFERROR(AVERAGE(query(INDIRECT(""'FR Table'!"" &amp; vlookup(rows($A$1:$A1215),Reference!$O:$P,2,false) &amp; ""3:"" &amp; vlookup(rows($A$1:$A1215),Reference!$O:$P,2,false)), 
""SELECT "" &amp; vlookup(rows($A$1:$A1215),Reference!$O:$P,2,false) 
&amp; "" WHERE "" &amp; vlookup("&amp;"rows($A$1:$A1215),Reference!$O:$P,2,false) &amp;
"" &gt;= "" &amp; Reference!$R$2)) * M1216,"""")"),"")</f>
        <v/>
      </c>
      <c r="O1216" s="84" t="str">
        <f t="shared" si="2"/>
        <v/>
      </c>
    </row>
    <row r="1217">
      <c r="A1217" s="84"/>
      <c r="B1217" s="84"/>
      <c r="C1217" s="85"/>
      <c r="D1217" s="86"/>
      <c r="E1217" s="87"/>
      <c r="F1217" s="86"/>
      <c r="G1217" s="87"/>
      <c r="H1217" s="86"/>
      <c r="I1217" s="86"/>
      <c r="J1217" s="86"/>
      <c r="K1217" s="84"/>
      <c r="L1217" s="84"/>
      <c r="M1217" s="84"/>
      <c r="N1217" s="84" t="str">
        <f>IFERROR(__xludf.DUMMYFUNCTION("IFERROR(AVERAGE(query(INDIRECT(""'FR Table'!"" &amp; vlookup(rows($A$1:$A1216),Reference!$O:$P,2,false) &amp; ""3:"" &amp; vlookup(rows($A$1:$A1216),Reference!$O:$P,2,false)), 
""SELECT "" &amp; vlookup(rows($A$1:$A1216),Reference!$O:$P,2,false) 
&amp; "" WHERE "" &amp; vlookup("&amp;"rows($A$1:$A1216),Reference!$O:$P,2,false) &amp;
"" &gt;= "" &amp; Reference!$R$2)) * M1217,"""")"),"")</f>
        <v/>
      </c>
      <c r="O1217" s="84" t="str">
        <f t="shared" si="2"/>
        <v/>
      </c>
    </row>
    <row r="1218">
      <c r="A1218" s="84"/>
      <c r="B1218" s="84"/>
      <c r="C1218" s="85"/>
      <c r="D1218" s="86"/>
      <c r="E1218" s="87"/>
      <c r="F1218" s="86"/>
      <c r="G1218" s="87"/>
      <c r="H1218" s="86"/>
      <c r="I1218" s="86"/>
      <c r="J1218" s="86"/>
      <c r="K1218" s="84"/>
      <c r="L1218" s="84"/>
      <c r="M1218" s="84"/>
      <c r="N1218" s="84" t="str">
        <f>IFERROR(__xludf.DUMMYFUNCTION("IFERROR(AVERAGE(query(INDIRECT(""'FR Table'!"" &amp; vlookup(rows($A$1:$A1217),Reference!$O:$P,2,false) &amp; ""3:"" &amp; vlookup(rows($A$1:$A1217),Reference!$O:$P,2,false)), 
""SELECT "" &amp; vlookup(rows($A$1:$A1217),Reference!$O:$P,2,false) 
&amp; "" WHERE "" &amp; vlookup("&amp;"rows($A$1:$A1217),Reference!$O:$P,2,false) &amp;
"" &gt;= "" &amp; Reference!$R$2)) * M1218,"""")"),"")</f>
        <v/>
      </c>
      <c r="O1218" s="84" t="str">
        <f t="shared" si="2"/>
        <v/>
      </c>
    </row>
    <row r="1219">
      <c r="A1219" s="84"/>
      <c r="B1219" s="84"/>
      <c r="C1219" s="85"/>
      <c r="D1219" s="86"/>
      <c r="E1219" s="87"/>
      <c r="F1219" s="86"/>
      <c r="G1219" s="87"/>
      <c r="H1219" s="86"/>
      <c r="I1219" s="86"/>
      <c r="J1219" s="86"/>
      <c r="K1219" s="84"/>
      <c r="L1219" s="84"/>
      <c r="M1219" s="84"/>
      <c r="N1219" s="84" t="str">
        <f>IFERROR(__xludf.DUMMYFUNCTION("IFERROR(AVERAGE(query(INDIRECT(""'FR Table'!"" &amp; vlookup(rows($A$1:$A1218),Reference!$O:$P,2,false) &amp; ""3:"" &amp; vlookup(rows($A$1:$A1218),Reference!$O:$P,2,false)), 
""SELECT "" &amp; vlookup(rows($A$1:$A1218),Reference!$O:$P,2,false) 
&amp; "" WHERE "" &amp; vlookup("&amp;"rows($A$1:$A1218),Reference!$O:$P,2,false) &amp;
"" &gt;= "" &amp; Reference!$R$2)) * M1219,"""")"),"")</f>
        <v/>
      </c>
      <c r="O1219" s="84" t="str">
        <f t="shared" si="2"/>
        <v/>
      </c>
    </row>
    <row r="1220">
      <c r="A1220" s="84"/>
      <c r="B1220" s="84"/>
      <c r="C1220" s="85"/>
      <c r="D1220" s="86"/>
      <c r="E1220" s="87"/>
      <c r="F1220" s="86"/>
      <c r="G1220" s="87"/>
      <c r="H1220" s="86"/>
      <c r="I1220" s="86"/>
      <c r="J1220" s="86"/>
      <c r="K1220" s="84"/>
      <c r="L1220" s="84"/>
      <c r="M1220" s="84"/>
      <c r="N1220" s="84" t="str">
        <f>IFERROR(__xludf.DUMMYFUNCTION("IFERROR(AVERAGE(query(INDIRECT(""'FR Table'!"" &amp; vlookup(rows($A$1:$A1219),Reference!$O:$P,2,false) &amp; ""3:"" &amp; vlookup(rows($A$1:$A1219),Reference!$O:$P,2,false)), 
""SELECT "" &amp; vlookup(rows($A$1:$A1219),Reference!$O:$P,2,false) 
&amp; "" WHERE "" &amp; vlookup("&amp;"rows($A$1:$A1219),Reference!$O:$P,2,false) &amp;
"" &gt;= "" &amp; Reference!$R$2)) * M1220,"""")"),"")</f>
        <v/>
      </c>
      <c r="O1220" s="84" t="str">
        <f t="shared" si="2"/>
        <v/>
      </c>
    </row>
    <row r="1221">
      <c r="A1221" s="84"/>
      <c r="B1221" s="84"/>
      <c r="C1221" s="85"/>
      <c r="D1221" s="86"/>
      <c r="E1221" s="87"/>
      <c r="F1221" s="86"/>
      <c r="G1221" s="87"/>
      <c r="H1221" s="86"/>
      <c r="I1221" s="86"/>
      <c r="J1221" s="86"/>
      <c r="K1221" s="84"/>
      <c r="L1221" s="84"/>
      <c r="M1221" s="84"/>
      <c r="N1221" s="84" t="str">
        <f>IFERROR(__xludf.DUMMYFUNCTION("IFERROR(AVERAGE(query(INDIRECT(""'FR Table'!"" &amp; vlookup(rows($A$1:$A1220),Reference!$O:$P,2,false) &amp; ""3:"" &amp; vlookup(rows($A$1:$A1220),Reference!$O:$P,2,false)), 
""SELECT "" &amp; vlookup(rows($A$1:$A1220),Reference!$O:$P,2,false) 
&amp; "" WHERE "" &amp; vlookup("&amp;"rows($A$1:$A1220),Reference!$O:$P,2,false) &amp;
"" &gt;= "" &amp; Reference!$R$2)) * M1221,"""")"),"")</f>
        <v/>
      </c>
      <c r="O1221" s="84" t="str">
        <f t="shared" si="2"/>
        <v/>
      </c>
    </row>
    <row r="1222">
      <c r="A1222" s="84"/>
      <c r="B1222" s="84"/>
      <c r="C1222" s="85"/>
      <c r="D1222" s="86"/>
      <c r="E1222" s="87"/>
      <c r="F1222" s="86"/>
      <c r="G1222" s="87"/>
      <c r="H1222" s="86"/>
      <c r="I1222" s="86"/>
      <c r="J1222" s="86"/>
      <c r="K1222" s="84"/>
      <c r="L1222" s="84"/>
      <c r="M1222" s="84"/>
      <c r="N1222" s="84" t="str">
        <f>IFERROR(__xludf.DUMMYFUNCTION("IFERROR(AVERAGE(query(INDIRECT(""'FR Table'!"" &amp; vlookup(rows($A$1:$A1221),Reference!$O:$P,2,false) &amp; ""3:"" &amp; vlookup(rows($A$1:$A1221),Reference!$O:$P,2,false)), 
""SELECT "" &amp; vlookup(rows($A$1:$A1221),Reference!$O:$P,2,false) 
&amp; "" WHERE "" &amp; vlookup("&amp;"rows($A$1:$A1221),Reference!$O:$P,2,false) &amp;
"" &gt;= "" &amp; Reference!$R$2)) * M1222,"""")"),"")</f>
        <v/>
      </c>
      <c r="O1222" s="84" t="str">
        <f t="shared" si="2"/>
        <v/>
      </c>
    </row>
    <row r="1223">
      <c r="A1223" s="84"/>
      <c r="B1223" s="84"/>
      <c r="C1223" s="85"/>
      <c r="D1223" s="86"/>
      <c r="E1223" s="87"/>
      <c r="F1223" s="86"/>
      <c r="G1223" s="87"/>
      <c r="H1223" s="86"/>
      <c r="I1223" s="86"/>
      <c r="J1223" s="86"/>
      <c r="K1223" s="84"/>
      <c r="L1223" s="84"/>
      <c r="M1223" s="84"/>
      <c r="N1223" s="84" t="str">
        <f>IFERROR(__xludf.DUMMYFUNCTION("IFERROR(AVERAGE(query(INDIRECT(""'FR Table'!"" &amp; vlookup(rows($A$1:$A1222),Reference!$O:$P,2,false) &amp; ""3:"" &amp; vlookup(rows($A$1:$A1222),Reference!$O:$P,2,false)), 
""SELECT "" &amp; vlookup(rows($A$1:$A1222),Reference!$O:$P,2,false) 
&amp; "" WHERE "" &amp; vlookup("&amp;"rows($A$1:$A1222),Reference!$O:$P,2,false) &amp;
"" &gt;= "" &amp; Reference!$R$2)) * M1223,"""")"),"")</f>
        <v/>
      </c>
      <c r="O1223" s="84" t="str">
        <f t="shared" si="2"/>
        <v/>
      </c>
    </row>
    <row r="1224">
      <c r="A1224" s="84"/>
      <c r="B1224" s="84"/>
      <c r="C1224" s="85"/>
      <c r="D1224" s="86"/>
      <c r="E1224" s="87"/>
      <c r="F1224" s="86"/>
      <c r="G1224" s="87"/>
      <c r="H1224" s="86"/>
      <c r="I1224" s="86"/>
      <c r="J1224" s="86"/>
      <c r="K1224" s="84"/>
      <c r="L1224" s="84"/>
      <c r="M1224" s="84"/>
      <c r="N1224" s="84" t="str">
        <f>IFERROR(__xludf.DUMMYFUNCTION("IFERROR(AVERAGE(query(INDIRECT(""'FR Table'!"" &amp; vlookup(rows($A$1:$A1223),Reference!$O:$P,2,false) &amp; ""3:"" &amp; vlookup(rows($A$1:$A1223),Reference!$O:$P,2,false)), 
""SELECT "" &amp; vlookup(rows($A$1:$A1223),Reference!$O:$P,2,false) 
&amp; "" WHERE "" &amp; vlookup("&amp;"rows($A$1:$A1223),Reference!$O:$P,2,false) &amp;
"" &gt;= "" &amp; Reference!$R$2)) * M1224,"""")"),"")</f>
        <v/>
      </c>
      <c r="O1224" s="84" t="str">
        <f t="shared" si="2"/>
        <v/>
      </c>
    </row>
    <row r="1225">
      <c r="A1225" s="84"/>
      <c r="B1225" s="84"/>
      <c r="C1225" s="85"/>
      <c r="D1225" s="86"/>
      <c r="E1225" s="87"/>
      <c r="F1225" s="86"/>
      <c r="G1225" s="87"/>
      <c r="H1225" s="86"/>
      <c r="I1225" s="86"/>
      <c r="J1225" s="86"/>
      <c r="K1225" s="84"/>
      <c r="L1225" s="84"/>
      <c r="M1225" s="84"/>
      <c r="N1225" s="84" t="str">
        <f>IFERROR(__xludf.DUMMYFUNCTION("IFERROR(AVERAGE(query(INDIRECT(""'FR Table'!"" &amp; vlookup(rows($A$1:$A1224),Reference!$O:$P,2,false) &amp; ""3:"" &amp; vlookup(rows($A$1:$A1224),Reference!$O:$P,2,false)), 
""SELECT "" &amp; vlookup(rows($A$1:$A1224),Reference!$O:$P,2,false) 
&amp; "" WHERE "" &amp; vlookup("&amp;"rows($A$1:$A1224),Reference!$O:$P,2,false) &amp;
"" &gt;= "" &amp; Reference!$R$2)) * M1225,"""")"),"")</f>
        <v/>
      </c>
      <c r="O1225" s="84" t="str">
        <f t="shared" si="2"/>
        <v/>
      </c>
    </row>
    <row r="1226">
      <c r="A1226" s="84"/>
      <c r="B1226" s="84"/>
      <c r="C1226" s="85"/>
      <c r="D1226" s="86"/>
      <c r="E1226" s="87"/>
      <c r="F1226" s="86"/>
      <c r="G1226" s="87"/>
      <c r="H1226" s="86"/>
      <c r="I1226" s="86"/>
      <c r="J1226" s="86"/>
      <c r="K1226" s="84"/>
      <c r="L1226" s="84"/>
      <c r="M1226" s="84"/>
      <c r="N1226" s="84" t="str">
        <f>IFERROR(__xludf.DUMMYFUNCTION("IFERROR(AVERAGE(query(INDIRECT(""'FR Table'!"" &amp; vlookup(rows($A$1:$A1225),Reference!$O:$P,2,false) &amp; ""3:"" &amp; vlookup(rows($A$1:$A1225),Reference!$O:$P,2,false)), 
""SELECT "" &amp; vlookup(rows($A$1:$A1225),Reference!$O:$P,2,false) 
&amp; "" WHERE "" &amp; vlookup("&amp;"rows($A$1:$A1225),Reference!$O:$P,2,false) &amp;
"" &gt;= "" &amp; Reference!$R$2)) * M1226,"""")"),"")</f>
        <v/>
      </c>
      <c r="O1226" s="84" t="str">
        <f t="shared" si="2"/>
        <v/>
      </c>
    </row>
    <row r="1227">
      <c r="A1227" s="84"/>
      <c r="B1227" s="84"/>
      <c r="C1227" s="85"/>
      <c r="D1227" s="86"/>
      <c r="E1227" s="87"/>
      <c r="F1227" s="86"/>
      <c r="G1227" s="87"/>
      <c r="H1227" s="86"/>
      <c r="I1227" s="86"/>
      <c r="J1227" s="86"/>
      <c r="K1227" s="84"/>
      <c r="L1227" s="84"/>
      <c r="M1227" s="84"/>
      <c r="N1227" s="84" t="str">
        <f>IFERROR(__xludf.DUMMYFUNCTION("IFERROR(AVERAGE(query(INDIRECT(""'FR Table'!"" &amp; vlookup(rows($A$1:$A1226),Reference!$O:$P,2,false) &amp; ""3:"" &amp; vlookup(rows($A$1:$A1226),Reference!$O:$P,2,false)), 
""SELECT "" &amp; vlookup(rows($A$1:$A1226),Reference!$O:$P,2,false) 
&amp; "" WHERE "" &amp; vlookup("&amp;"rows($A$1:$A1226),Reference!$O:$P,2,false) &amp;
"" &gt;= "" &amp; Reference!$R$2)) * M1227,"""")"),"")</f>
        <v/>
      </c>
      <c r="O1227" s="84" t="str">
        <f t="shared" si="2"/>
        <v/>
      </c>
    </row>
    <row r="1228">
      <c r="A1228" s="84"/>
      <c r="B1228" s="84"/>
      <c r="C1228" s="85"/>
      <c r="D1228" s="86"/>
      <c r="E1228" s="87"/>
      <c r="F1228" s="86"/>
      <c r="G1228" s="87"/>
      <c r="H1228" s="86"/>
      <c r="I1228" s="86"/>
      <c r="J1228" s="86"/>
      <c r="K1228" s="84"/>
      <c r="L1228" s="84"/>
      <c r="M1228" s="84"/>
      <c r="N1228" s="84" t="str">
        <f>IFERROR(__xludf.DUMMYFUNCTION("IFERROR(AVERAGE(query(INDIRECT(""'FR Table'!"" &amp; vlookup(rows($A$1:$A1227),Reference!$O:$P,2,false) &amp; ""3:"" &amp; vlookup(rows($A$1:$A1227),Reference!$O:$P,2,false)), 
""SELECT "" &amp; vlookup(rows($A$1:$A1227),Reference!$O:$P,2,false) 
&amp; "" WHERE "" &amp; vlookup("&amp;"rows($A$1:$A1227),Reference!$O:$P,2,false) &amp;
"" &gt;= "" &amp; Reference!$R$2)) * M1228,"""")"),"")</f>
        <v/>
      </c>
      <c r="O1228" s="84" t="str">
        <f t="shared" si="2"/>
        <v/>
      </c>
    </row>
    <row r="1229">
      <c r="A1229" s="84"/>
      <c r="B1229" s="84"/>
      <c r="C1229" s="85"/>
      <c r="D1229" s="86"/>
      <c r="E1229" s="87"/>
      <c r="F1229" s="86"/>
      <c r="G1229" s="87"/>
      <c r="H1229" s="86"/>
      <c r="I1229" s="86"/>
      <c r="J1229" s="86"/>
      <c r="K1229" s="84"/>
      <c r="L1229" s="84"/>
      <c r="M1229" s="84"/>
      <c r="N1229" s="84" t="str">
        <f>IFERROR(__xludf.DUMMYFUNCTION("IFERROR(AVERAGE(query(INDIRECT(""'FR Table'!"" &amp; vlookup(rows($A$1:$A1228),Reference!$O:$P,2,false) &amp; ""3:"" &amp; vlookup(rows($A$1:$A1228),Reference!$O:$P,2,false)), 
""SELECT "" &amp; vlookup(rows($A$1:$A1228),Reference!$O:$P,2,false) 
&amp; "" WHERE "" &amp; vlookup("&amp;"rows($A$1:$A1228),Reference!$O:$P,2,false) &amp;
"" &gt;= "" &amp; Reference!$R$2)) * M1229,"""")"),"")</f>
        <v/>
      </c>
      <c r="O1229" s="84" t="str">
        <f t="shared" si="2"/>
        <v/>
      </c>
    </row>
    <row r="1230">
      <c r="A1230" s="84"/>
      <c r="B1230" s="84"/>
      <c r="C1230" s="85"/>
      <c r="D1230" s="86"/>
      <c r="E1230" s="87"/>
      <c r="F1230" s="86"/>
      <c r="G1230" s="87"/>
      <c r="H1230" s="86"/>
      <c r="I1230" s="86"/>
      <c r="J1230" s="86"/>
      <c r="K1230" s="84"/>
      <c r="L1230" s="84"/>
      <c r="M1230" s="84"/>
      <c r="N1230" s="84" t="str">
        <f>IFERROR(__xludf.DUMMYFUNCTION("IFERROR(AVERAGE(query(INDIRECT(""'FR Table'!"" &amp; vlookup(rows($A$1:$A1229),Reference!$O:$P,2,false) &amp; ""3:"" &amp; vlookup(rows($A$1:$A1229),Reference!$O:$P,2,false)), 
""SELECT "" &amp; vlookup(rows($A$1:$A1229),Reference!$O:$P,2,false) 
&amp; "" WHERE "" &amp; vlookup("&amp;"rows($A$1:$A1229),Reference!$O:$P,2,false) &amp;
"" &gt;= "" &amp; Reference!$R$2)) * M1230,"""")"),"")</f>
        <v/>
      </c>
      <c r="O1230" s="84" t="str">
        <f t="shared" si="2"/>
        <v/>
      </c>
    </row>
    <row r="1231">
      <c r="A1231" s="84"/>
      <c r="B1231" s="84"/>
      <c r="C1231" s="85"/>
      <c r="D1231" s="86"/>
      <c r="E1231" s="87"/>
      <c r="F1231" s="86"/>
      <c r="G1231" s="87"/>
      <c r="H1231" s="86"/>
      <c r="I1231" s="86"/>
      <c r="J1231" s="86"/>
      <c r="K1231" s="84"/>
      <c r="L1231" s="84"/>
      <c r="M1231" s="84"/>
      <c r="N1231" s="84" t="str">
        <f>IFERROR(__xludf.DUMMYFUNCTION("IFERROR(AVERAGE(query(INDIRECT(""'FR Table'!"" &amp; vlookup(rows($A$1:$A1230),Reference!$O:$P,2,false) &amp; ""3:"" &amp; vlookup(rows($A$1:$A1230),Reference!$O:$P,2,false)), 
""SELECT "" &amp; vlookup(rows($A$1:$A1230),Reference!$O:$P,2,false) 
&amp; "" WHERE "" &amp; vlookup("&amp;"rows($A$1:$A1230),Reference!$O:$P,2,false) &amp;
"" &gt;= "" &amp; Reference!$R$2)) * M1231,"""")"),"")</f>
        <v/>
      </c>
      <c r="O1231" s="84" t="str">
        <f t="shared" si="2"/>
        <v/>
      </c>
    </row>
    <row r="1232">
      <c r="A1232" s="84"/>
      <c r="B1232" s="84"/>
      <c r="C1232" s="85"/>
      <c r="D1232" s="86"/>
      <c r="E1232" s="87"/>
      <c r="F1232" s="86"/>
      <c r="G1232" s="87"/>
      <c r="H1232" s="86"/>
      <c r="I1232" s="86"/>
      <c r="J1232" s="86"/>
      <c r="K1232" s="84"/>
      <c r="L1232" s="84"/>
      <c r="M1232" s="84"/>
      <c r="N1232" s="84" t="str">
        <f>IFERROR(__xludf.DUMMYFUNCTION("IFERROR(AVERAGE(query(INDIRECT(""'FR Table'!"" &amp; vlookup(rows($A$1:$A1231),Reference!$O:$P,2,false) &amp; ""3:"" &amp; vlookup(rows($A$1:$A1231),Reference!$O:$P,2,false)), 
""SELECT "" &amp; vlookup(rows($A$1:$A1231),Reference!$O:$P,2,false) 
&amp; "" WHERE "" &amp; vlookup("&amp;"rows($A$1:$A1231),Reference!$O:$P,2,false) &amp;
"" &gt;= "" &amp; Reference!$R$2)) * M1232,"""")"),"")</f>
        <v/>
      </c>
      <c r="O1232" s="84" t="str">
        <f t="shared" si="2"/>
        <v/>
      </c>
    </row>
    <row r="1233">
      <c r="A1233" s="84"/>
      <c r="B1233" s="84"/>
      <c r="C1233" s="85"/>
      <c r="D1233" s="86"/>
      <c r="E1233" s="87"/>
      <c r="F1233" s="86"/>
      <c r="G1233" s="87"/>
      <c r="H1233" s="86"/>
      <c r="I1233" s="86"/>
      <c r="J1233" s="86"/>
      <c r="K1233" s="84"/>
      <c r="L1233" s="84"/>
      <c r="M1233" s="84"/>
      <c r="N1233" s="84" t="str">
        <f>IFERROR(__xludf.DUMMYFUNCTION("IFERROR(AVERAGE(query(INDIRECT(""'FR Table'!"" &amp; vlookup(rows($A$1:$A1232),Reference!$O:$P,2,false) &amp; ""3:"" &amp; vlookup(rows($A$1:$A1232),Reference!$O:$P,2,false)), 
""SELECT "" &amp; vlookup(rows($A$1:$A1232),Reference!$O:$P,2,false) 
&amp; "" WHERE "" &amp; vlookup("&amp;"rows($A$1:$A1232),Reference!$O:$P,2,false) &amp;
"" &gt;= "" &amp; Reference!$R$2)) * M1233,"""")"),"")</f>
        <v/>
      </c>
      <c r="O1233" s="84" t="str">
        <f t="shared" si="2"/>
        <v/>
      </c>
    </row>
    <row r="1234">
      <c r="A1234" s="84"/>
      <c r="B1234" s="84"/>
      <c r="C1234" s="85"/>
      <c r="D1234" s="86"/>
      <c r="E1234" s="87"/>
      <c r="F1234" s="86"/>
      <c r="G1234" s="87"/>
      <c r="H1234" s="86"/>
      <c r="I1234" s="86"/>
      <c r="J1234" s="86"/>
      <c r="K1234" s="84"/>
      <c r="L1234" s="84"/>
      <c r="M1234" s="84"/>
      <c r="N1234" s="84" t="str">
        <f>IFERROR(__xludf.DUMMYFUNCTION("IFERROR(AVERAGE(query(INDIRECT(""'FR Table'!"" &amp; vlookup(rows($A$1:$A1233),Reference!$O:$P,2,false) &amp; ""3:"" &amp; vlookup(rows($A$1:$A1233),Reference!$O:$P,2,false)), 
""SELECT "" &amp; vlookup(rows($A$1:$A1233),Reference!$O:$P,2,false) 
&amp; "" WHERE "" &amp; vlookup("&amp;"rows($A$1:$A1233),Reference!$O:$P,2,false) &amp;
"" &gt;= "" &amp; Reference!$R$2)) * M1234,"""")"),"")</f>
        <v/>
      </c>
      <c r="O1234" s="84" t="str">
        <f t="shared" si="2"/>
        <v/>
      </c>
    </row>
    <row r="1235">
      <c r="A1235" s="84"/>
      <c r="B1235" s="84"/>
      <c r="C1235" s="85"/>
      <c r="D1235" s="86"/>
      <c r="E1235" s="87"/>
      <c r="F1235" s="86"/>
      <c r="G1235" s="87"/>
      <c r="H1235" s="86"/>
      <c r="I1235" s="86"/>
      <c r="J1235" s="86"/>
      <c r="K1235" s="84"/>
      <c r="L1235" s="84"/>
      <c r="M1235" s="84"/>
      <c r="N1235" s="84" t="str">
        <f>IFERROR(__xludf.DUMMYFUNCTION("IFERROR(AVERAGE(query(INDIRECT(""'FR Table'!"" &amp; vlookup(rows($A$1:$A1234),Reference!$O:$P,2,false) &amp; ""3:"" &amp; vlookup(rows($A$1:$A1234),Reference!$O:$P,2,false)), 
""SELECT "" &amp; vlookup(rows($A$1:$A1234),Reference!$O:$P,2,false) 
&amp; "" WHERE "" &amp; vlookup("&amp;"rows($A$1:$A1234),Reference!$O:$P,2,false) &amp;
"" &gt;= "" &amp; Reference!$R$2)) * M1235,"""")"),"")</f>
        <v/>
      </c>
      <c r="O1235" s="84" t="str">
        <f t="shared" si="2"/>
        <v/>
      </c>
    </row>
    <row r="1236">
      <c r="A1236" s="84"/>
      <c r="B1236" s="84"/>
      <c r="C1236" s="85"/>
      <c r="D1236" s="86"/>
      <c r="E1236" s="87"/>
      <c r="F1236" s="86"/>
      <c r="G1236" s="87"/>
      <c r="H1236" s="86"/>
      <c r="I1236" s="86"/>
      <c r="J1236" s="86"/>
      <c r="K1236" s="84"/>
      <c r="L1236" s="84"/>
      <c r="M1236" s="84"/>
      <c r="N1236" s="84" t="str">
        <f>IFERROR(__xludf.DUMMYFUNCTION("IFERROR(AVERAGE(query(INDIRECT(""'FR Table'!"" &amp; vlookup(rows($A$1:$A1235),Reference!$O:$P,2,false) &amp; ""3:"" &amp; vlookup(rows($A$1:$A1235),Reference!$O:$P,2,false)), 
""SELECT "" &amp; vlookup(rows($A$1:$A1235),Reference!$O:$P,2,false) 
&amp; "" WHERE "" &amp; vlookup("&amp;"rows($A$1:$A1235),Reference!$O:$P,2,false) &amp;
"" &gt;= "" &amp; Reference!$R$2)) * M1236,"""")"),"")</f>
        <v/>
      </c>
      <c r="O1236" s="84" t="str">
        <f t="shared" si="2"/>
        <v/>
      </c>
    </row>
    <row r="1237">
      <c r="A1237" s="84"/>
      <c r="B1237" s="84"/>
      <c r="C1237" s="85"/>
      <c r="D1237" s="86"/>
      <c r="E1237" s="87"/>
      <c r="F1237" s="86"/>
      <c r="G1237" s="87"/>
      <c r="H1237" s="86"/>
      <c r="I1237" s="86"/>
      <c r="J1237" s="86"/>
      <c r="K1237" s="84"/>
      <c r="L1237" s="84"/>
      <c r="M1237" s="84"/>
      <c r="N1237" s="84" t="str">
        <f>IFERROR(__xludf.DUMMYFUNCTION("IFERROR(AVERAGE(query(INDIRECT(""'FR Table'!"" &amp; vlookup(rows($A$1:$A1236),Reference!$O:$P,2,false) &amp; ""3:"" &amp; vlookup(rows($A$1:$A1236),Reference!$O:$P,2,false)), 
""SELECT "" &amp; vlookup(rows($A$1:$A1236),Reference!$O:$P,2,false) 
&amp; "" WHERE "" &amp; vlookup("&amp;"rows($A$1:$A1236),Reference!$O:$P,2,false) &amp;
"" &gt;= "" &amp; Reference!$R$2)) * M1237,"""")"),"")</f>
        <v/>
      </c>
      <c r="O1237" s="84" t="str">
        <f t="shared" si="2"/>
        <v/>
      </c>
    </row>
    <row r="1238">
      <c r="A1238" s="84"/>
      <c r="B1238" s="84"/>
      <c r="C1238" s="85"/>
      <c r="D1238" s="86"/>
      <c r="E1238" s="87"/>
      <c r="F1238" s="86"/>
      <c r="G1238" s="87"/>
      <c r="H1238" s="86"/>
      <c r="I1238" s="86"/>
      <c r="J1238" s="86"/>
      <c r="K1238" s="84"/>
      <c r="L1238" s="84"/>
      <c r="M1238" s="84"/>
      <c r="N1238" s="84" t="str">
        <f>IFERROR(__xludf.DUMMYFUNCTION("IFERROR(AVERAGE(query(INDIRECT(""'FR Table'!"" &amp; vlookup(rows($A$1:$A1237),Reference!$O:$P,2,false) &amp; ""3:"" &amp; vlookup(rows($A$1:$A1237),Reference!$O:$P,2,false)), 
""SELECT "" &amp; vlookup(rows($A$1:$A1237),Reference!$O:$P,2,false) 
&amp; "" WHERE "" &amp; vlookup("&amp;"rows($A$1:$A1237),Reference!$O:$P,2,false) &amp;
"" &gt;= "" &amp; Reference!$R$2)) * M1238,"""")"),"")</f>
        <v/>
      </c>
      <c r="O1238" s="84" t="str">
        <f t="shared" si="2"/>
        <v/>
      </c>
    </row>
    <row r="1239">
      <c r="A1239" s="84"/>
      <c r="B1239" s="84"/>
      <c r="C1239" s="85"/>
      <c r="D1239" s="86"/>
      <c r="E1239" s="87"/>
      <c r="F1239" s="86"/>
      <c r="G1239" s="87"/>
      <c r="H1239" s="86"/>
      <c r="I1239" s="86"/>
      <c r="J1239" s="86"/>
      <c r="K1239" s="84"/>
      <c r="L1239" s="84"/>
      <c r="M1239" s="84"/>
      <c r="N1239" s="84" t="str">
        <f>IFERROR(__xludf.DUMMYFUNCTION("IFERROR(AVERAGE(query(INDIRECT(""'FR Table'!"" &amp; vlookup(rows($A$1:$A1238),Reference!$O:$P,2,false) &amp; ""3:"" &amp; vlookup(rows($A$1:$A1238),Reference!$O:$P,2,false)), 
""SELECT "" &amp; vlookup(rows($A$1:$A1238),Reference!$O:$P,2,false) 
&amp; "" WHERE "" &amp; vlookup("&amp;"rows($A$1:$A1238),Reference!$O:$P,2,false) &amp;
"" &gt;= "" &amp; Reference!$R$2)) * M1239,"""")"),"")</f>
        <v/>
      </c>
      <c r="O1239" s="84" t="str">
        <f t="shared" si="2"/>
        <v/>
      </c>
    </row>
    <row r="1240">
      <c r="A1240" s="84"/>
      <c r="B1240" s="84"/>
      <c r="C1240" s="85"/>
      <c r="D1240" s="86"/>
      <c r="E1240" s="87"/>
      <c r="F1240" s="86"/>
      <c r="G1240" s="87"/>
      <c r="H1240" s="86"/>
      <c r="I1240" s="86"/>
      <c r="J1240" s="86"/>
      <c r="K1240" s="84"/>
      <c r="L1240" s="84"/>
      <c r="M1240" s="84"/>
      <c r="N1240" s="84" t="str">
        <f>IFERROR(__xludf.DUMMYFUNCTION("IFERROR(AVERAGE(query(INDIRECT(""'FR Table'!"" &amp; vlookup(rows($A$1:$A1239),Reference!$O:$P,2,false) &amp; ""3:"" &amp; vlookup(rows($A$1:$A1239),Reference!$O:$P,2,false)), 
""SELECT "" &amp; vlookup(rows($A$1:$A1239),Reference!$O:$P,2,false) 
&amp; "" WHERE "" &amp; vlookup("&amp;"rows($A$1:$A1239),Reference!$O:$P,2,false) &amp;
"" &gt;= "" &amp; Reference!$R$2)) * M1240,"""")"),"")</f>
        <v/>
      </c>
      <c r="O1240" s="84" t="str">
        <f t="shared" si="2"/>
        <v/>
      </c>
    </row>
    <row r="1241">
      <c r="A1241" s="84"/>
      <c r="B1241" s="84"/>
      <c r="C1241" s="85"/>
      <c r="D1241" s="86"/>
      <c r="E1241" s="87"/>
      <c r="F1241" s="86"/>
      <c r="G1241" s="87"/>
      <c r="H1241" s="86"/>
      <c r="I1241" s="86"/>
      <c r="J1241" s="86"/>
      <c r="K1241" s="84"/>
      <c r="L1241" s="84"/>
      <c r="M1241" s="84"/>
      <c r="N1241" s="84" t="str">
        <f>IFERROR(__xludf.DUMMYFUNCTION("IFERROR(AVERAGE(query(INDIRECT(""'FR Table'!"" &amp; vlookup(rows($A$1:$A1240),Reference!$O:$P,2,false) &amp; ""3:"" &amp; vlookup(rows($A$1:$A1240),Reference!$O:$P,2,false)), 
""SELECT "" &amp; vlookup(rows($A$1:$A1240),Reference!$O:$P,2,false) 
&amp; "" WHERE "" &amp; vlookup("&amp;"rows($A$1:$A1240),Reference!$O:$P,2,false) &amp;
"" &gt;= "" &amp; Reference!$R$2)) * M1241,"""")"),"")</f>
        <v/>
      </c>
      <c r="O1241" s="84" t="str">
        <f t="shared" si="2"/>
        <v/>
      </c>
    </row>
    <row r="1242">
      <c r="A1242" s="84"/>
      <c r="B1242" s="84"/>
      <c r="C1242" s="85"/>
      <c r="D1242" s="86"/>
      <c r="E1242" s="87"/>
      <c r="F1242" s="86"/>
      <c r="G1242" s="87"/>
      <c r="H1242" s="86"/>
      <c r="I1242" s="86"/>
      <c r="J1242" s="86"/>
      <c r="K1242" s="84"/>
      <c r="L1242" s="84"/>
      <c r="M1242" s="84"/>
      <c r="N1242" s="84" t="str">
        <f>IFERROR(__xludf.DUMMYFUNCTION("IFERROR(AVERAGE(query(INDIRECT(""'FR Table'!"" &amp; vlookup(rows($A$1:$A1241),Reference!$O:$P,2,false) &amp; ""3:"" &amp; vlookup(rows($A$1:$A1241),Reference!$O:$P,2,false)), 
""SELECT "" &amp; vlookup(rows($A$1:$A1241),Reference!$O:$P,2,false) 
&amp; "" WHERE "" &amp; vlookup("&amp;"rows($A$1:$A1241),Reference!$O:$P,2,false) &amp;
"" &gt;= "" &amp; Reference!$R$2)) * M1242,"""")"),"")</f>
        <v/>
      </c>
      <c r="O1242" s="84" t="str">
        <f t="shared" si="2"/>
        <v/>
      </c>
    </row>
    <row r="1243">
      <c r="A1243" s="84"/>
      <c r="B1243" s="84"/>
      <c r="C1243" s="85"/>
      <c r="D1243" s="86"/>
      <c r="E1243" s="87"/>
      <c r="F1243" s="86"/>
      <c r="G1243" s="87"/>
      <c r="H1243" s="86"/>
      <c r="I1243" s="86"/>
      <c r="J1243" s="86"/>
      <c r="K1243" s="84"/>
      <c r="L1243" s="84"/>
      <c r="M1243" s="84"/>
      <c r="N1243" s="84" t="str">
        <f>IFERROR(__xludf.DUMMYFUNCTION("IFERROR(AVERAGE(query(INDIRECT(""'FR Table'!"" &amp; vlookup(rows($A$1:$A1242),Reference!$O:$P,2,false) &amp; ""3:"" &amp; vlookup(rows($A$1:$A1242),Reference!$O:$P,2,false)), 
""SELECT "" &amp; vlookup(rows($A$1:$A1242),Reference!$O:$P,2,false) 
&amp; "" WHERE "" &amp; vlookup("&amp;"rows($A$1:$A1242),Reference!$O:$P,2,false) &amp;
"" &gt;= "" &amp; Reference!$R$2)) * M1243,"""")"),"")</f>
        <v/>
      </c>
      <c r="O1243" s="84" t="str">
        <f t="shared" si="2"/>
        <v/>
      </c>
    </row>
    <row r="1244">
      <c r="A1244" s="84"/>
      <c r="B1244" s="84"/>
      <c r="C1244" s="85"/>
      <c r="D1244" s="86"/>
      <c r="E1244" s="87"/>
      <c r="F1244" s="86"/>
      <c r="G1244" s="87"/>
      <c r="H1244" s="86"/>
      <c r="I1244" s="86"/>
      <c r="J1244" s="86"/>
      <c r="K1244" s="84"/>
      <c r="L1244" s="84"/>
      <c r="M1244" s="84"/>
      <c r="N1244" s="84" t="str">
        <f>IFERROR(__xludf.DUMMYFUNCTION("IFERROR(AVERAGE(query(INDIRECT(""'FR Table'!"" &amp; vlookup(rows($A$1:$A1243),Reference!$O:$P,2,false) &amp; ""3:"" &amp; vlookup(rows($A$1:$A1243),Reference!$O:$P,2,false)), 
""SELECT "" &amp; vlookup(rows($A$1:$A1243),Reference!$O:$P,2,false) 
&amp; "" WHERE "" &amp; vlookup("&amp;"rows($A$1:$A1243),Reference!$O:$P,2,false) &amp;
"" &gt;= "" &amp; Reference!$R$2)) * M1244,"""")"),"")</f>
        <v/>
      </c>
      <c r="O1244" s="84" t="str">
        <f t="shared" si="2"/>
        <v/>
      </c>
    </row>
    <row r="1245">
      <c r="A1245" s="84"/>
      <c r="B1245" s="84"/>
      <c r="C1245" s="85"/>
      <c r="D1245" s="86"/>
      <c r="E1245" s="87"/>
      <c r="F1245" s="86"/>
      <c r="G1245" s="87"/>
      <c r="H1245" s="86"/>
      <c r="I1245" s="86"/>
      <c r="J1245" s="86"/>
      <c r="K1245" s="84"/>
      <c r="L1245" s="84"/>
      <c r="M1245" s="84"/>
      <c r="N1245" s="84" t="str">
        <f>IFERROR(__xludf.DUMMYFUNCTION("IFERROR(AVERAGE(query(INDIRECT(""'FR Table'!"" &amp; vlookup(rows($A$1:$A1244),Reference!$O:$P,2,false) &amp; ""3:"" &amp; vlookup(rows($A$1:$A1244),Reference!$O:$P,2,false)), 
""SELECT "" &amp; vlookup(rows($A$1:$A1244),Reference!$O:$P,2,false) 
&amp; "" WHERE "" &amp; vlookup("&amp;"rows($A$1:$A1244),Reference!$O:$P,2,false) &amp;
"" &gt;= "" &amp; Reference!$R$2)) * M1245,"""")"),"")</f>
        <v/>
      </c>
      <c r="O1245" s="84" t="str">
        <f t="shared" si="2"/>
        <v/>
      </c>
    </row>
    <row r="1246">
      <c r="A1246" s="84"/>
      <c r="B1246" s="84"/>
      <c r="C1246" s="85"/>
      <c r="D1246" s="86"/>
      <c r="E1246" s="87"/>
      <c r="F1246" s="86"/>
      <c r="G1246" s="87"/>
      <c r="H1246" s="86"/>
      <c r="I1246" s="86"/>
      <c r="J1246" s="86"/>
      <c r="K1246" s="84"/>
      <c r="L1246" s="84"/>
      <c r="M1246" s="84"/>
      <c r="N1246" s="84" t="str">
        <f>IFERROR(__xludf.DUMMYFUNCTION("IFERROR(AVERAGE(query(INDIRECT(""'FR Table'!"" &amp; vlookup(rows($A$1:$A1245),Reference!$O:$P,2,false) &amp; ""3:"" &amp; vlookup(rows($A$1:$A1245),Reference!$O:$P,2,false)), 
""SELECT "" &amp; vlookup(rows($A$1:$A1245),Reference!$O:$P,2,false) 
&amp; "" WHERE "" &amp; vlookup("&amp;"rows($A$1:$A1245),Reference!$O:$P,2,false) &amp;
"" &gt;= "" &amp; Reference!$R$2)) * M1246,"""")"),"")</f>
        <v/>
      </c>
      <c r="O1246" s="84" t="str">
        <f t="shared" si="2"/>
        <v/>
      </c>
    </row>
    <row r="1247">
      <c r="A1247" s="84"/>
      <c r="B1247" s="84"/>
      <c r="C1247" s="85"/>
      <c r="D1247" s="86"/>
      <c r="E1247" s="87"/>
      <c r="F1247" s="86"/>
      <c r="G1247" s="87"/>
      <c r="H1247" s="86"/>
      <c r="I1247" s="86"/>
      <c r="J1247" s="86"/>
      <c r="K1247" s="84"/>
      <c r="L1247" s="84"/>
      <c r="M1247" s="84"/>
      <c r="N1247" s="84" t="str">
        <f>IFERROR(__xludf.DUMMYFUNCTION("IFERROR(AVERAGE(query(INDIRECT(""'FR Table'!"" &amp; vlookup(rows($A$1:$A1246),Reference!$O:$P,2,false) &amp; ""3:"" &amp; vlookup(rows($A$1:$A1246),Reference!$O:$P,2,false)), 
""SELECT "" &amp; vlookup(rows($A$1:$A1246),Reference!$O:$P,2,false) 
&amp; "" WHERE "" &amp; vlookup("&amp;"rows($A$1:$A1246),Reference!$O:$P,2,false) &amp;
"" &gt;= "" &amp; Reference!$R$2)) * M1247,"""")"),"")</f>
        <v/>
      </c>
      <c r="O1247" s="84" t="str">
        <f t="shared" si="2"/>
        <v/>
      </c>
    </row>
    <row r="1248">
      <c r="A1248" s="84"/>
      <c r="B1248" s="84"/>
      <c r="C1248" s="85"/>
      <c r="D1248" s="86"/>
      <c r="E1248" s="87"/>
      <c r="F1248" s="86"/>
      <c r="G1248" s="87"/>
      <c r="H1248" s="86"/>
      <c r="I1248" s="86"/>
      <c r="J1248" s="86"/>
      <c r="K1248" s="84"/>
      <c r="L1248" s="84"/>
      <c r="M1248" s="84"/>
      <c r="N1248" s="84" t="str">
        <f>IFERROR(__xludf.DUMMYFUNCTION("IFERROR(AVERAGE(query(INDIRECT(""'FR Table'!"" &amp; vlookup(rows($A$1:$A1247),Reference!$O:$P,2,false) &amp; ""3:"" &amp; vlookup(rows($A$1:$A1247),Reference!$O:$P,2,false)), 
""SELECT "" &amp; vlookup(rows($A$1:$A1247),Reference!$O:$P,2,false) 
&amp; "" WHERE "" &amp; vlookup("&amp;"rows($A$1:$A1247),Reference!$O:$P,2,false) &amp;
"" &gt;= "" &amp; Reference!$R$2)) * M1248,"""")"),"")</f>
        <v/>
      </c>
      <c r="O1248" s="84" t="str">
        <f t="shared" si="2"/>
        <v/>
      </c>
    </row>
    <row r="1249">
      <c r="A1249" s="84"/>
      <c r="B1249" s="84"/>
      <c r="C1249" s="85"/>
      <c r="D1249" s="86"/>
      <c r="E1249" s="87"/>
      <c r="F1249" s="86"/>
      <c r="G1249" s="87"/>
      <c r="H1249" s="86"/>
      <c r="I1249" s="86"/>
      <c r="J1249" s="86"/>
      <c r="K1249" s="84"/>
      <c r="L1249" s="84"/>
      <c r="M1249" s="84"/>
      <c r="N1249" s="84" t="str">
        <f>IFERROR(__xludf.DUMMYFUNCTION("IFERROR(AVERAGE(query(INDIRECT(""'FR Table'!"" &amp; vlookup(rows($A$1:$A1248),Reference!$O:$P,2,false) &amp; ""3:"" &amp; vlookup(rows($A$1:$A1248),Reference!$O:$P,2,false)), 
""SELECT "" &amp; vlookup(rows($A$1:$A1248),Reference!$O:$P,2,false) 
&amp; "" WHERE "" &amp; vlookup("&amp;"rows($A$1:$A1248),Reference!$O:$P,2,false) &amp;
"" &gt;= "" &amp; Reference!$R$2)) * M1249,"""")"),"")</f>
        <v/>
      </c>
      <c r="O1249" s="84" t="str">
        <f t="shared" si="2"/>
        <v/>
      </c>
    </row>
    <row r="1250">
      <c r="A1250" s="84"/>
      <c r="B1250" s="84"/>
      <c r="C1250" s="85"/>
      <c r="D1250" s="86"/>
      <c r="E1250" s="87"/>
      <c r="F1250" s="86"/>
      <c r="G1250" s="87"/>
      <c r="H1250" s="86"/>
      <c r="I1250" s="86"/>
      <c r="J1250" s="86"/>
      <c r="K1250" s="84"/>
      <c r="L1250" s="84"/>
      <c r="M1250" s="84"/>
      <c r="N1250" s="84" t="str">
        <f>IFERROR(__xludf.DUMMYFUNCTION("IFERROR(AVERAGE(query(INDIRECT(""'FR Table'!"" &amp; vlookup(rows($A$1:$A1249),Reference!$O:$P,2,false) &amp; ""3:"" &amp; vlookup(rows($A$1:$A1249),Reference!$O:$P,2,false)), 
""SELECT "" &amp; vlookup(rows($A$1:$A1249),Reference!$O:$P,2,false) 
&amp; "" WHERE "" &amp; vlookup("&amp;"rows($A$1:$A1249),Reference!$O:$P,2,false) &amp;
"" &gt;= "" &amp; Reference!$R$2)) * M1250,"""")"),"")</f>
        <v/>
      </c>
      <c r="O1250" s="84" t="str">
        <f t="shared" si="2"/>
        <v/>
      </c>
    </row>
    <row r="1251">
      <c r="A1251" s="84"/>
      <c r="B1251" s="84"/>
      <c r="C1251" s="85"/>
      <c r="D1251" s="86"/>
      <c r="E1251" s="87"/>
      <c r="F1251" s="86"/>
      <c r="G1251" s="87"/>
      <c r="H1251" s="86"/>
      <c r="I1251" s="86"/>
      <c r="J1251" s="86"/>
      <c r="K1251" s="84"/>
      <c r="L1251" s="84"/>
      <c r="M1251" s="84"/>
      <c r="N1251" s="84" t="str">
        <f>IFERROR(__xludf.DUMMYFUNCTION("IFERROR(AVERAGE(query(INDIRECT(""'FR Table'!"" &amp; vlookup(rows($A$1:$A1250),Reference!$O:$P,2,false) &amp; ""3:"" &amp; vlookup(rows($A$1:$A1250),Reference!$O:$P,2,false)), 
""SELECT "" &amp; vlookup(rows($A$1:$A1250),Reference!$O:$P,2,false) 
&amp; "" WHERE "" &amp; vlookup("&amp;"rows($A$1:$A1250),Reference!$O:$P,2,false) &amp;
"" &gt;= "" &amp; Reference!$R$2)) * M1251,"""")"),"")</f>
        <v/>
      </c>
      <c r="O1251" s="84" t="str">
        <f t="shared" si="2"/>
        <v/>
      </c>
    </row>
    <row r="1252">
      <c r="A1252" s="84"/>
      <c r="B1252" s="84"/>
      <c r="C1252" s="85"/>
      <c r="D1252" s="86"/>
      <c r="E1252" s="87"/>
      <c r="F1252" s="86"/>
      <c r="G1252" s="87"/>
      <c r="H1252" s="86"/>
      <c r="I1252" s="86"/>
      <c r="J1252" s="86"/>
      <c r="K1252" s="84"/>
      <c r="L1252" s="84"/>
      <c r="M1252" s="84"/>
      <c r="N1252" s="84" t="str">
        <f>IFERROR(__xludf.DUMMYFUNCTION("IFERROR(AVERAGE(query(INDIRECT(""'FR Table'!"" &amp; vlookup(rows($A$1:$A1251),Reference!$O:$P,2,false) &amp; ""3:"" &amp; vlookup(rows($A$1:$A1251),Reference!$O:$P,2,false)), 
""SELECT "" &amp; vlookup(rows($A$1:$A1251),Reference!$O:$P,2,false) 
&amp; "" WHERE "" &amp; vlookup("&amp;"rows($A$1:$A1251),Reference!$O:$P,2,false) &amp;
"" &gt;= "" &amp; Reference!$R$2)) * M1252,"""")"),"")</f>
        <v/>
      </c>
      <c r="O1252" s="84" t="str">
        <f t="shared" si="2"/>
        <v/>
      </c>
    </row>
    <row r="1253">
      <c r="A1253" s="84"/>
      <c r="B1253" s="84"/>
      <c r="C1253" s="85"/>
      <c r="D1253" s="86"/>
      <c r="E1253" s="87"/>
      <c r="F1253" s="86"/>
      <c r="G1253" s="87"/>
      <c r="H1253" s="86"/>
      <c r="I1253" s="86"/>
      <c r="J1253" s="86"/>
      <c r="K1253" s="84"/>
      <c r="L1253" s="84"/>
      <c r="M1253" s="84"/>
      <c r="N1253" s="84" t="str">
        <f>IFERROR(__xludf.DUMMYFUNCTION("IFERROR(AVERAGE(query(INDIRECT(""'FR Table'!"" &amp; vlookup(rows($A$1:$A1252),Reference!$O:$P,2,false) &amp; ""3:"" &amp; vlookup(rows($A$1:$A1252),Reference!$O:$P,2,false)), 
""SELECT "" &amp; vlookup(rows($A$1:$A1252),Reference!$O:$P,2,false) 
&amp; "" WHERE "" &amp; vlookup("&amp;"rows($A$1:$A1252),Reference!$O:$P,2,false) &amp;
"" &gt;= "" &amp; Reference!$R$2)) * M1253,"""")"),"")</f>
        <v/>
      </c>
      <c r="O1253" s="84" t="str">
        <f t="shared" si="2"/>
        <v/>
      </c>
    </row>
    <row r="1254">
      <c r="A1254" s="84"/>
      <c r="B1254" s="84"/>
      <c r="C1254" s="85"/>
      <c r="D1254" s="86"/>
      <c r="E1254" s="87"/>
      <c r="F1254" s="86"/>
      <c r="G1254" s="87"/>
      <c r="H1254" s="86"/>
      <c r="I1254" s="86"/>
      <c r="J1254" s="86"/>
      <c r="K1254" s="84"/>
      <c r="L1254" s="84"/>
      <c r="M1254" s="84"/>
      <c r="N1254" s="84" t="str">
        <f>IFERROR(__xludf.DUMMYFUNCTION("IFERROR(AVERAGE(query(INDIRECT(""'FR Table'!"" &amp; vlookup(rows($A$1:$A1253),Reference!$O:$P,2,false) &amp; ""3:"" &amp; vlookup(rows($A$1:$A1253),Reference!$O:$P,2,false)), 
""SELECT "" &amp; vlookup(rows($A$1:$A1253),Reference!$O:$P,2,false) 
&amp; "" WHERE "" &amp; vlookup("&amp;"rows($A$1:$A1253),Reference!$O:$P,2,false) &amp;
"" &gt;= "" &amp; Reference!$R$2)) * M1254,"""")"),"")</f>
        <v/>
      </c>
      <c r="O1254" s="84" t="str">
        <f t="shared" si="2"/>
        <v/>
      </c>
    </row>
    <row r="1255">
      <c r="A1255" s="84"/>
      <c r="B1255" s="84"/>
      <c r="C1255" s="85"/>
      <c r="D1255" s="86"/>
      <c r="E1255" s="87"/>
      <c r="F1255" s="86"/>
      <c r="G1255" s="87"/>
      <c r="H1255" s="86"/>
      <c r="I1255" s="86"/>
      <c r="J1255" s="86"/>
      <c r="K1255" s="84"/>
      <c r="L1255" s="84"/>
      <c r="M1255" s="84"/>
      <c r="N1255" s="84" t="str">
        <f>IFERROR(__xludf.DUMMYFUNCTION("IFERROR(AVERAGE(query(INDIRECT(""'FR Table'!"" &amp; vlookup(rows($A$1:$A1254),Reference!$O:$P,2,false) &amp; ""3:"" &amp; vlookup(rows($A$1:$A1254),Reference!$O:$P,2,false)), 
""SELECT "" &amp; vlookup(rows($A$1:$A1254),Reference!$O:$P,2,false) 
&amp; "" WHERE "" &amp; vlookup("&amp;"rows($A$1:$A1254),Reference!$O:$P,2,false) &amp;
"" &gt;= "" &amp; Reference!$R$2)) * M1255,"""")"),"")</f>
        <v/>
      </c>
      <c r="O1255" s="84" t="str">
        <f t="shared" si="2"/>
        <v/>
      </c>
    </row>
    <row r="1256">
      <c r="A1256" s="84"/>
      <c r="B1256" s="84"/>
      <c r="C1256" s="85"/>
      <c r="D1256" s="86"/>
      <c r="E1256" s="87"/>
      <c r="F1256" s="86"/>
      <c r="G1256" s="87"/>
      <c r="H1256" s="86"/>
      <c r="I1256" s="86"/>
      <c r="J1256" s="86"/>
      <c r="K1256" s="84"/>
      <c r="L1256" s="84"/>
      <c r="M1256" s="84"/>
      <c r="N1256" s="84" t="str">
        <f>IFERROR(__xludf.DUMMYFUNCTION("IFERROR(AVERAGE(query(INDIRECT(""'FR Table'!"" &amp; vlookup(rows($A$1:$A1255),Reference!$O:$P,2,false) &amp; ""3:"" &amp; vlookup(rows($A$1:$A1255),Reference!$O:$P,2,false)), 
""SELECT "" &amp; vlookup(rows($A$1:$A1255),Reference!$O:$P,2,false) 
&amp; "" WHERE "" &amp; vlookup("&amp;"rows($A$1:$A1255),Reference!$O:$P,2,false) &amp;
"" &gt;= "" &amp; Reference!$R$2)) * M1256,"""")"),"")</f>
        <v/>
      </c>
      <c r="O1256" s="84" t="str">
        <f t="shared" si="2"/>
        <v/>
      </c>
    </row>
    <row r="1257">
      <c r="A1257" s="84"/>
      <c r="B1257" s="84"/>
      <c r="C1257" s="85"/>
      <c r="D1257" s="86"/>
      <c r="E1257" s="87"/>
      <c r="F1257" s="86"/>
      <c r="G1257" s="87"/>
      <c r="H1257" s="86"/>
      <c r="I1257" s="86"/>
      <c r="J1257" s="86"/>
      <c r="K1257" s="84"/>
      <c r="L1257" s="84"/>
      <c r="M1257" s="84"/>
      <c r="N1257" s="84" t="str">
        <f>IFERROR(__xludf.DUMMYFUNCTION("IFERROR(AVERAGE(query(INDIRECT(""'FR Table'!"" &amp; vlookup(rows($A$1:$A1256),Reference!$O:$P,2,false) &amp; ""3:"" &amp; vlookup(rows($A$1:$A1256),Reference!$O:$P,2,false)), 
""SELECT "" &amp; vlookup(rows($A$1:$A1256),Reference!$O:$P,2,false) 
&amp; "" WHERE "" &amp; vlookup("&amp;"rows($A$1:$A1256),Reference!$O:$P,2,false) &amp;
"" &gt;= "" &amp; Reference!$R$2)) * M1257,"""")"),"")</f>
        <v/>
      </c>
      <c r="O1257" s="84" t="str">
        <f t="shared" si="2"/>
        <v/>
      </c>
    </row>
    <row r="1258">
      <c r="A1258" s="84"/>
      <c r="B1258" s="84"/>
      <c r="C1258" s="85"/>
      <c r="D1258" s="86"/>
      <c r="E1258" s="87"/>
      <c r="F1258" s="86"/>
      <c r="G1258" s="87"/>
      <c r="H1258" s="86"/>
      <c r="I1258" s="86"/>
      <c r="J1258" s="86"/>
      <c r="K1258" s="84"/>
      <c r="L1258" s="84"/>
      <c r="M1258" s="84"/>
      <c r="N1258" s="84" t="str">
        <f>IFERROR(__xludf.DUMMYFUNCTION("IFERROR(AVERAGE(query(INDIRECT(""'FR Table'!"" &amp; vlookup(rows($A$1:$A1257),Reference!$O:$P,2,false) &amp; ""3:"" &amp; vlookup(rows($A$1:$A1257),Reference!$O:$P,2,false)), 
""SELECT "" &amp; vlookup(rows($A$1:$A1257),Reference!$O:$P,2,false) 
&amp; "" WHERE "" &amp; vlookup("&amp;"rows($A$1:$A1257),Reference!$O:$P,2,false) &amp;
"" &gt;= "" &amp; Reference!$R$2)) * M1258,"""")"),"")</f>
        <v/>
      </c>
      <c r="O1258" s="84" t="str">
        <f t="shared" si="2"/>
        <v/>
      </c>
    </row>
    <row r="1259">
      <c r="A1259" s="84"/>
      <c r="B1259" s="84"/>
      <c r="C1259" s="85"/>
      <c r="D1259" s="86"/>
      <c r="E1259" s="87"/>
      <c r="F1259" s="86"/>
      <c r="G1259" s="87"/>
      <c r="H1259" s="86"/>
      <c r="I1259" s="86"/>
      <c r="J1259" s="86"/>
      <c r="K1259" s="84"/>
      <c r="L1259" s="84"/>
      <c r="M1259" s="84"/>
      <c r="N1259" s="84" t="str">
        <f>IFERROR(__xludf.DUMMYFUNCTION("IFERROR(AVERAGE(query(INDIRECT(""'FR Table'!"" &amp; vlookup(rows($A$1:$A1258),Reference!$O:$P,2,false) &amp; ""3:"" &amp; vlookup(rows($A$1:$A1258),Reference!$O:$P,2,false)), 
""SELECT "" &amp; vlookup(rows($A$1:$A1258),Reference!$O:$P,2,false) 
&amp; "" WHERE "" &amp; vlookup("&amp;"rows($A$1:$A1258),Reference!$O:$P,2,false) &amp;
"" &gt;= "" &amp; Reference!$R$2)) * M1259,"""")"),"")</f>
        <v/>
      </c>
      <c r="O1259" s="84" t="str">
        <f t="shared" si="2"/>
        <v/>
      </c>
    </row>
    <row r="1260">
      <c r="A1260" s="84"/>
      <c r="B1260" s="84"/>
      <c r="C1260" s="85"/>
      <c r="D1260" s="86"/>
      <c r="E1260" s="87"/>
      <c r="F1260" s="86"/>
      <c r="G1260" s="87"/>
      <c r="H1260" s="86"/>
      <c r="I1260" s="86"/>
      <c r="J1260" s="86"/>
      <c r="K1260" s="84"/>
      <c r="L1260" s="84"/>
      <c r="M1260" s="84"/>
      <c r="N1260" s="84" t="str">
        <f>IFERROR(__xludf.DUMMYFUNCTION("IFERROR(AVERAGE(query(INDIRECT(""'FR Table'!"" &amp; vlookup(rows($A$1:$A1259),Reference!$O:$P,2,false) &amp; ""3:"" &amp; vlookup(rows($A$1:$A1259),Reference!$O:$P,2,false)), 
""SELECT "" &amp; vlookup(rows($A$1:$A1259),Reference!$O:$P,2,false) 
&amp; "" WHERE "" &amp; vlookup("&amp;"rows($A$1:$A1259),Reference!$O:$P,2,false) &amp;
"" &gt;= "" &amp; Reference!$R$2)) * M1260,"""")"),"")</f>
        <v/>
      </c>
      <c r="O1260" s="84" t="str">
        <f t="shared" si="2"/>
        <v/>
      </c>
    </row>
    <row r="1261">
      <c r="A1261" s="84"/>
      <c r="B1261" s="84"/>
      <c r="C1261" s="85"/>
      <c r="D1261" s="86"/>
      <c r="E1261" s="87"/>
      <c r="F1261" s="86"/>
      <c r="G1261" s="87"/>
      <c r="H1261" s="86"/>
      <c r="I1261" s="86"/>
      <c r="J1261" s="86"/>
      <c r="K1261" s="84"/>
      <c r="L1261" s="84"/>
      <c r="M1261" s="84"/>
      <c r="N1261" s="84" t="str">
        <f>IFERROR(__xludf.DUMMYFUNCTION("IFERROR(AVERAGE(query(INDIRECT(""'FR Table'!"" &amp; vlookup(rows($A$1:$A1260),Reference!$O:$P,2,false) &amp; ""3:"" &amp; vlookup(rows($A$1:$A1260),Reference!$O:$P,2,false)), 
""SELECT "" &amp; vlookup(rows($A$1:$A1260),Reference!$O:$P,2,false) 
&amp; "" WHERE "" &amp; vlookup("&amp;"rows($A$1:$A1260),Reference!$O:$P,2,false) &amp;
"" &gt;= "" &amp; Reference!$R$2)) * M1261,"""")"),"")</f>
        <v/>
      </c>
      <c r="O1261" s="84" t="str">
        <f t="shared" si="2"/>
        <v/>
      </c>
    </row>
    <row r="1262">
      <c r="A1262" s="84"/>
      <c r="B1262" s="84"/>
      <c r="C1262" s="85"/>
      <c r="D1262" s="86"/>
      <c r="E1262" s="87"/>
      <c r="F1262" s="86"/>
      <c r="G1262" s="87"/>
      <c r="H1262" s="86"/>
      <c r="I1262" s="86"/>
      <c r="J1262" s="86"/>
      <c r="K1262" s="84"/>
      <c r="L1262" s="84"/>
      <c r="M1262" s="84"/>
      <c r="N1262" s="84" t="str">
        <f>IFERROR(__xludf.DUMMYFUNCTION("IFERROR(AVERAGE(query(INDIRECT(""'FR Table'!"" &amp; vlookup(rows($A$1:$A1261),Reference!$O:$P,2,false) &amp; ""3:"" &amp; vlookup(rows($A$1:$A1261),Reference!$O:$P,2,false)), 
""SELECT "" &amp; vlookup(rows($A$1:$A1261),Reference!$O:$P,2,false) 
&amp; "" WHERE "" &amp; vlookup("&amp;"rows($A$1:$A1261),Reference!$O:$P,2,false) &amp;
"" &gt;= "" &amp; Reference!$R$2)) * M1262,"""")"),"")</f>
        <v/>
      </c>
      <c r="O1262" s="84" t="str">
        <f t="shared" si="2"/>
        <v/>
      </c>
    </row>
    <row r="1263">
      <c r="A1263" s="84"/>
      <c r="B1263" s="84"/>
      <c r="C1263" s="85"/>
      <c r="D1263" s="86"/>
      <c r="E1263" s="87"/>
      <c r="F1263" s="86"/>
      <c r="G1263" s="87"/>
      <c r="H1263" s="86"/>
      <c r="I1263" s="86"/>
      <c r="J1263" s="86"/>
      <c r="K1263" s="84"/>
      <c r="L1263" s="84"/>
      <c r="M1263" s="84"/>
      <c r="N1263" s="84" t="str">
        <f>IFERROR(__xludf.DUMMYFUNCTION("IFERROR(AVERAGE(query(INDIRECT(""'FR Table'!"" &amp; vlookup(rows($A$1:$A1262),Reference!$O:$P,2,false) &amp; ""3:"" &amp; vlookup(rows($A$1:$A1262),Reference!$O:$P,2,false)), 
""SELECT "" &amp; vlookup(rows($A$1:$A1262),Reference!$O:$P,2,false) 
&amp; "" WHERE "" &amp; vlookup("&amp;"rows($A$1:$A1262),Reference!$O:$P,2,false) &amp;
"" &gt;= "" &amp; Reference!$R$2)) * M1263,"""")"),"")</f>
        <v/>
      </c>
      <c r="O1263" s="84" t="str">
        <f t="shared" si="2"/>
        <v/>
      </c>
    </row>
    <row r="1264">
      <c r="A1264" s="84"/>
      <c r="B1264" s="84"/>
      <c r="C1264" s="85"/>
      <c r="D1264" s="86"/>
      <c r="E1264" s="87"/>
      <c r="F1264" s="86"/>
      <c r="G1264" s="87"/>
      <c r="H1264" s="86"/>
      <c r="I1264" s="86"/>
      <c r="J1264" s="86"/>
      <c r="K1264" s="84"/>
      <c r="L1264" s="84"/>
      <c r="M1264" s="84"/>
      <c r="N1264" s="84" t="str">
        <f>IFERROR(__xludf.DUMMYFUNCTION("IFERROR(AVERAGE(query(INDIRECT(""'FR Table'!"" &amp; vlookup(rows($A$1:$A1263),Reference!$O:$P,2,false) &amp; ""3:"" &amp; vlookup(rows($A$1:$A1263),Reference!$O:$P,2,false)), 
""SELECT "" &amp; vlookup(rows($A$1:$A1263),Reference!$O:$P,2,false) 
&amp; "" WHERE "" &amp; vlookup("&amp;"rows($A$1:$A1263),Reference!$O:$P,2,false) &amp;
"" &gt;= "" &amp; Reference!$R$2)) * M1264,"""")"),"")</f>
        <v/>
      </c>
      <c r="O1264" s="84" t="str">
        <f t="shared" si="2"/>
        <v/>
      </c>
    </row>
    <row r="1265">
      <c r="A1265" s="84"/>
      <c r="B1265" s="84"/>
      <c r="C1265" s="85"/>
      <c r="D1265" s="86"/>
      <c r="E1265" s="87"/>
      <c r="F1265" s="86"/>
      <c r="G1265" s="87"/>
      <c r="H1265" s="86"/>
      <c r="I1265" s="86"/>
      <c r="J1265" s="86"/>
      <c r="K1265" s="84"/>
      <c r="L1265" s="84"/>
      <c r="M1265" s="84"/>
      <c r="N1265" s="84" t="str">
        <f>IFERROR(__xludf.DUMMYFUNCTION("IFERROR(AVERAGE(query(INDIRECT(""'FR Table'!"" &amp; vlookup(rows($A$1:$A1264),Reference!$O:$P,2,false) &amp; ""3:"" &amp; vlookup(rows($A$1:$A1264),Reference!$O:$P,2,false)), 
""SELECT "" &amp; vlookup(rows($A$1:$A1264),Reference!$O:$P,2,false) 
&amp; "" WHERE "" &amp; vlookup("&amp;"rows($A$1:$A1264),Reference!$O:$P,2,false) &amp;
"" &gt;= "" &amp; Reference!$R$2)) * M1265,"""")"),"")</f>
        <v/>
      </c>
      <c r="O1265" s="84" t="str">
        <f t="shared" si="2"/>
        <v/>
      </c>
    </row>
    <row r="1266">
      <c r="A1266" s="84"/>
      <c r="B1266" s="84"/>
      <c r="C1266" s="85"/>
      <c r="D1266" s="86"/>
      <c r="E1266" s="87"/>
      <c r="F1266" s="86"/>
      <c r="G1266" s="87"/>
      <c r="H1266" s="86"/>
      <c r="I1266" s="86"/>
      <c r="J1266" s="86"/>
      <c r="K1266" s="84"/>
      <c r="L1266" s="84"/>
      <c r="M1266" s="84"/>
      <c r="N1266" s="84" t="str">
        <f>IFERROR(__xludf.DUMMYFUNCTION("IFERROR(AVERAGE(query(INDIRECT(""'FR Table'!"" &amp; vlookup(rows($A$1:$A1265),Reference!$O:$P,2,false) &amp; ""3:"" &amp; vlookup(rows($A$1:$A1265),Reference!$O:$P,2,false)), 
""SELECT "" &amp; vlookup(rows($A$1:$A1265),Reference!$O:$P,2,false) 
&amp; "" WHERE "" &amp; vlookup("&amp;"rows($A$1:$A1265),Reference!$O:$P,2,false) &amp;
"" &gt;= "" &amp; Reference!$R$2)) * M1266,"""")"),"")</f>
        <v/>
      </c>
      <c r="O1266" s="84" t="str">
        <f t="shared" si="2"/>
        <v/>
      </c>
    </row>
    <row r="1267">
      <c r="A1267" s="84"/>
      <c r="B1267" s="84"/>
      <c r="C1267" s="85"/>
      <c r="D1267" s="86"/>
      <c r="E1267" s="87"/>
      <c r="F1267" s="86"/>
      <c r="G1267" s="87"/>
      <c r="H1267" s="86"/>
      <c r="I1267" s="86"/>
      <c r="J1267" s="86"/>
      <c r="K1267" s="84"/>
      <c r="L1267" s="84"/>
      <c r="M1267" s="84"/>
      <c r="N1267" s="84" t="str">
        <f>IFERROR(__xludf.DUMMYFUNCTION("IFERROR(AVERAGE(query(INDIRECT(""'FR Table'!"" &amp; vlookup(rows($A$1:$A1266),Reference!$O:$P,2,false) &amp; ""3:"" &amp; vlookup(rows($A$1:$A1266),Reference!$O:$P,2,false)), 
""SELECT "" &amp; vlookup(rows($A$1:$A1266),Reference!$O:$P,2,false) 
&amp; "" WHERE "" &amp; vlookup("&amp;"rows($A$1:$A1266),Reference!$O:$P,2,false) &amp;
"" &gt;= "" &amp; Reference!$R$2)) * M1267,"""")"),"")</f>
        <v/>
      </c>
      <c r="O1267" s="84" t="str">
        <f t="shared" si="2"/>
        <v/>
      </c>
    </row>
    <row r="1268">
      <c r="A1268" s="84"/>
      <c r="B1268" s="84"/>
      <c r="C1268" s="85"/>
      <c r="D1268" s="86"/>
      <c r="E1268" s="87"/>
      <c r="F1268" s="86"/>
      <c r="G1268" s="87"/>
      <c r="H1268" s="86"/>
      <c r="I1268" s="86"/>
      <c r="J1268" s="86"/>
      <c r="K1268" s="84"/>
      <c r="L1268" s="84"/>
      <c r="M1268" s="84"/>
      <c r="N1268" s="84" t="str">
        <f>IFERROR(__xludf.DUMMYFUNCTION("IFERROR(AVERAGE(query(INDIRECT(""'FR Table'!"" &amp; vlookup(rows($A$1:$A1267),Reference!$O:$P,2,false) &amp; ""3:"" &amp; vlookup(rows($A$1:$A1267),Reference!$O:$P,2,false)), 
""SELECT "" &amp; vlookup(rows($A$1:$A1267),Reference!$O:$P,2,false) 
&amp; "" WHERE "" &amp; vlookup("&amp;"rows($A$1:$A1267),Reference!$O:$P,2,false) &amp;
"" &gt;= "" &amp; Reference!$R$2)) * M1268,"""")"),"")</f>
        <v/>
      </c>
      <c r="O1268" s="84" t="str">
        <f t="shared" si="2"/>
        <v/>
      </c>
    </row>
    <row r="1269">
      <c r="A1269" s="84"/>
      <c r="B1269" s="84"/>
      <c r="C1269" s="85"/>
      <c r="D1269" s="86"/>
      <c r="E1269" s="87"/>
      <c r="F1269" s="86"/>
      <c r="G1269" s="87"/>
      <c r="H1269" s="86"/>
      <c r="I1269" s="86"/>
      <c r="J1269" s="86"/>
      <c r="K1269" s="84"/>
      <c r="L1269" s="84"/>
      <c r="M1269" s="84"/>
      <c r="N1269" s="84" t="str">
        <f>IFERROR(__xludf.DUMMYFUNCTION("IFERROR(AVERAGE(query(INDIRECT(""'FR Table'!"" &amp; vlookup(rows($A$1:$A1268),Reference!$O:$P,2,false) &amp; ""3:"" &amp; vlookup(rows($A$1:$A1268),Reference!$O:$P,2,false)), 
""SELECT "" &amp; vlookup(rows($A$1:$A1268),Reference!$O:$P,2,false) 
&amp; "" WHERE "" &amp; vlookup("&amp;"rows($A$1:$A1268),Reference!$O:$P,2,false) &amp;
"" &gt;= "" &amp; Reference!$R$2)) * M1269,"""")"),"")</f>
        <v/>
      </c>
      <c r="O1269" s="84" t="str">
        <f t="shared" si="2"/>
        <v/>
      </c>
    </row>
    <row r="1270">
      <c r="A1270" s="84"/>
      <c r="B1270" s="84"/>
      <c r="C1270" s="85"/>
      <c r="D1270" s="86"/>
      <c r="E1270" s="87"/>
      <c r="F1270" s="86"/>
      <c r="G1270" s="87"/>
      <c r="H1270" s="86"/>
      <c r="I1270" s="86"/>
      <c r="J1270" s="86"/>
      <c r="K1270" s="84"/>
      <c r="L1270" s="84"/>
      <c r="M1270" s="84"/>
      <c r="N1270" s="84" t="str">
        <f>IFERROR(__xludf.DUMMYFUNCTION("IFERROR(AVERAGE(query(INDIRECT(""'FR Table'!"" &amp; vlookup(rows($A$1:$A1269),Reference!$O:$P,2,false) &amp; ""3:"" &amp; vlookup(rows($A$1:$A1269),Reference!$O:$P,2,false)), 
""SELECT "" &amp; vlookup(rows($A$1:$A1269),Reference!$O:$P,2,false) 
&amp; "" WHERE "" &amp; vlookup("&amp;"rows($A$1:$A1269),Reference!$O:$P,2,false) &amp;
"" &gt;= "" &amp; Reference!$R$2)) * M1270,"""")"),"")</f>
        <v/>
      </c>
      <c r="O1270" s="84" t="str">
        <f t="shared" si="2"/>
        <v/>
      </c>
    </row>
    <row r="1271">
      <c r="A1271" s="84"/>
      <c r="B1271" s="84"/>
      <c r="C1271" s="85"/>
      <c r="D1271" s="86"/>
      <c r="E1271" s="87"/>
      <c r="F1271" s="86"/>
      <c r="G1271" s="87"/>
      <c r="H1271" s="86"/>
      <c r="I1271" s="86"/>
      <c r="J1271" s="86"/>
      <c r="K1271" s="84"/>
      <c r="L1271" s="84"/>
      <c r="M1271" s="84"/>
      <c r="N1271" s="84" t="str">
        <f>IFERROR(__xludf.DUMMYFUNCTION("IFERROR(AVERAGE(query(INDIRECT(""'FR Table'!"" &amp; vlookup(rows($A$1:$A1270),Reference!$O:$P,2,false) &amp; ""3:"" &amp; vlookup(rows($A$1:$A1270),Reference!$O:$P,2,false)), 
""SELECT "" &amp; vlookup(rows($A$1:$A1270),Reference!$O:$P,2,false) 
&amp; "" WHERE "" &amp; vlookup("&amp;"rows($A$1:$A1270),Reference!$O:$P,2,false) &amp;
"" &gt;= "" &amp; Reference!$R$2)) * M1271,"""")"),"")</f>
        <v/>
      </c>
      <c r="O1271" s="84" t="str">
        <f t="shared" si="2"/>
        <v/>
      </c>
    </row>
    <row r="1272">
      <c r="A1272" s="84"/>
      <c r="B1272" s="84"/>
      <c r="C1272" s="85"/>
      <c r="D1272" s="86"/>
      <c r="E1272" s="87"/>
      <c r="F1272" s="86"/>
      <c r="G1272" s="87"/>
      <c r="H1272" s="86"/>
      <c r="I1272" s="86"/>
      <c r="J1272" s="86"/>
      <c r="K1272" s="84"/>
      <c r="L1272" s="84"/>
      <c r="M1272" s="84"/>
      <c r="N1272" s="84" t="str">
        <f>IFERROR(__xludf.DUMMYFUNCTION("IFERROR(AVERAGE(query(INDIRECT(""'FR Table'!"" &amp; vlookup(rows($A$1:$A1271),Reference!$O:$P,2,false) &amp; ""3:"" &amp; vlookup(rows($A$1:$A1271),Reference!$O:$P,2,false)), 
""SELECT "" &amp; vlookup(rows($A$1:$A1271),Reference!$O:$P,2,false) 
&amp; "" WHERE "" &amp; vlookup("&amp;"rows($A$1:$A1271),Reference!$O:$P,2,false) &amp;
"" &gt;= "" &amp; Reference!$R$2)) * M1272,"""")"),"")</f>
        <v/>
      </c>
      <c r="O1272" s="84" t="str">
        <f t="shared" si="2"/>
        <v/>
      </c>
    </row>
    <row r="1273">
      <c r="A1273" s="84"/>
      <c r="B1273" s="84"/>
      <c r="C1273" s="85"/>
      <c r="D1273" s="86"/>
      <c r="E1273" s="87"/>
      <c r="F1273" s="86"/>
      <c r="G1273" s="87"/>
      <c r="H1273" s="86"/>
      <c r="I1273" s="86"/>
      <c r="J1273" s="86"/>
      <c r="K1273" s="84"/>
      <c r="L1273" s="84"/>
      <c r="M1273" s="84"/>
      <c r="N1273" s="84" t="str">
        <f>IFERROR(__xludf.DUMMYFUNCTION("IFERROR(AVERAGE(query(INDIRECT(""'FR Table'!"" &amp; vlookup(rows($A$1:$A1272),Reference!$O:$P,2,false) &amp; ""3:"" &amp; vlookup(rows($A$1:$A1272),Reference!$O:$P,2,false)), 
""SELECT "" &amp; vlookup(rows($A$1:$A1272),Reference!$O:$P,2,false) 
&amp; "" WHERE "" &amp; vlookup("&amp;"rows($A$1:$A1272),Reference!$O:$P,2,false) &amp;
"" &gt;= "" &amp; Reference!$R$2)) * M1273,"""")"),"")</f>
        <v/>
      </c>
      <c r="O1273" s="84" t="str">
        <f t="shared" si="2"/>
        <v/>
      </c>
    </row>
    <row r="1274">
      <c r="A1274" s="84"/>
      <c r="B1274" s="84"/>
      <c r="C1274" s="85"/>
      <c r="D1274" s="86"/>
      <c r="E1274" s="87"/>
      <c r="F1274" s="86"/>
      <c r="G1274" s="87"/>
      <c r="H1274" s="86"/>
      <c r="I1274" s="86"/>
      <c r="J1274" s="86"/>
      <c r="K1274" s="84"/>
      <c r="L1274" s="84"/>
      <c r="M1274" s="84"/>
      <c r="N1274" s="84" t="str">
        <f>IFERROR(__xludf.DUMMYFUNCTION("IFERROR(AVERAGE(query(INDIRECT(""'FR Table'!"" &amp; vlookup(rows($A$1:$A1273),Reference!$O:$P,2,false) &amp; ""3:"" &amp; vlookup(rows($A$1:$A1273),Reference!$O:$P,2,false)), 
""SELECT "" &amp; vlookup(rows($A$1:$A1273),Reference!$O:$P,2,false) 
&amp; "" WHERE "" &amp; vlookup("&amp;"rows($A$1:$A1273),Reference!$O:$P,2,false) &amp;
"" &gt;= "" &amp; Reference!$R$2)) * M1274,"""")"),"")</f>
        <v/>
      </c>
      <c r="O1274" s="84" t="str">
        <f t="shared" si="2"/>
        <v/>
      </c>
    </row>
    <row r="1275">
      <c r="A1275" s="84"/>
      <c r="B1275" s="84"/>
      <c r="C1275" s="85"/>
      <c r="D1275" s="86"/>
      <c r="E1275" s="87"/>
      <c r="F1275" s="86"/>
      <c r="G1275" s="87"/>
      <c r="H1275" s="86"/>
      <c r="I1275" s="86"/>
      <c r="J1275" s="86"/>
      <c r="K1275" s="84"/>
      <c r="L1275" s="84"/>
      <c r="M1275" s="84"/>
      <c r="N1275" s="84" t="str">
        <f>IFERROR(__xludf.DUMMYFUNCTION("IFERROR(AVERAGE(query(INDIRECT(""'FR Table'!"" &amp; vlookup(rows($A$1:$A1274),Reference!$O:$P,2,false) &amp; ""3:"" &amp; vlookup(rows($A$1:$A1274),Reference!$O:$P,2,false)), 
""SELECT "" &amp; vlookup(rows($A$1:$A1274),Reference!$O:$P,2,false) 
&amp; "" WHERE "" &amp; vlookup("&amp;"rows($A$1:$A1274),Reference!$O:$P,2,false) &amp;
"" &gt;= "" &amp; Reference!$R$2)) * M1275,"""")"),"")</f>
        <v/>
      </c>
      <c r="O1275" s="84" t="str">
        <f t="shared" si="2"/>
        <v/>
      </c>
    </row>
    <row r="1276">
      <c r="A1276" s="84"/>
      <c r="B1276" s="84"/>
      <c r="C1276" s="85"/>
      <c r="D1276" s="86"/>
      <c r="E1276" s="87"/>
      <c r="F1276" s="86"/>
      <c r="G1276" s="87"/>
      <c r="H1276" s="86"/>
      <c r="I1276" s="86"/>
      <c r="J1276" s="86"/>
      <c r="K1276" s="84"/>
      <c r="L1276" s="84"/>
      <c r="M1276" s="84"/>
      <c r="N1276" s="84" t="str">
        <f>IFERROR(__xludf.DUMMYFUNCTION("IFERROR(AVERAGE(query(INDIRECT(""'FR Table'!"" &amp; vlookup(rows($A$1:$A1275),Reference!$O:$P,2,false) &amp; ""3:"" &amp; vlookup(rows($A$1:$A1275),Reference!$O:$P,2,false)), 
""SELECT "" &amp; vlookup(rows($A$1:$A1275),Reference!$O:$P,2,false) 
&amp; "" WHERE "" &amp; vlookup("&amp;"rows($A$1:$A1275),Reference!$O:$P,2,false) &amp;
"" &gt;= "" &amp; Reference!$R$2)) * M1276,"""")"),"")</f>
        <v/>
      </c>
      <c r="O1276" s="84" t="str">
        <f t="shared" si="2"/>
        <v/>
      </c>
    </row>
    <row r="1277">
      <c r="A1277" s="84"/>
      <c r="B1277" s="84"/>
      <c r="C1277" s="85"/>
      <c r="D1277" s="86"/>
      <c r="E1277" s="87"/>
      <c r="F1277" s="86"/>
      <c r="G1277" s="87"/>
      <c r="H1277" s="86"/>
      <c r="I1277" s="86"/>
      <c r="J1277" s="86"/>
      <c r="K1277" s="84"/>
      <c r="L1277" s="84"/>
      <c r="M1277" s="84"/>
      <c r="N1277" s="84" t="str">
        <f>IFERROR(__xludf.DUMMYFUNCTION("IFERROR(AVERAGE(query(INDIRECT(""'FR Table'!"" &amp; vlookup(rows($A$1:$A1276),Reference!$O:$P,2,false) &amp; ""3:"" &amp; vlookup(rows($A$1:$A1276),Reference!$O:$P,2,false)), 
""SELECT "" &amp; vlookup(rows($A$1:$A1276),Reference!$O:$P,2,false) 
&amp; "" WHERE "" &amp; vlookup("&amp;"rows($A$1:$A1276),Reference!$O:$P,2,false) &amp;
"" &gt;= "" &amp; Reference!$R$2)) * M1277,"""")"),"")</f>
        <v/>
      </c>
      <c r="O1277" s="84" t="str">
        <f t="shared" si="2"/>
        <v/>
      </c>
    </row>
    <row r="1278">
      <c r="A1278" s="84"/>
      <c r="B1278" s="84"/>
      <c r="C1278" s="85"/>
      <c r="D1278" s="86"/>
      <c r="E1278" s="87"/>
      <c r="F1278" s="86"/>
      <c r="G1278" s="87"/>
      <c r="H1278" s="86"/>
      <c r="I1278" s="86"/>
      <c r="J1278" s="86"/>
      <c r="K1278" s="84"/>
      <c r="L1278" s="84"/>
      <c r="M1278" s="84"/>
      <c r="N1278" s="84" t="str">
        <f>IFERROR(__xludf.DUMMYFUNCTION("IFERROR(AVERAGE(query(INDIRECT(""'FR Table'!"" &amp; vlookup(rows($A$1:$A1277),Reference!$O:$P,2,false) &amp; ""3:"" &amp; vlookup(rows($A$1:$A1277),Reference!$O:$P,2,false)), 
""SELECT "" &amp; vlookup(rows($A$1:$A1277),Reference!$O:$P,2,false) 
&amp; "" WHERE "" &amp; vlookup("&amp;"rows($A$1:$A1277),Reference!$O:$P,2,false) &amp;
"" &gt;= "" &amp; Reference!$R$2)) * M1278,"""")"),"")</f>
        <v/>
      </c>
      <c r="O1278" s="84" t="str">
        <f t="shared" si="2"/>
        <v/>
      </c>
    </row>
    <row r="1279">
      <c r="A1279" s="84"/>
      <c r="B1279" s="84"/>
      <c r="C1279" s="85"/>
      <c r="D1279" s="86"/>
      <c r="E1279" s="87"/>
      <c r="F1279" s="86"/>
      <c r="G1279" s="87"/>
      <c r="H1279" s="86"/>
      <c r="I1279" s="86"/>
      <c r="J1279" s="86"/>
      <c r="K1279" s="84"/>
      <c r="L1279" s="84"/>
      <c r="M1279" s="84"/>
      <c r="N1279" s="84" t="str">
        <f>IFERROR(__xludf.DUMMYFUNCTION("IFERROR(AVERAGE(query(INDIRECT(""'FR Table'!"" &amp; vlookup(rows($A$1:$A1278),Reference!$O:$P,2,false) &amp; ""3:"" &amp; vlookup(rows($A$1:$A1278),Reference!$O:$P,2,false)), 
""SELECT "" &amp; vlookup(rows($A$1:$A1278),Reference!$O:$P,2,false) 
&amp; "" WHERE "" &amp; vlookup("&amp;"rows($A$1:$A1278),Reference!$O:$P,2,false) &amp;
"" &gt;= "" &amp; Reference!$R$2)) * M1279,"""")"),"")</f>
        <v/>
      </c>
      <c r="O1279" s="84" t="str">
        <f t="shared" si="2"/>
        <v/>
      </c>
    </row>
    <row r="1280">
      <c r="A1280" s="84"/>
      <c r="B1280" s="84"/>
      <c r="C1280" s="85"/>
      <c r="D1280" s="86"/>
      <c r="E1280" s="87"/>
      <c r="F1280" s="86"/>
      <c r="G1280" s="87"/>
      <c r="H1280" s="86"/>
      <c r="I1280" s="86"/>
      <c r="J1280" s="86"/>
      <c r="K1280" s="84"/>
      <c r="L1280" s="84"/>
      <c r="M1280" s="84"/>
      <c r="N1280" s="84" t="str">
        <f>IFERROR(__xludf.DUMMYFUNCTION("IFERROR(AVERAGE(query(INDIRECT(""'FR Table'!"" &amp; vlookup(rows($A$1:$A1279),Reference!$O:$P,2,false) &amp; ""3:"" &amp; vlookup(rows($A$1:$A1279),Reference!$O:$P,2,false)), 
""SELECT "" &amp; vlookup(rows($A$1:$A1279),Reference!$O:$P,2,false) 
&amp; "" WHERE "" &amp; vlookup("&amp;"rows($A$1:$A1279),Reference!$O:$P,2,false) &amp;
"" &gt;= "" &amp; Reference!$R$2)) * M1280,"""")"),"")</f>
        <v/>
      </c>
      <c r="O1280" s="84" t="str">
        <f t="shared" si="2"/>
        <v/>
      </c>
    </row>
    <row r="1281">
      <c r="A1281" s="84"/>
      <c r="B1281" s="84"/>
      <c r="C1281" s="85"/>
      <c r="D1281" s="86"/>
      <c r="E1281" s="87"/>
      <c r="F1281" s="86"/>
      <c r="G1281" s="87"/>
      <c r="H1281" s="86"/>
      <c r="I1281" s="86"/>
      <c r="J1281" s="86"/>
      <c r="K1281" s="84"/>
      <c r="L1281" s="84"/>
      <c r="M1281" s="84"/>
      <c r="N1281" s="84" t="str">
        <f>IFERROR(__xludf.DUMMYFUNCTION("IFERROR(AVERAGE(query(INDIRECT(""'FR Table'!"" &amp; vlookup(rows($A$1:$A1280),Reference!$O:$P,2,false) &amp; ""3:"" &amp; vlookup(rows($A$1:$A1280),Reference!$O:$P,2,false)), 
""SELECT "" &amp; vlookup(rows($A$1:$A1280),Reference!$O:$P,2,false) 
&amp; "" WHERE "" &amp; vlookup("&amp;"rows($A$1:$A1280),Reference!$O:$P,2,false) &amp;
"" &gt;= "" &amp; Reference!$R$2)) * M1281,"""")"),"")</f>
        <v/>
      </c>
      <c r="O1281" s="84" t="str">
        <f t="shared" si="2"/>
        <v/>
      </c>
    </row>
    <row r="1282">
      <c r="A1282" s="84"/>
      <c r="B1282" s="84"/>
      <c r="C1282" s="85"/>
      <c r="D1282" s="86"/>
      <c r="E1282" s="87"/>
      <c r="F1282" s="86"/>
      <c r="G1282" s="87"/>
      <c r="H1282" s="86"/>
      <c r="I1282" s="86"/>
      <c r="J1282" s="86"/>
      <c r="K1282" s="84"/>
      <c r="L1282" s="84"/>
      <c r="M1282" s="84"/>
      <c r="N1282" s="84" t="str">
        <f>IFERROR(__xludf.DUMMYFUNCTION("IFERROR(AVERAGE(query(INDIRECT(""'FR Table'!"" &amp; vlookup(rows($A$1:$A1281),Reference!$O:$P,2,false) &amp; ""3:"" &amp; vlookup(rows($A$1:$A1281),Reference!$O:$P,2,false)), 
""SELECT "" &amp; vlookup(rows($A$1:$A1281),Reference!$O:$P,2,false) 
&amp; "" WHERE "" &amp; vlookup("&amp;"rows($A$1:$A1281),Reference!$O:$P,2,false) &amp;
"" &gt;= "" &amp; Reference!$R$2)) * M1282,"""")"),"")</f>
        <v/>
      </c>
      <c r="O1282" s="84" t="str">
        <f t="shared" si="2"/>
        <v/>
      </c>
    </row>
    <row r="1283">
      <c r="A1283" s="84"/>
      <c r="B1283" s="84"/>
      <c r="C1283" s="85"/>
      <c r="D1283" s="86"/>
      <c r="E1283" s="87"/>
      <c r="F1283" s="86"/>
      <c r="G1283" s="87"/>
      <c r="H1283" s="86"/>
      <c r="I1283" s="86"/>
      <c r="J1283" s="86"/>
      <c r="K1283" s="84"/>
      <c r="L1283" s="84"/>
      <c r="M1283" s="84"/>
      <c r="N1283" s="84" t="str">
        <f>IFERROR(__xludf.DUMMYFUNCTION("IFERROR(AVERAGE(query(INDIRECT(""'FR Table'!"" &amp; vlookup(rows($A$1:$A1282),Reference!$O:$P,2,false) &amp; ""3:"" &amp; vlookup(rows($A$1:$A1282),Reference!$O:$P,2,false)), 
""SELECT "" &amp; vlookup(rows($A$1:$A1282),Reference!$O:$P,2,false) 
&amp; "" WHERE "" &amp; vlookup("&amp;"rows($A$1:$A1282),Reference!$O:$P,2,false) &amp;
"" &gt;= "" &amp; Reference!$R$2)) * M1283,"""")"),"")</f>
        <v/>
      </c>
      <c r="O1283" s="84" t="str">
        <f t="shared" si="2"/>
        <v/>
      </c>
    </row>
    <row r="1284">
      <c r="A1284" s="84"/>
      <c r="B1284" s="84"/>
      <c r="C1284" s="85"/>
      <c r="D1284" s="86"/>
      <c r="E1284" s="87"/>
      <c r="F1284" s="86"/>
      <c r="G1284" s="87"/>
      <c r="H1284" s="86"/>
      <c r="I1284" s="86"/>
      <c r="J1284" s="86"/>
      <c r="K1284" s="84"/>
      <c r="L1284" s="84"/>
      <c r="M1284" s="84"/>
      <c r="N1284" s="84" t="str">
        <f>IFERROR(__xludf.DUMMYFUNCTION("IFERROR(AVERAGE(query(INDIRECT(""'FR Table'!"" &amp; vlookup(rows($A$1:$A1283),Reference!$O:$P,2,false) &amp; ""3:"" &amp; vlookup(rows($A$1:$A1283),Reference!$O:$P,2,false)), 
""SELECT "" &amp; vlookup(rows($A$1:$A1283),Reference!$O:$P,2,false) 
&amp; "" WHERE "" &amp; vlookup("&amp;"rows($A$1:$A1283),Reference!$O:$P,2,false) &amp;
"" &gt;= "" &amp; Reference!$R$2)) * M1284,"""")"),"")</f>
        <v/>
      </c>
      <c r="O1284" s="84" t="str">
        <f t="shared" si="2"/>
        <v/>
      </c>
    </row>
    <row r="1285">
      <c r="A1285" s="84"/>
      <c r="B1285" s="84"/>
      <c r="C1285" s="85"/>
      <c r="D1285" s="86"/>
      <c r="E1285" s="87"/>
      <c r="F1285" s="86"/>
      <c r="G1285" s="87"/>
      <c r="H1285" s="86"/>
      <c r="I1285" s="86"/>
      <c r="J1285" s="86"/>
      <c r="K1285" s="84"/>
      <c r="L1285" s="84"/>
      <c r="M1285" s="84"/>
      <c r="N1285" s="84" t="str">
        <f>IFERROR(__xludf.DUMMYFUNCTION("IFERROR(AVERAGE(query(INDIRECT(""'FR Table'!"" &amp; vlookup(rows($A$1:$A1284),Reference!$O:$P,2,false) &amp; ""3:"" &amp; vlookup(rows($A$1:$A1284),Reference!$O:$P,2,false)), 
""SELECT "" &amp; vlookup(rows($A$1:$A1284),Reference!$O:$P,2,false) 
&amp; "" WHERE "" &amp; vlookup("&amp;"rows($A$1:$A1284),Reference!$O:$P,2,false) &amp;
"" &gt;= "" &amp; Reference!$R$2)) * M1285,"""")"),"")</f>
        <v/>
      </c>
      <c r="O1285" s="84" t="str">
        <f t="shared" si="2"/>
        <v/>
      </c>
    </row>
    <row r="1286">
      <c r="A1286" s="84"/>
      <c r="B1286" s="84"/>
      <c r="C1286" s="85"/>
      <c r="D1286" s="86"/>
      <c r="E1286" s="87"/>
      <c r="F1286" s="86"/>
      <c r="G1286" s="87"/>
      <c r="H1286" s="86"/>
      <c r="I1286" s="86"/>
      <c r="J1286" s="86"/>
      <c r="K1286" s="84"/>
      <c r="L1286" s="84"/>
      <c r="M1286" s="84"/>
      <c r="N1286" s="84" t="str">
        <f>IFERROR(__xludf.DUMMYFUNCTION("IFERROR(AVERAGE(query(INDIRECT(""'FR Table'!"" &amp; vlookup(rows($A$1:$A1285),Reference!$O:$P,2,false) &amp; ""3:"" &amp; vlookup(rows($A$1:$A1285),Reference!$O:$P,2,false)), 
""SELECT "" &amp; vlookup(rows($A$1:$A1285),Reference!$O:$P,2,false) 
&amp; "" WHERE "" &amp; vlookup("&amp;"rows($A$1:$A1285),Reference!$O:$P,2,false) &amp;
"" &gt;= "" &amp; Reference!$R$2)) * M1286,"""")"),"")</f>
        <v/>
      </c>
      <c r="O1286" s="84" t="str">
        <f t="shared" si="2"/>
        <v/>
      </c>
    </row>
    <row r="1287">
      <c r="A1287" s="84"/>
      <c r="B1287" s="84"/>
      <c r="C1287" s="85"/>
      <c r="D1287" s="86"/>
      <c r="E1287" s="87"/>
      <c r="F1287" s="86"/>
      <c r="G1287" s="87"/>
      <c r="H1287" s="86"/>
      <c r="I1287" s="86"/>
      <c r="J1287" s="86"/>
      <c r="K1287" s="84"/>
      <c r="L1287" s="84"/>
      <c r="M1287" s="84"/>
      <c r="N1287" s="84" t="str">
        <f>IFERROR(__xludf.DUMMYFUNCTION("IFERROR(AVERAGE(query(INDIRECT(""'FR Table'!"" &amp; vlookup(rows($A$1:$A1286),Reference!$O:$P,2,false) &amp; ""3:"" &amp; vlookup(rows($A$1:$A1286),Reference!$O:$P,2,false)), 
""SELECT "" &amp; vlookup(rows($A$1:$A1286),Reference!$O:$P,2,false) 
&amp; "" WHERE "" &amp; vlookup("&amp;"rows($A$1:$A1286),Reference!$O:$P,2,false) &amp;
"" &gt;= "" &amp; Reference!$R$2)) * M1287,"""")"),"")</f>
        <v/>
      </c>
      <c r="O1287" s="84" t="str">
        <f t="shared" si="2"/>
        <v/>
      </c>
    </row>
    <row r="1288">
      <c r="A1288" s="84"/>
      <c r="B1288" s="84"/>
      <c r="C1288" s="85"/>
      <c r="D1288" s="86"/>
      <c r="E1288" s="87"/>
      <c r="F1288" s="86"/>
      <c r="G1288" s="87"/>
      <c r="H1288" s="86"/>
      <c r="I1288" s="86"/>
      <c r="J1288" s="86"/>
      <c r="K1288" s="84"/>
      <c r="L1288" s="84"/>
      <c r="M1288" s="84"/>
      <c r="N1288" s="84" t="str">
        <f>IFERROR(__xludf.DUMMYFUNCTION("IFERROR(AVERAGE(query(INDIRECT(""'FR Table'!"" &amp; vlookup(rows($A$1:$A1287),Reference!$O:$P,2,false) &amp; ""3:"" &amp; vlookup(rows($A$1:$A1287),Reference!$O:$P,2,false)), 
""SELECT "" &amp; vlookup(rows($A$1:$A1287),Reference!$O:$P,2,false) 
&amp; "" WHERE "" &amp; vlookup("&amp;"rows($A$1:$A1287),Reference!$O:$P,2,false) &amp;
"" &gt;= "" &amp; Reference!$R$2)) * M1288,"""")"),"")</f>
        <v/>
      </c>
      <c r="O1288" s="84" t="str">
        <f t="shared" si="2"/>
        <v/>
      </c>
    </row>
    <row r="1289">
      <c r="A1289" s="84"/>
      <c r="B1289" s="84"/>
      <c r="C1289" s="85"/>
      <c r="D1289" s="86"/>
      <c r="E1289" s="87"/>
      <c r="F1289" s="86"/>
      <c r="G1289" s="87"/>
      <c r="H1289" s="86"/>
      <c r="I1289" s="86"/>
      <c r="J1289" s="86"/>
      <c r="K1289" s="84"/>
      <c r="L1289" s="84"/>
      <c r="M1289" s="84"/>
      <c r="N1289" s="84" t="str">
        <f>IFERROR(__xludf.DUMMYFUNCTION("IFERROR(AVERAGE(query(INDIRECT(""'FR Table'!"" &amp; vlookup(rows($A$1:$A1288),Reference!$O:$P,2,false) &amp; ""3:"" &amp; vlookup(rows($A$1:$A1288),Reference!$O:$P,2,false)), 
""SELECT "" &amp; vlookup(rows($A$1:$A1288),Reference!$O:$P,2,false) 
&amp; "" WHERE "" &amp; vlookup("&amp;"rows($A$1:$A1288),Reference!$O:$P,2,false) &amp;
"" &gt;= "" &amp; Reference!$R$2)) * M1289,"""")"),"")</f>
        <v/>
      </c>
      <c r="O1289" s="84" t="str">
        <f t="shared" si="2"/>
        <v/>
      </c>
    </row>
    <row r="1290">
      <c r="A1290" s="84"/>
      <c r="B1290" s="84"/>
      <c r="C1290" s="85"/>
      <c r="D1290" s="86"/>
      <c r="E1290" s="87"/>
      <c r="F1290" s="86"/>
      <c r="G1290" s="87"/>
      <c r="H1290" s="86"/>
      <c r="I1290" s="86"/>
      <c r="J1290" s="86"/>
      <c r="K1290" s="84"/>
      <c r="L1290" s="84"/>
      <c r="M1290" s="84"/>
      <c r="N1290" s="84" t="str">
        <f>IFERROR(__xludf.DUMMYFUNCTION("IFERROR(AVERAGE(query(INDIRECT(""'FR Table'!"" &amp; vlookup(rows($A$1:$A1289),Reference!$O:$P,2,false) &amp; ""3:"" &amp; vlookup(rows($A$1:$A1289),Reference!$O:$P,2,false)), 
""SELECT "" &amp; vlookup(rows($A$1:$A1289),Reference!$O:$P,2,false) 
&amp; "" WHERE "" &amp; vlookup("&amp;"rows($A$1:$A1289),Reference!$O:$P,2,false) &amp;
"" &gt;= "" &amp; Reference!$R$2)) * M1290,"""")"),"")</f>
        <v/>
      </c>
      <c r="O1290" s="84" t="str">
        <f t="shared" si="2"/>
        <v/>
      </c>
    </row>
    <row r="1291">
      <c r="A1291" s="84"/>
      <c r="B1291" s="84"/>
      <c r="C1291" s="85"/>
      <c r="D1291" s="86"/>
      <c r="E1291" s="87"/>
      <c r="F1291" s="86"/>
      <c r="G1291" s="87"/>
      <c r="H1291" s="86"/>
      <c r="I1291" s="86"/>
      <c r="J1291" s="86"/>
      <c r="K1291" s="84"/>
      <c r="L1291" s="84"/>
      <c r="M1291" s="84"/>
      <c r="N1291" s="84" t="str">
        <f>IFERROR(__xludf.DUMMYFUNCTION("IFERROR(AVERAGE(query(INDIRECT(""'FR Table'!"" &amp; vlookup(rows($A$1:$A1290),Reference!$O:$P,2,false) &amp; ""3:"" &amp; vlookup(rows($A$1:$A1290),Reference!$O:$P,2,false)), 
""SELECT "" &amp; vlookup(rows($A$1:$A1290),Reference!$O:$P,2,false) 
&amp; "" WHERE "" &amp; vlookup("&amp;"rows($A$1:$A1290),Reference!$O:$P,2,false) &amp;
"" &gt;= "" &amp; Reference!$R$2)) * M1291,"""")"),"")</f>
        <v/>
      </c>
      <c r="O1291" s="84" t="str">
        <f t="shared" si="2"/>
        <v/>
      </c>
    </row>
    <row r="1292">
      <c r="A1292" s="84"/>
      <c r="B1292" s="84"/>
      <c r="C1292" s="85"/>
      <c r="D1292" s="86"/>
      <c r="E1292" s="87"/>
      <c r="F1292" s="86"/>
      <c r="G1292" s="87"/>
      <c r="H1292" s="86"/>
      <c r="I1292" s="86"/>
      <c r="J1292" s="86"/>
      <c r="K1292" s="84"/>
      <c r="L1292" s="84"/>
      <c r="M1292" s="84"/>
      <c r="N1292" s="84" t="str">
        <f>IFERROR(__xludf.DUMMYFUNCTION("IFERROR(AVERAGE(query(INDIRECT(""'FR Table'!"" &amp; vlookup(rows($A$1:$A1291),Reference!$O:$P,2,false) &amp; ""3:"" &amp; vlookup(rows($A$1:$A1291),Reference!$O:$P,2,false)), 
""SELECT "" &amp; vlookup(rows($A$1:$A1291),Reference!$O:$P,2,false) 
&amp; "" WHERE "" &amp; vlookup("&amp;"rows($A$1:$A1291),Reference!$O:$P,2,false) &amp;
"" &gt;= "" &amp; Reference!$R$2)) * M1292,"""")"),"")</f>
        <v/>
      </c>
      <c r="O1292" s="84" t="str">
        <f t="shared" si="2"/>
        <v/>
      </c>
    </row>
    <row r="1293">
      <c r="A1293" s="84"/>
      <c r="B1293" s="84"/>
      <c r="C1293" s="85"/>
      <c r="D1293" s="86"/>
      <c r="E1293" s="87"/>
      <c r="F1293" s="86"/>
      <c r="G1293" s="87"/>
      <c r="H1293" s="86"/>
      <c r="I1293" s="86"/>
      <c r="J1293" s="86"/>
      <c r="K1293" s="84"/>
      <c r="L1293" s="84"/>
      <c r="M1293" s="84"/>
      <c r="N1293" s="84" t="str">
        <f>IFERROR(__xludf.DUMMYFUNCTION("IFERROR(AVERAGE(query(INDIRECT(""'FR Table'!"" &amp; vlookup(rows($A$1:$A1292),Reference!$O:$P,2,false) &amp; ""3:"" &amp; vlookup(rows($A$1:$A1292),Reference!$O:$P,2,false)), 
""SELECT "" &amp; vlookup(rows($A$1:$A1292),Reference!$O:$P,2,false) 
&amp; "" WHERE "" &amp; vlookup("&amp;"rows($A$1:$A1292),Reference!$O:$P,2,false) &amp;
"" &gt;= "" &amp; Reference!$R$2)) * M1293,"""")"),"")</f>
        <v/>
      </c>
      <c r="O1293" s="84" t="str">
        <f t="shared" si="2"/>
        <v/>
      </c>
    </row>
    <row r="1294">
      <c r="A1294" s="84"/>
      <c r="B1294" s="84"/>
      <c r="C1294" s="85"/>
      <c r="D1294" s="86"/>
      <c r="E1294" s="87"/>
      <c r="F1294" s="86"/>
      <c r="G1294" s="87"/>
      <c r="H1294" s="86"/>
      <c r="I1294" s="86"/>
      <c r="J1294" s="86"/>
      <c r="K1294" s="84"/>
      <c r="L1294" s="84"/>
      <c r="M1294" s="84"/>
      <c r="N1294" s="84" t="str">
        <f>IFERROR(__xludf.DUMMYFUNCTION("IFERROR(AVERAGE(query(INDIRECT(""'FR Table'!"" &amp; vlookup(rows($A$1:$A1293),Reference!$O:$P,2,false) &amp; ""3:"" &amp; vlookup(rows($A$1:$A1293),Reference!$O:$P,2,false)), 
""SELECT "" &amp; vlookup(rows($A$1:$A1293),Reference!$O:$P,2,false) 
&amp; "" WHERE "" &amp; vlookup("&amp;"rows($A$1:$A1293),Reference!$O:$P,2,false) &amp;
"" &gt;= "" &amp; Reference!$R$2)) * M1294,"""")"),"")</f>
        <v/>
      </c>
      <c r="O1294" s="84" t="str">
        <f t="shared" si="2"/>
        <v/>
      </c>
    </row>
    <row r="1295">
      <c r="A1295" s="84"/>
      <c r="B1295" s="84"/>
      <c r="C1295" s="85"/>
      <c r="D1295" s="86"/>
      <c r="E1295" s="87"/>
      <c r="F1295" s="86"/>
      <c r="G1295" s="87"/>
      <c r="H1295" s="86"/>
      <c r="I1295" s="86"/>
      <c r="J1295" s="86"/>
      <c r="K1295" s="84"/>
      <c r="L1295" s="84"/>
      <c r="M1295" s="84"/>
      <c r="N1295" s="84" t="str">
        <f>IFERROR(__xludf.DUMMYFUNCTION("IFERROR(AVERAGE(query(INDIRECT(""'FR Table'!"" &amp; vlookup(rows($A$1:$A1294),Reference!$O:$P,2,false) &amp; ""3:"" &amp; vlookup(rows($A$1:$A1294),Reference!$O:$P,2,false)), 
""SELECT "" &amp; vlookup(rows($A$1:$A1294),Reference!$O:$P,2,false) 
&amp; "" WHERE "" &amp; vlookup("&amp;"rows($A$1:$A1294),Reference!$O:$P,2,false) &amp;
"" &gt;= "" &amp; Reference!$R$2)) * M1295,"""")"),"")</f>
        <v/>
      </c>
      <c r="O1295" s="84" t="str">
        <f t="shared" si="2"/>
        <v/>
      </c>
    </row>
    <row r="1296">
      <c r="A1296" s="84"/>
      <c r="B1296" s="84"/>
      <c r="C1296" s="85"/>
      <c r="D1296" s="86"/>
      <c r="E1296" s="87"/>
      <c r="F1296" s="86"/>
      <c r="G1296" s="87"/>
      <c r="H1296" s="86"/>
      <c r="I1296" s="86"/>
      <c r="J1296" s="86"/>
      <c r="K1296" s="84"/>
      <c r="L1296" s="84"/>
      <c r="M1296" s="84"/>
      <c r="N1296" s="84" t="str">
        <f>IFERROR(__xludf.DUMMYFUNCTION("IFERROR(AVERAGE(query(INDIRECT(""'FR Table'!"" &amp; vlookup(rows($A$1:$A1295),Reference!$O:$P,2,false) &amp; ""3:"" &amp; vlookup(rows($A$1:$A1295),Reference!$O:$P,2,false)), 
""SELECT "" &amp; vlookup(rows($A$1:$A1295),Reference!$O:$P,2,false) 
&amp; "" WHERE "" &amp; vlookup("&amp;"rows($A$1:$A1295),Reference!$O:$P,2,false) &amp;
"" &gt;= "" &amp; Reference!$R$2)) * M1296,"""")"),"")</f>
        <v/>
      </c>
      <c r="O1296" s="84" t="str">
        <f t="shared" si="2"/>
        <v/>
      </c>
    </row>
    <row r="1297">
      <c r="A1297" s="84"/>
      <c r="B1297" s="84"/>
      <c r="C1297" s="85"/>
      <c r="D1297" s="86"/>
      <c r="E1297" s="87"/>
      <c r="F1297" s="86"/>
      <c r="G1297" s="87"/>
      <c r="H1297" s="86"/>
      <c r="I1297" s="86"/>
      <c r="J1297" s="86"/>
      <c r="K1297" s="84"/>
      <c r="L1297" s="84"/>
      <c r="M1297" s="84"/>
      <c r="N1297" s="84" t="str">
        <f>IFERROR(__xludf.DUMMYFUNCTION("IFERROR(AVERAGE(query(INDIRECT(""'FR Table'!"" &amp; vlookup(rows($A$1:$A1296),Reference!$O:$P,2,false) &amp; ""3:"" &amp; vlookup(rows($A$1:$A1296),Reference!$O:$P,2,false)), 
""SELECT "" &amp; vlookup(rows($A$1:$A1296),Reference!$O:$P,2,false) 
&amp; "" WHERE "" &amp; vlookup("&amp;"rows($A$1:$A1296),Reference!$O:$P,2,false) &amp;
"" &gt;= "" &amp; Reference!$R$2)) * M1297,"""")"),"")</f>
        <v/>
      </c>
      <c r="O1297" s="84" t="str">
        <f t="shared" si="2"/>
        <v/>
      </c>
    </row>
    <row r="1298">
      <c r="A1298" s="84"/>
      <c r="B1298" s="84"/>
      <c r="C1298" s="85"/>
      <c r="D1298" s="86"/>
      <c r="E1298" s="87"/>
      <c r="F1298" s="86"/>
      <c r="G1298" s="87"/>
      <c r="H1298" s="86"/>
      <c r="I1298" s="86"/>
      <c r="J1298" s="86"/>
      <c r="K1298" s="84"/>
      <c r="L1298" s="84"/>
      <c r="M1298" s="84"/>
      <c r="N1298" s="84" t="str">
        <f>IFERROR(__xludf.DUMMYFUNCTION("IFERROR(AVERAGE(query(INDIRECT(""'FR Table'!"" &amp; vlookup(rows($A$1:$A1297),Reference!$O:$P,2,false) &amp; ""3:"" &amp; vlookup(rows($A$1:$A1297),Reference!$O:$P,2,false)), 
""SELECT "" &amp; vlookup(rows($A$1:$A1297),Reference!$O:$P,2,false) 
&amp; "" WHERE "" &amp; vlookup("&amp;"rows($A$1:$A1297),Reference!$O:$P,2,false) &amp;
"" &gt;= "" &amp; Reference!$R$2)) * M1298,"""")"),"")</f>
        <v/>
      </c>
      <c r="O1298" s="84" t="str">
        <f t="shared" si="2"/>
        <v/>
      </c>
    </row>
    <row r="1299">
      <c r="A1299" s="84"/>
      <c r="B1299" s="84"/>
      <c r="C1299" s="85"/>
      <c r="D1299" s="86"/>
      <c r="E1299" s="87"/>
      <c r="F1299" s="86"/>
      <c r="G1299" s="87"/>
      <c r="H1299" s="86"/>
      <c r="I1299" s="86"/>
      <c r="J1299" s="86"/>
      <c r="K1299" s="84"/>
      <c r="L1299" s="84"/>
      <c r="M1299" s="84"/>
      <c r="N1299" s="84" t="str">
        <f>IFERROR(__xludf.DUMMYFUNCTION("IFERROR(AVERAGE(query(INDIRECT(""'FR Table'!"" &amp; vlookup(rows($A$1:$A1298),Reference!$O:$P,2,false) &amp; ""3:"" &amp; vlookup(rows($A$1:$A1298),Reference!$O:$P,2,false)), 
""SELECT "" &amp; vlookup(rows($A$1:$A1298),Reference!$O:$P,2,false) 
&amp; "" WHERE "" &amp; vlookup("&amp;"rows($A$1:$A1298),Reference!$O:$P,2,false) &amp;
"" &gt;= "" &amp; Reference!$R$2)) * M1299,"""")"),"")</f>
        <v/>
      </c>
      <c r="O1299" s="84" t="str">
        <f t="shared" si="2"/>
        <v/>
      </c>
    </row>
    <row r="1300">
      <c r="A1300" s="84"/>
      <c r="B1300" s="84"/>
      <c r="C1300" s="85"/>
      <c r="D1300" s="86"/>
      <c r="E1300" s="87"/>
      <c r="F1300" s="86"/>
      <c r="G1300" s="87"/>
      <c r="H1300" s="86"/>
      <c r="I1300" s="86"/>
      <c r="J1300" s="86"/>
      <c r="K1300" s="84"/>
      <c r="L1300" s="84"/>
      <c r="M1300" s="84"/>
      <c r="N1300" s="84" t="str">
        <f>IFERROR(__xludf.DUMMYFUNCTION("IFERROR(AVERAGE(query(INDIRECT(""'FR Table'!"" &amp; vlookup(rows($A$1:$A1299),Reference!$O:$P,2,false) &amp; ""3:"" &amp; vlookup(rows($A$1:$A1299),Reference!$O:$P,2,false)), 
""SELECT "" &amp; vlookup(rows($A$1:$A1299),Reference!$O:$P,2,false) 
&amp; "" WHERE "" &amp; vlookup("&amp;"rows($A$1:$A1299),Reference!$O:$P,2,false) &amp;
"" &gt;= "" &amp; Reference!$R$2)) * M1300,"""")"),"")</f>
        <v/>
      </c>
      <c r="O1300" s="84" t="str">
        <f t="shared" si="2"/>
        <v/>
      </c>
    </row>
    <row r="1301">
      <c r="A1301" s="84"/>
      <c r="B1301" s="84"/>
      <c r="C1301" s="85"/>
      <c r="D1301" s="86"/>
      <c r="E1301" s="87"/>
      <c r="F1301" s="86"/>
      <c r="G1301" s="87"/>
      <c r="H1301" s="86"/>
      <c r="I1301" s="86"/>
      <c r="J1301" s="86"/>
      <c r="K1301" s="84"/>
      <c r="L1301" s="84"/>
      <c r="M1301" s="84"/>
      <c r="N1301" s="84" t="str">
        <f>IFERROR(__xludf.DUMMYFUNCTION("IFERROR(AVERAGE(query(INDIRECT(""'FR Table'!"" &amp; vlookup(rows($A$1:$A1300),Reference!$O:$P,2,false) &amp; ""3:"" &amp; vlookup(rows($A$1:$A1300),Reference!$O:$P,2,false)), 
""SELECT "" &amp; vlookup(rows($A$1:$A1300),Reference!$O:$P,2,false) 
&amp; "" WHERE "" &amp; vlookup("&amp;"rows($A$1:$A1300),Reference!$O:$P,2,false) &amp;
"" &gt;= "" &amp; Reference!$R$2)) * M1301,"""")"),"")</f>
        <v/>
      </c>
      <c r="O1301" s="84" t="str">
        <f t="shared" si="2"/>
        <v/>
      </c>
    </row>
    <row r="1302">
      <c r="A1302" s="84"/>
      <c r="B1302" s="84"/>
      <c r="C1302" s="85"/>
      <c r="D1302" s="86"/>
      <c r="E1302" s="87"/>
      <c r="F1302" s="86"/>
      <c r="G1302" s="87"/>
      <c r="H1302" s="86"/>
      <c r="I1302" s="86"/>
      <c r="J1302" s="86"/>
      <c r="K1302" s="84"/>
      <c r="L1302" s="84"/>
      <c r="M1302" s="84"/>
      <c r="N1302" s="84" t="str">
        <f>IFERROR(__xludf.DUMMYFUNCTION("IFERROR(AVERAGE(query(INDIRECT(""'FR Table'!"" &amp; vlookup(rows($A$1:$A1301),Reference!$O:$P,2,false) &amp; ""3:"" &amp; vlookup(rows($A$1:$A1301),Reference!$O:$P,2,false)), 
""SELECT "" &amp; vlookup(rows($A$1:$A1301),Reference!$O:$P,2,false) 
&amp; "" WHERE "" &amp; vlookup("&amp;"rows($A$1:$A1301),Reference!$O:$P,2,false) &amp;
"" &gt;= "" &amp; Reference!$R$2)) * M1302,"""")"),"")</f>
        <v/>
      </c>
      <c r="O1302" s="84" t="str">
        <f t="shared" si="2"/>
        <v/>
      </c>
    </row>
    <row r="1303">
      <c r="A1303" s="84"/>
      <c r="B1303" s="84"/>
      <c r="C1303" s="85"/>
      <c r="D1303" s="86"/>
      <c r="E1303" s="87"/>
      <c r="F1303" s="86"/>
      <c r="G1303" s="87"/>
      <c r="H1303" s="86"/>
      <c r="I1303" s="86"/>
      <c r="J1303" s="86"/>
      <c r="K1303" s="84"/>
      <c r="L1303" s="84"/>
      <c r="M1303" s="84"/>
      <c r="N1303" s="84" t="str">
        <f>IFERROR(__xludf.DUMMYFUNCTION("IFERROR(AVERAGE(query(INDIRECT(""'FR Table'!"" &amp; vlookup(rows($A$1:$A1302),Reference!$O:$P,2,false) &amp; ""3:"" &amp; vlookup(rows($A$1:$A1302),Reference!$O:$P,2,false)), 
""SELECT "" &amp; vlookup(rows($A$1:$A1302),Reference!$O:$P,2,false) 
&amp; "" WHERE "" &amp; vlookup("&amp;"rows($A$1:$A1302),Reference!$O:$P,2,false) &amp;
"" &gt;= "" &amp; Reference!$R$2)) * M1303,"""")"),"")</f>
        <v/>
      </c>
      <c r="O1303" s="84" t="str">
        <f t="shared" si="2"/>
        <v/>
      </c>
    </row>
    <row r="1304">
      <c r="A1304" s="84"/>
      <c r="B1304" s="84"/>
      <c r="C1304" s="85"/>
      <c r="D1304" s="86"/>
      <c r="E1304" s="87"/>
      <c r="F1304" s="86"/>
      <c r="G1304" s="87"/>
      <c r="H1304" s="86"/>
      <c r="I1304" s="86"/>
      <c r="J1304" s="86"/>
      <c r="K1304" s="84"/>
      <c r="L1304" s="84"/>
      <c r="M1304" s="84"/>
      <c r="N1304" s="84" t="str">
        <f>IFERROR(__xludf.DUMMYFUNCTION("IFERROR(AVERAGE(query(INDIRECT(""'FR Table'!"" &amp; vlookup(rows($A$1:$A1303),Reference!$O:$P,2,false) &amp; ""3:"" &amp; vlookup(rows($A$1:$A1303),Reference!$O:$P,2,false)), 
""SELECT "" &amp; vlookup(rows($A$1:$A1303),Reference!$O:$P,2,false) 
&amp; "" WHERE "" &amp; vlookup("&amp;"rows($A$1:$A1303),Reference!$O:$P,2,false) &amp;
"" &gt;= "" &amp; Reference!$R$2)) * M1304,"""")"),"")</f>
        <v/>
      </c>
      <c r="O1304" s="84" t="str">
        <f t="shared" si="2"/>
        <v/>
      </c>
    </row>
    <row r="1305">
      <c r="A1305" s="84"/>
      <c r="B1305" s="84"/>
      <c r="C1305" s="85"/>
      <c r="D1305" s="86"/>
      <c r="E1305" s="87"/>
      <c r="F1305" s="86"/>
      <c r="G1305" s="87"/>
      <c r="H1305" s="86"/>
      <c r="I1305" s="86"/>
      <c r="J1305" s="86"/>
      <c r="K1305" s="84"/>
      <c r="L1305" s="84"/>
      <c r="M1305" s="84"/>
      <c r="N1305" s="84" t="str">
        <f>IFERROR(__xludf.DUMMYFUNCTION("IFERROR(AVERAGE(query(INDIRECT(""'FR Table'!"" &amp; vlookup(rows($A$1:$A1304),Reference!$O:$P,2,false) &amp; ""3:"" &amp; vlookup(rows($A$1:$A1304),Reference!$O:$P,2,false)), 
""SELECT "" &amp; vlookup(rows($A$1:$A1304),Reference!$O:$P,2,false) 
&amp; "" WHERE "" &amp; vlookup("&amp;"rows($A$1:$A1304),Reference!$O:$P,2,false) &amp;
"" &gt;= "" &amp; Reference!$R$2)) * M1305,"""")"),"")</f>
        <v/>
      </c>
      <c r="O1305" s="84" t="str">
        <f t="shared" si="2"/>
        <v/>
      </c>
    </row>
    <row r="1306">
      <c r="A1306" s="84"/>
      <c r="B1306" s="84"/>
      <c r="C1306" s="85"/>
      <c r="D1306" s="86"/>
      <c r="E1306" s="87"/>
      <c r="F1306" s="86"/>
      <c r="G1306" s="87"/>
      <c r="H1306" s="86"/>
      <c r="I1306" s="86"/>
      <c r="J1306" s="86"/>
      <c r="K1306" s="84"/>
      <c r="L1306" s="84"/>
      <c r="M1306" s="84"/>
      <c r="N1306" s="84" t="str">
        <f>IFERROR(__xludf.DUMMYFUNCTION("IFERROR(AVERAGE(query(INDIRECT(""'FR Table'!"" &amp; vlookup(rows($A$1:$A1305),Reference!$O:$P,2,false) &amp; ""3:"" &amp; vlookup(rows($A$1:$A1305),Reference!$O:$P,2,false)), 
""SELECT "" &amp; vlookup(rows($A$1:$A1305),Reference!$O:$P,2,false) 
&amp; "" WHERE "" &amp; vlookup("&amp;"rows($A$1:$A1305),Reference!$O:$P,2,false) &amp;
"" &gt;= "" &amp; Reference!$R$2)) * M1306,"""")"),"")</f>
        <v/>
      </c>
      <c r="O1306" s="84" t="str">
        <f t="shared" si="2"/>
        <v/>
      </c>
    </row>
    <row r="1307">
      <c r="A1307" s="84"/>
      <c r="B1307" s="84"/>
      <c r="C1307" s="85"/>
      <c r="D1307" s="86"/>
      <c r="E1307" s="87"/>
      <c r="F1307" s="86"/>
      <c r="G1307" s="87"/>
      <c r="H1307" s="86"/>
      <c r="I1307" s="86"/>
      <c r="J1307" s="86"/>
      <c r="K1307" s="84"/>
      <c r="L1307" s="84"/>
      <c r="M1307" s="84"/>
      <c r="N1307" s="84" t="str">
        <f>IFERROR(__xludf.DUMMYFUNCTION("IFERROR(AVERAGE(query(INDIRECT(""'FR Table'!"" &amp; vlookup(rows($A$1:$A1306),Reference!$O:$P,2,false) &amp; ""3:"" &amp; vlookup(rows($A$1:$A1306),Reference!$O:$P,2,false)), 
""SELECT "" &amp; vlookup(rows($A$1:$A1306),Reference!$O:$P,2,false) 
&amp; "" WHERE "" &amp; vlookup("&amp;"rows($A$1:$A1306),Reference!$O:$P,2,false) &amp;
"" &gt;= "" &amp; Reference!$R$2)) * M1307,"""")"),"")</f>
        <v/>
      </c>
      <c r="O1307" s="84" t="str">
        <f t="shared" si="2"/>
        <v/>
      </c>
    </row>
    <row r="1308">
      <c r="A1308" s="84"/>
      <c r="B1308" s="84"/>
      <c r="C1308" s="85"/>
      <c r="D1308" s="86"/>
      <c r="E1308" s="87"/>
      <c r="F1308" s="86"/>
      <c r="G1308" s="87"/>
      <c r="H1308" s="86"/>
      <c r="I1308" s="86"/>
      <c r="J1308" s="86"/>
      <c r="K1308" s="84"/>
      <c r="L1308" s="84"/>
      <c r="M1308" s="84"/>
      <c r="N1308" s="84" t="str">
        <f>IFERROR(__xludf.DUMMYFUNCTION("IFERROR(AVERAGE(query(INDIRECT(""'FR Table'!"" &amp; vlookup(rows($A$1:$A1307),Reference!$O:$P,2,false) &amp; ""3:"" &amp; vlookup(rows($A$1:$A1307),Reference!$O:$P,2,false)), 
""SELECT "" &amp; vlookup(rows($A$1:$A1307),Reference!$O:$P,2,false) 
&amp; "" WHERE "" &amp; vlookup("&amp;"rows($A$1:$A1307),Reference!$O:$P,2,false) &amp;
"" &gt;= "" &amp; Reference!$R$2)) * M1308,"""")"),"")</f>
        <v/>
      </c>
      <c r="O1308" s="84" t="str">
        <f t="shared" si="2"/>
        <v/>
      </c>
    </row>
    <row r="1309">
      <c r="A1309" s="84"/>
      <c r="B1309" s="84"/>
      <c r="C1309" s="85"/>
      <c r="D1309" s="86"/>
      <c r="E1309" s="87"/>
      <c r="F1309" s="86"/>
      <c r="G1309" s="87"/>
      <c r="H1309" s="86"/>
      <c r="I1309" s="86"/>
      <c r="J1309" s="86"/>
      <c r="K1309" s="84"/>
      <c r="L1309" s="84"/>
      <c r="M1309" s="84"/>
      <c r="N1309" s="84" t="str">
        <f>IFERROR(__xludf.DUMMYFUNCTION("IFERROR(AVERAGE(query(INDIRECT(""'FR Table'!"" &amp; vlookup(rows($A$1:$A1308),Reference!$O:$P,2,false) &amp; ""3:"" &amp; vlookup(rows($A$1:$A1308),Reference!$O:$P,2,false)), 
""SELECT "" &amp; vlookup(rows($A$1:$A1308),Reference!$O:$P,2,false) 
&amp; "" WHERE "" &amp; vlookup("&amp;"rows($A$1:$A1308),Reference!$O:$P,2,false) &amp;
"" &gt;= "" &amp; Reference!$R$2)) * M1309,"""")"),"")</f>
        <v/>
      </c>
      <c r="O1309" s="84" t="str">
        <f t="shared" si="2"/>
        <v/>
      </c>
    </row>
    <row r="1310">
      <c r="A1310" s="84"/>
      <c r="B1310" s="84"/>
      <c r="C1310" s="85"/>
      <c r="D1310" s="86"/>
      <c r="E1310" s="87"/>
      <c r="F1310" s="86"/>
      <c r="G1310" s="87"/>
      <c r="H1310" s="86"/>
      <c r="I1310" s="86"/>
      <c r="J1310" s="86"/>
      <c r="K1310" s="84"/>
      <c r="L1310" s="84"/>
      <c r="M1310" s="84"/>
      <c r="N1310" s="84" t="str">
        <f>IFERROR(__xludf.DUMMYFUNCTION("IFERROR(AVERAGE(query(INDIRECT(""'FR Table'!"" &amp; vlookup(rows($A$1:$A1309),Reference!$O:$P,2,false) &amp; ""3:"" &amp; vlookup(rows($A$1:$A1309),Reference!$O:$P,2,false)), 
""SELECT "" &amp; vlookup(rows($A$1:$A1309),Reference!$O:$P,2,false) 
&amp; "" WHERE "" &amp; vlookup("&amp;"rows($A$1:$A1309),Reference!$O:$P,2,false) &amp;
"" &gt;= "" &amp; Reference!$R$2)) * M1310,"""")"),"")</f>
        <v/>
      </c>
      <c r="O1310" s="84" t="str">
        <f t="shared" si="2"/>
        <v/>
      </c>
    </row>
    <row r="1311">
      <c r="A1311" s="84"/>
      <c r="B1311" s="84"/>
      <c r="C1311" s="85"/>
      <c r="D1311" s="86"/>
      <c r="E1311" s="87"/>
      <c r="F1311" s="86"/>
      <c r="G1311" s="87"/>
      <c r="H1311" s="86"/>
      <c r="I1311" s="86"/>
      <c r="J1311" s="86"/>
      <c r="K1311" s="84"/>
      <c r="L1311" s="84"/>
      <c r="M1311" s="84"/>
      <c r="N1311" s="84" t="str">
        <f>IFERROR(__xludf.DUMMYFUNCTION("IFERROR(AVERAGE(query(INDIRECT(""'FR Table'!"" &amp; vlookup(rows($A$1:$A1310),Reference!$O:$P,2,false) &amp; ""3:"" &amp; vlookup(rows($A$1:$A1310),Reference!$O:$P,2,false)), 
""SELECT "" &amp; vlookup(rows($A$1:$A1310),Reference!$O:$P,2,false) 
&amp; "" WHERE "" &amp; vlookup("&amp;"rows($A$1:$A1310),Reference!$O:$P,2,false) &amp;
"" &gt;= "" &amp; Reference!$R$2)) * M1311,"""")"),"")</f>
        <v/>
      </c>
      <c r="O1311" s="84" t="str">
        <f t="shared" si="2"/>
        <v/>
      </c>
    </row>
    <row r="1312">
      <c r="A1312" s="84"/>
      <c r="B1312" s="84"/>
      <c r="C1312" s="85"/>
      <c r="D1312" s="86"/>
      <c r="E1312" s="87"/>
      <c r="F1312" s="86"/>
      <c r="G1312" s="87"/>
      <c r="H1312" s="86"/>
      <c r="I1312" s="86"/>
      <c r="J1312" s="86"/>
      <c r="K1312" s="84"/>
      <c r="L1312" s="84"/>
      <c r="M1312" s="84"/>
      <c r="N1312" s="84" t="str">
        <f>IFERROR(__xludf.DUMMYFUNCTION("IFERROR(AVERAGE(query(INDIRECT(""'FR Table'!"" &amp; vlookup(rows($A$1:$A1311),Reference!$O:$P,2,false) &amp; ""3:"" &amp; vlookup(rows($A$1:$A1311),Reference!$O:$P,2,false)), 
""SELECT "" &amp; vlookup(rows($A$1:$A1311),Reference!$O:$P,2,false) 
&amp; "" WHERE "" &amp; vlookup("&amp;"rows($A$1:$A1311),Reference!$O:$P,2,false) &amp;
"" &gt;= "" &amp; Reference!$R$2)) * M1312,"""")"),"")</f>
        <v/>
      </c>
      <c r="O1312" s="84" t="str">
        <f t="shared" si="2"/>
        <v/>
      </c>
    </row>
    <row r="1313">
      <c r="A1313" s="84"/>
      <c r="B1313" s="84"/>
      <c r="C1313" s="85"/>
      <c r="D1313" s="86"/>
      <c r="E1313" s="87"/>
      <c r="F1313" s="86"/>
      <c r="G1313" s="87"/>
      <c r="H1313" s="86"/>
      <c r="I1313" s="86"/>
      <c r="J1313" s="86"/>
      <c r="K1313" s="84"/>
      <c r="L1313" s="84"/>
      <c r="M1313" s="84"/>
      <c r="N1313" s="84" t="str">
        <f>IFERROR(__xludf.DUMMYFUNCTION("IFERROR(AVERAGE(query(INDIRECT(""'FR Table'!"" &amp; vlookup(rows($A$1:$A1312),Reference!$O:$P,2,false) &amp; ""3:"" &amp; vlookup(rows($A$1:$A1312),Reference!$O:$P,2,false)), 
""SELECT "" &amp; vlookup(rows($A$1:$A1312),Reference!$O:$P,2,false) 
&amp; "" WHERE "" &amp; vlookup("&amp;"rows($A$1:$A1312),Reference!$O:$P,2,false) &amp;
"" &gt;= "" &amp; Reference!$R$2)) * M1313,"""")"),"")</f>
        <v/>
      </c>
      <c r="O1313" s="84" t="str">
        <f t="shared" si="2"/>
        <v/>
      </c>
    </row>
    <row r="1314">
      <c r="A1314" s="84"/>
      <c r="B1314" s="84"/>
      <c r="C1314" s="85"/>
      <c r="D1314" s="86"/>
      <c r="E1314" s="87"/>
      <c r="F1314" s="86"/>
      <c r="G1314" s="87"/>
      <c r="H1314" s="86"/>
      <c r="I1314" s="86"/>
      <c r="J1314" s="86"/>
      <c r="K1314" s="84"/>
      <c r="L1314" s="84"/>
      <c r="M1314" s="84"/>
      <c r="N1314" s="84" t="str">
        <f>IFERROR(__xludf.DUMMYFUNCTION("IFERROR(AVERAGE(query(INDIRECT(""'FR Table'!"" &amp; vlookup(rows($A$1:$A1313),Reference!$O:$P,2,false) &amp; ""3:"" &amp; vlookup(rows($A$1:$A1313),Reference!$O:$P,2,false)), 
""SELECT "" &amp; vlookup(rows($A$1:$A1313),Reference!$O:$P,2,false) 
&amp; "" WHERE "" &amp; vlookup("&amp;"rows($A$1:$A1313),Reference!$O:$P,2,false) &amp;
"" &gt;= "" &amp; Reference!$R$2)) * M1314,"""")"),"")</f>
        <v/>
      </c>
      <c r="O1314" s="84" t="str">
        <f t="shared" si="2"/>
        <v/>
      </c>
    </row>
    <row r="1315">
      <c r="A1315" s="84"/>
      <c r="B1315" s="84"/>
      <c r="C1315" s="85"/>
      <c r="D1315" s="86"/>
      <c r="E1315" s="87"/>
      <c r="F1315" s="86"/>
      <c r="G1315" s="87"/>
      <c r="H1315" s="86"/>
      <c r="I1315" s="86"/>
      <c r="J1315" s="86"/>
      <c r="K1315" s="84"/>
      <c r="L1315" s="84"/>
      <c r="M1315" s="84"/>
      <c r="N1315" s="84" t="str">
        <f>IFERROR(__xludf.DUMMYFUNCTION("IFERROR(AVERAGE(query(INDIRECT(""'FR Table'!"" &amp; vlookup(rows($A$1:$A1314),Reference!$O:$P,2,false) &amp; ""3:"" &amp; vlookup(rows($A$1:$A1314),Reference!$O:$P,2,false)), 
""SELECT "" &amp; vlookup(rows($A$1:$A1314),Reference!$O:$P,2,false) 
&amp; "" WHERE "" &amp; vlookup("&amp;"rows($A$1:$A1314),Reference!$O:$P,2,false) &amp;
"" &gt;= "" &amp; Reference!$R$2)) * M1315,"""")"),"")</f>
        <v/>
      </c>
      <c r="O1315" s="84" t="str">
        <f t="shared" si="2"/>
        <v/>
      </c>
    </row>
    <row r="1316">
      <c r="A1316" s="84"/>
      <c r="B1316" s="84"/>
      <c r="C1316" s="85"/>
      <c r="D1316" s="86"/>
      <c r="E1316" s="87"/>
      <c r="F1316" s="86"/>
      <c r="G1316" s="87"/>
      <c r="H1316" s="86"/>
      <c r="I1316" s="86"/>
      <c r="J1316" s="86"/>
      <c r="K1316" s="84"/>
      <c r="L1316" s="84"/>
      <c r="M1316" s="84"/>
      <c r="N1316" s="84" t="str">
        <f>IFERROR(__xludf.DUMMYFUNCTION("IFERROR(AVERAGE(query(INDIRECT(""'FR Table'!"" &amp; vlookup(rows($A$1:$A1315),Reference!$O:$P,2,false) &amp; ""3:"" &amp; vlookup(rows($A$1:$A1315),Reference!$O:$P,2,false)), 
""SELECT "" &amp; vlookup(rows($A$1:$A1315),Reference!$O:$P,2,false) 
&amp; "" WHERE "" &amp; vlookup("&amp;"rows($A$1:$A1315),Reference!$O:$P,2,false) &amp;
"" &gt;= "" &amp; Reference!$R$2)) * M1316,"""")"),"")</f>
        <v/>
      </c>
      <c r="O1316" s="84" t="str">
        <f t="shared" si="2"/>
        <v/>
      </c>
    </row>
    <row r="1317">
      <c r="A1317" s="84"/>
      <c r="B1317" s="84"/>
      <c r="C1317" s="85"/>
      <c r="D1317" s="86"/>
      <c r="E1317" s="87"/>
      <c r="F1317" s="86"/>
      <c r="G1317" s="87"/>
      <c r="H1317" s="86"/>
      <c r="I1317" s="86"/>
      <c r="J1317" s="86"/>
      <c r="K1317" s="84"/>
      <c r="L1317" s="84"/>
      <c r="M1317" s="84"/>
      <c r="N1317" s="84" t="str">
        <f>IFERROR(__xludf.DUMMYFUNCTION("IFERROR(AVERAGE(query(INDIRECT(""'FR Table'!"" &amp; vlookup(rows($A$1:$A1316),Reference!$O:$P,2,false) &amp; ""3:"" &amp; vlookup(rows($A$1:$A1316),Reference!$O:$P,2,false)), 
""SELECT "" &amp; vlookup(rows($A$1:$A1316),Reference!$O:$P,2,false) 
&amp; "" WHERE "" &amp; vlookup("&amp;"rows($A$1:$A1316),Reference!$O:$P,2,false) &amp;
"" &gt;= "" &amp; Reference!$R$2)) * M1317,"""")"),"")</f>
        <v/>
      </c>
      <c r="O1317" s="84" t="str">
        <f t="shared" si="2"/>
        <v/>
      </c>
    </row>
    <row r="1318">
      <c r="A1318" s="84"/>
      <c r="B1318" s="84"/>
      <c r="C1318" s="85"/>
      <c r="D1318" s="86"/>
      <c r="E1318" s="87"/>
      <c r="F1318" s="86"/>
      <c r="G1318" s="87"/>
      <c r="H1318" s="86"/>
      <c r="I1318" s="86"/>
      <c r="J1318" s="86"/>
      <c r="K1318" s="84"/>
      <c r="L1318" s="84"/>
      <c r="M1318" s="84"/>
      <c r="N1318" s="84" t="str">
        <f>IFERROR(__xludf.DUMMYFUNCTION("IFERROR(AVERAGE(query(INDIRECT(""'FR Table'!"" &amp; vlookup(rows($A$1:$A1317),Reference!$O:$P,2,false) &amp; ""3:"" &amp; vlookup(rows($A$1:$A1317),Reference!$O:$P,2,false)), 
""SELECT "" &amp; vlookup(rows($A$1:$A1317),Reference!$O:$P,2,false) 
&amp; "" WHERE "" &amp; vlookup("&amp;"rows($A$1:$A1317),Reference!$O:$P,2,false) &amp;
"" &gt;= "" &amp; Reference!$R$2)) * M1318,"""")"),"")</f>
        <v/>
      </c>
      <c r="O1318" s="84" t="str">
        <f t="shared" si="2"/>
        <v/>
      </c>
    </row>
    <row r="1319">
      <c r="A1319" s="84"/>
      <c r="B1319" s="84"/>
      <c r="C1319" s="85"/>
      <c r="D1319" s="86"/>
      <c r="E1319" s="87"/>
      <c r="F1319" s="86"/>
      <c r="G1319" s="87"/>
      <c r="H1319" s="86"/>
      <c r="I1319" s="86"/>
      <c r="J1319" s="86"/>
      <c r="K1319" s="84"/>
      <c r="L1319" s="84"/>
      <c r="M1319" s="84"/>
      <c r="N1319" s="84" t="str">
        <f>IFERROR(__xludf.DUMMYFUNCTION("IFERROR(AVERAGE(query(INDIRECT(""'FR Table'!"" &amp; vlookup(rows($A$1:$A1318),Reference!$O:$P,2,false) &amp; ""3:"" &amp; vlookup(rows($A$1:$A1318),Reference!$O:$P,2,false)), 
""SELECT "" &amp; vlookup(rows($A$1:$A1318),Reference!$O:$P,2,false) 
&amp; "" WHERE "" &amp; vlookup("&amp;"rows($A$1:$A1318),Reference!$O:$P,2,false) &amp;
"" &gt;= "" &amp; Reference!$R$2)) * M1319,"""")"),"")</f>
        <v/>
      </c>
      <c r="O1319" s="84" t="str">
        <f t="shared" si="2"/>
        <v/>
      </c>
    </row>
    <row r="1320">
      <c r="A1320" s="84"/>
      <c r="B1320" s="84"/>
      <c r="C1320" s="85"/>
      <c r="D1320" s="86"/>
      <c r="E1320" s="87"/>
      <c r="F1320" s="86"/>
      <c r="G1320" s="87"/>
      <c r="H1320" s="86"/>
      <c r="I1320" s="86"/>
      <c r="J1320" s="86"/>
      <c r="K1320" s="84"/>
      <c r="L1320" s="84"/>
      <c r="M1320" s="84"/>
      <c r="N1320" s="84" t="str">
        <f>IFERROR(__xludf.DUMMYFUNCTION("IFERROR(AVERAGE(query(INDIRECT(""'FR Table'!"" &amp; vlookup(rows($A$1:$A1319),Reference!$O:$P,2,false) &amp; ""3:"" &amp; vlookup(rows($A$1:$A1319),Reference!$O:$P,2,false)), 
""SELECT "" &amp; vlookup(rows($A$1:$A1319),Reference!$O:$P,2,false) 
&amp; "" WHERE "" &amp; vlookup("&amp;"rows($A$1:$A1319),Reference!$O:$P,2,false) &amp;
"" &gt;= "" &amp; Reference!$R$2)) * M1320,"""")"),"")</f>
        <v/>
      </c>
      <c r="O1320" s="84" t="str">
        <f t="shared" si="2"/>
        <v/>
      </c>
    </row>
    <row r="1321">
      <c r="A1321" s="84"/>
      <c r="B1321" s="84"/>
      <c r="C1321" s="85"/>
      <c r="D1321" s="86"/>
      <c r="E1321" s="87"/>
      <c r="F1321" s="86"/>
      <c r="G1321" s="87"/>
      <c r="H1321" s="86"/>
      <c r="I1321" s="86"/>
      <c r="J1321" s="86"/>
      <c r="K1321" s="84"/>
      <c r="L1321" s="84"/>
      <c r="M1321" s="84"/>
      <c r="N1321" s="84" t="str">
        <f>IFERROR(__xludf.DUMMYFUNCTION("IFERROR(AVERAGE(query(INDIRECT(""'FR Table'!"" &amp; vlookup(rows($A$1:$A1320),Reference!$O:$P,2,false) &amp; ""3:"" &amp; vlookup(rows($A$1:$A1320),Reference!$O:$P,2,false)), 
""SELECT "" &amp; vlookup(rows($A$1:$A1320),Reference!$O:$P,2,false) 
&amp; "" WHERE "" &amp; vlookup("&amp;"rows($A$1:$A1320),Reference!$O:$P,2,false) &amp;
"" &gt;= "" &amp; Reference!$R$2)) * M1321,"""")"),"")</f>
        <v/>
      </c>
      <c r="O1321" s="84" t="str">
        <f t="shared" si="2"/>
        <v/>
      </c>
    </row>
    <row r="1322">
      <c r="A1322" s="84"/>
      <c r="B1322" s="84"/>
      <c r="C1322" s="85"/>
      <c r="D1322" s="86"/>
      <c r="E1322" s="87"/>
      <c r="F1322" s="86"/>
      <c r="G1322" s="87"/>
      <c r="H1322" s="86"/>
      <c r="I1322" s="86"/>
      <c r="J1322" s="86"/>
      <c r="K1322" s="84"/>
      <c r="L1322" s="84"/>
      <c r="M1322" s="84"/>
      <c r="N1322" s="84" t="str">
        <f>IFERROR(__xludf.DUMMYFUNCTION("IFERROR(AVERAGE(query(INDIRECT(""'FR Table'!"" &amp; vlookup(rows($A$1:$A1321),Reference!$O:$P,2,false) &amp; ""3:"" &amp; vlookup(rows($A$1:$A1321),Reference!$O:$P,2,false)), 
""SELECT "" &amp; vlookup(rows($A$1:$A1321),Reference!$O:$P,2,false) 
&amp; "" WHERE "" &amp; vlookup("&amp;"rows($A$1:$A1321),Reference!$O:$P,2,false) &amp;
"" &gt;= "" &amp; Reference!$R$2)) * M1322,"""")"),"")</f>
        <v/>
      </c>
      <c r="O1322" s="84" t="str">
        <f t="shared" si="2"/>
        <v/>
      </c>
    </row>
    <row r="1323">
      <c r="A1323" s="84"/>
      <c r="B1323" s="84"/>
      <c r="C1323" s="85"/>
      <c r="D1323" s="86"/>
      <c r="E1323" s="87"/>
      <c r="F1323" s="86"/>
      <c r="G1323" s="87"/>
      <c r="H1323" s="86"/>
      <c r="I1323" s="86"/>
      <c r="J1323" s="86"/>
      <c r="K1323" s="84"/>
      <c r="L1323" s="84"/>
      <c r="M1323" s="84"/>
      <c r="N1323" s="84" t="str">
        <f>IFERROR(__xludf.DUMMYFUNCTION("IFERROR(AVERAGE(query(INDIRECT(""'FR Table'!"" &amp; vlookup(rows($A$1:$A1322),Reference!$O:$P,2,false) &amp; ""3:"" &amp; vlookup(rows($A$1:$A1322),Reference!$O:$P,2,false)), 
""SELECT "" &amp; vlookup(rows($A$1:$A1322),Reference!$O:$P,2,false) 
&amp; "" WHERE "" &amp; vlookup("&amp;"rows($A$1:$A1322),Reference!$O:$P,2,false) &amp;
"" &gt;= "" &amp; Reference!$R$2)) * M1323,"""")"),"")</f>
        <v/>
      </c>
      <c r="O1323" s="84" t="str">
        <f t="shared" si="2"/>
        <v/>
      </c>
    </row>
    <row r="1324">
      <c r="A1324" s="84"/>
      <c r="B1324" s="84"/>
      <c r="C1324" s="85"/>
      <c r="D1324" s="86"/>
      <c r="E1324" s="87"/>
      <c r="F1324" s="86"/>
      <c r="G1324" s="87"/>
      <c r="H1324" s="86"/>
      <c r="I1324" s="86"/>
      <c r="J1324" s="86"/>
      <c r="K1324" s="84"/>
      <c r="L1324" s="84"/>
      <c r="M1324" s="84"/>
      <c r="N1324" s="84" t="str">
        <f>IFERROR(__xludf.DUMMYFUNCTION("IFERROR(AVERAGE(query(INDIRECT(""'FR Table'!"" &amp; vlookup(rows($A$1:$A1323),Reference!$O:$P,2,false) &amp; ""3:"" &amp; vlookup(rows($A$1:$A1323),Reference!$O:$P,2,false)), 
""SELECT "" &amp; vlookup(rows($A$1:$A1323),Reference!$O:$P,2,false) 
&amp; "" WHERE "" &amp; vlookup("&amp;"rows($A$1:$A1323),Reference!$O:$P,2,false) &amp;
"" &gt;= "" &amp; Reference!$R$2)) * M1324,"""")"),"")</f>
        <v/>
      </c>
      <c r="O1324" s="84" t="str">
        <f t="shared" si="2"/>
        <v/>
      </c>
    </row>
    <row r="1325">
      <c r="A1325" s="84"/>
      <c r="B1325" s="84"/>
      <c r="C1325" s="85"/>
      <c r="D1325" s="86"/>
      <c r="E1325" s="87"/>
      <c r="F1325" s="86"/>
      <c r="G1325" s="87"/>
      <c r="H1325" s="86"/>
      <c r="I1325" s="86"/>
      <c r="J1325" s="86"/>
      <c r="K1325" s="84"/>
      <c r="L1325" s="84"/>
      <c r="M1325" s="84"/>
      <c r="N1325" s="84" t="str">
        <f>IFERROR(__xludf.DUMMYFUNCTION("IFERROR(AVERAGE(query(INDIRECT(""'FR Table'!"" &amp; vlookup(rows($A$1:$A1324),Reference!$O:$P,2,false) &amp; ""3:"" &amp; vlookup(rows($A$1:$A1324),Reference!$O:$P,2,false)), 
""SELECT "" &amp; vlookup(rows($A$1:$A1324),Reference!$O:$P,2,false) 
&amp; "" WHERE "" &amp; vlookup("&amp;"rows($A$1:$A1324),Reference!$O:$P,2,false) &amp;
"" &gt;= "" &amp; Reference!$R$2)) * M1325,"""")"),"")</f>
        <v/>
      </c>
      <c r="O1325" s="84" t="str">
        <f t="shared" si="2"/>
        <v/>
      </c>
    </row>
    <row r="1326">
      <c r="A1326" s="84"/>
      <c r="B1326" s="84"/>
      <c r="C1326" s="85"/>
      <c r="D1326" s="86"/>
      <c r="E1326" s="87"/>
      <c r="F1326" s="86"/>
      <c r="G1326" s="87"/>
      <c r="H1326" s="86"/>
      <c r="I1326" s="86"/>
      <c r="J1326" s="86"/>
      <c r="K1326" s="84"/>
      <c r="L1326" s="84"/>
      <c r="M1326" s="84"/>
      <c r="N1326" s="84" t="str">
        <f>IFERROR(__xludf.DUMMYFUNCTION("IFERROR(AVERAGE(query(INDIRECT(""'FR Table'!"" &amp; vlookup(rows($A$1:$A1325),Reference!$O:$P,2,false) &amp; ""3:"" &amp; vlookup(rows($A$1:$A1325),Reference!$O:$P,2,false)), 
""SELECT "" &amp; vlookup(rows($A$1:$A1325),Reference!$O:$P,2,false) 
&amp; "" WHERE "" &amp; vlookup("&amp;"rows($A$1:$A1325),Reference!$O:$P,2,false) &amp;
"" &gt;= "" &amp; Reference!$R$2)) * M1326,"""")"),"")</f>
        <v/>
      </c>
      <c r="O1326" s="84" t="str">
        <f t="shared" si="2"/>
        <v/>
      </c>
    </row>
    <row r="1327">
      <c r="A1327" s="84"/>
      <c r="B1327" s="84"/>
      <c r="C1327" s="85"/>
      <c r="D1327" s="86"/>
      <c r="E1327" s="87"/>
      <c r="F1327" s="86"/>
      <c r="G1327" s="87"/>
      <c r="H1327" s="86"/>
      <c r="I1327" s="86"/>
      <c r="J1327" s="86"/>
      <c r="K1327" s="84"/>
      <c r="L1327" s="84"/>
      <c r="M1327" s="84"/>
      <c r="N1327" s="84" t="str">
        <f>IFERROR(__xludf.DUMMYFUNCTION("IFERROR(AVERAGE(query(INDIRECT(""'FR Table'!"" &amp; vlookup(rows($A$1:$A1326),Reference!$O:$P,2,false) &amp; ""3:"" &amp; vlookup(rows($A$1:$A1326),Reference!$O:$P,2,false)), 
""SELECT "" &amp; vlookup(rows($A$1:$A1326),Reference!$O:$P,2,false) 
&amp; "" WHERE "" &amp; vlookup("&amp;"rows($A$1:$A1326),Reference!$O:$P,2,false) &amp;
"" &gt;= "" &amp; Reference!$R$2)) * M1327,"""")"),"")</f>
        <v/>
      </c>
      <c r="O1327" s="84" t="str">
        <f t="shared" si="2"/>
        <v/>
      </c>
    </row>
    <row r="1328">
      <c r="A1328" s="84"/>
      <c r="B1328" s="84"/>
      <c r="C1328" s="85"/>
      <c r="D1328" s="86"/>
      <c r="E1328" s="87"/>
      <c r="F1328" s="86"/>
      <c r="G1328" s="87"/>
      <c r="H1328" s="86"/>
      <c r="I1328" s="86"/>
      <c r="J1328" s="86"/>
      <c r="K1328" s="84"/>
      <c r="L1328" s="84"/>
      <c r="M1328" s="84"/>
      <c r="N1328" s="84" t="str">
        <f>IFERROR(__xludf.DUMMYFUNCTION("IFERROR(AVERAGE(query(INDIRECT(""'FR Table'!"" &amp; vlookup(rows($A$1:$A1327),Reference!$O:$P,2,false) &amp; ""3:"" &amp; vlookup(rows($A$1:$A1327),Reference!$O:$P,2,false)), 
""SELECT "" &amp; vlookup(rows($A$1:$A1327),Reference!$O:$P,2,false) 
&amp; "" WHERE "" &amp; vlookup("&amp;"rows($A$1:$A1327),Reference!$O:$P,2,false) &amp;
"" &gt;= "" &amp; Reference!$R$2)) * M1328,"""")"),"")</f>
        <v/>
      </c>
      <c r="O1328" s="84" t="str">
        <f t="shared" si="2"/>
        <v/>
      </c>
    </row>
    <row r="1329">
      <c r="A1329" s="84"/>
      <c r="B1329" s="84"/>
      <c r="C1329" s="85"/>
      <c r="D1329" s="86"/>
      <c r="E1329" s="87"/>
      <c r="F1329" s="86"/>
      <c r="G1329" s="87"/>
      <c r="H1329" s="86"/>
      <c r="I1329" s="86"/>
      <c r="J1329" s="86"/>
      <c r="K1329" s="84"/>
      <c r="L1329" s="84"/>
      <c r="M1329" s="84"/>
      <c r="N1329" s="84" t="str">
        <f>IFERROR(__xludf.DUMMYFUNCTION("IFERROR(AVERAGE(query(INDIRECT(""'FR Table'!"" &amp; vlookup(rows($A$1:$A1328),Reference!$O:$P,2,false) &amp; ""3:"" &amp; vlookup(rows($A$1:$A1328),Reference!$O:$P,2,false)), 
""SELECT "" &amp; vlookup(rows($A$1:$A1328),Reference!$O:$P,2,false) 
&amp; "" WHERE "" &amp; vlookup("&amp;"rows($A$1:$A1328),Reference!$O:$P,2,false) &amp;
"" &gt;= "" &amp; Reference!$R$2)) * M1329,"""")"),"")</f>
        <v/>
      </c>
      <c r="O1329" s="84" t="str">
        <f t="shared" si="2"/>
        <v/>
      </c>
    </row>
    <row r="1330">
      <c r="A1330" s="84"/>
      <c r="B1330" s="84"/>
      <c r="C1330" s="85"/>
      <c r="D1330" s="86"/>
      <c r="E1330" s="87"/>
      <c r="F1330" s="86"/>
      <c r="G1330" s="87"/>
      <c r="H1330" s="86"/>
      <c r="I1330" s="86"/>
      <c r="J1330" s="86"/>
      <c r="K1330" s="84"/>
      <c r="L1330" s="84"/>
      <c r="M1330" s="84"/>
      <c r="N1330" s="84" t="str">
        <f>IFERROR(__xludf.DUMMYFUNCTION("IFERROR(AVERAGE(query(INDIRECT(""'FR Table'!"" &amp; vlookup(rows($A$1:$A1329),Reference!$O:$P,2,false) &amp; ""3:"" &amp; vlookup(rows($A$1:$A1329),Reference!$O:$P,2,false)), 
""SELECT "" &amp; vlookup(rows($A$1:$A1329),Reference!$O:$P,2,false) 
&amp; "" WHERE "" &amp; vlookup("&amp;"rows($A$1:$A1329),Reference!$O:$P,2,false) &amp;
"" &gt;= "" &amp; Reference!$R$2)) * M1330,"""")"),"")</f>
        <v/>
      </c>
      <c r="O1330" s="84" t="str">
        <f t="shared" si="2"/>
        <v/>
      </c>
    </row>
    <row r="1331">
      <c r="A1331" s="84"/>
      <c r="B1331" s="84"/>
      <c r="C1331" s="85"/>
      <c r="D1331" s="86"/>
      <c r="E1331" s="87"/>
      <c r="F1331" s="86"/>
      <c r="G1331" s="87"/>
      <c r="H1331" s="86"/>
      <c r="I1331" s="86"/>
      <c r="J1331" s="86"/>
      <c r="K1331" s="84"/>
      <c r="L1331" s="84"/>
      <c r="M1331" s="84"/>
      <c r="N1331" s="84" t="str">
        <f>IFERROR(__xludf.DUMMYFUNCTION("IFERROR(AVERAGE(query(INDIRECT(""'FR Table'!"" &amp; vlookup(rows($A$1:$A1330),Reference!$O:$P,2,false) &amp; ""3:"" &amp; vlookup(rows($A$1:$A1330),Reference!$O:$P,2,false)), 
""SELECT "" &amp; vlookup(rows($A$1:$A1330),Reference!$O:$P,2,false) 
&amp; "" WHERE "" &amp; vlookup("&amp;"rows($A$1:$A1330),Reference!$O:$P,2,false) &amp;
"" &gt;= "" &amp; Reference!$R$2)) * M1331,"""")"),"")</f>
        <v/>
      </c>
      <c r="O1331" s="84" t="str">
        <f t="shared" si="2"/>
        <v/>
      </c>
    </row>
    <row r="1332">
      <c r="A1332" s="84"/>
      <c r="B1332" s="84"/>
      <c r="C1332" s="85"/>
      <c r="D1332" s="86"/>
      <c r="E1332" s="87"/>
      <c r="F1332" s="86"/>
      <c r="G1332" s="87"/>
      <c r="H1332" s="86"/>
      <c r="I1332" s="86"/>
      <c r="J1332" s="86"/>
      <c r="K1332" s="84"/>
      <c r="L1332" s="84"/>
      <c r="M1332" s="84"/>
      <c r="N1332" s="84" t="str">
        <f>IFERROR(__xludf.DUMMYFUNCTION("IFERROR(AVERAGE(query(INDIRECT(""'FR Table'!"" &amp; vlookup(rows($A$1:$A1331),Reference!$O:$P,2,false) &amp; ""3:"" &amp; vlookup(rows($A$1:$A1331),Reference!$O:$P,2,false)), 
""SELECT "" &amp; vlookup(rows($A$1:$A1331),Reference!$O:$P,2,false) 
&amp; "" WHERE "" &amp; vlookup("&amp;"rows($A$1:$A1331),Reference!$O:$P,2,false) &amp;
"" &gt;= "" &amp; Reference!$R$2)) * M1332,"""")"),"")</f>
        <v/>
      </c>
      <c r="O1332" s="84" t="str">
        <f t="shared" si="2"/>
        <v/>
      </c>
    </row>
    <row r="1333">
      <c r="A1333" s="84"/>
      <c r="B1333" s="84"/>
      <c r="C1333" s="85"/>
      <c r="D1333" s="86"/>
      <c r="E1333" s="87"/>
      <c r="F1333" s="86"/>
      <c r="G1333" s="87"/>
      <c r="H1333" s="86"/>
      <c r="I1333" s="86"/>
      <c r="J1333" s="86"/>
      <c r="K1333" s="84"/>
      <c r="L1333" s="84"/>
      <c r="M1333" s="84"/>
      <c r="N1333" s="84" t="str">
        <f>IFERROR(__xludf.DUMMYFUNCTION("IFERROR(AVERAGE(query(INDIRECT(""'FR Table'!"" &amp; vlookup(rows($A$1:$A1332),Reference!$O:$P,2,false) &amp; ""3:"" &amp; vlookup(rows($A$1:$A1332),Reference!$O:$P,2,false)), 
""SELECT "" &amp; vlookup(rows($A$1:$A1332),Reference!$O:$P,2,false) 
&amp; "" WHERE "" &amp; vlookup("&amp;"rows($A$1:$A1332),Reference!$O:$P,2,false) &amp;
"" &gt;= "" &amp; Reference!$R$2)) * M1333,"""")"),"")</f>
        <v/>
      </c>
      <c r="O1333" s="84" t="str">
        <f t="shared" si="2"/>
        <v/>
      </c>
    </row>
    <row r="1334">
      <c r="A1334" s="84"/>
      <c r="B1334" s="84"/>
      <c r="C1334" s="85"/>
      <c r="D1334" s="86"/>
      <c r="E1334" s="87"/>
      <c r="F1334" s="86"/>
      <c r="G1334" s="87"/>
      <c r="H1334" s="86"/>
      <c r="I1334" s="86"/>
      <c r="J1334" s="86"/>
      <c r="K1334" s="84"/>
      <c r="L1334" s="84"/>
      <c r="M1334" s="84"/>
      <c r="N1334" s="84" t="str">
        <f>IFERROR(__xludf.DUMMYFUNCTION("IFERROR(AVERAGE(query(INDIRECT(""'FR Table'!"" &amp; vlookup(rows($A$1:$A1333),Reference!$O:$P,2,false) &amp; ""3:"" &amp; vlookup(rows($A$1:$A1333),Reference!$O:$P,2,false)), 
""SELECT "" &amp; vlookup(rows($A$1:$A1333),Reference!$O:$P,2,false) 
&amp; "" WHERE "" &amp; vlookup("&amp;"rows($A$1:$A1333),Reference!$O:$P,2,false) &amp;
"" &gt;= "" &amp; Reference!$R$2)) * M1334,"""")"),"")</f>
        <v/>
      </c>
      <c r="O1334" s="84" t="str">
        <f t="shared" si="2"/>
        <v/>
      </c>
    </row>
    <row r="1335">
      <c r="A1335" s="84"/>
      <c r="B1335" s="84"/>
      <c r="C1335" s="85"/>
      <c r="D1335" s="86"/>
      <c r="E1335" s="87"/>
      <c r="F1335" s="86"/>
      <c r="G1335" s="87"/>
      <c r="H1335" s="86"/>
      <c r="I1335" s="86"/>
      <c r="J1335" s="86"/>
      <c r="K1335" s="84"/>
      <c r="L1335" s="84"/>
      <c r="M1335" s="84"/>
      <c r="N1335" s="84" t="str">
        <f>IFERROR(__xludf.DUMMYFUNCTION("IFERROR(AVERAGE(query(INDIRECT(""'FR Table'!"" &amp; vlookup(rows($A$1:$A1334),Reference!$O:$P,2,false) &amp; ""3:"" &amp; vlookup(rows($A$1:$A1334),Reference!$O:$P,2,false)), 
""SELECT "" &amp; vlookup(rows($A$1:$A1334),Reference!$O:$P,2,false) 
&amp; "" WHERE "" &amp; vlookup("&amp;"rows($A$1:$A1334),Reference!$O:$P,2,false) &amp;
"" &gt;= "" &amp; Reference!$R$2)) * M1335,"""")"),"")</f>
        <v/>
      </c>
      <c r="O1335" s="84" t="str">
        <f t="shared" si="2"/>
        <v/>
      </c>
    </row>
    <row r="1336">
      <c r="A1336" s="84"/>
      <c r="B1336" s="84"/>
      <c r="C1336" s="85"/>
      <c r="D1336" s="86"/>
      <c r="E1336" s="87"/>
      <c r="F1336" s="86"/>
      <c r="G1336" s="87"/>
      <c r="H1336" s="86"/>
      <c r="I1336" s="86"/>
      <c r="J1336" s="86"/>
      <c r="K1336" s="84"/>
      <c r="L1336" s="84"/>
      <c r="M1336" s="84"/>
      <c r="N1336" s="84" t="str">
        <f>IFERROR(__xludf.DUMMYFUNCTION("IFERROR(AVERAGE(query(INDIRECT(""'FR Table'!"" &amp; vlookup(rows($A$1:$A1335),Reference!$O:$P,2,false) &amp; ""3:"" &amp; vlookup(rows($A$1:$A1335),Reference!$O:$P,2,false)), 
""SELECT "" &amp; vlookup(rows($A$1:$A1335),Reference!$O:$P,2,false) 
&amp; "" WHERE "" &amp; vlookup("&amp;"rows($A$1:$A1335),Reference!$O:$P,2,false) &amp;
"" &gt;= "" &amp; Reference!$R$2)) * M1336,"""")"),"")</f>
        <v/>
      </c>
      <c r="O1336" s="84" t="str">
        <f t="shared" si="2"/>
        <v/>
      </c>
    </row>
    <row r="1337">
      <c r="A1337" s="84"/>
      <c r="B1337" s="84"/>
      <c r="C1337" s="85"/>
      <c r="D1337" s="86"/>
      <c r="E1337" s="87"/>
      <c r="F1337" s="86"/>
      <c r="G1337" s="87"/>
      <c r="H1337" s="86"/>
      <c r="I1337" s="86"/>
      <c r="J1337" s="86"/>
      <c r="K1337" s="84"/>
      <c r="L1337" s="84"/>
      <c r="M1337" s="84"/>
      <c r="N1337" s="84" t="str">
        <f>IFERROR(__xludf.DUMMYFUNCTION("IFERROR(AVERAGE(query(INDIRECT(""'FR Table'!"" &amp; vlookup(rows($A$1:$A1336),Reference!$O:$P,2,false) &amp; ""3:"" &amp; vlookup(rows($A$1:$A1336),Reference!$O:$P,2,false)), 
""SELECT "" &amp; vlookup(rows($A$1:$A1336),Reference!$O:$P,2,false) 
&amp; "" WHERE "" &amp; vlookup("&amp;"rows($A$1:$A1336),Reference!$O:$P,2,false) &amp;
"" &gt;= "" &amp; Reference!$R$2)) * M1337,"""")"),"")</f>
        <v/>
      </c>
      <c r="O1337" s="84" t="str">
        <f t="shared" si="2"/>
        <v/>
      </c>
    </row>
    <row r="1338">
      <c r="A1338" s="84"/>
      <c r="B1338" s="84"/>
      <c r="C1338" s="85"/>
      <c r="D1338" s="86"/>
      <c r="E1338" s="87"/>
      <c r="F1338" s="86"/>
      <c r="G1338" s="87"/>
      <c r="H1338" s="86"/>
      <c r="I1338" s="86"/>
      <c r="J1338" s="86"/>
      <c r="K1338" s="84"/>
      <c r="L1338" s="84"/>
      <c r="M1338" s="84"/>
      <c r="N1338" s="84" t="str">
        <f>IFERROR(__xludf.DUMMYFUNCTION("IFERROR(AVERAGE(query(INDIRECT(""'FR Table'!"" &amp; vlookup(rows($A$1:$A1337),Reference!$O:$P,2,false) &amp; ""3:"" &amp; vlookup(rows($A$1:$A1337),Reference!$O:$P,2,false)), 
""SELECT "" &amp; vlookup(rows($A$1:$A1337),Reference!$O:$P,2,false) 
&amp; "" WHERE "" &amp; vlookup("&amp;"rows($A$1:$A1337),Reference!$O:$P,2,false) &amp;
"" &gt;= "" &amp; Reference!$R$2)) * M1338,"""")"),"")</f>
        <v/>
      </c>
      <c r="O1338" s="84" t="str">
        <f t="shared" si="2"/>
        <v/>
      </c>
    </row>
    <row r="1339">
      <c r="A1339" s="84"/>
      <c r="B1339" s="84"/>
      <c r="C1339" s="85"/>
      <c r="D1339" s="86"/>
      <c r="E1339" s="87"/>
      <c r="F1339" s="86"/>
      <c r="G1339" s="87"/>
      <c r="H1339" s="86"/>
      <c r="I1339" s="86"/>
      <c r="J1339" s="86"/>
      <c r="K1339" s="84"/>
      <c r="L1339" s="84"/>
      <c r="M1339" s="84"/>
      <c r="N1339" s="84" t="str">
        <f>IFERROR(__xludf.DUMMYFUNCTION("IFERROR(AVERAGE(query(INDIRECT(""'FR Table'!"" &amp; vlookup(rows($A$1:$A1338),Reference!$O:$P,2,false) &amp; ""3:"" &amp; vlookup(rows($A$1:$A1338),Reference!$O:$P,2,false)), 
""SELECT "" &amp; vlookup(rows($A$1:$A1338),Reference!$O:$P,2,false) 
&amp; "" WHERE "" &amp; vlookup("&amp;"rows($A$1:$A1338),Reference!$O:$P,2,false) &amp;
"" &gt;= "" &amp; Reference!$R$2)) * M1339,"""")"),"")</f>
        <v/>
      </c>
      <c r="O1339" s="84" t="str">
        <f t="shared" si="2"/>
        <v/>
      </c>
    </row>
    <row r="1340">
      <c r="A1340" s="84"/>
      <c r="B1340" s="84"/>
      <c r="C1340" s="85"/>
      <c r="D1340" s="86"/>
      <c r="E1340" s="87"/>
      <c r="F1340" s="86"/>
      <c r="G1340" s="87"/>
      <c r="H1340" s="86"/>
      <c r="I1340" s="86"/>
      <c r="J1340" s="86"/>
      <c r="K1340" s="84"/>
      <c r="L1340" s="84"/>
      <c r="M1340" s="84"/>
      <c r="N1340" s="84" t="str">
        <f>IFERROR(__xludf.DUMMYFUNCTION("IFERROR(AVERAGE(query(INDIRECT(""'FR Table'!"" &amp; vlookup(rows($A$1:$A1339),Reference!$O:$P,2,false) &amp; ""3:"" &amp; vlookup(rows($A$1:$A1339),Reference!$O:$P,2,false)), 
""SELECT "" &amp; vlookup(rows($A$1:$A1339),Reference!$O:$P,2,false) 
&amp; "" WHERE "" &amp; vlookup("&amp;"rows($A$1:$A1339),Reference!$O:$P,2,false) &amp;
"" &gt;= "" &amp; Reference!$R$2)) * M1340,"""")"),"")</f>
        <v/>
      </c>
      <c r="O1340" s="84" t="str">
        <f t="shared" si="2"/>
        <v/>
      </c>
    </row>
    <row r="1341">
      <c r="A1341" s="84"/>
      <c r="B1341" s="84"/>
      <c r="C1341" s="85"/>
      <c r="D1341" s="86"/>
      <c r="E1341" s="87"/>
      <c r="F1341" s="86"/>
      <c r="G1341" s="87"/>
      <c r="H1341" s="86"/>
      <c r="I1341" s="86"/>
      <c r="J1341" s="86"/>
      <c r="K1341" s="84"/>
      <c r="L1341" s="84"/>
      <c r="M1341" s="84"/>
      <c r="N1341" s="84" t="str">
        <f>IFERROR(__xludf.DUMMYFUNCTION("IFERROR(AVERAGE(query(INDIRECT(""'FR Table'!"" &amp; vlookup(rows($A$1:$A1340),Reference!$O:$P,2,false) &amp; ""3:"" &amp; vlookup(rows($A$1:$A1340),Reference!$O:$P,2,false)), 
""SELECT "" &amp; vlookup(rows($A$1:$A1340),Reference!$O:$P,2,false) 
&amp; "" WHERE "" &amp; vlookup("&amp;"rows($A$1:$A1340),Reference!$O:$P,2,false) &amp;
"" &gt;= "" &amp; Reference!$R$2)) * M1341,"""")"),"")</f>
        <v/>
      </c>
      <c r="O1341" s="84" t="str">
        <f t="shared" si="2"/>
        <v/>
      </c>
    </row>
    <row r="1342">
      <c r="A1342" s="84"/>
      <c r="B1342" s="84"/>
      <c r="C1342" s="85"/>
      <c r="D1342" s="86"/>
      <c r="E1342" s="87"/>
      <c r="F1342" s="86"/>
      <c r="G1342" s="87"/>
      <c r="H1342" s="86"/>
      <c r="I1342" s="86"/>
      <c r="J1342" s="86"/>
      <c r="K1342" s="84"/>
      <c r="L1342" s="84"/>
      <c r="M1342" s="84"/>
      <c r="N1342" s="84" t="str">
        <f>IFERROR(__xludf.DUMMYFUNCTION("IFERROR(AVERAGE(query(INDIRECT(""'FR Table'!"" &amp; vlookup(rows($A$1:$A1341),Reference!$O:$P,2,false) &amp; ""3:"" &amp; vlookup(rows($A$1:$A1341),Reference!$O:$P,2,false)), 
""SELECT "" &amp; vlookup(rows($A$1:$A1341),Reference!$O:$P,2,false) 
&amp; "" WHERE "" &amp; vlookup("&amp;"rows($A$1:$A1341),Reference!$O:$P,2,false) &amp;
"" &gt;= "" &amp; Reference!$R$2)) * M1342,"""")"),"")</f>
        <v/>
      </c>
      <c r="O1342" s="84" t="str">
        <f t="shared" si="2"/>
        <v/>
      </c>
    </row>
    <row r="1343">
      <c r="A1343" s="84"/>
      <c r="B1343" s="84"/>
      <c r="C1343" s="85"/>
      <c r="D1343" s="86"/>
      <c r="E1343" s="87"/>
      <c r="F1343" s="86"/>
      <c r="G1343" s="87"/>
      <c r="H1343" s="86"/>
      <c r="I1343" s="86"/>
      <c r="J1343" s="86"/>
      <c r="K1343" s="84"/>
      <c r="L1343" s="84"/>
      <c r="M1343" s="84"/>
      <c r="N1343" s="84" t="str">
        <f>IFERROR(__xludf.DUMMYFUNCTION("IFERROR(AVERAGE(query(INDIRECT(""'FR Table'!"" &amp; vlookup(rows($A$1:$A1342),Reference!$O:$P,2,false) &amp; ""3:"" &amp; vlookup(rows($A$1:$A1342),Reference!$O:$P,2,false)), 
""SELECT "" &amp; vlookup(rows($A$1:$A1342),Reference!$O:$P,2,false) 
&amp; "" WHERE "" &amp; vlookup("&amp;"rows($A$1:$A1342),Reference!$O:$P,2,false) &amp;
"" &gt;= "" &amp; Reference!$R$2)) * M1343,"""")"),"")</f>
        <v/>
      </c>
      <c r="O1343" s="84" t="str">
        <f t="shared" si="2"/>
        <v/>
      </c>
    </row>
    <row r="1344">
      <c r="A1344" s="84"/>
      <c r="B1344" s="84"/>
      <c r="C1344" s="85"/>
      <c r="D1344" s="86"/>
      <c r="E1344" s="87"/>
      <c r="F1344" s="86"/>
      <c r="G1344" s="87"/>
      <c r="H1344" s="86"/>
      <c r="I1344" s="86"/>
      <c r="J1344" s="86"/>
      <c r="K1344" s="84"/>
      <c r="L1344" s="84"/>
      <c r="M1344" s="84"/>
      <c r="N1344" s="84" t="str">
        <f>IFERROR(__xludf.DUMMYFUNCTION("IFERROR(AVERAGE(query(INDIRECT(""'FR Table'!"" &amp; vlookup(rows($A$1:$A1343),Reference!$O:$P,2,false) &amp; ""3:"" &amp; vlookup(rows($A$1:$A1343),Reference!$O:$P,2,false)), 
""SELECT "" &amp; vlookup(rows($A$1:$A1343),Reference!$O:$P,2,false) 
&amp; "" WHERE "" &amp; vlookup("&amp;"rows($A$1:$A1343),Reference!$O:$P,2,false) &amp;
"" &gt;= "" &amp; Reference!$R$2)) * M1344,"""")"),"")</f>
        <v/>
      </c>
      <c r="O1344" s="84" t="str">
        <f t="shared" si="2"/>
        <v/>
      </c>
    </row>
    <row r="1345">
      <c r="A1345" s="84"/>
      <c r="B1345" s="84"/>
      <c r="C1345" s="85"/>
      <c r="D1345" s="86"/>
      <c r="E1345" s="87"/>
      <c r="F1345" s="86"/>
      <c r="G1345" s="87"/>
      <c r="H1345" s="86"/>
      <c r="I1345" s="86"/>
      <c r="J1345" s="86"/>
      <c r="K1345" s="84"/>
      <c r="L1345" s="84"/>
      <c r="M1345" s="84"/>
      <c r="N1345" s="84" t="str">
        <f>IFERROR(__xludf.DUMMYFUNCTION("IFERROR(AVERAGE(query(INDIRECT(""'FR Table'!"" &amp; vlookup(rows($A$1:$A1344),Reference!$O:$P,2,false) &amp; ""3:"" &amp; vlookup(rows($A$1:$A1344),Reference!$O:$P,2,false)), 
""SELECT "" &amp; vlookup(rows($A$1:$A1344),Reference!$O:$P,2,false) 
&amp; "" WHERE "" &amp; vlookup("&amp;"rows($A$1:$A1344),Reference!$O:$P,2,false) &amp;
"" &gt;= "" &amp; Reference!$R$2)) * M1345,"""")"),"")</f>
        <v/>
      </c>
      <c r="O1345" s="84" t="str">
        <f t="shared" si="2"/>
        <v/>
      </c>
    </row>
    <row r="1346">
      <c r="A1346" s="84"/>
      <c r="B1346" s="84"/>
      <c r="C1346" s="85"/>
      <c r="D1346" s="86"/>
      <c r="E1346" s="87"/>
      <c r="F1346" s="86"/>
      <c r="G1346" s="87"/>
      <c r="H1346" s="86"/>
      <c r="I1346" s="86"/>
      <c r="J1346" s="86"/>
      <c r="K1346" s="84"/>
      <c r="L1346" s="84"/>
      <c r="M1346" s="84"/>
      <c r="N1346" s="84" t="str">
        <f>IFERROR(__xludf.DUMMYFUNCTION("IFERROR(AVERAGE(query(INDIRECT(""'FR Table'!"" &amp; vlookup(rows($A$1:$A1345),Reference!$O:$P,2,false) &amp; ""3:"" &amp; vlookup(rows($A$1:$A1345),Reference!$O:$P,2,false)), 
""SELECT "" &amp; vlookup(rows($A$1:$A1345),Reference!$O:$P,2,false) 
&amp; "" WHERE "" &amp; vlookup("&amp;"rows($A$1:$A1345),Reference!$O:$P,2,false) &amp;
"" &gt;= "" &amp; Reference!$R$2)) * M1346,"""")"),"")</f>
        <v/>
      </c>
      <c r="O1346" s="84" t="str">
        <f t="shared" si="2"/>
        <v/>
      </c>
    </row>
    <row r="1347">
      <c r="A1347" s="84"/>
      <c r="B1347" s="84"/>
      <c r="C1347" s="85"/>
      <c r="D1347" s="86"/>
      <c r="E1347" s="87"/>
      <c r="F1347" s="86"/>
      <c r="G1347" s="87"/>
      <c r="H1347" s="86"/>
      <c r="I1347" s="86"/>
      <c r="J1347" s="86"/>
      <c r="K1347" s="84"/>
      <c r="L1347" s="84"/>
      <c r="M1347" s="84"/>
      <c r="N1347" s="84" t="str">
        <f>IFERROR(__xludf.DUMMYFUNCTION("IFERROR(AVERAGE(query(INDIRECT(""'FR Table'!"" &amp; vlookup(rows($A$1:$A1346),Reference!$O:$P,2,false) &amp; ""3:"" &amp; vlookup(rows($A$1:$A1346),Reference!$O:$P,2,false)), 
""SELECT "" &amp; vlookup(rows($A$1:$A1346),Reference!$O:$P,2,false) 
&amp; "" WHERE "" &amp; vlookup("&amp;"rows($A$1:$A1346),Reference!$O:$P,2,false) &amp;
"" &gt;= "" &amp; Reference!$R$2)) * M1347,"""")"),"")</f>
        <v/>
      </c>
      <c r="O1347" s="84" t="str">
        <f t="shared" si="2"/>
        <v/>
      </c>
    </row>
    <row r="1348">
      <c r="A1348" s="84"/>
      <c r="B1348" s="84"/>
      <c r="C1348" s="85"/>
      <c r="D1348" s="86"/>
      <c r="E1348" s="87"/>
      <c r="F1348" s="86"/>
      <c r="G1348" s="87"/>
      <c r="H1348" s="86"/>
      <c r="I1348" s="86"/>
      <c r="J1348" s="86"/>
      <c r="K1348" s="84"/>
      <c r="L1348" s="84"/>
      <c r="M1348" s="84"/>
      <c r="N1348" s="84" t="str">
        <f>IFERROR(__xludf.DUMMYFUNCTION("IFERROR(AVERAGE(query(INDIRECT(""'FR Table'!"" &amp; vlookup(rows($A$1:$A1347),Reference!$O:$P,2,false) &amp; ""3:"" &amp; vlookup(rows($A$1:$A1347),Reference!$O:$P,2,false)), 
""SELECT "" &amp; vlookup(rows($A$1:$A1347),Reference!$O:$P,2,false) 
&amp; "" WHERE "" &amp; vlookup("&amp;"rows($A$1:$A1347),Reference!$O:$P,2,false) &amp;
"" &gt;= "" &amp; Reference!$R$2)) * M1348,"""")"),"")</f>
        <v/>
      </c>
      <c r="O1348" s="84" t="str">
        <f t="shared" si="2"/>
        <v/>
      </c>
    </row>
    <row r="1349">
      <c r="A1349" s="84"/>
      <c r="B1349" s="84"/>
      <c r="C1349" s="85"/>
      <c r="D1349" s="86"/>
      <c r="E1349" s="87"/>
      <c r="F1349" s="86"/>
      <c r="G1349" s="87"/>
      <c r="H1349" s="86"/>
      <c r="I1349" s="86"/>
      <c r="J1349" s="86"/>
      <c r="K1349" s="84"/>
      <c r="L1349" s="84"/>
      <c r="M1349" s="84"/>
      <c r="N1349" s="84" t="str">
        <f>IFERROR(__xludf.DUMMYFUNCTION("IFERROR(AVERAGE(query(INDIRECT(""'FR Table'!"" &amp; vlookup(rows($A$1:$A1348),Reference!$O:$P,2,false) &amp; ""3:"" &amp; vlookup(rows($A$1:$A1348),Reference!$O:$P,2,false)), 
""SELECT "" &amp; vlookup(rows($A$1:$A1348),Reference!$O:$P,2,false) 
&amp; "" WHERE "" &amp; vlookup("&amp;"rows($A$1:$A1348),Reference!$O:$P,2,false) &amp;
"" &gt;= "" &amp; Reference!$R$2)) * M1349,"""")"),"")</f>
        <v/>
      </c>
      <c r="O1349" s="84" t="str">
        <f t="shared" si="2"/>
        <v/>
      </c>
    </row>
    <row r="1350">
      <c r="A1350" s="84"/>
      <c r="B1350" s="84"/>
      <c r="C1350" s="85"/>
      <c r="D1350" s="86"/>
      <c r="E1350" s="87"/>
      <c r="F1350" s="86"/>
      <c r="G1350" s="87"/>
      <c r="H1350" s="86"/>
      <c r="I1350" s="86"/>
      <c r="J1350" s="86"/>
      <c r="K1350" s="84"/>
      <c r="L1350" s="84"/>
      <c r="M1350" s="84"/>
      <c r="N1350" s="84" t="str">
        <f>IFERROR(__xludf.DUMMYFUNCTION("IFERROR(AVERAGE(query(INDIRECT(""'FR Table'!"" &amp; vlookup(rows($A$1:$A1349),Reference!$O:$P,2,false) &amp; ""3:"" &amp; vlookup(rows($A$1:$A1349),Reference!$O:$P,2,false)), 
""SELECT "" &amp; vlookup(rows($A$1:$A1349),Reference!$O:$P,2,false) 
&amp; "" WHERE "" &amp; vlookup("&amp;"rows($A$1:$A1349),Reference!$O:$P,2,false) &amp;
"" &gt;= "" &amp; Reference!$R$2)) * M1350,"""")"),"")</f>
        <v/>
      </c>
      <c r="O1350" s="84" t="str">
        <f t="shared" si="2"/>
        <v/>
      </c>
    </row>
    <row r="1351">
      <c r="A1351" s="84"/>
      <c r="B1351" s="84"/>
      <c r="C1351" s="85"/>
      <c r="D1351" s="86"/>
      <c r="E1351" s="87"/>
      <c r="F1351" s="86"/>
      <c r="G1351" s="87"/>
      <c r="H1351" s="86"/>
      <c r="I1351" s="86"/>
      <c r="J1351" s="86"/>
      <c r="K1351" s="84"/>
      <c r="L1351" s="84"/>
      <c r="M1351" s="84"/>
      <c r="N1351" s="84" t="str">
        <f>IFERROR(__xludf.DUMMYFUNCTION("IFERROR(AVERAGE(query(INDIRECT(""'FR Table'!"" &amp; vlookup(rows($A$1:$A1350),Reference!$O:$P,2,false) &amp; ""3:"" &amp; vlookup(rows($A$1:$A1350),Reference!$O:$P,2,false)), 
""SELECT "" &amp; vlookup(rows($A$1:$A1350),Reference!$O:$P,2,false) 
&amp; "" WHERE "" &amp; vlookup("&amp;"rows($A$1:$A1350),Reference!$O:$P,2,false) &amp;
"" &gt;= "" &amp; Reference!$R$2)) * M1351,"""")"),"")</f>
        <v/>
      </c>
      <c r="O1351" s="84" t="str">
        <f t="shared" si="2"/>
        <v/>
      </c>
    </row>
    <row r="1352">
      <c r="A1352" s="84"/>
      <c r="B1352" s="84"/>
      <c r="C1352" s="85"/>
      <c r="D1352" s="86"/>
      <c r="E1352" s="87"/>
      <c r="F1352" s="86"/>
      <c r="G1352" s="87"/>
      <c r="H1352" s="86"/>
      <c r="I1352" s="86"/>
      <c r="J1352" s="86"/>
      <c r="K1352" s="84"/>
      <c r="L1352" s="84"/>
      <c r="M1352" s="84"/>
      <c r="N1352" s="84" t="str">
        <f>IFERROR(__xludf.DUMMYFUNCTION("IFERROR(AVERAGE(query(INDIRECT(""'FR Table'!"" &amp; vlookup(rows($A$1:$A1351),Reference!$O:$P,2,false) &amp; ""3:"" &amp; vlookup(rows($A$1:$A1351),Reference!$O:$P,2,false)), 
""SELECT "" &amp; vlookup(rows($A$1:$A1351),Reference!$O:$P,2,false) 
&amp; "" WHERE "" &amp; vlookup("&amp;"rows($A$1:$A1351),Reference!$O:$P,2,false) &amp;
"" &gt;= "" &amp; Reference!$R$2)) * M1352,"""")"),"")</f>
        <v/>
      </c>
      <c r="O1352" s="84" t="str">
        <f t="shared" si="2"/>
        <v/>
      </c>
    </row>
    <row r="1353">
      <c r="A1353" s="84"/>
      <c r="B1353" s="84"/>
      <c r="C1353" s="85"/>
      <c r="D1353" s="86"/>
      <c r="E1353" s="87"/>
      <c r="F1353" s="86"/>
      <c r="G1353" s="87"/>
      <c r="H1353" s="86"/>
      <c r="I1353" s="86"/>
      <c r="J1353" s="86"/>
      <c r="K1353" s="84"/>
      <c r="L1353" s="84"/>
      <c r="M1353" s="84"/>
      <c r="N1353" s="84" t="str">
        <f>IFERROR(__xludf.DUMMYFUNCTION("IFERROR(AVERAGE(query(INDIRECT(""'FR Table'!"" &amp; vlookup(rows($A$1:$A1352),Reference!$O:$P,2,false) &amp; ""3:"" &amp; vlookup(rows($A$1:$A1352),Reference!$O:$P,2,false)), 
""SELECT "" &amp; vlookup(rows($A$1:$A1352),Reference!$O:$P,2,false) 
&amp; "" WHERE "" &amp; vlookup("&amp;"rows($A$1:$A1352),Reference!$O:$P,2,false) &amp;
"" &gt;= "" &amp; Reference!$R$2)) * M1353,"""")"),"")</f>
        <v/>
      </c>
      <c r="O1353" s="84" t="str">
        <f t="shared" si="2"/>
        <v/>
      </c>
    </row>
    <row r="1354">
      <c r="A1354" s="84"/>
      <c r="B1354" s="84"/>
      <c r="C1354" s="85"/>
      <c r="D1354" s="86"/>
      <c r="E1354" s="87"/>
      <c r="F1354" s="86"/>
      <c r="G1354" s="87"/>
      <c r="H1354" s="86"/>
      <c r="I1354" s="86"/>
      <c r="J1354" s="86"/>
      <c r="K1354" s="84"/>
      <c r="L1354" s="84"/>
      <c r="M1354" s="84"/>
      <c r="N1354" s="84" t="str">
        <f>IFERROR(__xludf.DUMMYFUNCTION("IFERROR(AVERAGE(query(INDIRECT(""'FR Table'!"" &amp; vlookup(rows($A$1:$A1353),Reference!$O:$P,2,false) &amp; ""3:"" &amp; vlookup(rows($A$1:$A1353),Reference!$O:$P,2,false)), 
""SELECT "" &amp; vlookup(rows($A$1:$A1353),Reference!$O:$P,2,false) 
&amp; "" WHERE "" &amp; vlookup("&amp;"rows($A$1:$A1353),Reference!$O:$P,2,false) &amp;
"" &gt;= "" &amp; Reference!$R$2)) * M1354,"""")"),"")</f>
        <v/>
      </c>
      <c r="O1354" s="84" t="str">
        <f t="shared" si="2"/>
        <v/>
      </c>
    </row>
    <row r="1355">
      <c r="A1355" s="84"/>
      <c r="B1355" s="84"/>
      <c r="C1355" s="85"/>
      <c r="D1355" s="86"/>
      <c r="E1355" s="87"/>
      <c r="F1355" s="86"/>
      <c r="G1355" s="87"/>
      <c r="H1355" s="86"/>
      <c r="I1355" s="86"/>
      <c r="J1355" s="86"/>
      <c r="K1355" s="84"/>
      <c r="L1355" s="84"/>
      <c r="M1355" s="84"/>
      <c r="N1355" s="84" t="str">
        <f>IFERROR(__xludf.DUMMYFUNCTION("IFERROR(AVERAGE(query(INDIRECT(""'FR Table'!"" &amp; vlookup(rows($A$1:$A1354),Reference!$O:$P,2,false) &amp; ""3:"" &amp; vlookup(rows($A$1:$A1354),Reference!$O:$P,2,false)), 
""SELECT "" &amp; vlookup(rows($A$1:$A1354),Reference!$O:$P,2,false) 
&amp; "" WHERE "" &amp; vlookup("&amp;"rows($A$1:$A1354),Reference!$O:$P,2,false) &amp;
"" &gt;= "" &amp; Reference!$R$2)) * M1355,"""")"),"")</f>
        <v/>
      </c>
      <c r="O1355" s="84" t="str">
        <f t="shared" si="2"/>
        <v/>
      </c>
    </row>
    <row r="1356">
      <c r="A1356" s="84"/>
      <c r="B1356" s="84"/>
      <c r="C1356" s="85"/>
      <c r="D1356" s="86"/>
      <c r="E1356" s="87"/>
      <c r="F1356" s="86"/>
      <c r="G1356" s="87"/>
      <c r="H1356" s="86"/>
      <c r="I1356" s="86"/>
      <c r="J1356" s="86"/>
      <c r="K1356" s="84"/>
      <c r="L1356" s="84"/>
      <c r="M1356" s="84"/>
      <c r="N1356" s="84" t="str">
        <f>IFERROR(__xludf.DUMMYFUNCTION("IFERROR(AVERAGE(query(INDIRECT(""'FR Table'!"" &amp; vlookup(rows($A$1:$A1355),Reference!$O:$P,2,false) &amp; ""3:"" &amp; vlookup(rows($A$1:$A1355),Reference!$O:$P,2,false)), 
""SELECT "" &amp; vlookup(rows($A$1:$A1355),Reference!$O:$P,2,false) 
&amp; "" WHERE "" &amp; vlookup("&amp;"rows($A$1:$A1355),Reference!$O:$P,2,false) &amp;
"" &gt;= "" &amp; Reference!$R$2)) * M1356,"""")"),"")</f>
        <v/>
      </c>
      <c r="O1356" s="84" t="str">
        <f t="shared" si="2"/>
        <v/>
      </c>
    </row>
    <row r="1357">
      <c r="A1357" s="84"/>
      <c r="B1357" s="84"/>
      <c r="C1357" s="85"/>
      <c r="D1357" s="86"/>
      <c r="E1357" s="87"/>
      <c r="F1357" s="86"/>
      <c r="G1357" s="87"/>
      <c r="H1357" s="86"/>
      <c r="I1357" s="86"/>
      <c r="J1357" s="86"/>
      <c r="K1357" s="84"/>
      <c r="L1357" s="84"/>
      <c r="M1357" s="84"/>
      <c r="N1357" s="84" t="str">
        <f>IFERROR(__xludf.DUMMYFUNCTION("IFERROR(AVERAGE(query(INDIRECT(""'FR Table'!"" &amp; vlookup(rows($A$1:$A1356),Reference!$O:$P,2,false) &amp; ""3:"" &amp; vlookup(rows($A$1:$A1356),Reference!$O:$P,2,false)), 
""SELECT "" &amp; vlookup(rows($A$1:$A1356),Reference!$O:$P,2,false) 
&amp; "" WHERE "" &amp; vlookup("&amp;"rows($A$1:$A1356),Reference!$O:$P,2,false) &amp;
"" &gt;= "" &amp; Reference!$R$2)) * M1357,"""")"),"")</f>
        <v/>
      </c>
      <c r="O1357" s="84" t="str">
        <f t="shared" si="2"/>
        <v/>
      </c>
    </row>
    <row r="1358">
      <c r="A1358" s="84"/>
      <c r="B1358" s="84"/>
      <c r="C1358" s="85"/>
      <c r="D1358" s="86"/>
      <c r="E1358" s="87"/>
      <c r="F1358" s="86"/>
      <c r="G1358" s="87"/>
      <c r="H1358" s="86"/>
      <c r="I1358" s="86"/>
      <c r="J1358" s="86"/>
      <c r="K1358" s="84"/>
      <c r="L1358" s="84"/>
      <c r="M1358" s="84"/>
      <c r="N1358" s="84" t="str">
        <f>IFERROR(__xludf.DUMMYFUNCTION("IFERROR(AVERAGE(query(INDIRECT(""'FR Table'!"" &amp; vlookup(rows($A$1:$A1357),Reference!$O:$P,2,false) &amp; ""3:"" &amp; vlookup(rows($A$1:$A1357),Reference!$O:$P,2,false)), 
""SELECT "" &amp; vlookup(rows($A$1:$A1357),Reference!$O:$P,2,false) 
&amp; "" WHERE "" &amp; vlookup("&amp;"rows($A$1:$A1357),Reference!$O:$P,2,false) &amp;
"" &gt;= "" &amp; Reference!$R$2)) * M1358,"""")"),"")</f>
        <v/>
      </c>
      <c r="O1358" s="84" t="str">
        <f t="shared" si="2"/>
        <v/>
      </c>
    </row>
    <row r="1359">
      <c r="A1359" s="84"/>
      <c r="B1359" s="84"/>
      <c r="C1359" s="85"/>
      <c r="D1359" s="86"/>
      <c r="E1359" s="87"/>
      <c r="F1359" s="86"/>
      <c r="G1359" s="87"/>
      <c r="H1359" s="86"/>
      <c r="I1359" s="86"/>
      <c r="J1359" s="86"/>
      <c r="K1359" s="84"/>
      <c r="L1359" s="84"/>
      <c r="M1359" s="84"/>
      <c r="N1359" s="84" t="str">
        <f>IFERROR(__xludf.DUMMYFUNCTION("IFERROR(AVERAGE(query(INDIRECT(""'FR Table'!"" &amp; vlookup(rows($A$1:$A1358),Reference!$O:$P,2,false) &amp; ""3:"" &amp; vlookup(rows($A$1:$A1358),Reference!$O:$P,2,false)), 
""SELECT "" &amp; vlookup(rows($A$1:$A1358),Reference!$O:$P,2,false) 
&amp; "" WHERE "" &amp; vlookup("&amp;"rows($A$1:$A1358),Reference!$O:$P,2,false) &amp;
"" &gt;= "" &amp; Reference!$R$2)) * M1359,"""")"),"")</f>
        <v/>
      </c>
      <c r="O1359" s="84" t="str">
        <f t="shared" si="2"/>
        <v/>
      </c>
    </row>
    <row r="1360">
      <c r="A1360" s="84"/>
      <c r="B1360" s="84"/>
      <c r="C1360" s="85"/>
      <c r="D1360" s="86"/>
      <c r="E1360" s="87"/>
      <c r="F1360" s="86"/>
      <c r="G1360" s="87"/>
      <c r="H1360" s="86"/>
      <c r="I1360" s="86"/>
      <c r="J1360" s="86"/>
      <c r="K1360" s="84"/>
      <c r="L1360" s="84"/>
      <c r="M1360" s="84"/>
      <c r="N1360" s="84" t="str">
        <f>IFERROR(__xludf.DUMMYFUNCTION("IFERROR(AVERAGE(query(INDIRECT(""'FR Table'!"" &amp; vlookup(rows($A$1:$A1359),Reference!$O:$P,2,false) &amp; ""3:"" &amp; vlookup(rows($A$1:$A1359),Reference!$O:$P,2,false)), 
""SELECT "" &amp; vlookup(rows($A$1:$A1359),Reference!$O:$P,2,false) 
&amp; "" WHERE "" &amp; vlookup("&amp;"rows($A$1:$A1359),Reference!$O:$P,2,false) &amp;
"" &gt;= "" &amp; Reference!$R$2)) * M1360,"""")"),"")</f>
        <v/>
      </c>
      <c r="O1360" s="84" t="str">
        <f t="shared" si="2"/>
        <v/>
      </c>
    </row>
    <row r="1361">
      <c r="A1361" s="84"/>
      <c r="B1361" s="84"/>
      <c r="C1361" s="85"/>
      <c r="D1361" s="86"/>
      <c r="E1361" s="87"/>
      <c r="F1361" s="86"/>
      <c r="G1361" s="87"/>
      <c r="H1361" s="86"/>
      <c r="I1361" s="86"/>
      <c r="J1361" s="86"/>
      <c r="K1361" s="84"/>
      <c r="L1361" s="84"/>
      <c r="M1361" s="84"/>
      <c r="N1361" s="84" t="str">
        <f>IFERROR(__xludf.DUMMYFUNCTION("IFERROR(AVERAGE(query(INDIRECT(""'FR Table'!"" &amp; vlookup(rows($A$1:$A1360),Reference!$O:$P,2,false) &amp; ""3:"" &amp; vlookup(rows($A$1:$A1360),Reference!$O:$P,2,false)), 
""SELECT "" &amp; vlookup(rows($A$1:$A1360),Reference!$O:$P,2,false) 
&amp; "" WHERE "" &amp; vlookup("&amp;"rows($A$1:$A1360),Reference!$O:$P,2,false) &amp;
"" &gt;= "" &amp; Reference!$R$2)) * M1361,"""")"),"")</f>
        <v/>
      </c>
      <c r="O1361" s="84" t="str">
        <f t="shared" si="2"/>
        <v/>
      </c>
    </row>
    <row r="1362">
      <c r="A1362" s="84"/>
      <c r="B1362" s="84"/>
      <c r="C1362" s="85"/>
      <c r="D1362" s="86"/>
      <c r="E1362" s="87"/>
      <c r="F1362" s="86"/>
      <c r="G1362" s="87"/>
      <c r="H1362" s="86"/>
      <c r="I1362" s="86"/>
      <c r="J1362" s="86"/>
      <c r="K1362" s="84"/>
      <c r="L1362" s="84"/>
      <c r="M1362" s="84"/>
      <c r="N1362" s="84" t="str">
        <f>IFERROR(__xludf.DUMMYFUNCTION("IFERROR(AVERAGE(query(INDIRECT(""'FR Table'!"" &amp; vlookup(rows($A$1:$A1361),Reference!$O:$P,2,false) &amp; ""3:"" &amp; vlookup(rows($A$1:$A1361),Reference!$O:$P,2,false)), 
""SELECT "" &amp; vlookup(rows($A$1:$A1361),Reference!$O:$P,2,false) 
&amp; "" WHERE "" &amp; vlookup("&amp;"rows($A$1:$A1361),Reference!$O:$P,2,false) &amp;
"" &gt;= "" &amp; Reference!$R$2)) * M1362,"""")"),"")</f>
        <v/>
      </c>
      <c r="O1362" s="84" t="str">
        <f t="shared" si="2"/>
        <v/>
      </c>
    </row>
    <row r="1363">
      <c r="A1363" s="84"/>
      <c r="B1363" s="84"/>
      <c r="C1363" s="85"/>
      <c r="D1363" s="86"/>
      <c r="E1363" s="87"/>
      <c r="F1363" s="86"/>
      <c r="G1363" s="87"/>
      <c r="H1363" s="86"/>
      <c r="I1363" s="86"/>
      <c r="J1363" s="86"/>
      <c r="K1363" s="84"/>
      <c r="L1363" s="84"/>
      <c r="M1363" s="84"/>
      <c r="N1363" s="84" t="str">
        <f>IFERROR(__xludf.DUMMYFUNCTION("IFERROR(AVERAGE(query(INDIRECT(""'FR Table'!"" &amp; vlookup(rows($A$1:$A1362),Reference!$O:$P,2,false) &amp; ""3:"" &amp; vlookup(rows($A$1:$A1362),Reference!$O:$P,2,false)), 
""SELECT "" &amp; vlookup(rows($A$1:$A1362),Reference!$O:$P,2,false) 
&amp; "" WHERE "" &amp; vlookup("&amp;"rows($A$1:$A1362),Reference!$O:$P,2,false) &amp;
"" &gt;= "" &amp; Reference!$R$2)) * M1363,"""")"),"")</f>
        <v/>
      </c>
      <c r="O1363" s="84" t="str">
        <f t="shared" si="2"/>
        <v/>
      </c>
    </row>
    <row r="1364">
      <c r="A1364" s="84"/>
      <c r="B1364" s="84"/>
      <c r="C1364" s="85"/>
      <c r="D1364" s="86"/>
      <c r="E1364" s="87"/>
      <c r="F1364" s="86"/>
      <c r="G1364" s="87"/>
      <c r="H1364" s="86"/>
      <c r="I1364" s="86"/>
      <c r="J1364" s="86"/>
      <c r="K1364" s="84"/>
      <c r="L1364" s="84"/>
      <c r="M1364" s="84"/>
      <c r="N1364" s="84" t="str">
        <f>IFERROR(__xludf.DUMMYFUNCTION("IFERROR(AVERAGE(query(INDIRECT(""'FR Table'!"" &amp; vlookup(rows($A$1:$A1363),Reference!$O:$P,2,false) &amp; ""3:"" &amp; vlookup(rows($A$1:$A1363),Reference!$O:$P,2,false)), 
""SELECT "" &amp; vlookup(rows($A$1:$A1363),Reference!$O:$P,2,false) 
&amp; "" WHERE "" &amp; vlookup("&amp;"rows($A$1:$A1363),Reference!$O:$P,2,false) &amp;
"" &gt;= "" &amp; Reference!$R$2)) * M1364,"""")"),"")</f>
        <v/>
      </c>
      <c r="O1364" s="84" t="str">
        <f t="shared" si="2"/>
        <v/>
      </c>
    </row>
    <row r="1365">
      <c r="A1365" s="84"/>
      <c r="B1365" s="84"/>
      <c r="C1365" s="85"/>
      <c r="D1365" s="86"/>
      <c r="E1365" s="87"/>
      <c r="F1365" s="86"/>
      <c r="G1365" s="87"/>
      <c r="H1365" s="86"/>
      <c r="I1365" s="86"/>
      <c r="J1365" s="86"/>
      <c r="K1365" s="84"/>
      <c r="L1365" s="84"/>
      <c r="M1365" s="84"/>
      <c r="N1365" s="84" t="str">
        <f>IFERROR(__xludf.DUMMYFUNCTION("IFERROR(AVERAGE(query(INDIRECT(""'FR Table'!"" &amp; vlookup(rows($A$1:$A1364),Reference!$O:$P,2,false) &amp; ""3:"" &amp; vlookup(rows($A$1:$A1364),Reference!$O:$P,2,false)), 
""SELECT "" &amp; vlookup(rows($A$1:$A1364),Reference!$O:$P,2,false) 
&amp; "" WHERE "" &amp; vlookup("&amp;"rows($A$1:$A1364),Reference!$O:$P,2,false) &amp;
"" &gt;= "" &amp; Reference!$R$2)) * M1365,"""")"),"")</f>
        <v/>
      </c>
      <c r="O1365" s="84" t="str">
        <f t="shared" si="2"/>
        <v/>
      </c>
    </row>
    <row r="1366">
      <c r="A1366" s="84"/>
      <c r="B1366" s="84"/>
      <c r="C1366" s="85"/>
      <c r="D1366" s="86"/>
      <c r="E1366" s="87"/>
      <c r="F1366" s="86"/>
      <c r="G1366" s="87"/>
      <c r="H1366" s="86"/>
      <c r="I1366" s="86"/>
      <c r="J1366" s="86"/>
      <c r="K1366" s="84"/>
      <c r="L1366" s="84"/>
      <c r="M1366" s="84"/>
      <c r="N1366" s="84" t="str">
        <f>IFERROR(__xludf.DUMMYFUNCTION("IFERROR(AVERAGE(query(INDIRECT(""'FR Table'!"" &amp; vlookup(rows($A$1:$A1365),Reference!$O:$P,2,false) &amp; ""3:"" &amp; vlookup(rows($A$1:$A1365),Reference!$O:$P,2,false)), 
""SELECT "" &amp; vlookup(rows($A$1:$A1365),Reference!$O:$P,2,false) 
&amp; "" WHERE "" &amp; vlookup("&amp;"rows($A$1:$A1365),Reference!$O:$P,2,false) &amp;
"" &gt;= "" &amp; Reference!$R$2)) * M1366,"""")"),"")</f>
        <v/>
      </c>
      <c r="O1366" s="84" t="str">
        <f t="shared" si="2"/>
        <v/>
      </c>
    </row>
    <row r="1367">
      <c r="A1367" s="84"/>
      <c r="B1367" s="84"/>
      <c r="C1367" s="85"/>
      <c r="D1367" s="86"/>
      <c r="E1367" s="87"/>
      <c r="F1367" s="86"/>
      <c r="G1367" s="87"/>
      <c r="H1367" s="86"/>
      <c r="I1367" s="86"/>
      <c r="J1367" s="86"/>
      <c r="K1367" s="84"/>
      <c r="L1367" s="84"/>
      <c r="M1367" s="84"/>
      <c r="N1367" s="84" t="str">
        <f>IFERROR(__xludf.DUMMYFUNCTION("IFERROR(AVERAGE(query(INDIRECT(""'FR Table'!"" &amp; vlookup(rows($A$1:$A1366),Reference!$O:$P,2,false) &amp; ""3:"" &amp; vlookup(rows($A$1:$A1366),Reference!$O:$P,2,false)), 
""SELECT "" &amp; vlookup(rows($A$1:$A1366),Reference!$O:$P,2,false) 
&amp; "" WHERE "" &amp; vlookup("&amp;"rows($A$1:$A1366),Reference!$O:$P,2,false) &amp;
"" &gt;= "" &amp; Reference!$R$2)) * M1367,"""")"),"")</f>
        <v/>
      </c>
      <c r="O1367" s="84" t="str">
        <f t="shared" si="2"/>
        <v/>
      </c>
    </row>
    <row r="1368">
      <c r="A1368" s="84"/>
      <c r="B1368" s="84"/>
      <c r="C1368" s="85"/>
      <c r="D1368" s="86"/>
      <c r="E1368" s="87"/>
      <c r="F1368" s="86"/>
      <c r="G1368" s="87"/>
      <c r="H1368" s="86"/>
      <c r="I1368" s="86"/>
      <c r="J1368" s="86"/>
      <c r="K1368" s="84"/>
      <c r="L1368" s="84"/>
      <c r="M1368" s="84"/>
      <c r="N1368" s="84" t="str">
        <f>IFERROR(__xludf.DUMMYFUNCTION("IFERROR(AVERAGE(query(INDIRECT(""'FR Table'!"" &amp; vlookup(rows($A$1:$A1367),Reference!$O:$P,2,false) &amp; ""3:"" &amp; vlookup(rows($A$1:$A1367),Reference!$O:$P,2,false)), 
""SELECT "" &amp; vlookup(rows($A$1:$A1367),Reference!$O:$P,2,false) 
&amp; "" WHERE "" &amp; vlookup("&amp;"rows($A$1:$A1367),Reference!$O:$P,2,false) &amp;
"" &gt;= "" &amp; Reference!$R$2)) * M1368,"""")"),"")</f>
        <v/>
      </c>
      <c r="O1368" s="84" t="str">
        <f t="shared" si="2"/>
        <v/>
      </c>
    </row>
    <row r="1369">
      <c r="A1369" s="84"/>
      <c r="B1369" s="84"/>
      <c r="C1369" s="85"/>
      <c r="D1369" s="86"/>
      <c r="E1369" s="87"/>
      <c r="F1369" s="86"/>
      <c r="G1369" s="87"/>
      <c r="H1369" s="86"/>
      <c r="I1369" s="86"/>
      <c r="J1369" s="86"/>
      <c r="K1369" s="84"/>
      <c r="L1369" s="84"/>
      <c r="M1369" s="84"/>
      <c r="N1369" s="84" t="str">
        <f>IFERROR(__xludf.DUMMYFUNCTION("IFERROR(AVERAGE(query(INDIRECT(""'FR Table'!"" &amp; vlookup(rows($A$1:$A1368),Reference!$O:$P,2,false) &amp; ""3:"" &amp; vlookup(rows($A$1:$A1368),Reference!$O:$P,2,false)), 
""SELECT "" &amp; vlookup(rows($A$1:$A1368),Reference!$O:$P,2,false) 
&amp; "" WHERE "" &amp; vlookup("&amp;"rows($A$1:$A1368),Reference!$O:$P,2,false) &amp;
"" &gt;= "" &amp; Reference!$R$2)) * M1369,"""")"),"")</f>
        <v/>
      </c>
      <c r="O1369" s="84" t="str">
        <f t="shared" si="2"/>
        <v/>
      </c>
    </row>
    <row r="1370">
      <c r="A1370" s="84"/>
      <c r="B1370" s="84"/>
      <c r="C1370" s="85"/>
      <c r="D1370" s="86"/>
      <c r="E1370" s="87"/>
      <c r="F1370" s="86"/>
      <c r="G1370" s="87"/>
      <c r="H1370" s="86"/>
      <c r="I1370" s="86"/>
      <c r="J1370" s="86"/>
      <c r="K1370" s="84"/>
      <c r="L1370" s="84"/>
      <c r="M1370" s="84"/>
      <c r="N1370" s="84" t="str">
        <f>IFERROR(__xludf.DUMMYFUNCTION("IFERROR(AVERAGE(query(INDIRECT(""'FR Table'!"" &amp; vlookup(rows($A$1:$A1369),Reference!$O:$P,2,false) &amp; ""3:"" &amp; vlookup(rows($A$1:$A1369),Reference!$O:$P,2,false)), 
""SELECT "" &amp; vlookup(rows($A$1:$A1369),Reference!$O:$P,2,false) 
&amp; "" WHERE "" &amp; vlookup("&amp;"rows($A$1:$A1369),Reference!$O:$P,2,false) &amp;
"" &gt;= "" &amp; Reference!$R$2)) * M1370,"""")"),"")</f>
        <v/>
      </c>
      <c r="O1370" s="84" t="str">
        <f t="shared" si="2"/>
        <v/>
      </c>
    </row>
    <row r="1371">
      <c r="A1371" s="84"/>
      <c r="B1371" s="84"/>
      <c r="C1371" s="85"/>
      <c r="D1371" s="86"/>
      <c r="E1371" s="87"/>
      <c r="F1371" s="86"/>
      <c r="G1371" s="87"/>
      <c r="H1371" s="86"/>
      <c r="I1371" s="86"/>
      <c r="J1371" s="86"/>
      <c r="K1371" s="84"/>
      <c r="L1371" s="84"/>
      <c r="M1371" s="84"/>
      <c r="N1371" s="84" t="str">
        <f>IFERROR(__xludf.DUMMYFUNCTION("IFERROR(AVERAGE(query(INDIRECT(""'FR Table'!"" &amp; vlookup(rows($A$1:$A1370),Reference!$O:$P,2,false) &amp; ""3:"" &amp; vlookup(rows($A$1:$A1370),Reference!$O:$P,2,false)), 
""SELECT "" &amp; vlookup(rows($A$1:$A1370),Reference!$O:$P,2,false) 
&amp; "" WHERE "" &amp; vlookup("&amp;"rows($A$1:$A1370),Reference!$O:$P,2,false) &amp;
"" &gt;= "" &amp; Reference!$R$2)) * M1371,"""")"),"")</f>
        <v/>
      </c>
      <c r="O1371" s="84" t="str">
        <f t="shared" si="2"/>
        <v/>
      </c>
    </row>
    <row r="1372">
      <c r="A1372" s="84"/>
      <c r="B1372" s="84"/>
      <c r="C1372" s="85"/>
      <c r="D1372" s="86"/>
      <c r="E1372" s="87"/>
      <c r="F1372" s="86"/>
      <c r="G1372" s="87"/>
      <c r="H1372" s="86"/>
      <c r="I1372" s="86"/>
      <c r="J1372" s="86"/>
      <c r="K1372" s="84"/>
      <c r="L1372" s="84"/>
      <c r="M1372" s="84"/>
      <c r="N1372" s="84" t="str">
        <f>IFERROR(__xludf.DUMMYFUNCTION("IFERROR(AVERAGE(query(INDIRECT(""'FR Table'!"" &amp; vlookup(rows($A$1:$A1371),Reference!$O:$P,2,false) &amp; ""3:"" &amp; vlookup(rows($A$1:$A1371),Reference!$O:$P,2,false)), 
""SELECT "" &amp; vlookup(rows($A$1:$A1371),Reference!$O:$P,2,false) 
&amp; "" WHERE "" &amp; vlookup("&amp;"rows($A$1:$A1371),Reference!$O:$P,2,false) &amp;
"" &gt;= "" &amp; Reference!$R$2)) * M1372,"""")"),"")</f>
        <v/>
      </c>
      <c r="O1372" s="84" t="str">
        <f t="shared" si="2"/>
        <v/>
      </c>
    </row>
    <row r="1373">
      <c r="A1373" s="84"/>
      <c r="B1373" s="84"/>
      <c r="C1373" s="85"/>
      <c r="D1373" s="86"/>
      <c r="E1373" s="87"/>
      <c r="F1373" s="86"/>
      <c r="G1373" s="87"/>
      <c r="H1373" s="86"/>
      <c r="I1373" s="86"/>
      <c r="J1373" s="86"/>
      <c r="K1373" s="84"/>
      <c r="L1373" s="84"/>
      <c r="M1373" s="84"/>
      <c r="N1373" s="84" t="str">
        <f>IFERROR(__xludf.DUMMYFUNCTION("IFERROR(AVERAGE(query(INDIRECT(""'FR Table'!"" &amp; vlookup(rows($A$1:$A1372),Reference!$O:$P,2,false) &amp; ""3:"" &amp; vlookup(rows($A$1:$A1372),Reference!$O:$P,2,false)), 
""SELECT "" &amp; vlookup(rows($A$1:$A1372),Reference!$O:$P,2,false) 
&amp; "" WHERE "" &amp; vlookup("&amp;"rows($A$1:$A1372),Reference!$O:$P,2,false) &amp;
"" &gt;= "" &amp; Reference!$R$2)) * M1373,"""")"),"")</f>
        <v/>
      </c>
      <c r="O1373" s="84" t="str">
        <f t="shared" si="2"/>
        <v/>
      </c>
    </row>
    <row r="1374">
      <c r="A1374" s="84"/>
      <c r="B1374" s="84"/>
      <c r="C1374" s="85"/>
      <c r="D1374" s="86"/>
      <c r="E1374" s="87"/>
      <c r="F1374" s="86"/>
      <c r="G1374" s="87"/>
      <c r="H1374" s="86"/>
      <c r="I1374" s="86"/>
      <c r="J1374" s="86"/>
      <c r="K1374" s="84"/>
      <c r="L1374" s="84"/>
      <c r="M1374" s="84"/>
      <c r="N1374" s="84" t="str">
        <f>IFERROR(__xludf.DUMMYFUNCTION("IFERROR(AVERAGE(query(INDIRECT(""'FR Table'!"" &amp; vlookup(rows($A$1:$A1373),Reference!$O:$P,2,false) &amp; ""3:"" &amp; vlookup(rows($A$1:$A1373),Reference!$O:$P,2,false)), 
""SELECT "" &amp; vlookup(rows($A$1:$A1373),Reference!$O:$P,2,false) 
&amp; "" WHERE "" &amp; vlookup("&amp;"rows($A$1:$A1373),Reference!$O:$P,2,false) &amp;
"" &gt;= "" &amp; Reference!$R$2)) * M1374,"""")"),"")</f>
        <v/>
      </c>
      <c r="O1374" s="84" t="str">
        <f t="shared" si="2"/>
        <v/>
      </c>
    </row>
    <row r="1375">
      <c r="A1375" s="84"/>
      <c r="B1375" s="84"/>
      <c r="C1375" s="85"/>
      <c r="D1375" s="86"/>
      <c r="E1375" s="87"/>
      <c r="F1375" s="86"/>
      <c r="G1375" s="87"/>
      <c r="H1375" s="86"/>
      <c r="I1375" s="86"/>
      <c r="J1375" s="86"/>
      <c r="K1375" s="84"/>
      <c r="L1375" s="84"/>
      <c r="M1375" s="84"/>
      <c r="N1375" s="84" t="str">
        <f>IFERROR(__xludf.DUMMYFUNCTION("IFERROR(AVERAGE(query(INDIRECT(""'FR Table'!"" &amp; vlookup(rows($A$1:$A1374),Reference!$O:$P,2,false) &amp; ""3:"" &amp; vlookup(rows($A$1:$A1374),Reference!$O:$P,2,false)), 
""SELECT "" &amp; vlookup(rows($A$1:$A1374),Reference!$O:$P,2,false) 
&amp; "" WHERE "" &amp; vlookup("&amp;"rows($A$1:$A1374),Reference!$O:$P,2,false) &amp;
"" &gt;= "" &amp; Reference!$R$2)) * M1375,"""")"),"")</f>
        <v/>
      </c>
      <c r="O1375" s="84" t="str">
        <f t="shared" si="2"/>
        <v/>
      </c>
    </row>
    <row r="1376">
      <c r="A1376" s="84"/>
      <c r="B1376" s="84"/>
      <c r="C1376" s="85"/>
      <c r="D1376" s="86"/>
      <c r="E1376" s="87"/>
      <c r="F1376" s="86"/>
      <c r="G1376" s="87"/>
      <c r="H1376" s="86"/>
      <c r="I1376" s="86"/>
      <c r="J1376" s="86"/>
      <c r="K1376" s="84"/>
      <c r="L1376" s="84"/>
      <c r="M1376" s="84"/>
      <c r="N1376" s="84" t="str">
        <f>IFERROR(__xludf.DUMMYFUNCTION("IFERROR(AVERAGE(query(INDIRECT(""'FR Table'!"" &amp; vlookup(rows($A$1:$A1375),Reference!$O:$P,2,false) &amp; ""3:"" &amp; vlookup(rows($A$1:$A1375),Reference!$O:$P,2,false)), 
""SELECT "" &amp; vlookup(rows($A$1:$A1375),Reference!$O:$P,2,false) 
&amp; "" WHERE "" &amp; vlookup("&amp;"rows($A$1:$A1375),Reference!$O:$P,2,false) &amp;
"" &gt;= "" &amp; Reference!$R$2)) * M1376,"""")"),"")</f>
        <v/>
      </c>
      <c r="O1376" s="84" t="str">
        <f t="shared" si="2"/>
        <v/>
      </c>
    </row>
    <row r="1377">
      <c r="A1377" s="84"/>
      <c r="B1377" s="84"/>
      <c r="C1377" s="85"/>
      <c r="D1377" s="86"/>
      <c r="E1377" s="87"/>
      <c r="F1377" s="86"/>
      <c r="G1377" s="87"/>
      <c r="H1377" s="86"/>
      <c r="I1377" s="86"/>
      <c r="J1377" s="86"/>
      <c r="K1377" s="84"/>
      <c r="L1377" s="84"/>
      <c r="M1377" s="84"/>
      <c r="N1377" s="84" t="str">
        <f>IFERROR(__xludf.DUMMYFUNCTION("IFERROR(AVERAGE(query(INDIRECT(""'FR Table'!"" &amp; vlookup(rows($A$1:$A1376),Reference!$O:$P,2,false) &amp; ""3:"" &amp; vlookup(rows($A$1:$A1376),Reference!$O:$P,2,false)), 
""SELECT "" &amp; vlookup(rows($A$1:$A1376),Reference!$O:$P,2,false) 
&amp; "" WHERE "" &amp; vlookup("&amp;"rows($A$1:$A1376),Reference!$O:$P,2,false) &amp;
"" &gt;= "" &amp; Reference!$R$2)) * M1377,"""")"),"")</f>
        <v/>
      </c>
      <c r="O1377" s="84" t="str">
        <f t="shared" si="2"/>
        <v/>
      </c>
    </row>
    <row r="1378">
      <c r="A1378" s="84"/>
      <c r="B1378" s="84"/>
      <c r="C1378" s="85"/>
      <c r="D1378" s="86"/>
      <c r="E1378" s="87"/>
      <c r="F1378" s="86"/>
      <c r="G1378" s="87"/>
      <c r="H1378" s="86"/>
      <c r="I1378" s="86"/>
      <c r="J1378" s="86"/>
      <c r="K1378" s="84"/>
      <c r="L1378" s="84"/>
      <c r="M1378" s="84"/>
      <c r="N1378" s="84" t="str">
        <f>IFERROR(__xludf.DUMMYFUNCTION("IFERROR(AVERAGE(query(INDIRECT(""'FR Table'!"" &amp; vlookup(rows($A$1:$A1377),Reference!$O:$P,2,false) &amp; ""3:"" &amp; vlookup(rows($A$1:$A1377),Reference!$O:$P,2,false)), 
""SELECT "" &amp; vlookup(rows($A$1:$A1377),Reference!$O:$P,2,false) 
&amp; "" WHERE "" &amp; vlookup("&amp;"rows($A$1:$A1377),Reference!$O:$P,2,false) &amp;
"" &gt;= "" &amp; Reference!$R$2)) * M1378,"""")"),"")</f>
        <v/>
      </c>
      <c r="O1378" s="84" t="str">
        <f t="shared" si="2"/>
        <v/>
      </c>
    </row>
    <row r="1379">
      <c r="A1379" s="84"/>
      <c r="B1379" s="84"/>
      <c r="C1379" s="85"/>
      <c r="D1379" s="86"/>
      <c r="E1379" s="87"/>
      <c r="F1379" s="86"/>
      <c r="G1379" s="87"/>
      <c r="H1379" s="86"/>
      <c r="I1379" s="86"/>
      <c r="J1379" s="86"/>
      <c r="K1379" s="84"/>
      <c r="L1379" s="84"/>
      <c r="M1379" s="84"/>
      <c r="N1379" s="84" t="str">
        <f>IFERROR(__xludf.DUMMYFUNCTION("IFERROR(AVERAGE(query(INDIRECT(""'FR Table'!"" &amp; vlookup(rows($A$1:$A1378),Reference!$O:$P,2,false) &amp; ""3:"" &amp; vlookup(rows($A$1:$A1378),Reference!$O:$P,2,false)), 
""SELECT "" &amp; vlookup(rows($A$1:$A1378),Reference!$O:$P,2,false) 
&amp; "" WHERE "" &amp; vlookup("&amp;"rows($A$1:$A1378),Reference!$O:$P,2,false) &amp;
"" &gt;= "" &amp; Reference!$R$2)) * M1379,"""")"),"")</f>
        <v/>
      </c>
      <c r="O1379" s="84" t="str">
        <f t="shared" si="2"/>
        <v/>
      </c>
    </row>
    <row r="1380">
      <c r="A1380" s="84"/>
      <c r="B1380" s="84"/>
      <c r="C1380" s="85"/>
      <c r="D1380" s="86"/>
      <c r="E1380" s="87"/>
      <c r="F1380" s="86"/>
      <c r="G1380" s="87"/>
      <c r="H1380" s="86"/>
      <c r="I1380" s="86"/>
      <c r="J1380" s="86"/>
      <c r="K1380" s="84"/>
      <c r="L1380" s="84"/>
      <c r="M1380" s="84"/>
      <c r="N1380" s="84" t="str">
        <f>IFERROR(__xludf.DUMMYFUNCTION("IFERROR(AVERAGE(query(INDIRECT(""'FR Table'!"" &amp; vlookup(rows($A$1:$A1379),Reference!$O:$P,2,false) &amp; ""3:"" &amp; vlookup(rows($A$1:$A1379),Reference!$O:$P,2,false)), 
""SELECT "" &amp; vlookup(rows($A$1:$A1379),Reference!$O:$P,2,false) 
&amp; "" WHERE "" &amp; vlookup("&amp;"rows($A$1:$A1379),Reference!$O:$P,2,false) &amp;
"" &gt;= "" &amp; Reference!$R$2)) * M1380,"""")"),"")</f>
        <v/>
      </c>
      <c r="O1380" s="84" t="str">
        <f t="shared" si="2"/>
        <v/>
      </c>
    </row>
    <row r="1381">
      <c r="A1381" s="84"/>
      <c r="B1381" s="84"/>
      <c r="C1381" s="85"/>
      <c r="D1381" s="86"/>
      <c r="E1381" s="87"/>
      <c r="F1381" s="86"/>
      <c r="G1381" s="87"/>
      <c r="H1381" s="86"/>
      <c r="I1381" s="86"/>
      <c r="J1381" s="86"/>
      <c r="K1381" s="84"/>
      <c r="L1381" s="84"/>
      <c r="M1381" s="84"/>
      <c r="N1381" s="84" t="str">
        <f>IFERROR(__xludf.DUMMYFUNCTION("IFERROR(AVERAGE(query(INDIRECT(""'FR Table'!"" &amp; vlookup(rows($A$1:$A1380),Reference!$O:$P,2,false) &amp; ""3:"" &amp; vlookup(rows($A$1:$A1380),Reference!$O:$P,2,false)), 
""SELECT "" &amp; vlookup(rows($A$1:$A1380),Reference!$O:$P,2,false) 
&amp; "" WHERE "" &amp; vlookup("&amp;"rows($A$1:$A1380),Reference!$O:$P,2,false) &amp;
"" &gt;= "" &amp; Reference!$R$2)) * M1381,"""")"),"")</f>
        <v/>
      </c>
      <c r="O1381" s="84" t="str">
        <f t="shared" si="2"/>
        <v/>
      </c>
    </row>
    <row r="1382">
      <c r="A1382" s="84"/>
      <c r="B1382" s="84"/>
      <c r="C1382" s="85"/>
      <c r="D1382" s="86"/>
      <c r="E1382" s="87"/>
      <c r="F1382" s="86"/>
      <c r="G1382" s="87"/>
      <c r="H1382" s="86"/>
      <c r="I1382" s="86"/>
      <c r="J1382" s="86"/>
      <c r="K1382" s="84"/>
      <c r="L1382" s="84"/>
      <c r="M1382" s="84"/>
      <c r="N1382" s="84" t="str">
        <f>IFERROR(__xludf.DUMMYFUNCTION("IFERROR(AVERAGE(query(INDIRECT(""'FR Table'!"" &amp; vlookup(rows($A$1:$A1381),Reference!$O:$P,2,false) &amp; ""3:"" &amp; vlookup(rows($A$1:$A1381),Reference!$O:$P,2,false)), 
""SELECT "" &amp; vlookup(rows($A$1:$A1381),Reference!$O:$P,2,false) 
&amp; "" WHERE "" &amp; vlookup("&amp;"rows($A$1:$A1381),Reference!$O:$P,2,false) &amp;
"" &gt;= "" &amp; Reference!$R$2)) * M1382,"""")"),"")</f>
        <v/>
      </c>
      <c r="O1382" s="84" t="str">
        <f t="shared" si="2"/>
        <v/>
      </c>
    </row>
    <row r="1383">
      <c r="A1383" s="84"/>
      <c r="B1383" s="84"/>
      <c r="C1383" s="85"/>
      <c r="D1383" s="86"/>
      <c r="E1383" s="87"/>
      <c r="F1383" s="86"/>
      <c r="G1383" s="87"/>
      <c r="H1383" s="86"/>
      <c r="I1383" s="86"/>
      <c r="J1383" s="86"/>
      <c r="K1383" s="84"/>
      <c r="L1383" s="84"/>
      <c r="M1383" s="84"/>
      <c r="N1383" s="84" t="str">
        <f>IFERROR(__xludf.DUMMYFUNCTION("IFERROR(AVERAGE(query(INDIRECT(""'FR Table'!"" &amp; vlookup(rows($A$1:$A1382),Reference!$O:$P,2,false) &amp; ""3:"" &amp; vlookup(rows($A$1:$A1382),Reference!$O:$P,2,false)), 
""SELECT "" &amp; vlookup(rows($A$1:$A1382),Reference!$O:$P,2,false) 
&amp; "" WHERE "" &amp; vlookup("&amp;"rows($A$1:$A1382),Reference!$O:$P,2,false) &amp;
"" &gt;= "" &amp; Reference!$R$2)) * M1383,"""")"),"")</f>
        <v/>
      </c>
      <c r="O1383" s="84" t="str">
        <f t="shared" si="2"/>
        <v/>
      </c>
    </row>
    <row r="1384">
      <c r="A1384" s="84"/>
      <c r="B1384" s="84"/>
      <c r="C1384" s="85"/>
      <c r="D1384" s="86"/>
      <c r="E1384" s="87"/>
      <c r="F1384" s="86"/>
      <c r="G1384" s="87"/>
      <c r="H1384" s="86"/>
      <c r="I1384" s="86"/>
      <c r="J1384" s="86"/>
      <c r="K1384" s="84"/>
      <c r="L1384" s="84"/>
      <c r="M1384" s="84"/>
      <c r="N1384" s="84" t="str">
        <f>IFERROR(__xludf.DUMMYFUNCTION("IFERROR(AVERAGE(query(INDIRECT(""'FR Table'!"" &amp; vlookup(rows($A$1:$A1383),Reference!$O:$P,2,false) &amp; ""3:"" &amp; vlookup(rows($A$1:$A1383),Reference!$O:$P,2,false)), 
""SELECT "" &amp; vlookup(rows($A$1:$A1383),Reference!$O:$P,2,false) 
&amp; "" WHERE "" &amp; vlookup("&amp;"rows($A$1:$A1383),Reference!$O:$P,2,false) &amp;
"" &gt;= "" &amp; Reference!$R$2)) * M1384,"""")"),"")</f>
        <v/>
      </c>
      <c r="O1384" s="84" t="str">
        <f t="shared" si="2"/>
        <v/>
      </c>
    </row>
    <row r="1385">
      <c r="A1385" s="84"/>
      <c r="B1385" s="84"/>
      <c r="C1385" s="85"/>
      <c r="D1385" s="86"/>
      <c r="E1385" s="87"/>
      <c r="F1385" s="86"/>
      <c r="G1385" s="87"/>
      <c r="H1385" s="86"/>
      <c r="I1385" s="86"/>
      <c r="J1385" s="86"/>
      <c r="K1385" s="84"/>
      <c r="L1385" s="84"/>
      <c r="M1385" s="84"/>
      <c r="N1385" s="84" t="str">
        <f>IFERROR(__xludf.DUMMYFUNCTION("IFERROR(AVERAGE(query(INDIRECT(""'FR Table'!"" &amp; vlookup(rows($A$1:$A1384),Reference!$O:$P,2,false) &amp; ""3:"" &amp; vlookup(rows($A$1:$A1384),Reference!$O:$P,2,false)), 
""SELECT "" &amp; vlookup(rows($A$1:$A1384),Reference!$O:$P,2,false) 
&amp; "" WHERE "" &amp; vlookup("&amp;"rows($A$1:$A1384),Reference!$O:$P,2,false) &amp;
"" &gt;= "" &amp; Reference!$R$2)) * M1385,"""")"),"")</f>
        <v/>
      </c>
      <c r="O1385" s="84" t="str">
        <f t="shared" si="2"/>
        <v/>
      </c>
    </row>
    <row r="1386">
      <c r="A1386" s="84"/>
      <c r="B1386" s="84"/>
      <c r="C1386" s="85"/>
      <c r="D1386" s="86"/>
      <c r="E1386" s="87"/>
      <c r="F1386" s="86"/>
      <c r="G1386" s="87"/>
      <c r="H1386" s="86"/>
      <c r="I1386" s="86"/>
      <c r="J1386" s="86"/>
      <c r="K1386" s="84"/>
      <c r="L1386" s="84"/>
      <c r="M1386" s="84"/>
      <c r="N1386" s="84" t="str">
        <f>IFERROR(__xludf.DUMMYFUNCTION("IFERROR(AVERAGE(query(INDIRECT(""'FR Table'!"" &amp; vlookup(rows($A$1:$A1385),Reference!$O:$P,2,false) &amp; ""3:"" &amp; vlookup(rows($A$1:$A1385),Reference!$O:$P,2,false)), 
""SELECT "" &amp; vlookup(rows($A$1:$A1385),Reference!$O:$P,2,false) 
&amp; "" WHERE "" &amp; vlookup("&amp;"rows($A$1:$A1385),Reference!$O:$P,2,false) &amp;
"" &gt;= "" &amp; Reference!$R$2)) * M1386,"""")"),"")</f>
        <v/>
      </c>
      <c r="O1386" s="84" t="str">
        <f t="shared" si="2"/>
        <v/>
      </c>
    </row>
    <row r="1387">
      <c r="A1387" s="84"/>
      <c r="B1387" s="84"/>
      <c r="C1387" s="85"/>
      <c r="D1387" s="86"/>
      <c r="E1387" s="87"/>
      <c r="F1387" s="86"/>
      <c r="G1387" s="87"/>
      <c r="H1387" s="86"/>
      <c r="I1387" s="86"/>
      <c r="J1387" s="86"/>
      <c r="K1387" s="84"/>
      <c r="L1387" s="84"/>
      <c r="M1387" s="84"/>
      <c r="N1387" s="84" t="str">
        <f>IFERROR(__xludf.DUMMYFUNCTION("IFERROR(AVERAGE(query(INDIRECT(""'FR Table'!"" &amp; vlookup(rows($A$1:$A1386),Reference!$O:$P,2,false) &amp; ""3:"" &amp; vlookup(rows($A$1:$A1386),Reference!$O:$P,2,false)), 
""SELECT "" &amp; vlookup(rows($A$1:$A1386),Reference!$O:$P,2,false) 
&amp; "" WHERE "" &amp; vlookup("&amp;"rows($A$1:$A1386),Reference!$O:$P,2,false) &amp;
"" &gt;= "" &amp; Reference!$R$2)) * M1387,"""")"),"")</f>
        <v/>
      </c>
      <c r="O1387" s="84" t="str">
        <f t="shared" si="2"/>
        <v/>
      </c>
    </row>
    <row r="1388">
      <c r="A1388" s="84"/>
      <c r="B1388" s="84"/>
      <c r="C1388" s="85"/>
      <c r="D1388" s="86"/>
      <c r="E1388" s="87"/>
      <c r="F1388" s="86"/>
      <c r="G1388" s="87"/>
      <c r="H1388" s="86"/>
      <c r="I1388" s="86"/>
      <c r="J1388" s="86"/>
      <c r="K1388" s="84"/>
      <c r="L1388" s="84"/>
      <c r="M1388" s="84"/>
      <c r="N1388" s="84" t="str">
        <f>IFERROR(__xludf.DUMMYFUNCTION("IFERROR(AVERAGE(query(INDIRECT(""'FR Table'!"" &amp; vlookup(rows($A$1:$A1387),Reference!$O:$P,2,false) &amp; ""3:"" &amp; vlookup(rows($A$1:$A1387),Reference!$O:$P,2,false)), 
""SELECT "" &amp; vlookup(rows($A$1:$A1387),Reference!$O:$P,2,false) 
&amp; "" WHERE "" &amp; vlookup("&amp;"rows($A$1:$A1387),Reference!$O:$P,2,false) &amp;
"" &gt;= "" &amp; Reference!$R$2)) * M1388,"""")"),"")</f>
        <v/>
      </c>
      <c r="O1388" s="84" t="str">
        <f t="shared" si="2"/>
        <v/>
      </c>
    </row>
    <row r="1389">
      <c r="A1389" s="84"/>
      <c r="B1389" s="84"/>
      <c r="C1389" s="85"/>
      <c r="D1389" s="86"/>
      <c r="E1389" s="87"/>
      <c r="F1389" s="86"/>
      <c r="G1389" s="87"/>
      <c r="H1389" s="86"/>
      <c r="I1389" s="86"/>
      <c r="J1389" s="86"/>
      <c r="K1389" s="84"/>
      <c r="L1389" s="84"/>
      <c r="M1389" s="84"/>
      <c r="N1389" s="84" t="str">
        <f>IFERROR(__xludf.DUMMYFUNCTION("IFERROR(AVERAGE(query(INDIRECT(""'FR Table'!"" &amp; vlookup(rows($A$1:$A1388),Reference!$O:$P,2,false) &amp; ""3:"" &amp; vlookup(rows($A$1:$A1388),Reference!$O:$P,2,false)), 
""SELECT "" &amp; vlookup(rows($A$1:$A1388),Reference!$O:$P,2,false) 
&amp; "" WHERE "" &amp; vlookup("&amp;"rows($A$1:$A1388),Reference!$O:$P,2,false) &amp;
"" &gt;= "" &amp; Reference!$R$2)) * M1389,"""")"),"")</f>
        <v/>
      </c>
      <c r="O1389" s="84" t="str">
        <f t="shared" si="2"/>
        <v/>
      </c>
    </row>
    <row r="1390">
      <c r="A1390" s="84"/>
      <c r="B1390" s="84"/>
      <c r="C1390" s="85"/>
      <c r="D1390" s="86"/>
      <c r="E1390" s="87"/>
      <c r="F1390" s="86"/>
      <c r="G1390" s="87"/>
      <c r="H1390" s="86"/>
      <c r="I1390" s="86"/>
      <c r="J1390" s="86"/>
      <c r="K1390" s="84"/>
      <c r="L1390" s="84"/>
      <c r="M1390" s="84"/>
      <c r="N1390" s="84" t="str">
        <f>IFERROR(__xludf.DUMMYFUNCTION("IFERROR(AVERAGE(query(INDIRECT(""'FR Table'!"" &amp; vlookup(rows($A$1:$A1389),Reference!$O:$P,2,false) &amp; ""3:"" &amp; vlookup(rows($A$1:$A1389),Reference!$O:$P,2,false)), 
""SELECT "" &amp; vlookup(rows($A$1:$A1389),Reference!$O:$P,2,false) 
&amp; "" WHERE "" &amp; vlookup("&amp;"rows($A$1:$A1389),Reference!$O:$P,2,false) &amp;
"" &gt;= "" &amp; Reference!$R$2)) * M1390,"""")"),"")</f>
        <v/>
      </c>
      <c r="O1390" s="84" t="str">
        <f t="shared" si="2"/>
        <v/>
      </c>
    </row>
    <row r="1391">
      <c r="A1391" s="84"/>
      <c r="B1391" s="84"/>
      <c r="C1391" s="85"/>
      <c r="D1391" s="86"/>
      <c r="E1391" s="87"/>
      <c r="F1391" s="86"/>
      <c r="G1391" s="87"/>
      <c r="H1391" s="86"/>
      <c r="I1391" s="86"/>
      <c r="J1391" s="86"/>
      <c r="K1391" s="84"/>
      <c r="L1391" s="84"/>
      <c r="M1391" s="84"/>
      <c r="N1391" s="84" t="str">
        <f>IFERROR(__xludf.DUMMYFUNCTION("IFERROR(AVERAGE(query(INDIRECT(""'FR Table'!"" &amp; vlookup(rows($A$1:$A1390),Reference!$O:$P,2,false) &amp; ""3:"" &amp; vlookup(rows($A$1:$A1390),Reference!$O:$P,2,false)), 
""SELECT "" &amp; vlookup(rows($A$1:$A1390),Reference!$O:$P,2,false) 
&amp; "" WHERE "" &amp; vlookup("&amp;"rows($A$1:$A1390),Reference!$O:$P,2,false) &amp;
"" &gt;= "" &amp; Reference!$R$2)) * M1391,"""")"),"")</f>
        <v/>
      </c>
      <c r="O1391" s="84" t="str">
        <f t="shared" si="2"/>
        <v/>
      </c>
    </row>
    <row r="1392">
      <c r="A1392" s="84"/>
      <c r="B1392" s="84"/>
      <c r="C1392" s="85"/>
      <c r="D1392" s="86"/>
      <c r="E1392" s="87"/>
      <c r="F1392" s="86"/>
      <c r="G1392" s="87"/>
      <c r="H1392" s="86"/>
      <c r="I1392" s="86"/>
      <c r="J1392" s="86"/>
      <c r="K1392" s="84"/>
      <c r="L1392" s="84"/>
      <c r="M1392" s="84"/>
      <c r="N1392" s="84" t="str">
        <f>IFERROR(__xludf.DUMMYFUNCTION("IFERROR(AVERAGE(query(INDIRECT(""'FR Table'!"" &amp; vlookup(rows($A$1:$A1391),Reference!$O:$P,2,false) &amp; ""3:"" &amp; vlookup(rows($A$1:$A1391),Reference!$O:$P,2,false)), 
""SELECT "" &amp; vlookup(rows($A$1:$A1391),Reference!$O:$P,2,false) 
&amp; "" WHERE "" &amp; vlookup("&amp;"rows($A$1:$A1391),Reference!$O:$P,2,false) &amp;
"" &gt;= "" &amp; Reference!$R$2)) * M1392,"""")"),"")</f>
        <v/>
      </c>
      <c r="O1392" s="84" t="str">
        <f t="shared" si="2"/>
        <v/>
      </c>
    </row>
    <row r="1393">
      <c r="A1393" s="84"/>
      <c r="B1393" s="84"/>
      <c r="C1393" s="85"/>
      <c r="D1393" s="86"/>
      <c r="E1393" s="87"/>
      <c r="F1393" s="86"/>
      <c r="G1393" s="87"/>
      <c r="H1393" s="86"/>
      <c r="I1393" s="86"/>
      <c r="J1393" s="86"/>
      <c r="K1393" s="84"/>
      <c r="L1393" s="84"/>
      <c r="M1393" s="84"/>
      <c r="N1393" s="84" t="str">
        <f>IFERROR(__xludf.DUMMYFUNCTION("IFERROR(AVERAGE(query(INDIRECT(""'FR Table'!"" &amp; vlookup(rows($A$1:$A1392),Reference!$O:$P,2,false) &amp; ""3:"" &amp; vlookup(rows($A$1:$A1392),Reference!$O:$P,2,false)), 
""SELECT "" &amp; vlookup(rows($A$1:$A1392),Reference!$O:$P,2,false) 
&amp; "" WHERE "" &amp; vlookup("&amp;"rows($A$1:$A1392),Reference!$O:$P,2,false) &amp;
"" &gt;= "" &amp; Reference!$R$2)) * M1393,"""")"),"")</f>
        <v/>
      </c>
      <c r="O1393" s="84" t="str">
        <f t="shared" si="2"/>
        <v/>
      </c>
    </row>
    <row r="1394">
      <c r="A1394" s="84"/>
      <c r="B1394" s="84"/>
      <c r="C1394" s="85"/>
      <c r="D1394" s="86"/>
      <c r="E1394" s="87"/>
      <c r="F1394" s="86"/>
      <c r="G1394" s="87"/>
      <c r="H1394" s="86"/>
      <c r="I1394" s="86"/>
      <c r="J1394" s="86"/>
      <c r="K1394" s="84"/>
      <c r="L1394" s="84"/>
      <c r="M1394" s="84"/>
      <c r="N1394" s="84" t="str">
        <f>IFERROR(__xludf.DUMMYFUNCTION("IFERROR(AVERAGE(query(INDIRECT(""'FR Table'!"" &amp; vlookup(rows($A$1:$A1393),Reference!$O:$P,2,false) &amp; ""3:"" &amp; vlookup(rows($A$1:$A1393),Reference!$O:$P,2,false)), 
""SELECT "" &amp; vlookup(rows($A$1:$A1393),Reference!$O:$P,2,false) 
&amp; "" WHERE "" &amp; vlookup("&amp;"rows($A$1:$A1393),Reference!$O:$P,2,false) &amp;
"" &gt;= "" &amp; Reference!$R$2)) * M1394,"""")"),"")</f>
        <v/>
      </c>
      <c r="O1394" s="84" t="str">
        <f t="shared" si="2"/>
        <v/>
      </c>
    </row>
    <row r="1395">
      <c r="A1395" s="84"/>
      <c r="B1395" s="84"/>
      <c r="C1395" s="85"/>
      <c r="D1395" s="86"/>
      <c r="E1395" s="87"/>
      <c r="F1395" s="86"/>
      <c r="G1395" s="87"/>
      <c r="H1395" s="86"/>
      <c r="I1395" s="86"/>
      <c r="J1395" s="86"/>
      <c r="K1395" s="84"/>
      <c r="L1395" s="84"/>
      <c r="M1395" s="84"/>
      <c r="N1395" s="84" t="str">
        <f>IFERROR(__xludf.DUMMYFUNCTION("IFERROR(AVERAGE(query(INDIRECT(""'FR Table'!"" &amp; vlookup(rows($A$1:$A1394),Reference!$O:$P,2,false) &amp; ""3:"" &amp; vlookup(rows($A$1:$A1394),Reference!$O:$P,2,false)), 
""SELECT "" &amp; vlookup(rows($A$1:$A1394),Reference!$O:$P,2,false) 
&amp; "" WHERE "" &amp; vlookup("&amp;"rows($A$1:$A1394),Reference!$O:$P,2,false) &amp;
"" &gt;= "" &amp; Reference!$R$2)) * M1395,"""")"),"")</f>
        <v/>
      </c>
      <c r="O1395" s="84" t="str">
        <f t="shared" si="2"/>
        <v/>
      </c>
    </row>
    <row r="1396">
      <c r="A1396" s="84"/>
      <c r="B1396" s="84"/>
      <c r="C1396" s="85"/>
      <c r="D1396" s="86"/>
      <c r="E1396" s="87"/>
      <c r="F1396" s="86"/>
      <c r="G1396" s="87"/>
      <c r="H1396" s="86"/>
      <c r="I1396" s="86"/>
      <c r="J1396" s="86"/>
      <c r="K1396" s="84"/>
      <c r="L1396" s="84"/>
      <c r="M1396" s="84"/>
      <c r="N1396" s="84" t="str">
        <f>IFERROR(__xludf.DUMMYFUNCTION("IFERROR(AVERAGE(query(INDIRECT(""'FR Table'!"" &amp; vlookup(rows($A$1:$A1395),Reference!$O:$P,2,false) &amp; ""3:"" &amp; vlookup(rows($A$1:$A1395),Reference!$O:$P,2,false)), 
""SELECT "" &amp; vlookup(rows($A$1:$A1395),Reference!$O:$P,2,false) 
&amp; "" WHERE "" &amp; vlookup("&amp;"rows($A$1:$A1395),Reference!$O:$P,2,false) &amp;
"" &gt;= "" &amp; Reference!$R$2)) * M1396,"""")"),"")</f>
        <v/>
      </c>
      <c r="O1396" s="84" t="str">
        <f t="shared" si="2"/>
        <v/>
      </c>
    </row>
    <row r="1397">
      <c r="A1397" s="84"/>
      <c r="B1397" s="84"/>
      <c r="C1397" s="85"/>
      <c r="D1397" s="86"/>
      <c r="E1397" s="87"/>
      <c r="F1397" s="86"/>
      <c r="G1397" s="87"/>
      <c r="H1397" s="86"/>
      <c r="I1397" s="86"/>
      <c r="J1397" s="86"/>
      <c r="K1397" s="84"/>
      <c r="L1397" s="84"/>
      <c r="M1397" s="84"/>
      <c r="N1397" s="84" t="str">
        <f>IFERROR(__xludf.DUMMYFUNCTION("IFERROR(AVERAGE(query(INDIRECT(""'FR Table'!"" &amp; vlookup(rows($A$1:$A1396),Reference!$O:$P,2,false) &amp; ""3:"" &amp; vlookup(rows($A$1:$A1396),Reference!$O:$P,2,false)), 
""SELECT "" &amp; vlookup(rows($A$1:$A1396),Reference!$O:$P,2,false) 
&amp; "" WHERE "" &amp; vlookup("&amp;"rows($A$1:$A1396),Reference!$O:$P,2,false) &amp;
"" &gt;= "" &amp; Reference!$R$2)) * M1397,"""")"),"")</f>
        <v/>
      </c>
      <c r="O1397" s="84" t="str">
        <f t="shared" si="2"/>
        <v/>
      </c>
    </row>
    <row r="1398">
      <c r="A1398" s="84"/>
      <c r="B1398" s="84"/>
      <c r="C1398" s="85"/>
      <c r="D1398" s="86"/>
      <c r="E1398" s="87"/>
      <c r="F1398" s="86"/>
      <c r="G1398" s="87"/>
      <c r="H1398" s="86"/>
      <c r="I1398" s="86"/>
      <c r="J1398" s="86"/>
      <c r="K1398" s="84"/>
      <c r="L1398" s="84"/>
      <c r="M1398" s="84"/>
      <c r="N1398" s="84" t="str">
        <f>IFERROR(__xludf.DUMMYFUNCTION("IFERROR(AVERAGE(query(INDIRECT(""'FR Table'!"" &amp; vlookup(rows($A$1:$A1397),Reference!$O:$P,2,false) &amp; ""3:"" &amp; vlookup(rows($A$1:$A1397),Reference!$O:$P,2,false)), 
""SELECT "" &amp; vlookup(rows($A$1:$A1397),Reference!$O:$P,2,false) 
&amp; "" WHERE "" &amp; vlookup("&amp;"rows($A$1:$A1397),Reference!$O:$P,2,false) &amp;
"" &gt;= "" &amp; Reference!$R$2)) * M1398,"""")"),"")</f>
        <v/>
      </c>
      <c r="O1398" s="84" t="str">
        <f t="shared" si="2"/>
        <v/>
      </c>
    </row>
    <row r="1399">
      <c r="A1399" s="84"/>
      <c r="B1399" s="84"/>
      <c r="C1399" s="85"/>
      <c r="D1399" s="86"/>
      <c r="E1399" s="87"/>
      <c r="F1399" s="86"/>
      <c r="G1399" s="87"/>
      <c r="H1399" s="86"/>
      <c r="I1399" s="86"/>
      <c r="J1399" s="86"/>
      <c r="K1399" s="84"/>
      <c r="L1399" s="84"/>
      <c r="M1399" s="84"/>
      <c r="N1399" s="84" t="str">
        <f>IFERROR(__xludf.DUMMYFUNCTION("IFERROR(AVERAGE(query(INDIRECT(""'FR Table'!"" &amp; vlookup(rows($A$1:$A1398),Reference!$O:$P,2,false) &amp; ""3:"" &amp; vlookup(rows($A$1:$A1398),Reference!$O:$P,2,false)), 
""SELECT "" &amp; vlookup(rows($A$1:$A1398),Reference!$O:$P,2,false) 
&amp; "" WHERE "" &amp; vlookup("&amp;"rows($A$1:$A1398),Reference!$O:$P,2,false) &amp;
"" &gt;= "" &amp; Reference!$R$2)) * M1399,"""")"),"")</f>
        <v/>
      </c>
      <c r="O1399" s="84" t="str">
        <f t="shared" si="2"/>
        <v/>
      </c>
    </row>
    <row r="1400">
      <c r="A1400" s="84"/>
      <c r="B1400" s="84"/>
      <c r="C1400" s="85"/>
      <c r="D1400" s="86"/>
      <c r="E1400" s="87"/>
      <c r="F1400" s="86"/>
      <c r="G1400" s="87"/>
      <c r="H1400" s="86"/>
      <c r="I1400" s="86"/>
      <c r="J1400" s="86"/>
      <c r="K1400" s="84"/>
      <c r="L1400" s="84"/>
      <c r="M1400" s="84"/>
      <c r="N1400" s="84" t="str">
        <f>IFERROR(__xludf.DUMMYFUNCTION("IFERROR(AVERAGE(query(INDIRECT(""'FR Table'!"" &amp; vlookup(rows($A$1:$A1399),Reference!$O:$P,2,false) &amp; ""3:"" &amp; vlookup(rows($A$1:$A1399),Reference!$O:$P,2,false)), 
""SELECT "" &amp; vlookup(rows($A$1:$A1399),Reference!$O:$P,2,false) 
&amp; "" WHERE "" &amp; vlookup("&amp;"rows($A$1:$A1399),Reference!$O:$P,2,false) &amp;
"" &gt;= "" &amp; Reference!$R$2)) * M1400,"""")"),"")</f>
        <v/>
      </c>
      <c r="O1400" s="84" t="str">
        <f t="shared" si="2"/>
        <v/>
      </c>
    </row>
    <row r="1401">
      <c r="A1401" s="84"/>
      <c r="B1401" s="84"/>
      <c r="C1401" s="85"/>
      <c r="D1401" s="86"/>
      <c r="E1401" s="87"/>
      <c r="F1401" s="86"/>
      <c r="G1401" s="87"/>
      <c r="H1401" s="86"/>
      <c r="I1401" s="86"/>
      <c r="J1401" s="86"/>
      <c r="K1401" s="84"/>
      <c r="L1401" s="84"/>
      <c r="M1401" s="84"/>
      <c r="N1401" s="84" t="str">
        <f>IFERROR(__xludf.DUMMYFUNCTION("IFERROR(AVERAGE(query(INDIRECT(""'FR Table'!"" &amp; vlookup(rows($A$1:$A1400),Reference!$O:$P,2,false) &amp; ""3:"" &amp; vlookup(rows($A$1:$A1400),Reference!$O:$P,2,false)), 
""SELECT "" &amp; vlookup(rows($A$1:$A1400),Reference!$O:$P,2,false) 
&amp; "" WHERE "" &amp; vlookup("&amp;"rows($A$1:$A1400),Reference!$O:$P,2,false) &amp;
"" &gt;= "" &amp; Reference!$R$2)) * M1401,"""")"),"")</f>
        <v/>
      </c>
      <c r="O1401" s="84" t="str">
        <f t="shared" si="2"/>
        <v/>
      </c>
    </row>
    <row r="1402">
      <c r="A1402" s="84"/>
      <c r="B1402" s="84"/>
      <c r="C1402" s="85"/>
      <c r="D1402" s="86"/>
      <c r="E1402" s="87"/>
      <c r="F1402" s="86"/>
      <c r="G1402" s="87"/>
      <c r="H1402" s="86"/>
      <c r="I1402" s="86"/>
      <c r="J1402" s="86"/>
      <c r="K1402" s="84"/>
      <c r="L1402" s="84"/>
      <c r="M1402" s="84"/>
      <c r="N1402" s="84" t="str">
        <f>IFERROR(__xludf.DUMMYFUNCTION("IFERROR(AVERAGE(query(INDIRECT(""'FR Table'!"" &amp; vlookup(rows($A$1:$A1401),Reference!$O:$P,2,false) &amp; ""3:"" &amp; vlookup(rows($A$1:$A1401),Reference!$O:$P,2,false)), 
""SELECT "" &amp; vlookup(rows($A$1:$A1401),Reference!$O:$P,2,false) 
&amp; "" WHERE "" &amp; vlookup("&amp;"rows($A$1:$A1401),Reference!$O:$P,2,false) &amp;
"" &gt;= "" &amp; Reference!$R$2)) * M1402,"""")"),"")</f>
        <v/>
      </c>
      <c r="O1402" s="84" t="str">
        <f t="shared" si="2"/>
        <v/>
      </c>
    </row>
    <row r="1403">
      <c r="A1403" s="84"/>
      <c r="B1403" s="84"/>
      <c r="C1403" s="85"/>
      <c r="D1403" s="86"/>
      <c r="E1403" s="87"/>
      <c r="F1403" s="86"/>
      <c r="G1403" s="87"/>
      <c r="H1403" s="86"/>
      <c r="I1403" s="86"/>
      <c r="J1403" s="86"/>
      <c r="K1403" s="84"/>
      <c r="L1403" s="84"/>
      <c r="M1403" s="84"/>
      <c r="N1403" s="84" t="str">
        <f>IFERROR(__xludf.DUMMYFUNCTION("IFERROR(AVERAGE(query(INDIRECT(""'FR Table'!"" &amp; vlookup(rows($A$1:$A1402),Reference!$O:$P,2,false) &amp; ""3:"" &amp; vlookup(rows($A$1:$A1402),Reference!$O:$P,2,false)), 
""SELECT "" &amp; vlookup(rows($A$1:$A1402),Reference!$O:$P,2,false) 
&amp; "" WHERE "" &amp; vlookup("&amp;"rows($A$1:$A1402),Reference!$O:$P,2,false) &amp;
"" &gt;= "" &amp; Reference!$R$2)) * M1403,"""")"),"")</f>
        <v/>
      </c>
      <c r="O1403" s="84" t="str">
        <f t="shared" si="2"/>
        <v/>
      </c>
    </row>
    <row r="1404">
      <c r="A1404" s="84"/>
      <c r="B1404" s="84"/>
      <c r="C1404" s="85"/>
      <c r="D1404" s="86"/>
      <c r="E1404" s="87"/>
      <c r="F1404" s="86"/>
      <c r="G1404" s="87"/>
      <c r="H1404" s="86"/>
      <c r="I1404" s="86"/>
      <c r="J1404" s="86"/>
      <c r="K1404" s="84"/>
      <c r="L1404" s="84"/>
      <c r="M1404" s="84"/>
      <c r="N1404" s="84" t="str">
        <f>IFERROR(__xludf.DUMMYFUNCTION("IFERROR(AVERAGE(query(INDIRECT(""'FR Table'!"" &amp; vlookup(rows($A$1:$A1403),Reference!$O:$P,2,false) &amp; ""3:"" &amp; vlookup(rows($A$1:$A1403),Reference!$O:$P,2,false)), 
""SELECT "" &amp; vlookup(rows($A$1:$A1403),Reference!$O:$P,2,false) 
&amp; "" WHERE "" &amp; vlookup("&amp;"rows($A$1:$A1403),Reference!$O:$P,2,false) &amp;
"" &gt;= "" &amp; Reference!$R$2)) * M1404,"""")"),"")</f>
        <v/>
      </c>
      <c r="O1404" s="84" t="str">
        <f t="shared" si="2"/>
        <v/>
      </c>
    </row>
    <row r="1405">
      <c r="A1405" s="84"/>
      <c r="B1405" s="84"/>
      <c r="C1405" s="85"/>
      <c r="D1405" s="86"/>
      <c r="E1405" s="87"/>
      <c r="F1405" s="86"/>
      <c r="G1405" s="87"/>
      <c r="H1405" s="86"/>
      <c r="I1405" s="86"/>
      <c r="J1405" s="86"/>
      <c r="K1405" s="84"/>
      <c r="L1405" s="84"/>
      <c r="M1405" s="84"/>
      <c r="N1405" s="84" t="str">
        <f>IFERROR(__xludf.DUMMYFUNCTION("IFERROR(AVERAGE(query(INDIRECT(""'FR Table'!"" &amp; vlookup(rows($A$1:$A1404),Reference!$O:$P,2,false) &amp; ""3:"" &amp; vlookup(rows($A$1:$A1404),Reference!$O:$P,2,false)), 
""SELECT "" &amp; vlookup(rows($A$1:$A1404),Reference!$O:$P,2,false) 
&amp; "" WHERE "" &amp; vlookup("&amp;"rows($A$1:$A1404),Reference!$O:$P,2,false) &amp;
"" &gt;= "" &amp; Reference!$R$2)) * M1405,"""")"),"")</f>
        <v/>
      </c>
      <c r="O1405" s="84" t="str">
        <f t="shared" si="2"/>
        <v/>
      </c>
    </row>
    <row r="1406">
      <c r="A1406" s="84"/>
      <c r="B1406" s="84"/>
      <c r="C1406" s="85"/>
      <c r="D1406" s="86"/>
      <c r="E1406" s="87"/>
      <c r="F1406" s="86"/>
      <c r="G1406" s="87"/>
      <c r="H1406" s="86"/>
      <c r="I1406" s="86"/>
      <c r="J1406" s="86"/>
      <c r="K1406" s="84"/>
      <c r="L1406" s="84"/>
      <c r="M1406" s="84"/>
      <c r="N1406" s="84" t="str">
        <f>IFERROR(__xludf.DUMMYFUNCTION("IFERROR(AVERAGE(query(INDIRECT(""'FR Table'!"" &amp; vlookup(rows($A$1:$A1405),Reference!$O:$P,2,false) &amp; ""3:"" &amp; vlookup(rows($A$1:$A1405),Reference!$O:$P,2,false)), 
""SELECT "" &amp; vlookup(rows($A$1:$A1405),Reference!$O:$P,2,false) 
&amp; "" WHERE "" &amp; vlookup("&amp;"rows($A$1:$A1405),Reference!$O:$P,2,false) &amp;
"" &gt;= "" &amp; Reference!$R$2)) * M1406,"""")"),"")</f>
        <v/>
      </c>
      <c r="O1406" s="84" t="str">
        <f t="shared" si="2"/>
        <v/>
      </c>
    </row>
    <row r="1407">
      <c r="A1407" s="84"/>
      <c r="B1407" s="84"/>
      <c r="C1407" s="85"/>
      <c r="D1407" s="86"/>
      <c r="E1407" s="87"/>
      <c r="F1407" s="86"/>
      <c r="G1407" s="87"/>
      <c r="H1407" s="86"/>
      <c r="I1407" s="86"/>
      <c r="J1407" s="86"/>
      <c r="K1407" s="84"/>
      <c r="L1407" s="84"/>
      <c r="M1407" s="84"/>
      <c r="N1407" s="84" t="str">
        <f>IFERROR(__xludf.DUMMYFUNCTION("IFERROR(AVERAGE(query(INDIRECT(""'FR Table'!"" &amp; vlookup(rows($A$1:$A1406),Reference!$O:$P,2,false) &amp; ""3:"" &amp; vlookup(rows($A$1:$A1406),Reference!$O:$P,2,false)), 
""SELECT "" &amp; vlookup(rows($A$1:$A1406),Reference!$O:$P,2,false) 
&amp; "" WHERE "" &amp; vlookup("&amp;"rows($A$1:$A1406),Reference!$O:$P,2,false) &amp;
"" &gt;= "" &amp; Reference!$R$2)) * M1407,"""")"),"")</f>
        <v/>
      </c>
      <c r="O1407" s="84" t="str">
        <f t="shared" si="2"/>
        <v/>
      </c>
    </row>
    <row r="1408">
      <c r="A1408" s="84"/>
      <c r="B1408" s="84"/>
      <c r="C1408" s="85"/>
      <c r="D1408" s="86"/>
      <c r="E1408" s="87"/>
      <c r="F1408" s="86"/>
      <c r="G1408" s="87"/>
      <c r="H1408" s="86"/>
      <c r="I1408" s="86"/>
      <c r="J1408" s="86"/>
      <c r="K1408" s="84"/>
      <c r="L1408" s="84"/>
      <c r="M1408" s="84"/>
      <c r="N1408" s="84" t="str">
        <f>IFERROR(__xludf.DUMMYFUNCTION("IFERROR(AVERAGE(query(INDIRECT(""'FR Table'!"" &amp; vlookup(rows($A$1:$A1407),Reference!$O:$P,2,false) &amp; ""3:"" &amp; vlookup(rows($A$1:$A1407),Reference!$O:$P,2,false)), 
""SELECT "" &amp; vlookup(rows($A$1:$A1407),Reference!$O:$P,2,false) 
&amp; "" WHERE "" &amp; vlookup("&amp;"rows($A$1:$A1407),Reference!$O:$P,2,false) &amp;
"" &gt;= "" &amp; Reference!$R$2)) * M1408,"""")"),"")</f>
        <v/>
      </c>
      <c r="O1408" s="84" t="str">
        <f t="shared" si="2"/>
        <v/>
      </c>
    </row>
    <row r="1409">
      <c r="A1409" s="84"/>
      <c r="B1409" s="84"/>
      <c r="C1409" s="85"/>
      <c r="D1409" s="86"/>
      <c r="E1409" s="87"/>
      <c r="F1409" s="86"/>
      <c r="G1409" s="87"/>
      <c r="H1409" s="86"/>
      <c r="I1409" s="86"/>
      <c r="J1409" s="86"/>
      <c r="K1409" s="84"/>
      <c r="L1409" s="84"/>
      <c r="M1409" s="84"/>
      <c r="N1409" s="84" t="str">
        <f>IFERROR(__xludf.DUMMYFUNCTION("IFERROR(AVERAGE(query(INDIRECT(""'FR Table'!"" &amp; vlookup(rows($A$1:$A1408),Reference!$O:$P,2,false) &amp; ""3:"" &amp; vlookup(rows($A$1:$A1408),Reference!$O:$P,2,false)), 
""SELECT "" &amp; vlookup(rows($A$1:$A1408),Reference!$O:$P,2,false) 
&amp; "" WHERE "" &amp; vlookup("&amp;"rows($A$1:$A1408),Reference!$O:$P,2,false) &amp;
"" &gt;= "" &amp; Reference!$R$2)) * M1409,"""")"),"")</f>
        <v/>
      </c>
      <c r="O1409" s="84" t="str">
        <f t="shared" si="2"/>
        <v/>
      </c>
    </row>
    <row r="1410">
      <c r="A1410" s="84"/>
      <c r="B1410" s="84"/>
      <c r="C1410" s="85"/>
      <c r="D1410" s="86"/>
      <c r="E1410" s="87"/>
      <c r="F1410" s="86"/>
      <c r="G1410" s="87"/>
      <c r="H1410" s="86"/>
      <c r="I1410" s="86"/>
      <c r="J1410" s="86"/>
      <c r="K1410" s="84"/>
      <c r="L1410" s="84"/>
      <c r="M1410" s="84"/>
      <c r="N1410" s="84" t="str">
        <f>IFERROR(__xludf.DUMMYFUNCTION("IFERROR(AVERAGE(query(INDIRECT(""'FR Table'!"" &amp; vlookup(rows($A$1:$A1409),Reference!$O:$P,2,false) &amp; ""3:"" &amp; vlookup(rows($A$1:$A1409),Reference!$O:$P,2,false)), 
""SELECT "" &amp; vlookup(rows($A$1:$A1409),Reference!$O:$P,2,false) 
&amp; "" WHERE "" &amp; vlookup("&amp;"rows($A$1:$A1409),Reference!$O:$P,2,false) &amp;
"" &gt;= "" &amp; Reference!$R$2)) * M1410,"""")"),"")</f>
        <v/>
      </c>
      <c r="O1410" s="84" t="str">
        <f t="shared" si="2"/>
        <v/>
      </c>
    </row>
    <row r="1411">
      <c r="A1411" s="84"/>
      <c r="B1411" s="84"/>
      <c r="C1411" s="85"/>
      <c r="D1411" s="86"/>
      <c r="E1411" s="87"/>
      <c r="F1411" s="86"/>
      <c r="G1411" s="87"/>
      <c r="H1411" s="86"/>
      <c r="I1411" s="86"/>
      <c r="J1411" s="86"/>
      <c r="K1411" s="84"/>
      <c r="L1411" s="84"/>
      <c r="M1411" s="84"/>
      <c r="N1411" s="84" t="str">
        <f>IFERROR(__xludf.DUMMYFUNCTION("IFERROR(AVERAGE(query(INDIRECT(""'FR Table'!"" &amp; vlookup(rows($A$1:$A1410),Reference!$O:$P,2,false) &amp; ""3:"" &amp; vlookup(rows($A$1:$A1410),Reference!$O:$P,2,false)), 
""SELECT "" &amp; vlookup(rows($A$1:$A1410),Reference!$O:$P,2,false) 
&amp; "" WHERE "" &amp; vlookup("&amp;"rows($A$1:$A1410),Reference!$O:$P,2,false) &amp;
"" &gt;= "" &amp; Reference!$R$2)) * M1411,"""")"),"")</f>
        <v/>
      </c>
      <c r="O1411" s="84" t="str">
        <f t="shared" si="2"/>
        <v/>
      </c>
    </row>
    <row r="1412">
      <c r="A1412" s="84"/>
      <c r="B1412" s="84"/>
      <c r="C1412" s="85"/>
      <c r="D1412" s="86"/>
      <c r="E1412" s="87"/>
      <c r="F1412" s="86"/>
      <c r="G1412" s="87"/>
      <c r="H1412" s="86"/>
      <c r="I1412" s="86"/>
      <c r="J1412" s="86"/>
      <c r="K1412" s="84"/>
      <c r="L1412" s="84"/>
      <c r="M1412" s="84"/>
      <c r="N1412" s="84" t="str">
        <f>IFERROR(__xludf.DUMMYFUNCTION("IFERROR(AVERAGE(query(INDIRECT(""'FR Table'!"" &amp; vlookup(rows($A$1:$A1411),Reference!$O:$P,2,false) &amp; ""3:"" &amp; vlookup(rows($A$1:$A1411),Reference!$O:$P,2,false)), 
""SELECT "" &amp; vlookup(rows($A$1:$A1411),Reference!$O:$P,2,false) 
&amp; "" WHERE "" &amp; vlookup("&amp;"rows($A$1:$A1411),Reference!$O:$P,2,false) &amp;
"" &gt;= "" &amp; Reference!$R$2)) * M1412,"""")"),"")</f>
        <v/>
      </c>
      <c r="O1412" s="84" t="str">
        <f t="shared" si="2"/>
        <v/>
      </c>
    </row>
    <row r="1413">
      <c r="A1413" s="84"/>
      <c r="B1413" s="84"/>
      <c r="C1413" s="85"/>
      <c r="D1413" s="86"/>
      <c r="E1413" s="87"/>
      <c r="F1413" s="86"/>
      <c r="G1413" s="87"/>
      <c r="H1413" s="86"/>
      <c r="I1413" s="86"/>
      <c r="J1413" s="86"/>
      <c r="K1413" s="84"/>
      <c r="L1413" s="84"/>
      <c r="M1413" s="84"/>
      <c r="N1413" s="84" t="str">
        <f>IFERROR(__xludf.DUMMYFUNCTION("IFERROR(AVERAGE(query(INDIRECT(""'FR Table'!"" &amp; vlookup(rows($A$1:$A1412),Reference!$O:$P,2,false) &amp; ""3:"" &amp; vlookup(rows($A$1:$A1412),Reference!$O:$P,2,false)), 
""SELECT "" &amp; vlookup(rows($A$1:$A1412),Reference!$O:$P,2,false) 
&amp; "" WHERE "" &amp; vlookup("&amp;"rows($A$1:$A1412),Reference!$O:$P,2,false) &amp;
"" &gt;= "" &amp; Reference!$R$2)) * M1413,"""")"),"")</f>
        <v/>
      </c>
      <c r="O1413" s="84" t="str">
        <f t="shared" si="2"/>
        <v/>
      </c>
    </row>
    <row r="1414">
      <c r="A1414" s="84"/>
      <c r="B1414" s="84"/>
      <c r="C1414" s="85"/>
      <c r="D1414" s="86"/>
      <c r="E1414" s="87"/>
      <c r="F1414" s="86"/>
      <c r="G1414" s="87"/>
      <c r="H1414" s="86"/>
      <c r="I1414" s="86"/>
      <c r="J1414" s="86"/>
      <c r="K1414" s="84"/>
      <c r="L1414" s="84"/>
      <c r="M1414" s="84"/>
      <c r="N1414" s="84" t="str">
        <f>IFERROR(__xludf.DUMMYFUNCTION("IFERROR(AVERAGE(query(INDIRECT(""'FR Table'!"" &amp; vlookup(rows($A$1:$A1413),Reference!$O:$P,2,false) &amp; ""3:"" &amp; vlookup(rows($A$1:$A1413),Reference!$O:$P,2,false)), 
""SELECT "" &amp; vlookup(rows($A$1:$A1413),Reference!$O:$P,2,false) 
&amp; "" WHERE "" &amp; vlookup("&amp;"rows($A$1:$A1413),Reference!$O:$P,2,false) &amp;
"" &gt;= "" &amp; Reference!$R$2)) * M1414,"""")"),"")</f>
        <v/>
      </c>
      <c r="O1414" s="84" t="str">
        <f t="shared" si="2"/>
        <v/>
      </c>
    </row>
    <row r="1415">
      <c r="A1415" s="84"/>
      <c r="B1415" s="84"/>
      <c r="C1415" s="85"/>
      <c r="D1415" s="86"/>
      <c r="E1415" s="87"/>
      <c r="F1415" s="86"/>
      <c r="G1415" s="87"/>
      <c r="H1415" s="86"/>
      <c r="I1415" s="86"/>
      <c r="J1415" s="86"/>
      <c r="K1415" s="84"/>
      <c r="L1415" s="84"/>
      <c r="M1415" s="84"/>
      <c r="N1415" s="84" t="str">
        <f>IFERROR(__xludf.DUMMYFUNCTION("IFERROR(AVERAGE(query(INDIRECT(""'FR Table'!"" &amp; vlookup(rows($A$1:$A1414),Reference!$O:$P,2,false) &amp; ""3:"" &amp; vlookup(rows($A$1:$A1414),Reference!$O:$P,2,false)), 
""SELECT "" &amp; vlookup(rows($A$1:$A1414),Reference!$O:$P,2,false) 
&amp; "" WHERE "" &amp; vlookup("&amp;"rows($A$1:$A1414),Reference!$O:$P,2,false) &amp;
"" &gt;= "" &amp; Reference!$R$2)) * M1415,"""")"),"")</f>
        <v/>
      </c>
      <c r="O1415" s="84" t="str">
        <f t="shared" si="2"/>
        <v/>
      </c>
    </row>
    <row r="1416">
      <c r="A1416" s="84"/>
      <c r="B1416" s="84"/>
      <c r="C1416" s="85"/>
      <c r="D1416" s="86"/>
      <c r="E1416" s="87"/>
      <c r="F1416" s="86"/>
      <c r="G1416" s="87"/>
      <c r="H1416" s="86"/>
      <c r="I1416" s="86"/>
      <c r="J1416" s="86"/>
      <c r="K1416" s="84"/>
      <c r="L1416" s="84"/>
      <c r="M1416" s="84"/>
      <c r="N1416" s="84" t="str">
        <f>IFERROR(__xludf.DUMMYFUNCTION("IFERROR(AVERAGE(query(INDIRECT(""'FR Table'!"" &amp; vlookup(rows($A$1:$A1415),Reference!$O:$P,2,false) &amp; ""3:"" &amp; vlookup(rows($A$1:$A1415),Reference!$O:$P,2,false)), 
""SELECT "" &amp; vlookup(rows($A$1:$A1415),Reference!$O:$P,2,false) 
&amp; "" WHERE "" &amp; vlookup("&amp;"rows($A$1:$A1415),Reference!$O:$P,2,false) &amp;
"" &gt;= "" &amp; Reference!$R$2)) * M1416,"""")"),"")</f>
        <v/>
      </c>
      <c r="O1416" s="84" t="str">
        <f t="shared" si="2"/>
        <v/>
      </c>
    </row>
    <row r="1417">
      <c r="A1417" s="84"/>
      <c r="B1417" s="84"/>
      <c r="C1417" s="85"/>
      <c r="D1417" s="86"/>
      <c r="E1417" s="87"/>
      <c r="F1417" s="86"/>
      <c r="G1417" s="87"/>
      <c r="H1417" s="86"/>
      <c r="I1417" s="86"/>
      <c r="J1417" s="86"/>
      <c r="K1417" s="84"/>
      <c r="L1417" s="84"/>
      <c r="M1417" s="84"/>
      <c r="N1417" s="84" t="str">
        <f>IFERROR(__xludf.DUMMYFUNCTION("IFERROR(AVERAGE(query(INDIRECT(""'FR Table'!"" &amp; vlookup(rows($A$1:$A1416),Reference!$O:$P,2,false) &amp; ""3:"" &amp; vlookup(rows($A$1:$A1416),Reference!$O:$P,2,false)), 
""SELECT "" &amp; vlookup(rows($A$1:$A1416),Reference!$O:$P,2,false) 
&amp; "" WHERE "" &amp; vlookup("&amp;"rows($A$1:$A1416),Reference!$O:$P,2,false) &amp;
"" &gt;= "" &amp; Reference!$R$2)) * M1417,"""")"),"")</f>
        <v/>
      </c>
      <c r="O1417" s="84" t="str">
        <f t="shared" si="2"/>
        <v/>
      </c>
    </row>
    <row r="1418">
      <c r="A1418" s="84"/>
      <c r="B1418" s="84"/>
      <c r="C1418" s="85"/>
      <c r="D1418" s="86"/>
      <c r="E1418" s="87"/>
      <c r="F1418" s="86"/>
      <c r="G1418" s="87"/>
      <c r="H1418" s="86"/>
      <c r="I1418" s="86"/>
      <c r="J1418" s="86"/>
      <c r="K1418" s="84"/>
      <c r="L1418" s="84"/>
      <c r="M1418" s="84"/>
      <c r="N1418" s="84" t="str">
        <f>IFERROR(__xludf.DUMMYFUNCTION("IFERROR(AVERAGE(query(INDIRECT(""'FR Table'!"" &amp; vlookup(rows($A$1:$A1417),Reference!$O:$P,2,false) &amp; ""3:"" &amp; vlookup(rows($A$1:$A1417),Reference!$O:$P,2,false)), 
""SELECT "" &amp; vlookup(rows($A$1:$A1417),Reference!$O:$P,2,false) 
&amp; "" WHERE "" &amp; vlookup("&amp;"rows($A$1:$A1417),Reference!$O:$P,2,false) &amp;
"" &gt;= "" &amp; Reference!$R$2)) * M1418,"""")"),"")</f>
        <v/>
      </c>
      <c r="O1418" s="84" t="str">
        <f t="shared" si="2"/>
        <v/>
      </c>
    </row>
    <row r="1419">
      <c r="A1419" s="84"/>
      <c r="B1419" s="84"/>
      <c r="C1419" s="85"/>
      <c r="D1419" s="86"/>
      <c r="E1419" s="87"/>
      <c r="F1419" s="86"/>
      <c r="G1419" s="87"/>
      <c r="H1419" s="86"/>
      <c r="I1419" s="86"/>
      <c r="J1419" s="86"/>
      <c r="K1419" s="84"/>
      <c r="L1419" s="84"/>
      <c r="M1419" s="84"/>
      <c r="N1419" s="84" t="str">
        <f>IFERROR(__xludf.DUMMYFUNCTION("IFERROR(AVERAGE(query(INDIRECT(""'FR Table'!"" &amp; vlookup(rows($A$1:$A1418),Reference!$O:$P,2,false) &amp; ""3:"" &amp; vlookup(rows($A$1:$A1418),Reference!$O:$P,2,false)), 
""SELECT "" &amp; vlookup(rows($A$1:$A1418),Reference!$O:$P,2,false) 
&amp; "" WHERE "" &amp; vlookup("&amp;"rows($A$1:$A1418),Reference!$O:$P,2,false) &amp;
"" &gt;= "" &amp; Reference!$R$2)) * M1419,"""")"),"")</f>
        <v/>
      </c>
      <c r="O1419" s="84" t="str">
        <f t="shared" si="2"/>
        <v/>
      </c>
    </row>
    <row r="1420">
      <c r="A1420" s="84"/>
      <c r="B1420" s="84"/>
      <c r="C1420" s="85"/>
      <c r="D1420" s="86"/>
      <c r="E1420" s="87"/>
      <c r="F1420" s="86"/>
      <c r="G1420" s="87"/>
      <c r="H1420" s="86"/>
      <c r="I1420" s="86"/>
      <c r="J1420" s="86"/>
      <c r="K1420" s="84"/>
      <c r="L1420" s="84"/>
      <c r="M1420" s="84"/>
      <c r="N1420" s="84" t="str">
        <f>IFERROR(__xludf.DUMMYFUNCTION("IFERROR(AVERAGE(query(INDIRECT(""'FR Table'!"" &amp; vlookup(rows($A$1:$A1419),Reference!$O:$P,2,false) &amp; ""3:"" &amp; vlookup(rows($A$1:$A1419),Reference!$O:$P,2,false)), 
""SELECT "" &amp; vlookup(rows($A$1:$A1419),Reference!$O:$P,2,false) 
&amp; "" WHERE "" &amp; vlookup("&amp;"rows($A$1:$A1419),Reference!$O:$P,2,false) &amp;
"" &gt;= "" &amp; Reference!$R$2)) * M1420,"""")"),"")</f>
        <v/>
      </c>
      <c r="O1420" s="84" t="str">
        <f t="shared" si="2"/>
        <v/>
      </c>
    </row>
    <row r="1421">
      <c r="A1421" s="84"/>
      <c r="B1421" s="84"/>
      <c r="C1421" s="85"/>
      <c r="D1421" s="86"/>
      <c r="E1421" s="87"/>
      <c r="F1421" s="86"/>
      <c r="G1421" s="87"/>
      <c r="H1421" s="86"/>
      <c r="I1421" s="86"/>
      <c r="J1421" s="86"/>
      <c r="K1421" s="84"/>
      <c r="L1421" s="84"/>
      <c r="M1421" s="84"/>
      <c r="N1421" s="84" t="str">
        <f>IFERROR(__xludf.DUMMYFUNCTION("IFERROR(AVERAGE(query(INDIRECT(""'FR Table'!"" &amp; vlookup(rows($A$1:$A1420),Reference!$O:$P,2,false) &amp; ""3:"" &amp; vlookup(rows($A$1:$A1420),Reference!$O:$P,2,false)), 
""SELECT "" &amp; vlookup(rows($A$1:$A1420),Reference!$O:$P,2,false) 
&amp; "" WHERE "" &amp; vlookup("&amp;"rows($A$1:$A1420),Reference!$O:$P,2,false) &amp;
"" &gt;= "" &amp; Reference!$R$2)) * M1421,"""")"),"")</f>
        <v/>
      </c>
      <c r="O1421" s="84" t="str">
        <f t="shared" si="2"/>
        <v/>
      </c>
    </row>
    <row r="1422">
      <c r="A1422" s="84"/>
      <c r="B1422" s="84"/>
      <c r="C1422" s="85"/>
      <c r="D1422" s="86"/>
      <c r="E1422" s="87"/>
      <c r="F1422" s="86"/>
      <c r="G1422" s="87"/>
      <c r="H1422" s="86"/>
      <c r="I1422" s="86"/>
      <c r="J1422" s="86"/>
      <c r="K1422" s="84"/>
      <c r="L1422" s="84"/>
      <c r="M1422" s="84"/>
      <c r="N1422" s="84" t="str">
        <f>IFERROR(__xludf.DUMMYFUNCTION("IFERROR(AVERAGE(query(INDIRECT(""'FR Table'!"" &amp; vlookup(rows($A$1:$A1421),Reference!$O:$P,2,false) &amp; ""3:"" &amp; vlookup(rows($A$1:$A1421),Reference!$O:$P,2,false)), 
""SELECT "" &amp; vlookup(rows($A$1:$A1421),Reference!$O:$P,2,false) 
&amp; "" WHERE "" &amp; vlookup("&amp;"rows($A$1:$A1421),Reference!$O:$P,2,false) &amp;
"" &gt;= "" &amp; Reference!$R$2)) * M1422,"""")"),"")</f>
        <v/>
      </c>
      <c r="O1422" s="84" t="str">
        <f t="shared" si="2"/>
        <v/>
      </c>
    </row>
    <row r="1423">
      <c r="A1423" s="84"/>
      <c r="B1423" s="84"/>
      <c r="C1423" s="85"/>
      <c r="D1423" s="86"/>
      <c r="E1423" s="87"/>
      <c r="F1423" s="86"/>
      <c r="G1423" s="87"/>
      <c r="H1423" s="86"/>
      <c r="I1423" s="86"/>
      <c r="J1423" s="86"/>
      <c r="K1423" s="84"/>
      <c r="L1423" s="84"/>
      <c r="M1423" s="84"/>
      <c r="N1423" s="84" t="str">
        <f>IFERROR(__xludf.DUMMYFUNCTION("IFERROR(AVERAGE(query(INDIRECT(""'FR Table'!"" &amp; vlookup(rows($A$1:$A1422),Reference!$O:$P,2,false) &amp; ""3:"" &amp; vlookup(rows($A$1:$A1422),Reference!$O:$P,2,false)), 
""SELECT "" &amp; vlookup(rows($A$1:$A1422),Reference!$O:$P,2,false) 
&amp; "" WHERE "" &amp; vlookup("&amp;"rows($A$1:$A1422),Reference!$O:$P,2,false) &amp;
"" &gt;= "" &amp; Reference!$R$2)) * M1423,"""")"),"")</f>
        <v/>
      </c>
      <c r="O1423" s="84" t="str">
        <f t="shared" si="2"/>
        <v/>
      </c>
    </row>
    <row r="1424">
      <c r="A1424" s="84"/>
      <c r="B1424" s="84"/>
      <c r="C1424" s="85"/>
      <c r="D1424" s="86"/>
      <c r="E1424" s="87"/>
      <c r="F1424" s="86"/>
      <c r="G1424" s="87"/>
      <c r="H1424" s="86"/>
      <c r="I1424" s="86"/>
      <c r="J1424" s="86"/>
      <c r="K1424" s="84"/>
      <c r="L1424" s="84"/>
      <c r="M1424" s="84"/>
      <c r="N1424" s="84" t="str">
        <f>IFERROR(__xludf.DUMMYFUNCTION("IFERROR(AVERAGE(query(INDIRECT(""'FR Table'!"" &amp; vlookup(rows($A$1:$A1423),Reference!$O:$P,2,false) &amp; ""3:"" &amp; vlookup(rows($A$1:$A1423),Reference!$O:$P,2,false)), 
""SELECT "" &amp; vlookup(rows($A$1:$A1423),Reference!$O:$P,2,false) 
&amp; "" WHERE "" &amp; vlookup("&amp;"rows($A$1:$A1423),Reference!$O:$P,2,false) &amp;
"" &gt;= "" &amp; Reference!$R$2)) * M1424,"""")"),"")</f>
        <v/>
      </c>
      <c r="O1424" s="84" t="str">
        <f t="shared" si="2"/>
        <v/>
      </c>
    </row>
    <row r="1425">
      <c r="A1425" s="84"/>
      <c r="B1425" s="84"/>
      <c r="C1425" s="85"/>
      <c r="D1425" s="86"/>
      <c r="E1425" s="87"/>
      <c r="F1425" s="86"/>
      <c r="G1425" s="87"/>
      <c r="H1425" s="86"/>
      <c r="I1425" s="86"/>
      <c r="J1425" s="86"/>
      <c r="K1425" s="84"/>
      <c r="L1425" s="84"/>
      <c r="M1425" s="84"/>
      <c r="N1425" s="84" t="str">
        <f>IFERROR(__xludf.DUMMYFUNCTION("IFERROR(AVERAGE(query(INDIRECT(""'FR Table'!"" &amp; vlookup(rows($A$1:$A1424),Reference!$O:$P,2,false) &amp; ""3:"" &amp; vlookup(rows($A$1:$A1424),Reference!$O:$P,2,false)), 
""SELECT "" &amp; vlookup(rows($A$1:$A1424),Reference!$O:$P,2,false) 
&amp; "" WHERE "" &amp; vlookup("&amp;"rows($A$1:$A1424),Reference!$O:$P,2,false) &amp;
"" &gt;= "" &amp; Reference!$R$2)) * M1425,"""")"),"")</f>
        <v/>
      </c>
      <c r="O1425" s="84" t="str">
        <f t="shared" si="2"/>
        <v/>
      </c>
    </row>
    <row r="1426">
      <c r="A1426" s="84"/>
      <c r="B1426" s="84"/>
      <c r="C1426" s="85"/>
      <c r="D1426" s="86"/>
      <c r="E1426" s="87"/>
      <c r="F1426" s="86"/>
      <c r="G1426" s="87"/>
      <c r="H1426" s="86"/>
      <c r="I1426" s="86"/>
      <c r="J1426" s="86"/>
      <c r="K1426" s="84"/>
      <c r="L1426" s="84"/>
      <c r="M1426" s="84"/>
      <c r="N1426" s="84" t="str">
        <f>IFERROR(__xludf.DUMMYFUNCTION("IFERROR(AVERAGE(query(INDIRECT(""'FR Table'!"" &amp; vlookup(rows($A$1:$A1425),Reference!$O:$P,2,false) &amp; ""3:"" &amp; vlookup(rows($A$1:$A1425),Reference!$O:$P,2,false)), 
""SELECT "" &amp; vlookup(rows($A$1:$A1425),Reference!$O:$P,2,false) 
&amp; "" WHERE "" &amp; vlookup("&amp;"rows($A$1:$A1425),Reference!$O:$P,2,false) &amp;
"" &gt;= "" &amp; Reference!$R$2)) * M1426,"""")"),"")</f>
        <v/>
      </c>
      <c r="O1426" s="84" t="str">
        <f t="shared" si="2"/>
        <v/>
      </c>
    </row>
    <row r="1427">
      <c r="A1427" s="84"/>
      <c r="B1427" s="84"/>
      <c r="C1427" s="85"/>
      <c r="D1427" s="86"/>
      <c r="E1427" s="87"/>
      <c r="F1427" s="86"/>
      <c r="G1427" s="87"/>
      <c r="H1427" s="86"/>
      <c r="I1427" s="86"/>
      <c r="J1427" s="86"/>
      <c r="K1427" s="84"/>
      <c r="L1427" s="84"/>
      <c r="M1427" s="84"/>
      <c r="N1427" s="84" t="str">
        <f>IFERROR(__xludf.DUMMYFUNCTION("IFERROR(AVERAGE(query(INDIRECT(""'FR Table'!"" &amp; vlookup(rows($A$1:$A1426),Reference!$O:$P,2,false) &amp; ""3:"" &amp; vlookup(rows($A$1:$A1426),Reference!$O:$P,2,false)), 
""SELECT "" &amp; vlookup(rows($A$1:$A1426),Reference!$O:$P,2,false) 
&amp; "" WHERE "" &amp; vlookup("&amp;"rows($A$1:$A1426),Reference!$O:$P,2,false) &amp;
"" &gt;= "" &amp; Reference!$R$2)) * M1427,"""")"),"")</f>
        <v/>
      </c>
      <c r="O1427" s="84" t="str">
        <f t="shared" si="2"/>
        <v/>
      </c>
    </row>
    <row r="1428">
      <c r="A1428" s="84"/>
      <c r="B1428" s="84"/>
      <c r="C1428" s="85"/>
      <c r="D1428" s="86"/>
      <c r="E1428" s="87"/>
      <c r="F1428" s="86"/>
      <c r="G1428" s="87"/>
      <c r="H1428" s="86"/>
      <c r="I1428" s="86"/>
      <c r="J1428" s="86"/>
      <c r="K1428" s="84"/>
      <c r="L1428" s="84"/>
      <c r="M1428" s="84"/>
      <c r="N1428" s="84" t="str">
        <f>IFERROR(__xludf.DUMMYFUNCTION("IFERROR(AVERAGE(query(INDIRECT(""'FR Table'!"" &amp; vlookup(rows($A$1:$A1427),Reference!$O:$P,2,false) &amp; ""3:"" &amp; vlookup(rows($A$1:$A1427),Reference!$O:$P,2,false)), 
""SELECT "" &amp; vlookup(rows($A$1:$A1427),Reference!$O:$P,2,false) 
&amp; "" WHERE "" &amp; vlookup("&amp;"rows($A$1:$A1427),Reference!$O:$P,2,false) &amp;
"" &gt;= "" &amp; Reference!$R$2)) * M1428,"""")"),"")</f>
        <v/>
      </c>
      <c r="O1428" s="84" t="str">
        <f t="shared" si="2"/>
        <v/>
      </c>
    </row>
    <row r="1429">
      <c r="A1429" s="84"/>
      <c r="B1429" s="84"/>
      <c r="C1429" s="85"/>
      <c r="D1429" s="86"/>
      <c r="E1429" s="87"/>
      <c r="F1429" s="86"/>
      <c r="G1429" s="87"/>
      <c r="H1429" s="86"/>
      <c r="I1429" s="86"/>
      <c r="J1429" s="86"/>
      <c r="K1429" s="84"/>
      <c r="L1429" s="84"/>
      <c r="M1429" s="84"/>
      <c r="N1429" s="84" t="str">
        <f>IFERROR(__xludf.DUMMYFUNCTION("IFERROR(AVERAGE(query(INDIRECT(""'FR Table'!"" &amp; vlookup(rows($A$1:$A1428),Reference!$O:$P,2,false) &amp; ""3:"" &amp; vlookup(rows($A$1:$A1428),Reference!$O:$P,2,false)), 
""SELECT "" &amp; vlookup(rows($A$1:$A1428),Reference!$O:$P,2,false) 
&amp; "" WHERE "" &amp; vlookup("&amp;"rows($A$1:$A1428),Reference!$O:$P,2,false) &amp;
"" &gt;= "" &amp; Reference!$R$2)) * M1429,"""")"),"")</f>
        <v/>
      </c>
      <c r="O1429" s="84" t="str">
        <f t="shared" si="2"/>
        <v/>
      </c>
    </row>
    <row r="1430">
      <c r="A1430" s="84"/>
      <c r="B1430" s="84"/>
      <c r="C1430" s="85"/>
      <c r="D1430" s="86"/>
      <c r="E1430" s="87"/>
      <c r="F1430" s="86"/>
      <c r="G1430" s="87"/>
      <c r="H1430" s="86"/>
      <c r="I1430" s="86"/>
      <c r="J1430" s="86"/>
      <c r="K1430" s="84"/>
      <c r="L1430" s="84"/>
      <c r="M1430" s="84"/>
      <c r="N1430" s="84" t="str">
        <f>IFERROR(__xludf.DUMMYFUNCTION("IFERROR(AVERAGE(query(INDIRECT(""'FR Table'!"" &amp; vlookup(rows($A$1:$A1429),Reference!$O:$P,2,false) &amp; ""3:"" &amp; vlookup(rows($A$1:$A1429),Reference!$O:$P,2,false)), 
""SELECT "" &amp; vlookup(rows($A$1:$A1429),Reference!$O:$P,2,false) 
&amp; "" WHERE "" &amp; vlookup("&amp;"rows($A$1:$A1429),Reference!$O:$P,2,false) &amp;
"" &gt;= "" &amp; Reference!$R$2)) * M1430,"""")"),"")</f>
        <v/>
      </c>
      <c r="O1430" s="84" t="str">
        <f t="shared" si="2"/>
        <v/>
      </c>
    </row>
    <row r="1431">
      <c r="A1431" s="84"/>
      <c r="B1431" s="84"/>
      <c r="C1431" s="85"/>
      <c r="D1431" s="86"/>
      <c r="E1431" s="87"/>
      <c r="F1431" s="86"/>
      <c r="G1431" s="87"/>
      <c r="H1431" s="86"/>
      <c r="I1431" s="86"/>
      <c r="J1431" s="86"/>
      <c r="K1431" s="84"/>
      <c r="L1431" s="84"/>
      <c r="M1431" s="84"/>
      <c r="N1431" s="84" t="str">
        <f>IFERROR(__xludf.DUMMYFUNCTION("IFERROR(AVERAGE(query(INDIRECT(""'FR Table'!"" &amp; vlookup(rows($A$1:$A1430),Reference!$O:$P,2,false) &amp; ""3:"" &amp; vlookup(rows($A$1:$A1430),Reference!$O:$P,2,false)), 
""SELECT "" &amp; vlookup(rows($A$1:$A1430),Reference!$O:$P,2,false) 
&amp; "" WHERE "" &amp; vlookup("&amp;"rows($A$1:$A1430),Reference!$O:$P,2,false) &amp;
"" &gt;= "" &amp; Reference!$R$2)) * M1431,"""")"),"")</f>
        <v/>
      </c>
      <c r="O1431" s="84" t="str">
        <f t="shared" si="2"/>
        <v/>
      </c>
    </row>
    <row r="1432">
      <c r="A1432" s="84"/>
      <c r="B1432" s="84"/>
      <c r="C1432" s="85"/>
      <c r="D1432" s="86"/>
      <c r="E1432" s="87"/>
      <c r="F1432" s="86"/>
      <c r="G1432" s="87"/>
      <c r="H1432" s="86"/>
      <c r="I1432" s="86"/>
      <c r="J1432" s="86"/>
      <c r="K1432" s="84"/>
      <c r="L1432" s="84"/>
      <c r="M1432" s="84"/>
      <c r="N1432" s="84" t="str">
        <f>IFERROR(__xludf.DUMMYFUNCTION("IFERROR(AVERAGE(query(INDIRECT(""'FR Table'!"" &amp; vlookup(rows($A$1:$A1431),Reference!$O:$P,2,false) &amp; ""3:"" &amp; vlookup(rows($A$1:$A1431),Reference!$O:$P,2,false)), 
""SELECT "" &amp; vlookup(rows($A$1:$A1431),Reference!$O:$P,2,false) 
&amp; "" WHERE "" &amp; vlookup("&amp;"rows($A$1:$A1431),Reference!$O:$P,2,false) &amp;
"" &gt;= "" &amp; Reference!$R$2)) * M1432,"""")"),"")</f>
        <v/>
      </c>
      <c r="O1432" s="84" t="str">
        <f t="shared" si="2"/>
        <v/>
      </c>
    </row>
    <row r="1433">
      <c r="A1433" s="84"/>
      <c r="B1433" s="84"/>
      <c r="C1433" s="85"/>
      <c r="D1433" s="86"/>
      <c r="E1433" s="87"/>
      <c r="F1433" s="86"/>
      <c r="G1433" s="87"/>
      <c r="H1433" s="86"/>
      <c r="I1433" s="86"/>
      <c r="J1433" s="86"/>
      <c r="K1433" s="84"/>
      <c r="L1433" s="84"/>
      <c r="M1433" s="84"/>
      <c r="N1433" s="84" t="str">
        <f>IFERROR(__xludf.DUMMYFUNCTION("IFERROR(AVERAGE(query(INDIRECT(""'FR Table'!"" &amp; vlookup(rows($A$1:$A1432),Reference!$O:$P,2,false) &amp; ""3:"" &amp; vlookup(rows($A$1:$A1432),Reference!$O:$P,2,false)), 
""SELECT "" &amp; vlookup(rows($A$1:$A1432),Reference!$O:$P,2,false) 
&amp; "" WHERE "" &amp; vlookup("&amp;"rows($A$1:$A1432),Reference!$O:$P,2,false) &amp;
"" &gt;= "" &amp; Reference!$R$2)) * M1433,"""")"),"")</f>
        <v/>
      </c>
      <c r="O1433" s="84" t="str">
        <f t="shared" si="2"/>
        <v/>
      </c>
    </row>
    <row r="1434">
      <c r="A1434" s="84"/>
      <c r="B1434" s="84"/>
      <c r="C1434" s="85"/>
      <c r="D1434" s="86"/>
      <c r="E1434" s="87"/>
      <c r="F1434" s="86"/>
      <c r="G1434" s="87"/>
      <c r="H1434" s="86"/>
      <c r="I1434" s="86"/>
      <c r="J1434" s="86"/>
      <c r="K1434" s="84"/>
      <c r="L1434" s="84"/>
      <c r="M1434" s="84"/>
      <c r="N1434" s="84" t="str">
        <f>IFERROR(__xludf.DUMMYFUNCTION("IFERROR(AVERAGE(query(INDIRECT(""'FR Table'!"" &amp; vlookup(rows($A$1:$A1433),Reference!$O:$P,2,false) &amp; ""3:"" &amp; vlookup(rows($A$1:$A1433),Reference!$O:$P,2,false)), 
""SELECT "" &amp; vlookup(rows($A$1:$A1433),Reference!$O:$P,2,false) 
&amp; "" WHERE "" &amp; vlookup("&amp;"rows($A$1:$A1433),Reference!$O:$P,2,false) &amp;
"" &gt;= "" &amp; Reference!$R$2)) * M1434,"""")"),"")</f>
        <v/>
      </c>
      <c r="O1434" s="84" t="str">
        <f t="shared" si="2"/>
        <v/>
      </c>
    </row>
    <row r="1435">
      <c r="A1435" s="84"/>
      <c r="B1435" s="84"/>
      <c r="C1435" s="85"/>
      <c r="D1435" s="86"/>
      <c r="E1435" s="87"/>
      <c r="F1435" s="86"/>
      <c r="G1435" s="87"/>
      <c r="H1435" s="86"/>
      <c r="I1435" s="86"/>
      <c r="J1435" s="86"/>
      <c r="K1435" s="84"/>
      <c r="L1435" s="84"/>
      <c r="M1435" s="84"/>
      <c r="N1435" s="84" t="str">
        <f>IFERROR(__xludf.DUMMYFUNCTION("IFERROR(AVERAGE(query(INDIRECT(""'FR Table'!"" &amp; vlookup(rows($A$1:$A1434),Reference!$O:$P,2,false) &amp; ""3:"" &amp; vlookup(rows($A$1:$A1434),Reference!$O:$P,2,false)), 
""SELECT "" &amp; vlookup(rows($A$1:$A1434),Reference!$O:$P,2,false) 
&amp; "" WHERE "" &amp; vlookup("&amp;"rows($A$1:$A1434),Reference!$O:$P,2,false) &amp;
"" &gt;= "" &amp; Reference!$R$2)) * M1435,"""")"),"")</f>
        <v/>
      </c>
      <c r="O1435" s="84" t="str">
        <f t="shared" si="2"/>
        <v/>
      </c>
    </row>
    <row r="1436">
      <c r="A1436" s="84"/>
      <c r="B1436" s="84"/>
      <c r="C1436" s="85"/>
      <c r="D1436" s="86"/>
      <c r="E1436" s="87"/>
      <c r="F1436" s="86"/>
      <c r="G1436" s="87"/>
      <c r="H1436" s="86"/>
      <c r="I1436" s="86"/>
      <c r="J1436" s="86"/>
      <c r="K1436" s="84"/>
      <c r="L1436" s="84"/>
      <c r="M1436" s="84"/>
      <c r="N1436" s="84" t="str">
        <f>IFERROR(__xludf.DUMMYFUNCTION("IFERROR(AVERAGE(query(INDIRECT(""'FR Table'!"" &amp; vlookup(rows($A$1:$A1435),Reference!$O:$P,2,false) &amp; ""3:"" &amp; vlookup(rows($A$1:$A1435),Reference!$O:$P,2,false)), 
""SELECT "" &amp; vlookup(rows($A$1:$A1435),Reference!$O:$P,2,false) 
&amp; "" WHERE "" &amp; vlookup("&amp;"rows($A$1:$A1435),Reference!$O:$P,2,false) &amp;
"" &gt;= "" &amp; Reference!$R$2)) * M1436,"""")"),"")</f>
        <v/>
      </c>
      <c r="O1436" s="84" t="str">
        <f t="shared" si="2"/>
        <v/>
      </c>
    </row>
    <row r="1437">
      <c r="A1437" s="84"/>
      <c r="B1437" s="84"/>
      <c r="C1437" s="85"/>
      <c r="D1437" s="86"/>
      <c r="E1437" s="87"/>
      <c r="F1437" s="86"/>
      <c r="G1437" s="87"/>
      <c r="H1437" s="86"/>
      <c r="I1437" s="86"/>
      <c r="J1437" s="86"/>
      <c r="K1437" s="84"/>
      <c r="L1437" s="84"/>
      <c r="M1437" s="84"/>
      <c r="N1437" s="84" t="str">
        <f>IFERROR(__xludf.DUMMYFUNCTION("IFERROR(AVERAGE(query(INDIRECT(""'FR Table'!"" &amp; vlookup(rows($A$1:$A1436),Reference!$O:$P,2,false) &amp; ""3:"" &amp; vlookup(rows($A$1:$A1436),Reference!$O:$P,2,false)), 
""SELECT "" &amp; vlookup(rows($A$1:$A1436),Reference!$O:$P,2,false) 
&amp; "" WHERE "" &amp; vlookup("&amp;"rows($A$1:$A1436),Reference!$O:$P,2,false) &amp;
"" &gt;= "" &amp; Reference!$R$2)) * M1437,"""")"),"")</f>
        <v/>
      </c>
      <c r="O1437" s="84" t="str">
        <f t="shared" si="2"/>
        <v/>
      </c>
    </row>
    <row r="1438">
      <c r="A1438" s="84"/>
      <c r="B1438" s="84"/>
      <c r="C1438" s="85"/>
      <c r="D1438" s="86"/>
      <c r="E1438" s="87"/>
      <c r="F1438" s="86"/>
      <c r="G1438" s="87"/>
      <c r="H1438" s="86"/>
      <c r="I1438" s="86"/>
      <c r="J1438" s="86"/>
      <c r="K1438" s="84"/>
      <c r="L1438" s="84"/>
      <c r="M1438" s="84"/>
      <c r="N1438" s="84" t="str">
        <f>IFERROR(__xludf.DUMMYFUNCTION("IFERROR(AVERAGE(query(INDIRECT(""'FR Table'!"" &amp; vlookup(rows($A$1:$A1437),Reference!$O:$P,2,false) &amp; ""3:"" &amp; vlookup(rows($A$1:$A1437),Reference!$O:$P,2,false)), 
""SELECT "" &amp; vlookup(rows($A$1:$A1437),Reference!$O:$P,2,false) 
&amp; "" WHERE "" &amp; vlookup("&amp;"rows($A$1:$A1437),Reference!$O:$P,2,false) &amp;
"" &gt;= "" &amp; Reference!$R$2)) * M1438,"""")"),"")</f>
        <v/>
      </c>
      <c r="O1438" s="84" t="str">
        <f t="shared" si="2"/>
        <v/>
      </c>
    </row>
    <row r="1439">
      <c r="A1439" s="84"/>
      <c r="B1439" s="84"/>
      <c r="C1439" s="85"/>
      <c r="D1439" s="86"/>
      <c r="E1439" s="87"/>
      <c r="F1439" s="86"/>
      <c r="G1439" s="87"/>
      <c r="H1439" s="86"/>
      <c r="I1439" s="86"/>
      <c r="J1439" s="86"/>
      <c r="K1439" s="84"/>
      <c r="L1439" s="84"/>
      <c r="M1439" s="84"/>
      <c r="N1439" s="84" t="str">
        <f>IFERROR(__xludf.DUMMYFUNCTION("IFERROR(AVERAGE(query(INDIRECT(""'FR Table'!"" &amp; vlookup(rows($A$1:$A1438),Reference!$O:$P,2,false) &amp; ""3:"" &amp; vlookup(rows($A$1:$A1438),Reference!$O:$P,2,false)), 
""SELECT "" &amp; vlookup(rows($A$1:$A1438),Reference!$O:$P,2,false) 
&amp; "" WHERE "" &amp; vlookup("&amp;"rows($A$1:$A1438),Reference!$O:$P,2,false) &amp;
"" &gt;= "" &amp; Reference!$R$2)) * M1439,"""")"),"")</f>
        <v/>
      </c>
      <c r="O1439" s="84" t="str">
        <f t="shared" si="2"/>
        <v/>
      </c>
    </row>
    <row r="1440">
      <c r="A1440" s="84"/>
      <c r="B1440" s="84"/>
      <c r="C1440" s="85"/>
      <c r="D1440" s="86"/>
      <c r="E1440" s="87"/>
      <c r="F1440" s="86"/>
      <c r="G1440" s="87"/>
      <c r="H1440" s="86"/>
      <c r="I1440" s="86"/>
      <c r="J1440" s="86"/>
      <c r="K1440" s="84"/>
      <c r="L1440" s="84"/>
      <c r="M1440" s="84"/>
      <c r="N1440" s="84" t="str">
        <f>IFERROR(__xludf.DUMMYFUNCTION("IFERROR(AVERAGE(query(INDIRECT(""'FR Table'!"" &amp; vlookup(rows($A$1:$A1439),Reference!$O:$P,2,false) &amp; ""3:"" &amp; vlookup(rows($A$1:$A1439),Reference!$O:$P,2,false)), 
""SELECT "" &amp; vlookup(rows($A$1:$A1439),Reference!$O:$P,2,false) 
&amp; "" WHERE "" &amp; vlookup("&amp;"rows($A$1:$A1439),Reference!$O:$P,2,false) &amp;
"" &gt;= "" &amp; Reference!$R$2)) * M1440,"""")"),"")</f>
        <v/>
      </c>
      <c r="O1440" s="84" t="str">
        <f t="shared" si="2"/>
        <v/>
      </c>
    </row>
    <row r="1441">
      <c r="A1441" s="84"/>
      <c r="B1441" s="84"/>
      <c r="C1441" s="85"/>
      <c r="D1441" s="86"/>
      <c r="E1441" s="87"/>
      <c r="F1441" s="86"/>
      <c r="G1441" s="87"/>
      <c r="H1441" s="86"/>
      <c r="I1441" s="86"/>
      <c r="J1441" s="86"/>
      <c r="K1441" s="84"/>
      <c r="L1441" s="84"/>
      <c r="M1441" s="84"/>
      <c r="N1441" s="84" t="str">
        <f>IFERROR(__xludf.DUMMYFUNCTION("IFERROR(AVERAGE(query(INDIRECT(""'FR Table'!"" &amp; vlookup(rows($A$1:$A1440),Reference!$O:$P,2,false) &amp; ""3:"" &amp; vlookup(rows($A$1:$A1440),Reference!$O:$P,2,false)), 
""SELECT "" &amp; vlookup(rows($A$1:$A1440),Reference!$O:$P,2,false) 
&amp; "" WHERE "" &amp; vlookup("&amp;"rows($A$1:$A1440),Reference!$O:$P,2,false) &amp;
"" &gt;= "" &amp; Reference!$R$2)) * M1441,"""")"),"")</f>
        <v/>
      </c>
      <c r="O1441" s="84" t="str">
        <f t="shared" si="2"/>
        <v/>
      </c>
    </row>
    <row r="1442">
      <c r="A1442" s="84"/>
      <c r="B1442" s="84"/>
      <c r="C1442" s="85"/>
      <c r="D1442" s="86"/>
      <c r="E1442" s="87"/>
      <c r="F1442" s="86"/>
      <c r="G1442" s="87"/>
      <c r="H1442" s="86"/>
      <c r="I1442" s="86"/>
      <c r="J1442" s="86"/>
      <c r="K1442" s="84"/>
      <c r="L1442" s="84"/>
      <c r="M1442" s="84"/>
      <c r="N1442" s="84" t="str">
        <f>IFERROR(__xludf.DUMMYFUNCTION("IFERROR(AVERAGE(query(INDIRECT(""'FR Table'!"" &amp; vlookup(rows($A$1:$A1441),Reference!$O:$P,2,false) &amp; ""3:"" &amp; vlookup(rows($A$1:$A1441),Reference!$O:$P,2,false)), 
""SELECT "" &amp; vlookup(rows($A$1:$A1441),Reference!$O:$P,2,false) 
&amp; "" WHERE "" &amp; vlookup("&amp;"rows($A$1:$A1441),Reference!$O:$P,2,false) &amp;
"" &gt;= "" &amp; Reference!$R$2)) * M1442,"""")"),"")</f>
        <v/>
      </c>
      <c r="O1442" s="84" t="str">
        <f t="shared" si="2"/>
        <v/>
      </c>
    </row>
    <row r="1443">
      <c r="A1443" s="84"/>
      <c r="B1443" s="84"/>
      <c r="C1443" s="85"/>
      <c r="D1443" s="86"/>
      <c r="E1443" s="87"/>
      <c r="F1443" s="86"/>
      <c r="G1443" s="87"/>
      <c r="H1443" s="86"/>
      <c r="I1443" s="86"/>
      <c r="J1443" s="86"/>
      <c r="K1443" s="84"/>
      <c r="L1443" s="84"/>
      <c r="M1443" s="84"/>
      <c r="N1443" s="84" t="str">
        <f>IFERROR(__xludf.DUMMYFUNCTION("IFERROR(AVERAGE(query(INDIRECT(""'FR Table'!"" &amp; vlookup(rows($A$1:$A1442),Reference!$O:$P,2,false) &amp; ""3:"" &amp; vlookup(rows($A$1:$A1442),Reference!$O:$P,2,false)), 
""SELECT "" &amp; vlookup(rows($A$1:$A1442),Reference!$O:$P,2,false) 
&amp; "" WHERE "" &amp; vlookup("&amp;"rows($A$1:$A1442),Reference!$O:$P,2,false) &amp;
"" &gt;= "" &amp; Reference!$R$2)) * M1443,"""")"),"")</f>
        <v/>
      </c>
      <c r="O1443" s="84" t="str">
        <f t="shared" si="2"/>
        <v/>
      </c>
    </row>
    <row r="1444">
      <c r="A1444" s="84"/>
      <c r="B1444" s="84"/>
      <c r="C1444" s="85"/>
      <c r="D1444" s="86"/>
      <c r="E1444" s="87"/>
      <c r="F1444" s="86"/>
      <c r="G1444" s="87"/>
      <c r="H1444" s="86"/>
      <c r="I1444" s="86"/>
      <c r="J1444" s="86"/>
      <c r="K1444" s="84"/>
      <c r="L1444" s="84"/>
      <c r="M1444" s="84"/>
      <c r="N1444" s="84" t="str">
        <f>IFERROR(__xludf.DUMMYFUNCTION("IFERROR(AVERAGE(query(INDIRECT(""'FR Table'!"" &amp; vlookup(rows($A$1:$A1443),Reference!$O:$P,2,false) &amp; ""3:"" &amp; vlookup(rows($A$1:$A1443),Reference!$O:$P,2,false)), 
""SELECT "" &amp; vlookup(rows($A$1:$A1443),Reference!$O:$P,2,false) 
&amp; "" WHERE "" &amp; vlookup("&amp;"rows($A$1:$A1443),Reference!$O:$P,2,false) &amp;
"" &gt;= "" &amp; Reference!$R$2)) * M1444,"""")"),"")</f>
        <v/>
      </c>
      <c r="O1444" s="84" t="str">
        <f t="shared" si="2"/>
        <v/>
      </c>
    </row>
    <row r="1445">
      <c r="A1445" s="84"/>
      <c r="B1445" s="84"/>
      <c r="C1445" s="85"/>
      <c r="D1445" s="86"/>
      <c r="E1445" s="87"/>
      <c r="F1445" s="86"/>
      <c r="G1445" s="87"/>
      <c r="H1445" s="86"/>
      <c r="I1445" s="86"/>
      <c r="J1445" s="86"/>
      <c r="K1445" s="84"/>
      <c r="L1445" s="84"/>
      <c r="M1445" s="84"/>
      <c r="N1445" s="84" t="str">
        <f>IFERROR(__xludf.DUMMYFUNCTION("IFERROR(AVERAGE(query(INDIRECT(""'FR Table'!"" &amp; vlookup(rows($A$1:$A1444),Reference!$O:$P,2,false) &amp; ""3:"" &amp; vlookup(rows($A$1:$A1444),Reference!$O:$P,2,false)), 
""SELECT "" &amp; vlookup(rows($A$1:$A1444),Reference!$O:$P,2,false) 
&amp; "" WHERE "" &amp; vlookup("&amp;"rows($A$1:$A1444),Reference!$O:$P,2,false) &amp;
"" &gt;= "" &amp; Reference!$R$2)) * M1445,"""")"),"")</f>
        <v/>
      </c>
      <c r="O1445" s="84" t="str">
        <f t="shared" si="2"/>
        <v/>
      </c>
    </row>
    <row r="1446">
      <c r="A1446" s="84"/>
      <c r="B1446" s="84"/>
      <c r="C1446" s="85"/>
      <c r="D1446" s="86"/>
      <c r="E1446" s="87"/>
      <c r="F1446" s="86"/>
      <c r="G1446" s="87"/>
      <c r="H1446" s="86"/>
      <c r="I1446" s="86"/>
      <c r="J1446" s="86"/>
      <c r="K1446" s="84"/>
      <c r="L1446" s="84"/>
      <c r="M1446" s="84"/>
      <c r="N1446" s="84" t="str">
        <f>IFERROR(__xludf.DUMMYFUNCTION("IFERROR(AVERAGE(query(INDIRECT(""'FR Table'!"" &amp; vlookup(rows($A$1:$A1445),Reference!$O:$P,2,false) &amp; ""3:"" &amp; vlookup(rows($A$1:$A1445),Reference!$O:$P,2,false)), 
""SELECT "" &amp; vlookup(rows($A$1:$A1445),Reference!$O:$P,2,false) 
&amp; "" WHERE "" &amp; vlookup("&amp;"rows($A$1:$A1445),Reference!$O:$P,2,false) &amp;
"" &gt;= "" &amp; Reference!$R$2)) * M1446,"""")"),"")</f>
        <v/>
      </c>
      <c r="O1446" s="84" t="str">
        <f t="shared" si="2"/>
        <v/>
      </c>
    </row>
    <row r="1447">
      <c r="A1447" s="84"/>
      <c r="B1447" s="84"/>
      <c r="C1447" s="85"/>
      <c r="D1447" s="86"/>
      <c r="E1447" s="87"/>
      <c r="F1447" s="86"/>
      <c r="G1447" s="87"/>
      <c r="H1447" s="86"/>
      <c r="I1447" s="86"/>
      <c r="J1447" s="86"/>
      <c r="K1447" s="84"/>
      <c r="L1447" s="84"/>
      <c r="M1447" s="84"/>
      <c r="N1447" s="84" t="str">
        <f>IFERROR(__xludf.DUMMYFUNCTION("IFERROR(AVERAGE(query(INDIRECT(""'FR Table'!"" &amp; vlookup(rows($A$1:$A1446),Reference!$O:$P,2,false) &amp; ""3:"" &amp; vlookup(rows($A$1:$A1446),Reference!$O:$P,2,false)), 
""SELECT "" &amp; vlookup(rows($A$1:$A1446),Reference!$O:$P,2,false) 
&amp; "" WHERE "" &amp; vlookup("&amp;"rows($A$1:$A1446),Reference!$O:$P,2,false) &amp;
"" &gt;= "" &amp; Reference!$R$2)) * M1447,"""")"),"")</f>
        <v/>
      </c>
      <c r="O1447" s="84" t="str">
        <f t="shared" si="2"/>
        <v/>
      </c>
    </row>
    <row r="1448">
      <c r="A1448" s="84"/>
      <c r="B1448" s="84"/>
      <c r="C1448" s="85"/>
      <c r="D1448" s="86"/>
      <c r="E1448" s="87"/>
      <c r="F1448" s="86"/>
      <c r="G1448" s="87"/>
      <c r="H1448" s="86"/>
      <c r="I1448" s="86"/>
      <c r="J1448" s="86"/>
      <c r="K1448" s="84"/>
      <c r="L1448" s="84"/>
      <c r="M1448" s="84"/>
      <c r="N1448" s="84" t="str">
        <f>IFERROR(__xludf.DUMMYFUNCTION("IFERROR(AVERAGE(query(INDIRECT(""'FR Table'!"" &amp; vlookup(rows($A$1:$A1447),Reference!$O:$P,2,false) &amp; ""3:"" &amp; vlookup(rows($A$1:$A1447),Reference!$O:$P,2,false)), 
""SELECT "" &amp; vlookup(rows($A$1:$A1447),Reference!$O:$P,2,false) 
&amp; "" WHERE "" &amp; vlookup("&amp;"rows($A$1:$A1447),Reference!$O:$P,2,false) &amp;
"" &gt;= "" &amp; Reference!$R$2)) * M1448,"""")"),"")</f>
        <v/>
      </c>
      <c r="O1448" s="84" t="str">
        <f t="shared" si="2"/>
        <v/>
      </c>
    </row>
    <row r="1449">
      <c r="A1449" s="84"/>
      <c r="B1449" s="84"/>
      <c r="C1449" s="85"/>
      <c r="D1449" s="86"/>
      <c r="E1449" s="87"/>
      <c r="F1449" s="86"/>
      <c r="G1449" s="87"/>
      <c r="H1449" s="86"/>
      <c r="I1449" s="86"/>
      <c r="J1449" s="86"/>
      <c r="K1449" s="84"/>
      <c r="L1449" s="84"/>
      <c r="M1449" s="84"/>
      <c r="N1449" s="84" t="str">
        <f>IFERROR(__xludf.DUMMYFUNCTION("IFERROR(AVERAGE(query(INDIRECT(""'FR Table'!"" &amp; vlookup(rows($A$1:$A1448),Reference!$O:$P,2,false) &amp; ""3:"" &amp; vlookup(rows($A$1:$A1448),Reference!$O:$P,2,false)), 
""SELECT "" &amp; vlookup(rows($A$1:$A1448),Reference!$O:$P,2,false) 
&amp; "" WHERE "" &amp; vlookup("&amp;"rows($A$1:$A1448),Reference!$O:$P,2,false) &amp;
"" &gt;= "" &amp; Reference!$R$2)) * M1449,"""")"),"")</f>
        <v/>
      </c>
      <c r="O1449" s="84" t="str">
        <f t="shared" si="2"/>
        <v/>
      </c>
    </row>
    <row r="1450">
      <c r="A1450" s="84"/>
      <c r="B1450" s="84"/>
      <c r="C1450" s="85"/>
      <c r="D1450" s="86"/>
      <c r="E1450" s="87"/>
      <c r="F1450" s="86"/>
      <c r="G1450" s="87"/>
      <c r="H1450" s="86"/>
      <c r="I1450" s="86"/>
      <c r="J1450" s="86"/>
      <c r="K1450" s="84"/>
      <c r="L1450" s="84"/>
      <c r="M1450" s="84"/>
      <c r="N1450" s="84" t="str">
        <f>IFERROR(__xludf.DUMMYFUNCTION("IFERROR(AVERAGE(query(INDIRECT(""'FR Table'!"" &amp; vlookup(rows($A$1:$A1449),Reference!$O:$P,2,false) &amp; ""3:"" &amp; vlookup(rows($A$1:$A1449),Reference!$O:$P,2,false)), 
""SELECT "" &amp; vlookup(rows($A$1:$A1449),Reference!$O:$P,2,false) 
&amp; "" WHERE "" &amp; vlookup("&amp;"rows($A$1:$A1449),Reference!$O:$P,2,false) &amp;
"" &gt;= "" &amp; Reference!$R$2)) * M1450,"""")"),"")</f>
        <v/>
      </c>
      <c r="O1450" s="84" t="str">
        <f t="shared" si="2"/>
        <v/>
      </c>
    </row>
    <row r="1451">
      <c r="A1451" s="84"/>
      <c r="B1451" s="84"/>
      <c r="C1451" s="85"/>
      <c r="D1451" s="86"/>
      <c r="E1451" s="87"/>
      <c r="F1451" s="86"/>
      <c r="G1451" s="87"/>
      <c r="H1451" s="86"/>
      <c r="I1451" s="86"/>
      <c r="J1451" s="86"/>
      <c r="K1451" s="84"/>
      <c r="L1451" s="84"/>
      <c r="M1451" s="84"/>
      <c r="N1451" s="84" t="str">
        <f>IFERROR(__xludf.DUMMYFUNCTION("IFERROR(AVERAGE(query(INDIRECT(""'FR Table'!"" &amp; vlookup(rows($A$1:$A1450),Reference!$O:$P,2,false) &amp; ""3:"" &amp; vlookup(rows($A$1:$A1450),Reference!$O:$P,2,false)), 
""SELECT "" &amp; vlookup(rows($A$1:$A1450),Reference!$O:$P,2,false) 
&amp; "" WHERE "" &amp; vlookup("&amp;"rows($A$1:$A1450),Reference!$O:$P,2,false) &amp;
"" &gt;= "" &amp; Reference!$R$2)) * M1451,"""")"),"")</f>
        <v/>
      </c>
      <c r="O1451" s="84" t="str">
        <f t="shared" si="2"/>
        <v/>
      </c>
    </row>
    <row r="1452">
      <c r="A1452" s="84"/>
      <c r="B1452" s="84"/>
      <c r="C1452" s="85"/>
      <c r="D1452" s="86"/>
      <c r="E1452" s="87"/>
      <c r="F1452" s="86"/>
      <c r="G1452" s="87"/>
      <c r="H1452" s="86"/>
      <c r="I1452" s="86"/>
      <c r="J1452" s="86"/>
      <c r="K1452" s="84"/>
      <c r="L1452" s="84"/>
      <c r="M1452" s="84"/>
      <c r="N1452" s="84" t="str">
        <f>IFERROR(__xludf.DUMMYFUNCTION("IFERROR(AVERAGE(query(INDIRECT(""'FR Table'!"" &amp; vlookup(rows($A$1:$A1451),Reference!$O:$P,2,false) &amp; ""3:"" &amp; vlookup(rows($A$1:$A1451),Reference!$O:$P,2,false)), 
""SELECT "" &amp; vlookup(rows($A$1:$A1451),Reference!$O:$P,2,false) 
&amp; "" WHERE "" &amp; vlookup("&amp;"rows($A$1:$A1451),Reference!$O:$P,2,false) &amp;
"" &gt;= "" &amp; Reference!$R$2)) * M1452,"""")"),"")</f>
        <v/>
      </c>
      <c r="O1452" s="84" t="str">
        <f t="shared" si="2"/>
        <v/>
      </c>
    </row>
    <row r="1453">
      <c r="A1453" s="84"/>
      <c r="B1453" s="84"/>
      <c r="C1453" s="85"/>
      <c r="D1453" s="86"/>
      <c r="E1453" s="87"/>
      <c r="F1453" s="86"/>
      <c r="G1453" s="87"/>
      <c r="H1453" s="86"/>
      <c r="I1453" s="86"/>
      <c r="J1453" s="86"/>
      <c r="K1453" s="84"/>
      <c r="L1453" s="84"/>
      <c r="M1453" s="84"/>
      <c r="N1453" s="84" t="str">
        <f>IFERROR(__xludf.DUMMYFUNCTION("IFERROR(AVERAGE(query(INDIRECT(""'FR Table'!"" &amp; vlookup(rows($A$1:$A1452),Reference!$O:$P,2,false) &amp; ""3:"" &amp; vlookup(rows($A$1:$A1452),Reference!$O:$P,2,false)), 
""SELECT "" &amp; vlookup(rows($A$1:$A1452),Reference!$O:$P,2,false) 
&amp; "" WHERE "" &amp; vlookup("&amp;"rows($A$1:$A1452),Reference!$O:$P,2,false) &amp;
"" &gt;= "" &amp; Reference!$R$2)) * M1453,"""")"),"")</f>
        <v/>
      </c>
      <c r="O1453" s="84" t="str">
        <f t="shared" si="2"/>
        <v/>
      </c>
    </row>
    <row r="1454">
      <c r="A1454" s="84"/>
      <c r="B1454" s="84"/>
      <c r="C1454" s="85"/>
      <c r="D1454" s="86"/>
      <c r="E1454" s="87"/>
      <c r="F1454" s="86"/>
      <c r="G1454" s="87"/>
      <c r="H1454" s="86"/>
      <c r="I1454" s="86"/>
      <c r="J1454" s="86"/>
      <c r="K1454" s="84"/>
      <c r="L1454" s="84"/>
      <c r="M1454" s="84"/>
      <c r="N1454" s="84" t="str">
        <f>IFERROR(__xludf.DUMMYFUNCTION("IFERROR(AVERAGE(query(INDIRECT(""'FR Table'!"" &amp; vlookup(rows($A$1:$A1453),Reference!$O:$P,2,false) &amp; ""3:"" &amp; vlookup(rows($A$1:$A1453),Reference!$O:$P,2,false)), 
""SELECT "" &amp; vlookup(rows($A$1:$A1453),Reference!$O:$P,2,false) 
&amp; "" WHERE "" &amp; vlookup("&amp;"rows($A$1:$A1453),Reference!$O:$P,2,false) &amp;
"" &gt;= "" &amp; Reference!$R$2)) * M1454,"""")"),"")</f>
        <v/>
      </c>
      <c r="O1454" s="84" t="str">
        <f t="shared" si="2"/>
        <v/>
      </c>
    </row>
    <row r="1455">
      <c r="A1455" s="84"/>
      <c r="B1455" s="84"/>
      <c r="C1455" s="85"/>
      <c r="D1455" s="86"/>
      <c r="E1455" s="87"/>
      <c r="F1455" s="86"/>
      <c r="G1455" s="87"/>
      <c r="H1455" s="86"/>
      <c r="I1455" s="86"/>
      <c r="J1455" s="86"/>
      <c r="K1455" s="84"/>
      <c r="L1455" s="84"/>
      <c r="M1455" s="84"/>
      <c r="N1455" s="84" t="str">
        <f>IFERROR(__xludf.DUMMYFUNCTION("IFERROR(AVERAGE(query(INDIRECT(""'FR Table'!"" &amp; vlookup(rows($A$1:$A1454),Reference!$O:$P,2,false) &amp; ""3:"" &amp; vlookup(rows($A$1:$A1454),Reference!$O:$P,2,false)), 
""SELECT "" &amp; vlookup(rows($A$1:$A1454),Reference!$O:$P,2,false) 
&amp; "" WHERE "" &amp; vlookup("&amp;"rows($A$1:$A1454),Reference!$O:$P,2,false) &amp;
"" &gt;= "" &amp; Reference!$R$2)) * M1455,"""")"),"")</f>
        <v/>
      </c>
      <c r="O1455" s="84" t="str">
        <f t="shared" si="2"/>
        <v/>
      </c>
    </row>
    <row r="1456">
      <c r="A1456" s="84"/>
      <c r="B1456" s="84"/>
      <c r="C1456" s="85"/>
      <c r="D1456" s="86"/>
      <c r="E1456" s="87"/>
      <c r="F1456" s="86"/>
      <c r="G1456" s="87"/>
      <c r="H1456" s="86"/>
      <c r="I1456" s="86"/>
      <c r="J1456" s="86"/>
      <c r="K1456" s="84"/>
      <c r="L1456" s="84"/>
      <c r="M1456" s="84"/>
      <c r="N1456" s="84" t="str">
        <f>IFERROR(__xludf.DUMMYFUNCTION("IFERROR(AVERAGE(query(INDIRECT(""'FR Table'!"" &amp; vlookup(rows($A$1:$A1455),Reference!$O:$P,2,false) &amp; ""3:"" &amp; vlookup(rows($A$1:$A1455),Reference!$O:$P,2,false)), 
""SELECT "" &amp; vlookup(rows($A$1:$A1455),Reference!$O:$P,2,false) 
&amp; "" WHERE "" &amp; vlookup("&amp;"rows($A$1:$A1455),Reference!$O:$P,2,false) &amp;
"" &gt;= "" &amp; Reference!$R$2)) * M1456,"""")"),"")</f>
        <v/>
      </c>
      <c r="O1456" s="84" t="str">
        <f t="shared" si="2"/>
        <v/>
      </c>
    </row>
    <row r="1457">
      <c r="A1457" s="84"/>
      <c r="B1457" s="84"/>
      <c r="C1457" s="85"/>
      <c r="D1457" s="86"/>
      <c r="E1457" s="87"/>
      <c r="F1457" s="86"/>
      <c r="G1457" s="87"/>
      <c r="H1457" s="86"/>
      <c r="I1457" s="86"/>
      <c r="J1457" s="86"/>
      <c r="K1457" s="84"/>
      <c r="L1457" s="84"/>
      <c r="M1457" s="84"/>
      <c r="N1457" s="84" t="str">
        <f>IFERROR(__xludf.DUMMYFUNCTION("IFERROR(AVERAGE(query(INDIRECT(""'FR Table'!"" &amp; vlookup(rows($A$1:$A1456),Reference!$O:$P,2,false) &amp; ""3:"" &amp; vlookup(rows($A$1:$A1456),Reference!$O:$P,2,false)), 
""SELECT "" &amp; vlookup(rows($A$1:$A1456),Reference!$O:$P,2,false) 
&amp; "" WHERE "" &amp; vlookup("&amp;"rows($A$1:$A1456),Reference!$O:$P,2,false) &amp;
"" &gt;= "" &amp; Reference!$R$2)) * M1457,"""")"),"")</f>
        <v/>
      </c>
      <c r="O1457" s="84" t="str">
        <f t="shared" si="2"/>
        <v/>
      </c>
    </row>
    <row r="1458">
      <c r="A1458" s="84"/>
      <c r="B1458" s="84"/>
      <c r="C1458" s="85"/>
      <c r="D1458" s="86"/>
      <c r="E1458" s="87"/>
      <c r="F1458" s="86"/>
      <c r="G1458" s="87"/>
      <c r="H1458" s="86"/>
      <c r="I1458" s="86"/>
      <c r="J1458" s="86"/>
      <c r="K1458" s="84"/>
      <c r="L1458" s="84"/>
      <c r="M1458" s="84"/>
      <c r="N1458" s="84" t="str">
        <f>IFERROR(__xludf.DUMMYFUNCTION("IFERROR(AVERAGE(query(INDIRECT(""'FR Table'!"" &amp; vlookup(rows($A$1:$A1457),Reference!$O:$P,2,false) &amp; ""3:"" &amp; vlookup(rows($A$1:$A1457),Reference!$O:$P,2,false)), 
""SELECT "" &amp; vlookup(rows($A$1:$A1457),Reference!$O:$P,2,false) 
&amp; "" WHERE "" &amp; vlookup("&amp;"rows($A$1:$A1457),Reference!$O:$P,2,false) &amp;
"" &gt;= "" &amp; Reference!$R$2)) * M1458,"""")"),"")</f>
        <v/>
      </c>
      <c r="O1458" s="84" t="str">
        <f t="shared" si="2"/>
        <v/>
      </c>
    </row>
    <row r="1459">
      <c r="A1459" s="84"/>
      <c r="B1459" s="84"/>
      <c r="C1459" s="85"/>
      <c r="D1459" s="86"/>
      <c r="E1459" s="87"/>
      <c r="F1459" s="86"/>
      <c r="G1459" s="87"/>
      <c r="H1459" s="86"/>
      <c r="I1459" s="86"/>
      <c r="J1459" s="86"/>
      <c r="K1459" s="84"/>
      <c r="L1459" s="84"/>
      <c r="M1459" s="84"/>
      <c r="N1459" s="84" t="str">
        <f>IFERROR(__xludf.DUMMYFUNCTION("IFERROR(AVERAGE(query(INDIRECT(""'FR Table'!"" &amp; vlookup(rows($A$1:$A1458),Reference!$O:$P,2,false) &amp; ""3:"" &amp; vlookup(rows($A$1:$A1458),Reference!$O:$P,2,false)), 
""SELECT "" &amp; vlookup(rows($A$1:$A1458),Reference!$O:$P,2,false) 
&amp; "" WHERE "" &amp; vlookup("&amp;"rows($A$1:$A1458),Reference!$O:$P,2,false) &amp;
"" &gt;= "" &amp; Reference!$R$2)) * M1459,"""")"),"")</f>
        <v/>
      </c>
      <c r="O1459" s="84" t="str">
        <f t="shared" si="2"/>
        <v/>
      </c>
    </row>
    <row r="1460">
      <c r="A1460" s="84"/>
      <c r="B1460" s="84"/>
      <c r="C1460" s="85"/>
      <c r="D1460" s="86"/>
      <c r="E1460" s="87"/>
      <c r="F1460" s="86"/>
      <c r="G1460" s="87"/>
      <c r="H1460" s="86"/>
      <c r="I1460" s="86"/>
      <c r="J1460" s="86"/>
      <c r="K1460" s="84"/>
      <c r="L1460" s="84"/>
      <c r="M1460" s="84"/>
      <c r="N1460" s="84" t="str">
        <f>IFERROR(__xludf.DUMMYFUNCTION("IFERROR(AVERAGE(query(INDIRECT(""'FR Table'!"" &amp; vlookup(rows($A$1:$A1459),Reference!$O:$P,2,false) &amp; ""3:"" &amp; vlookup(rows($A$1:$A1459),Reference!$O:$P,2,false)), 
""SELECT "" &amp; vlookup(rows($A$1:$A1459),Reference!$O:$P,2,false) 
&amp; "" WHERE "" &amp; vlookup("&amp;"rows($A$1:$A1459),Reference!$O:$P,2,false) &amp;
"" &gt;= "" &amp; Reference!$R$2)) * M1460,"""")"),"")</f>
        <v/>
      </c>
      <c r="O1460" s="84" t="str">
        <f t="shared" si="2"/>
        <v/>
      </c>
    </row>
    <row r="1461">
      <c r="A1461" s="84"/>
      <c r="B1461" s="84"/>
      <c r="C1461" s="85"/>
      <c r="D1461" s="86"/>
      <c r="E1461" s="87"/>
      <c r="F1461" s="86"/>
      <c r="G1461" s="87"/>
      <c r="H1461" s="86"/>
      <c r="I1461" s="86"/>
      <c r="J1461" s="86"/>
      <c r="K1461" s="84"/>
      <c r="L1461" s="84"/>
      <c r="M1461" s="84"/>
      <c r="N1461" s="84" t="str">
        <f>IFERROR(__xludf.DUMMYFUNCTION("IFERROR(AVERAGE(query(INDIRECT(""'FR Table'!"" &amp; vlookup(rows($A$1:$A1460),Reference!$O:$P,2,false) &amp; ""3:"" &amp; vlookup(rows($A$1:$A1460),Reference!$O:$P,2,false)), 
""SELECT "" &amp; vlookup(rows($A$1:$A1460),Reference!$O:$P,2,false) 
&amp; "" WHERE "" &amp; vlookup("&amp;"rows($A$1:$A1460),Reference!$O:$P,2,false) &amp;
"" &gt;= "" &amp; Reference!$R$2)) * M1461,"""")"),"")</f>
        <v/>
      </c>
      <c r="O1461" s="84" t="str">
        <f t="shared" si="2"/>
        <v/>
      </c>
    </row>
    <row r="1462">
      <c r="A1462" s="84"/>
      <c r="B1462" s="84"/>
      <c r="C1462" s="85"/>
      <c r="D1462" s="86"/>
      <c r="E1462" s="87"/>
      <c r="F1462" s="86"/>
      <c r="G1462" s="87"/>
      <c r="H1462" s="86"/>
      <c r="I1462" s="86"/>
      <c r="J1462" s="86"/>
      <c r="K1462" s="84"/>
      <c r="L1462" s="84"/>
      <c r="M1462" s="84"/>
      <c r="N1462" s="84" t="str">
        <f>IFERROR(__xludf.DUMMYFUNCTION("IFERROR(AVERAGE(query(INDIRECT(""'FR Table'!"" &amp; vlookup(rows($A$1:$A1461),Reference!$O:$P,2,false) &amp; ""3:"" &amp; vlookup(rows($A$1:$A1461),Reference!$O:$P,2,false)), 
""SELECT "" &amp; vlookup(rows($A$1:$A1461),Reference!$O:$P,2,false) 
&amp; "" WHERE "" &amp; vlookup("&amp;"rows($A$1:$A1461),Reference!$O:$P,2,false) &amp;
"" &gt;= "" &amp; Reference!$R$2)) * M1462,"""")"),"")</f>
        <v/>
      </c>
      <c r="O1462" s="84" t="str">
        <f t="shared" si="2"/>
        <v/>
      </c>
    </row>
    <row r="1463">
      <c r="A1463" s="84"/>
      <c r="B1463" s="84"/>
      <c r="C1463" s="85"/>
      <c r="D1463" s="86"/>
      <c r="E1463" s="87"/>
      <c r="F1463" s="86"/>
      <c r="G1463" s="87"/>
      <c r="H1463" s="86"/>
      <c r="I1463" s="86"/>
      <c r="J1463" s="86"/>
      <c r="K1463" s="84"/>
      <c r="L1463" s="84"/>
      <c r="M1463" s="84"/>
      <c r="N1463" s="84" t="str">
        <f>IFERROR(__xludf.DUMMYFUNCTION("IFERROR(AVERAGE(query(INDIRECT(""'FR Table'!"" &amp; vlookup(rows($A$1:$A1462),Reference!$O:$P,2,false) &amp; ""3:"" &amp; vlookup(rows($A$1:$A1462),Reference!$O:$P,2,false)), 
""SELECT "" &amp; vlookup(rows($A$1:$A1462),Reference!$O:$P,2,false) 
&amp; "" WHERE "" &amp; vlookup("&amp;"rows($A$1:$A1462),Reference!$O:$P,2,false) &amp;
"" &gt;= "" &amp; Reference!$R$2)) * M1463,"""")"),"")</f>
        <v/>
      </c>
      <c r="O1463" s="84" t="str">
        <f t="shared" si="2"/>
        <v/>
      </c>
    </row>
    <row r="1464">
      <c r="A1464" s="84"/>
      <c r="B1464" s="84"/>
      <c r="C1464" s="85"/>
      <c r="D1464" s="86"/>
      <c r="E1464" s="87"/>
      <c r="F1464" s="86"/>
      <c r="G1464" s="87"/>
      <c r="H1464" s="86"/>
      <c r="I1464" s="86"/>
      <c r="J1464" s="86"/>
      <c r="K1464" s="84"/>
      <c r="L1464" s="84"/>
      <c r="M1464" s="84"/>
      <c r="N1464" s="84" t="str">
        <f>IFERROR(__xludf.DUMMYFUNCTION("IFERROR(AVERAGE(query(INDIRECT(""'FR Table'!"" &amp; vlookup(rows($A$1:$A1463),Reference!$O:$P,2,false) &amp; ""3:"" &amp; vlookup(rows($A$1:$A1463),Reference!$O:$P,2,false)), 
""SELECT "" &amp; vlookup(rows($A$1:$A1463),Reference!$O:$P,2,false) 
&amp; "" WHERE "" &amp; vlookup("&amp;"rows($A$1:$A1463),Reference!$O:$P,2,false) &amp;
"" &gt;= "" &amp; Reference!$R$2)) * M1464,"""")"),"")</f>
        <v/>
      </c>
      <c r="O1464" s="84" t="str">
        <f t="shared" si="2"/>
        <v/>
      </c>
    </row>
    <row r="1465">
      <c r="A1465" s="84"/>
      <c r="B1465" s="84"/>
      <c r="C1465" s="85"/>
      <c r="D1465" s="86"/>
      <c r="E1465" s="87"/>
      <c r="F1465" s="86"/>
      <c r="G1465" s="87"/>
      <c r="H1465" s="86"/>
      <c r="I1465" s="86"/>
      <c r="J1465" s="86"/>
      <c r="K1465" s="84"/>
      <c r="L1465" s="84"/>
      <c r="M1465" s="84"/>
      <c r="N1465" s="84" t="str">
        <f>IFERROR(__xludf.DUMMYFUNCTION("IFERROR(AVERAGE(query(INDIRECT(""'FR Table'!"" &amp; vlookup(rows($A$1:$A1464),Reference!$O:$P,2,false) &amp; ""3:"" &amp; vlookup(rows($A$1:$A1464),Reference!$O:$P,2,false)), 
""SELECT "" &amp; vlookup(rows($A$1:$A1464),Reference!$O:$P,2,false) 
&amp; "" WHERE "" &amp; vlookup("&amp;"rows($A$1:$A1464),Reference!$O:$P,2,false) &amp;
"" &gt;= "" &amp; Reference!$R$2)) * M1465,"""")"),"")</f>
        <v/>
      </c>
      <c r="O1465" s="84" t="str">
        <f t="shared" si="2"/>
        <v/>
      </c>
    </row>
    <row r="1466">
      <c r="A1466" s="84"/>
      <c r="B1466" s="84"/>
      <c r="C1466" s="85"/>
      <c r="D1466" s="86"/>
      <c r="E1466" s="87"/>
      <c r="F1466" s="86"/>
      <c r="G1466" s="87"/>
      <c r="H1466" s="86"/>
      <c r="I1466" s="86"/>
      <c r="J1466" s="86"/>
      <c r="K1466" s="84"/>
      <c r="L1466" s="84"/>
      <c r="M1466" s="84"/>
      <c r="N1466" s="84" t="str">
        <f>IFERROR(__xludf.DUMMYFUNCTION("IFERROR(AVERAGE(query(INDIRECT(""'FR Table'!"" &amp; vlookup(rows($A$1:$A1465),Reference!$O:$P,2,false) &amp; ""3:"" &amp; vlookup(rows($A$1:$A1465),Reference!$O:$P,2,false)), 
""SELECT "" &amp; vlookup(rows($A$1:$A1465),Reference!$O:$P,2,false) 
&amp; "" WHERE "" &amp; vlookup("&amp;"rows($A$1:$A1465),Reference!$O:$P,2,false) &amp;
"" &gt;= "" &amp; Reference!$R$2)) * M1466,"""")"),"")</f>
        <v/>
      </c>
      <c r="O1466" s="84" t="str">
        <f t="shared" si="2"/>
        <v/>
      </c>
    </row>
    <row r="1467">
      <c r="A1467" s="84"/>
      <c r="B1467" s="84"/>
      <c r="C1467" s="85"/>
      <c r="D1467" s="86"/>
      <c r="E1467" s="87"/>
      <c r="F1467" s="86"/>
      <c r="G1467" s="87"/>
      <c r="H1467" s="86"/>
      <c r="I1467" s="86"/>
      <c r="J1467" s="86"/>
      <c r="K1467" s="84"/>
      <c r="L1467" s="84"/>
      <c r="M1467" s="84"/>
      <c r="N1467" s="84" t="str">
        <f>IFERROR(__xludf.DUMMYFUNCTION("IFERROR(AVERAGE(query(INDIRECT(""'FR Table'!"" &amp; vlookup(rows($A$1:$A1466),Reference!$O:$P,2,false) &amp; ""3:"" &amp; vlookup(rows($A$1:$A1466),Reference!$O:$P,2,false)), 
""SELECT "" &amp; vlookup(rows($A$1:$A1466),Reference!$O:$P,2,false) 
&amp; "" WHERE "" &amp; vlookup("&amp;"rows($A$1:$A1466),Reference!$O:$P,2,false) &amp;
"" &gt;= "" &amp; Reference!$R$2)) * M1467,"""")"),"")</f>
        <v/>
      </c>
      <c r="O1467" s="84" t="str">
        <f t="shared" si="2"/>
        <v/>
      </c>
    </row>
    <row r="1468">
      <c r="A1468" s="84"/>
      <c r="B1468" s="84"/>
      <c r="C1468" s="85"/>
      <c r="D1468" s="86"/>
      <c r="E1468" s="87"/>
      <c r="F1468" s="86"/>
      <c r="G1468" s="87"/>
      <c r="H1468" s="86"/>
      <c r="I1468" s="86"/>
      <c r="J1468" s="86"/>
      <c r="K1468" s="84"/>
      <c r="L1468" s="84"/>
      <c r="M1468" s="84"/>
      <c r="N1468" s="84" t="str">
        <f>IFERROR(__xludf.DUMMYFUNCTION("IFERROR(AVERAGE(query(INDIRECT(""'FR Table'!"" &amp; vlookup(rows($A$1:$A1467),Reference!$O:$P,2,false) &amp; ""3:"" &amp; vlookup(rows($A$1:$A1467),Reference!$O:$P,2,false)), 
""SELECT "" &amp; vlookup(rows($A$1:$A1467),Reference!$O:$P,2,false) 
&amp; "" WHERE "" &amp; vlookup("&amp;"rows($A$1:$A1467),Reference!$O:$P,2,false) &amp;
"" &gt;= "" &amp; Reference!$R$2)) * M1468,"""")"),"")</f>
        <v/>
      </c>
      <c r="O1468" s="84" t="str">
        <f t="shared" si="2"/>
        <v/>
      </c>
    </row>
    <row r="1469">
      <c r="A1469" s="84"/>
      <c r="B1469" s="84"/>
      <c r="C1469" s="85"/>
      <c r="D1469" s="86"/>
      <c r="E1469" s="87"/>
      <c r="F1469" s="86"/>
      <c r="G1469" s="87"/>
      <c r="H1469" s="86"/>
      <c r="I1469" s="86"/>
      <c r="J1469" s="86"/>
      <c r="K1469" s="84"/>
      <c r="L1469" s="84"/>
      <c r="M1469" s="84"/>
      <c r="N1469" s="84" t="str">
        <f>IFERROR(__xludf.DUMMYFUNCTION("IFERROR(AVERAGE(query(INDIRECT(""'FR Table'!"" &amp; vlookup(rows($A$1:$A1468),Reference!$O:$P,2,false) &amp; ""3:"" &amp; vlookup(rows($A$1:$A1468),Reference!$O:$P,2,false)), 
""SELECT "" &amp; vlookup(rows($A$1:$A1468),Reference!$O:$P,2,false) 
&amp; "" WHERE "" &amp; vlookup("&amp;"rows($A$1:$A1468),Reference!$O:$P,2,false) &amp;
"" &gt;= "" &amp; Reference!$R$2)) * M1469,"""")"),"")</f>
        <v/>
      </c>
      <c r="O1469" s="84" t="str">
        <f t="shared" si="2"/>
        <v/>
      </c>
    </row>
    <row r="1470">
      <c r="A1470" s="84"/>
      <c r="B1470" s="84"/>
      <c r="C1470" s="85"/>
      <c r="D1470" s="86"/>
      <c r="E1470" s="87"/>
      <c r="F1470" s="86"/>
      <c r="G1470" s="87"/>
      <c r="H1470" s="86"/>
      <c r="I1470" s="86"/>
      <c r="J1470" s="86"/>
      <c r="K1470" s="84"/>
      <c r="L1470" s="84"/>
      <c r="M1470" s="84"/>
      <c r="N1470" s="84" t="str">
        <f>IFERROR(__xludf.DUMMYFUNCTION("IFERROR(AVERAGE(query(INDIRECT(""'FR Table'!"" &amp; vlookup(rows($A$1:$A1469),Reference!$O:$P,2,false) &amp; ""3:"" &amp; vlookup(rows($A$1:$A1469),Reference!$O:$P,2,false)), 
""SELECT "" &amp; vlookup(rows($A$1:$A1469),Reference!$O:$P,2,false) 
&amp; "" WHERE "" &amp; vlookup("&amp;"rows($A$1:$A1469),Reference!$O:$P,2,false) &amp;
"" &gt;= "" &amp; Reference!$R$2)) * M1470,"""")"),"")</f>
        <v/>
      </c>
      <c r="O1470" s="84" t="str">
        <f t="shared" si="2"/>
        <v/>
      </c>
    </row>
    <row r="1471">
      <c r="A1471" s="84"/>
      <c r="B1471" s="84"/>
      <c r="C1471" s="85"/>
      <c r="D1471" s="86"/>
      <c r="E1471" s="87"/>
      <c r="F1471" s="86"/>
      <c r="G1471" s="87"/>
      <c r="H1471" s="86"/>
      <c r="I1471" s="86"/>
      <c r="J1471" s="86"/>
      <c r="K1471" s="84"/>
      <c r="L1471" s="84"/>
      <c r="M1471" s="84"/>
      <c r="N1471" s="84" t="str">
        <f>IFERROR(__xludf.DUMMYFUNCTION("IFERROR(AVERAGE(query(INDIRECT(""'FR Table'!"" &amp; vlookup(rows($A$1:$A1470),Reference!$O:$P,2,false) &amp; ""3:"" &amp; vlookup(rows($A$1:$A1470),Reference!$O:$P,2,false)), 
""SELECT "" &amp; vlookup(rows($A$1:$A1470),Reference!$O:$P,2,false) 
&amp; "" WHERE "" &amp; vlookup("&amp;"rows($A$1:$A1470),Reference!$O:$P,2,false) &amp;
"" &gt;= "" &amp; Reference!$R$2)) * M1471,"""")"),"")</f>
        <v/>
      </c>
      <c r="O1471" s="84" t="str">
        <f t="shared" si="2"/>
        <v/>
      </c>
    </row>
    <row r="1472">
      <c r="A1472" s="84"/>
      <c r="B1472" s="84"/>
      <c r="C1472" s="85"/>
      <c r="D1472" s="86"/>
      <c r="E1472" s="87"/>
      <c r="F1472" s="86"/>
      <c r="G1472" s="87"/>
      <c r="H1472" s="86"/>
      <c r="I1472" s="86"/>
      <c r="J1472" s="86"/>
      <c r="K1472" s="84"/>
      <c r="L1472" s="84"/>
      <c r="M1472" s="84"/>
      <c r="N1472" s="84" t="str">
        <f>IFERROR(__xludf.DUMMYFUNCTION("IFERROR(AVERAGE(query(INDIRECT(""'FR Table'!"" &amp; vlookup(rows($A$1:$A1471),Reference!$O:$P,2,false) &amp; ""3:"" &amp; vlookup(rows($A$1:$A1471),Reference!$O:$P,2,false)), 
""SELECT "" &amp; vlookup(rows($A$1:$A1471),Reference!$O:$P,2,false) 
&amp; "" WHERE "" &amp; vlookup("&amp;"rows($A$1:$A1471),Reference!$O:$P,2,false) &amp;
"" &gt;= "" &amp; Reference!$R$2)) * M1472,"""")"),"")</f>
        <v/>
      </c>
      <c r="O1472" s="84" t="str">
        <f t="shared" si="2"/>
        <v/>
      </c>
    </row>
    <row r="1473">
      <c r="A1473" s="84"/>
      <c r="B1473" s="84"/>
      <c r="C1473" s="85"/>
      <c r="D1473" s="86"/>
      <c r="E1473" s="87"/>
      <c r="F1473" s="86"/>
      <c r="G1473" s="87"/>
      <c r="H1473" s="86"/>
      <c r="I1473" s="86"/>
      <c r="J1473" s="86"/>
      <c r="K1473" s="84"/>
      <c r="L1473" s="84"/>
      <c r="M1473" s="84"/>
      <c r="N1473" s="84" t="str">
        <f>IFERROR(__xludf.DUMMYFUNCTION("IFERROR(AVERAGE(query(INDIRECT(""'FR Table'!"" &amp; vlookup(rows($A$1:$A1472),Reference!$O:$P,2,false) &amp; ""3:"" &amp; vlookup(rows($A$1:$A1472),Reference!$O:$P,2,false)), 
""SELECT "" &amp; vlookup(rows($A$1:$A1472),Reference!$O:$P,2,false) 
&amp; "" WHERE "" &amp; vlookup("&amp;"rows($A$1:$A1472),Reference!$O:$P,2,false) &amp;
"" &gt;= "" &amp; Reference!$R$2)) * M1473,"""")"),"")</f>
        <v/>
      </c>
      <c r="O1473" s="84" t="str">
        <f t="shared" si="2"/>
        <v/>
      </c>
    </row>
    <row r="1474">
      <c r="A1474" s="84"/>
      <c r="B1474" s="84"/>
      <c r="C1474" s="85"/>
      <c r="D1474" s="86"/>
      <c r="E1474" s="87"/>
      <c r="F1474" s="86"/>
      <c r="G1474" s="87"/>
      <c r="H1474" s="86"/>
      <c r="I1474" s="86"/>
      <c r="J1474" s="86"/>
      <c r="K1474" s="84"/>
      <c r="L1474" s="84"/>
      <c r="M1474" s="84"/>
      <c r="N1474" s="84" t="str">
        <f>IFERROR(__xludf.DUMMYFUNCTION("IFERROR(AVERAGE(query(INDIRECT(""'FR Table'!"" &amp; vlookup(rows($A$1:$A1473),Reference!$O:$P,2,false) &amp; ""3:"" &amp; vlookup(rows($A$1:$A1473),Reference!$O:$P,2,false)), 
""SELECT "" &amp; vlookup(rows($A$1:$A1473),Reference!$O:$P,2,false) 
&amp; "" WHERE "" &amp; vlookup("&amp;"rows($A$1:$A1473),Reference!$O:$P,2,false) &amp;
"" &gt;= "" &amp; Reference!$R$2)) * M1474,"""")"),"")</f>
        <v/>
      </c>
      <c r="O1474" s="84" t="str">
        <f t="shared" si="2"/>
        <v/>
      </c>
    </row>
    <row r="1475">
      <c r="A1475" s="84"/>
      <c r="B1475" s="84"/>
      <c r="C1475" s="85"/>
      <c r="D1475" s="86"/>
      <c r="E1475" s="87"/>
      <c r="F1475" s="86"/>
      <c r="G1475" s="87"/>
      <c r="H1475" s="86"/>
      <c r="I1475" s="86"/>
      <c r="J1475" s="86"/>
      <c r="K1475" s="84"/>
      <c r="L1475" s="84"/>
      <c r="M1475" s="84"/>
      <c r="N1475" s="84" t="str">
        <f>IFERROR(__xludf.DUMMYFUNCTION("IFERROR(AVERAGE(query(INDIRECT(""'FR Table'!"" &amp; vlookup(rows($A$1:$A1474),Reference!$O:$P,2,false) &amp; ""3:"" &amp; vlookup(rows($A$1:$A1474),Reference!$O:$P,2,false)), 
""SELECT "" &amp; vlookup(rows($A$1:$A1474),Reference!$O:$P,2,false) 
&amp; "" WHERE "" &amp; vlookup("&amp;"rows($A$1:$A1474),Reference!$O:$P,2,false) &amp;
"" &gt;= "" &amp; Reference!$R$2)) * M1475,"""")"),"")</f>
        <v/>
      </c>
      <c r="O1475" s="84" t="str">
        <f t="shared" si="2"/>
        <v/>
      </c>
    </row>
    <row r="1476">
      <c r="A1476" s="84"/>
      <c r="B1476" s="84"/>
      <c r="C1476" s="85"/>
      <c r="D1476" s="86"/>
      <c r="E1476" s="87"/>
      <c r="F1476" s="86"/>
      <c r="G1476" s="87"/>
      <c r="H1476" s="86"/>
      <c r="I1476" s="86"/>
      <c r="J1476" s="86"/>
      <c r="K1476" s="84"/>
      <c r="L1476" s="84"/>
      <c r="M1476" s="84"/>
      <c r="N1476" s="84" t="str">
        <f>IFERROR(__xludf.DUMMYFUNCTION("IFERROR(AVERAGE(query(INDIRECT(""'FR Table'!"" &amp; vlookup(rows($A$1:$A1475),Reference!$O:$P,2,false) &amp; ""3:"" &amp; vlookup(rows($A$1:$A1475),Reference!$O:$P,2,false)), 
""SELECT "" &amp; vlookup(rows($A$1:$A1475),Reference!$O:$P,2,false) 
&amp; "" WHERE "" &amp; vlookup("&amp;"rows($A$1:$A1475),Reference!$O:$P,2,false) &amp;
"" &gt;= "" &amp; Reference!$R$2)) * M1476,"""")"),"")</f>
        <v/>
      </c>
      <c r="O1476" s="84" t="str">
        <f t="shared" si="2"/>
        <v/>
      </c>
    </row>
    <row r="1477">
      <c r="A1477" s="84"/>
      <c r="B1477" s="84"/>
      <c r="C1477" s="85"/>
      <c r="D1477" s="86"/>
      <c r="E1477" s="87"/>
      <c r="F1477" s="86"/>
      <c r="G1477" s="87"/>
      <c r="H1477" s="86"/>
      <c r="I1477" s="86"/>
      <c r="J1477" s="86"/>
      <c r="K1477" s="84"/>
      <c r="L1477" s="84"/>
      <c r="M1477" s="84"/>
      <c r="N1477" s="84" t="str">
        <f>IFERROR(__xludf.DUMMYFUNCTION("IFERROR(AVERAGE(query(INDIRECT(""'FR Table'!"" &amp; vlookup(rows($A$1:$A1476),Reference!$O:$P,2,false) &amp; ""3:"" &amp; vlookup(rows($A$1:$A1476),Reference!$O:$P,2,false)), 
""SELECT "" &amp; vlookup(rows($A$1:$A1476),Reference!$O:$P,2,false) 
&amp; "" WHERE "" &amp; vlookup("&amp;"rows($A$1:$A1476),Reference!$O:$P,2,false) &amp;
"" &gt;= "" &amp; Reference!$R$2)) * M1477,"""")"),"")</f>
        <v/>
      </c>
      <c r="O1477" s="84" t="str">
        <f t="shared" si="2"/>
        <v/>
      </c>
    </row>
    <row r="1478">
      <c r="A1478" s="84"/>
      <c r="B1478" s="84"/>
      <c r="C1478" s="85"/>
      <c r="D1478" s="86"/>
      <c r="E1478" s="87"/>
      <c r="F1478" s="86"/>
      <c r="G1478" s="87"/>
      <c r="H1478" s="86"/>
      <c r="I1478" s="86"/>
      <c r="J1478" s="86"/>
      <c r="K1478" s="84"/>
      <c r="L1478" s="84"/>
      <c r="M1478" s="84"/>
      <c r="N1478" s="84" t="str">
        <f>IFERROR(__xludf.DUMMYFUNCTION("IFERROR(AVERAGE(query(INDIRECT(""'FR Table'!"" &amp; vlookup(rows($A$1:$A1477),Reference!$O:$P,2,false) &amp; ""3:"" &amp; vlookup(rows($A$1:$A1477),Reference!$O:$P,2,false)), 
""SELECT "" &amp; vlookup(rows($A$1:$A1477),Reference!$O:$P,2,false) 
&amp; "" WHERE "" &amp; vlookup("&amp;"rows($A$1:$A1477),Reference!$O:$P,2,false) &amp;
"" &gt;= "" &amp; Reference!$R$2)) * M1478,"""")"),"")</f>
        <v/>
      </c>
      <c r="O1478" s="84" t="str">
        <f t="shared" si="2"/>
        <v/>
      </c>
    </row>
    <row r="1479">
      <c r="A1479" s="84"/>
      <c r="B1479" s="84"/>
      <c r="C1479" s="85"/>
      <c r="D1479" s="86"/>
      <c r="E1479" s="87"/>
      <c r="F1479" s="86"/>
      <c r="G1479" s="87"/>
      <c r="H1479" s="86"/>
      <c r="I1479" s="86"/>
      <c r="J1479" s="86"/>
      <c r="K1479" s="84"/>
      <c r="L1479" s="84"/>
      <c r="M1479" s="84"/>
      <c r="N1479" s="84" t="str">
        <f>IFERROR(__xludf.DUMMYFUNCTION("IFERROR(AVERAGE(query(INDIRECT(""'FR Table'!"" &amp; vlookup(rows($A$1:$A1478),Reference!$O:$P,2,false) &amp; ""3:"" &amp; vlookup(rows($A$1:$A1478),Reference!$O:$P,2,false)), 
""SELECT "" &amp; vlookup(rows($A$1:$A1478),Reference!$O:$P,2,false) 
&amp; "" WHERE "" &amp; vlookup("&amp;"rows($A$1:$A1478),Reference!$O:$P,2,false) &amp;
"" &gt;= "" &amp; Reference!$R$2)) * M1479,"""")"),"")</f>
        <v/>
      </c>
      <c r="O1479" s="84" t="str">
        <f t="shared" si="2"/>
        <v/>
      </c>
    </row>
    <row r="1480">
      <c r="A1480" s="84"/>
      <c r="B1480" s="84"/>
      <c r="C1480" s="85"/>
      <c r="D1480" s="86"/>
      <c r="E1480" s="87"/>
      <c r="F1480" s="86"/>
      <c r="G1480" s="87"/>
      <c r="H1480" s="86"/>
      <c r="I1480" s="86"/>
      <c r="J1480" s="86"/>
      <c r="K1480" s="84"/>
      <c r="L1480" s="84"/>
      <c r="M1480" s="84"/>
      <c r="N1480" s="84" t="str">
        <f>IFERROR(__xludf.DUMMYFUNCTION("IFERROR(AVERAGE(query(INDIRECT(""'FR Table'!"" &amp; vlookup(rows($A$1:$A1479),Reference!$O:$P,2,false) &amp; ""3:"" &amp; vlookup(rows($A$1:$A1479),Reference!$O:$P,2,false)), 
""SELECT "" &amp; vlookup(rows($A$1:$A1479),Reference!$O:$P,2,false) 
&amp; "" WHERE "" &amp; vlookup("&amp;"rows($A$1:$A1479),Reference!$O:$P,2,false) &amp;
"" &gt;= "" &amp; Reference!$R$2)) * M1480,"""")"),"")</f>
        <v/>
      </c>
      <c r="O1480" s="84" t="str">
        <f t="shared" si="2"/>
        <v/>
      </c>
    </row>
    <row r="1481">
      <c r="A1481" s="84"/>
      <c r="B1481" s="84"/>
      <c r="C1481" s="85"/>
      <c r="D1481" s="86"/>
      <c r="E1481" s="87"/>
      <c r="F1481" s="86"/>
      <c r="G1481" s="87"/>
      <c r="H1481" s="86"/>
      <c r="I1481" s="86"/>
      <c r="J1481" s="86"/>
      <c r="K1481" s="84"/>
      <c r="L1481" s="84"/>
      <c r="M1481" s="84"/>
      <c r="N1481" s="84" t="str">
        <f>IFERROR(__xludf.DUMMYFUNCTION("IFERROR(AVERAGE(query(INDIRECT(""'FR Table'!"" &amp; vlookup(rows($A$1:$A1480),Reference!$O:$P,2,false) &amp; ""3:"" &amp; vlookup(rows($A$1:$A1480),Reference!$O:$P,2,false)), 
""SELECT "" &amp; vlookup(rows($A$1:$A1480),Reference!$O:$P,2,false) 
&amp; "" WHERE "" &amp; vlookup("&amp;"rows($A$1:$A1480),Reference!$O:$P,2,false) &amp;
"" &gt;= "" &amp; Reference!$R$2)) * M1481,"""")"),"")</f>
        <v/>
      </c>
      <c r="O1481" s="84" t="str">
        <f t="shared" si="2"/>
        <v/>
      </c>
    </row>
    <row r="1482">
      <c r="A1482" s="84"/>
      <c r="B1482" s="84"/>
      <c r="C1482" s="85"/>
      <c r="D1482" s="86"/>
      <c r="E1482" s="87"/>
      <c r="F1482" s="86"/>
      <c r="G1482" s="87"/>
      <c r="H1482" s="86"/>
      <c r="I1482" s="86"/>
      <c r="J1482" s="86"/>
      <c r="K1482" s="84"/>
      <c r="L1482" s="84"/>
      <c r="M1482" s="84"/>
      <c r="N1482" s="84" t="str">
        <f>IFERROR(__xludf.DUMMYFUNCTION("IFERROR(AVERAGE(query(INDIRECT(""'FR Table'!"" &amp; vlookup(rows($A$1:$A1481),Reference!$O:$P,2,false) &amp; ""3:"" &amp; vlookup(rows($A$1:$A1481),Reference!$O:$P,2,false)), 
""SELECT "" &amp; vlookup(rows($A$1:$A1481),Reference!$O:$P,2,false) 
&amp; "" WHERE "" &amp; vlookup("&amp;"rows($A$1:$A1481),Reference!$O:$P,2,false) &amp;
"" &gt;= "" &amp; Reference!$R$2)) * M1482,"""")"),"")</f>
        <v/>
      </c>
      <c r="O1482" s="84" t="str">
        <f t="shared" si="2"/>
        <v/>
      </c>
    </row>
    <row r="1483">
      <c r="A1483" s="84"/>
      <c r="B1483" s="84"/>
      <c r="C1483" s="85"/>
      <c r="D1483" s="86"/>
      <c r="E1483" s="87"/>
      <c r="F1483" s="86"/>
      <c r="G1483" s="87"/>
      <c r="H1483" s="86"/>
      <c r="I1483" s="86"/>
      <c r="J1483" s="86"/>
      <c r="K1483" s="84"/>
      <c r="L1483" s="84"/>
      <c r="M1483" s="84"/>
      <c r="N1483" s="84" t="str">
        <f>IFERROR(__xludf.DUMMYFUNCTION("IFERROR(AVERAGE(query(INDIRECT(""'FR Table'!"" &amp; vlookup(rows($A$1:$A1482),Reference!$O:$P,2,false) &amp; ""3:"" &amp; vlookup(rows($A$1:$A1482),Reference!$O:$P,2,false)), 
""SELECT "" &amp; vlookup(rows($A$1:$A1482),Reference!$O:$P,2,false) 
&amp; "" WHERE "" &amp; vlookup("&amp;"rows($A$1:$A1482),Reference!$O:$P,2,false) &amp;
"" &gt;= "" &amp; Reference!$R$2)) * M1483,"""")"),"")</f>
        <v/>
      </c>
      <c r="O1483" s="84" t="str">
        <f t="shared" si="2"/>
        <v/>
      </c>
    </row>
    <row r="1484">
      <c r="A1484" s="84"/>
      <c r="B1484" s="84"/>
      <c r="C1484" s="85"/>
      <c r="D1484" s="86"/>
      <c r="E1484" s="87"/>
      <c r="F1484" s="86"/>
      <c r="G1484" s="87"/>
      <c r="H1484" s="86"/>
      <c r="I1484" s="86"/>
      <c r="J1484" s="86"/>
      <c r="K1484" s="84"/>
      <c r="L1484" s="84"/>
      <c r="M1484" s="84"/>
      <c r="N1484" s="84" t="str">
        <f>IFERROR(__xludf.DUMMYFUNCTION("IFERROR(AVERAGE(query(INDIRECT(""'FR Table'!"" &amp; vlookup(rows($A$1:$A1483),Reference!$O:$P,2,false) &amp; ""3:"" &amp; vlookup(rows($A$1:$A1483),Reference!$O:$P,2,false)), 
""SELECT "" &amp; vlookup(rows($A$1:$A1483),Reference!$O:$P,2,false) 
&amp; "" WHERE "" &amp; vlookup("&amp;"rows($A$1:$A1483),Reference!$O:$P,2,false) &amp;
"" &gt;= "" &amp; Reference!$R$2)) * M1484,"""")"),"")</f>
        <v/>
      </c>
      <c r="O1484" s="84" t="str">
        <f t="shared" si="2"/>
        <v/>
      </c>
    </row>
    <row r="1485">
      <c r="A1485" s="84"/>
      <c r="B1485" s="84"/>
      <c r="C1485" s="85"/>
      <c r="D1485" s="86"/>
      <c r="E1485" s="87"/>
      <c r="F1485" s="86"/>
      <c r="G1485" s="87"/>
      <c r="H1485" s="86"/>
      <c r="I1485" s="86"/>
      <c r="J1485" s="86"/>
      <c r="K1485" s="84"/>
      <c r="L1485" s="84"/>
      <c r="M1485" s="84"/>
      <c r="N1485" s="84" t="str">
        <f>IFERROR(__xludf.DUMMYFUNCTION("IFERROR(AVERAGE(query(INDIRECT(""'FR Table'!"" &amp; vlookup(rows($A$1:$A1484),Reference!$O:$P,2,false) &amp; ""3:"" &amp; vlookup(rows($A$1:$A1484),Reference!$O:$P,2,false)), 
""SELECT "" &amp; vlookup(rows($A$1:$A1484),Reference!$O:$P,2,false) 
&amp; "" WHERE "" &amp; vlookup("&amp;"rows($A$1:$A1484),Reference!$O:$P,2,false) &amp;
"" &gt;= "" &amp; Reference!$R$2)) * M1485,"""")"),"")</f>
        <v/>
      </c>
      <c r="O1485" s="84" t="str">
        <f t="shared" si="2"/>
        <v/>
      </c>
    </row>
    <row r="1486">
      <c r="A1486" s="84"/>
      <c r="B1486" s="84"/>
      <c r="C1486" s="85"/>
      <c r="D1486" s="86"/>
      <c r="E1486" s="87"/>
      <c r="F1486" s="86"/>
      <c r="G1486" s="87"/>
      <c r="H1486" s="86"/>
      <c r="I1486" s="86"/>
      <c r="J1486" s="86"/>
      <c r="K1486" s="84"/>
      <c r="L1486" s="84"/>
      <c r="M1486" s="84"/>
      <c r="N1486" s="84" t="str">
        <f>IFERROR(__xludf.DUMMYFUNCTION("IFERROR(AVERAGE(query(INDIRECT(""'FR Table'!"" &amp; vlookup(rows($A$1:$A1485),Reference!$O:$P,2,false) &amp; ""3:"" &amp; vlookup(rows($A$1:$A1485),Reference!$O:$P,2,false)), 
""SELECT "" &amp; vlookup(rows($A$1:$A1485),Reference!$O:$P,2,false) 
&amp; "" WHERE "" &amp; vlookup("&amp;"rows($A$1:$A1485),Reference!$O:$P,2,false) &amp;
"" &gt;= "" &amp; Reference!$R$2)) * M1486,"""")"),"")</f>
        <v/>
      </c>
      <c r="O1486" s="84" t="str">
        <f t="shared" si="2"/>
        <v/>
      </c>
    </row>
    <row r="1487">
      <c r="A1487" s="84"/>
      <c r="B1487" s="84"/>
      <c r="C1487" s="85"/>
      <c r="D1487" s="86"/>
      <c r="E1487" s="87"/>
      <c r="F1487" s="86"/>
      <c r="G1487" s="87"/>
      <c r="H1487" s="86"/>
      <c r="I1487" s="86"/>
      <c r="J1487" s="86"/>
      <c r="K1487" s="84"/>
      <c r="L1487" s="84"/>
      <c r="M1487" s="84"/>
      <c r="N1487" s="84" t="str">
        <f>IFERROR(__xludf.DUMMYFUNCTION("IFERROR(AVERAGE(query(INDIRECT(""'FR Table'!"" &amp; vlookup(rows($A$1:$A1486),Reference!$O:$P,2,false) &amp; ""3:"" &amp; vlookup(rows($A$1:$A1486),Reference!$O:$P,2,false)), 
""SELECT "" &amp; vlookup(rows($A$1:$A1486),Reference!$O:$P,2,false) 
&amp; "" WHERE "" &amp; vlookup("&amp;"rows($A$1:$A1486),Reference!$O:$P,2,false) &amp;
"" &gt;= "" &amp; Reference!$R$2)) * M1487,"""")"),"")</f>
        <v/>
      </c>
      <c r="O1487" s="84" t="str">
        <f t="shared" si="2"/>
        <v/>
      </c>
    </row>
    <row r="1488">
      <c r="A1488" s="84"/>
      <c r="B1488" s="84"/>
      <c r="C1488" s="85"/>
      <c r="D1488" s="86"/>
      <c r="E1488" s="87"/>
      <c r="F1488" s="86"/>
      <c r="G1488" s="87"/>
      <c r="H1488" s="86"/>
      <c r="I1488" s="86"/>
      <c r="J1488" s="86"/>
      <c r="K1488" s="84"/>
      <c r="L1488" s="84"/>
      <c r="M1488" s="84"/>
      <c r="N1488" s="84" t="str">
        <f>IFERROR(__xludf.DUMMYFUNCTION("IFERROR(AVERAGE(query(INDIRECT(""'FR Table'!"" &amp; vlookup(rows($A$1:$A1487),Reference!$O:$P,2,false) &amp; ""3:"" &amp; vlookup(rows($A$1:$A1487),Reference!$O:$P,2,false)), 
""SELECT "" &amp; vlookup(rows($A$1:$A1487),Reference!$O:$P,2,false) 
&amp; "" WHERE "" &amp; vlookup("&amp;"rows($A$1:$A1487),Reference!$O:$P,2,false) &amp;
"" &gt;= "" &amp; Reference!$R$2)) * M1488,"""")"),"")</f>
        <v/>
      </c>
      <c r="O1488" s="84" t="str">
        <f t="shared" si="2"/>
        <v/>
      </c>
    </row>
    <row r="1489">
      <c r="A1489" s="84"/>
      <c r="B1489" s="84"/>
      <c r="C1489" s="85"/>
      <c r="D1489" s="86"/>
      <c r="E1489" s="87"/>
      <c r="F1489" s="86"/>
      <c r="G1489" s="87"/>
      <c r="H1489" s="86"/>
      <c r="I1489" s="86"/>
      <c r="J1489" s="86"/>
      <c r="K1489" s="84"/>
      <c r="L1489" s="84"/>
      <c r="M1489" s="84"/>
      <c r="N1489" s="84" t="str">
        <f>IFERROR(__xludf.DUMMYFUNCTION("IFERROR(AVERAGE(query(INDIRECT(""'FR Table'!"" &amp; vlookup(rows($A$1:$A1488),Reference!$O:$P,2,false) &amp; ""3:"" &amp; vlookup(rows($A$1:$A1488),Reference!$O:$P,2,false)), 
""SELECT "" &amp; vlookup(rows($A$1:$A1488),Reference!$O:$P,2,false) 
&amp; "" WHERE "" &amp; vlookup("&amp;"rows($A$1:$A1488),Reference!$O:$P,2,false) &amp;
"" &gt;= "" &amp; Reference!$R$2)) * M1489,"""")"),"")</f>
        <v/>
      </c>
      <c r="O1489" s="84" t="str">
        <f t="shared" si="2"/>
        <v/>
      </c>
    </row>
    <row r="1490">
      <c r="A1490" s="84"/>
      <c r="B1490" s="84"/>
      <c r="C1490" s="85"/>
      <c r="D1490" s="86"/>
      <c r="E1490" s="87"/>
      <c r="F1490" s="86"/>
      <c r="G1490" s="87"/>
      <c r="H1490" s="86"/>
      <c r="I1490" s="86"/>
      <c r="J1490" s="86"/>
      <c r="K1490" s="84"/>
      <c r="L1490" s="84"/>
      <c r="M1490" s="84"/>
      <c r="N1490" s="84" t="str">
        <f>IFERROR(__xludf.DUMMYFUNCTION("IFERROR(AVERAGE(query(INDIRECT(""'FR Table'!"" &amp; vlookup(rows($A$1:$A1489),Reference!$O:$P,2,false) &amp; ""3:"" &amp; vlookup(rows($A$1:$A1489),Reference!$O:$P,2,false)), 
""SELECT "" &amp; vlookup(rows($A$1:$A1489),Reference!$O:$P,2,false) 
&amp; "" WHERE "" &amp; vlookup("&amp;"rows($A$1:$A1489),Reference!$O:$P,2,false) &amp;
"" &gt;= "" &amp; Reference!$R$2)) * M1490,"""")"),"")</f>
        <v/>
      </c>
      <c r="O1490" s="84" t="str">
        <f t="shared" si="2"/>
        <v/>
      </c>
    </row>
    <row r="1491">
      <c r="A1491" s="84"/>
      <c r="B1491" s="84"/>
      <c r="C1491" s="85"/>
      <c r="D1491" s="86"/>
      <c r="E1491" s="87"/>
      <c r="F1491" s="86"/>
      <c r="G1491" s="87"/>
      <c r="H1491" s="86"/>
      <c r="I1491" s="86"/>
      <c r="J1491" s="86"/>
      <c r="K1491" s="84"/>
      <c r="L1491" s="84"/>
      <c r="M1491" s="84"/>
      <c r="N1491" s="84" t="str">
        <f>IFERROR(__xludf.DUMMYFUNCTION("IFERROR(AVERAGE(query(INDIRECT(""'FR Table'!"" &amp; vlookup(rows($A$1:$A1490),Reference!$O:$P,2,false) &amp; ""3:"" &amp; vlookup(rows($A$1:$A1490),Reference!$O:$P,2,false)), 
""SELECT "" &amp; vlookup(rows($A$1:$A1490),Reference!$O:$P,2,false) 
&amp; "" WHERE "" &amp; vlookup("&amp;"rows($A$1:$A1490),Reference!$O:$P,2,false) &amp;
"" &gt;= "" &amp; Reference!$R$2)) * M1491,"""")"),"")</f>
        <v/>
      </c>
      <c r="O1491" s="84" t="str">
        <f t="shared" si="2"/>
        <v/>
      </c>
    </row>
    <row r="1492">
      <c r="A1492" s="84"/>
      <c r="B1492" s="84"/>
      <c r="C1492" s="85"/>
      <c r="D1492" s="86"/>
      <c r="E1492" s="87"/>
      <c r="F1492" s="86"/>
      <c r="G1492" s="87"/>
      <c r="H1492" s="86"/>
      <c r="I1492" s="86"/>
      <c r="J1492" s="86"/>
      <c r="K1492" s="84"/>
      <c r="L1492" s="84"/>
      <c r="M1492" s="84"/>
      <c r="N1492" s="84" t="str">
        <f>IFERROR(__xludf.DUMMYFUNCTION("IFERROR(AVERAGE(query(INDIRECT(""'FR Table'!"" &amp; vlookup(rows($A$1:$A1491),Reference!$O:$P,2,false) &amp; ""3:"" &amp; vlookup(rows($A$1:$A1491),Reference!$O:$P,2,false)), 
""SELECT "" &amp; vlookup(rows($A$1:$A1491),Reference!$O:$P,2,false) 
&amp; "" WHERE "" &amp; vlookup("&amp;"rows($A$1:$A1491),Reference!$O:$P,2,false) &amp;
"" &gt;= "" &amp; Reference!$R$2)) * M1492,"""")"),"")</f>
        <v/>
      </c>
      <c r="O1492" s="84" t="str">
        <f t="shared" si="2"/>
        <v/>
      </c>
    </row>
    <row r="1493">
      <c r="A1493" s="84"/>
      <c r="B1493" s="84"/>
      <c r="C1493" s="85"/>
      <c r="D1493" s="86"/>
      <c r="E1493" s="87"/>
      <c r="F1493" s="86"/>
      <c r="G1493" s="87"/>
      <c r="H1493" s="86"/>
      <c r="I1493" s="86"/>
      <c r="J1493" s="86"/>
      <c r="K1493" s="84"/>
      <c r="L1493" s="84"/>
      <c r="M1493" s="84"/>
      <c r="N1493" s="84" t="str">
        <f>IFERROR(__xludf.DUMMYFUNCTION("IFERROR(AVERAGE(query(INDIRECT(""'FR Table'!"" &amp; vlookup(rows($A$1:$A1492),Reference!$O:$P,2,false) &amp; ""3:"" &amp; vlookup(rows($A$1:$A1492),Reference!$O:$P,2,false)), 
""SELECT "" &amp; vlookup(rows($A$1:$A1492),Reference!$O:$P,2,false) 
&amp; "" WHERE "" &amp; vlookup("&amp;"rows($A$1:$A1492),Reference!$O:$P,2,false) &amp;
"" &gt;= "" &amp; Reference!$R$2)) * M1493,"""")"),"")</f>
        <v/>
      </c>
      <c r="O1493" s="84" t="str">
        <f t="shared" si="2"/>
        <v/>
      </c>
    </row>
    <row r="1494">
      <c r="A1494" s="84"/>
      <c r="B1494" s="84"/>
      <c r="C1494" s="85"/>
      <c r="D1494" s="86"/>
      <c r="E1494" s="87"/>
      <c r="F1494" s="86"/>
      <c r="G1494" s="87"/>
      <c r="H1494" s="86"/>
      <c r="I1494" s="86"/>
      <c r="J1494" s="86"/>
      <c r="K1494" s="84"/>
      <c r="L1494" s="84"/>
      <c r="M1494" s="84"/>
      <c r="N1494" s="84" t="str">
        <f>IFERROR(__xludf.DUMMYFUNCTION("IFERROR(AVERAGE(query(INDIRECT(""'FR Table'!"" &amp; vlookup(rows($A$1:$A1493),Reference!$O:$P,2,false) &amp; ""3:"" &amp; vlookup(rows($A$1:$A1493),Reference!$O:$P,2,false)), 
""SELECT "" &amp; vlookup(rows($A$1:$A1493),Reference!$O:$P,2,false) 
&amp; "" WHERE "" &amp; vlookup("&amp;"rows($A$1:$A1493),Reference!$O:$P,2,false) &amp;
"" &gt;= "" &amp; Reference!$R$2)) * M1494,"""")"),"")</f>
        <v/>
      </c>
      <c r="O1494" s="84" t="str">
        <f t="shared" si="2"/>
        <v/>
      </c>
    </row>
    <row r="1495">
      <c r="A1495" s="84"/>
      <c r="B1495" s="84"/>
      <c r="C1495" s="85"/>
      <c r="D1495" s="86"/>
      <c r="E1495" s="87"/>
      <c r="F1495" s="86"/>
      <c r="G1495" s="87"/>
      <c r="H1495" s="86"/>
      <c r="I1495" s="86"/>
      <c r="J1495" s="86"/>
      <c r="K1495" s="84"/>
      <c r="L1495" s="84"/>
      <c r="M1495" s="84"/>
      <c r="N1495" s="84" t="str">
        <f>IFERROR(__xludf.DUMMYFUNCTION("IFERROR(AVERAGE(query(INDIRECT(""'FR Table'!"" &amp; vlookup(rows($A$1:$A1494),Reference!$O:$P,2,false) &amp; ""3:"" &amp; vlookup(rows($A$1:$A1494),Reference!$O:$P,2,false)), 
""SELECT "" &amp; vlookup(rows($A$1:$A1494),Reference!$O:$P,2,false) 
&amp; "" WHERE "" &amp; vlookup("&amp;"rows($A$1:$A1494),Reference!$O:$P,2,false) &amp;
"" &gt;= "" &amp; Reference!$R$2)) * M1495,"""")"),"")</f>
        <v/>
      </c>
      <c r="O1495" s="84" t="str">
        <f t="shared" si="2"/>
        <v/>
      </c>
    </row>
    <row r="1496">
      <c r="A1496" s="84"/>
      <c r="B1496" s="84"/>
      <c r="C1496" s="85"/>
      <c r="D1496" s="86"/>
      <c r="E1496" s="87"/>
      <c r="F1496" s="86"/>
      <c r="G1496" s="87"/>
      <c r="H1496" s="86"/>
      <c r="I1496" s="86"/>
      <c r="J1496" s="86"/>
      <c r="K1496" s="84"/>
      <c r="L1496" s="84"/>
      <c r="M1496" s="84"/>
      <c r="N1496" s="84" t="str">
        <f>IFERROR(__xludf.DUMMYFUNCTION("IFERROR(AVERAGE(query(INDIRECT(""'FR Table'!"" &amp; vlookup(rows($A$1:$A1495),Reference!$O:$P,2,false) &amp; ""3:"" &amp; vlookup(rows($A$1:$A1495),Reference!$O:$P,2,false)), 
""SELECT "" &amp; vlookup(rows($A$1:$A1495),Reference!$O:$P,2,false) 
&amp; "" WHERE "" &amp; vlookup("&amp;"rows($A$1:$A1495),Reference!$O:$P,2,false) &amp;
"" &gt;= "" &amp; Reference!$R$2)) * M1496,"""")"),"")</f>
        <v/>
      </c>
      <c r="O1496" s="84" t="str">
        <f t="shared" si="2"/>
        <v/>
      </c>
    </row>
    <row r="1497">
      <c r="A1497" s="84"/>
      <c r="B1497" s="84"/>
      <c r="C1497" s="85"/>
      <c r="D1497" s="86"/>
      <c r="E1497" s="87"/>
      <c r="F1497" s="86"/>
      <c r="G1497" s="87"/>
      <c r="H1497" s="86"/>
      <c r="I1497" s="86"/>
      <c r="J1497" s="86"/>
      <c r="K1497" s="84"/>
      <c r="L1497" s="84"/>
      <c r="M1497" s="84"/>
      <c r="N1497" s="84" t="str">
        <f>IFERROR(__xludf.DUMMYFUNCTION("IFERROR(AVERAGE(query(INDIRECT(""'FR Table'!"" &amp; vlookup(rows($A$1:$A1496),Reference!$O:$P,2,false) &amp; ""3:"" &amp; vlookup(rows($A$1:$A1496),Reference!$O:$P,2,false)), 
""SELECT "" &amp; vlookup(rows($A$1:$A1496),Reference!$O:$P,2,false) 
&amp; "" WHERE "" &amp; vlookup("&amp;"rows($A$1:$A1496),Reference!$O:$P,2,false) &amp;
"" &gt;= "" &amp; Reference!$R$2)) * M1497,"""")"),"")</f>
        <v/>
      </c>
      <c r="O1497" s="84" t="str">
        <f t="shared" si="2"/>
        <v/>
      </c>
    </row>
    <row r="1498">
      <c r="A1498" s="84"/>
      <c r="B1498" s="84"/>
      <c r="C1498" s="85"/>
      <c r="D1498" s="86"/>
      <c r="E1498" s="87"/>
      <c r="F1498" s="86"/>
      <c r="G1498" s="87"/>
      <c r="H1498" s="86"/>
      <c r="I1498" s="86"/>
      <c r="J1498" s="86"/>
      <c r="K1498" s="84"/>
      <c r="L1498" s="84"/>
      <c r="M1498" s="84"/>
      <c r="N1498" s="84" t="str">
        <f>IFERROR(__xludf.DUMMYFUNCTION("IFERROR(AVERAGE(query(INDIRECT(""'FR Table'!"" &amp; vlookup(rows($A$1:$A1497),Reference!$O:$P,2,false) &amp; ""3:"" &amp; vlookup(rows($A$1:$A1497),Reference!$O:$P,2,false)), 
""SELECT "" &amp; vlookup(rows($A$1:$A1497),Reference!$O:$P,2,false) 
&amp; "" WHERE "" &amp; vlookup("&amp;"rows($A$1:$A1497),Reference!$O:$P,2,false) &amp;
"" &gt;= "" &amp; Reference!$R$2)) * M1498,"""")"),"")</f>
        <v/>
      </c>
      <c r="O1498" s="84" t="str">
        <f t="shared" si="2"/>
        <v/>
      </c>
    </row>
    <row r="1499">
      <c r="A1499" s="84"/>
      <c r="B1499" s="84"/>
      <c r="C1499" s="85"/>
      <c r="D1499" s="86"/>
      <c r="E1499" s="87"/>
      <c r="F1499" s="86"/>
      <c r="G1499" s="87"/>
      <c r="H1499" s="86"/>
      <c r="I1499" s="86"/>
      <c r="J1499" s="86"/>
      <c r="K1499" s="84"/>
      <c r="L1499" s="84"/>
      <c r="M1499" s="84"/>
      <c r="N1499" s="84" t="str">
        <f>IFERROR(__xludf.DUMMYFUNCTION("IFERROR(AVERAGE(query(INDIRECT(""'FR Table'!"" &amp; vlookup(rows($A$1:$A1498),Reference!$O:$P,2,false) &amp; ""3:"" &amp; vlookup(rows($A$1:$A1498),Reference!$O:$P,2,false)), 
""SELECT "" &amp; vlookup(rows($A$1:$A1498),Reference!$O:$P,2,false) 
&amp; "" WHERE "" &amp; vlookup("&amp;"rows($A$1:$A1498),Reference!$O:$P,2,false) &amp;
"" &gt;= "" &amp; Reference!$R$2)) * M1499,"""")"),"")</f>
        <v/>
      </c>
      <c r="O1499" s="84" t="str">
        <f t="shared" si="2"/>
        <v/>
      </c>
    </row>
    <row r="1500">
      <c r="A1500" s="84"/>
      <c r="B1500" s="84"/>
      <c r="C1500" s="85"/>
      <c r="D1500" s="86"/>
      <c r="E1500" s="87"/>
      <c r="F1500" s="86"/>
      <c r="G1500" s="87"/>
      <c r="H1500" s="86"/>
      <c r="I1500" s="86"/>
      <c r="J1500" s="86"/>
      <c r="K1500" s="84"/>
      <c r="L1500" s="84"/>
      <c r="M1500" s="84"/>
      <c r="N1500" s="84" t="str">
        <f>IFERROR(__xludf.DUMMYFUNCTION("IFERROR(AVERAGE(query(INDIRECT(""'FR Table'!"" &amp; vlookup(rows($A$1:$A1499),Reference!$O:$P,2,false) &amp; ""3:"" &amp; vlookup(rows($A$1:$A1499),Reference!$O:$P,2,false)), 
""SELECT "" &amp; vlookup(rows($A$1:$A1499),Reference!$O:$P,2,false) 
&amp; "" WHERE "" &amp; vlookup("&amp;"rows($A$1:$A1499),Reference!$O:$P,2,false) &amp;
"" &gt;= "" &amp; Reference!$R$2)) * M1500,"""")"),"")</f>
        <v/>
      </c>
      <c r="O1500" s="84" t="str">
        <f t="shared" si="2"/>
        <v/>
      </c>
    </row>
    <row r="1501">
      <c r="A1501" s="84"/>
      <c r="B1501" s="84"/>
      <c r="C1501" s="85"/>
      <c r="D1501" s="86"/>
      <c r="E1501" s="87"/>
      <c r="F1501" s="86"/>
      <c r="G1501" s="87"/>
      <c r="H1501" s="86"/>
      <c r="I1501" s="86"/>
      <c r="J1501" s="86"/>
      <c r="K1501" s="84"/>
      <c r="L1501" s="84"/>
      <c r="M1501" s="84"/>
      <c r="N1501" s="84" t="str">
        <f>IFERROR(__xludf.DUMMYFUNCTION("IFERROR(AVERAGE(query(INDIRECT(""'FR Table'!"" &amp; vlookup(rows($A$1:$A1500),Reference!$O:$P,2,false) &amp; ""3:"" &amp; vlookup(rows($A$1:$A1500),Reference!$O:$P,2,false)), 
""SELECT "" &amp; vlookup(rows($A$1:$A1500),Reference!$O:$P,2,false) 
&amp; "" WHERE "" &amp; vlookup("&amp;"rows($A$1:$A1500),Reference!$O:$P,2,false) &amp;
"" &gt;= "" &amp; Reference!$R$2)) * M1501,"""")"),"")</f>
        <v/>
      </c>
      <c r="O1501" s="84" t="str">
        <f t="shared" si="2"/>
        <v/>
      </c>
    </row>
    <row r="1502">
      <c r="A1502" s="84"/>
      <c r="B1502" s="84"/>
      <c r="C1502" s="85"/>
      <c r="D1502" s="86"/>
      <c r="E1502" s="87"/>
      <c r="F1502" s="86"/>
      <c r="G1502" s="87"/>
      <c r="H1502" s="86"/>
      <c r="I1502" s="86"/>
      <c r="J1502" s="86"/>
      <c r="K1502" s="84"/>
      <c r="L1502" s="84"/>
      <c r="M1502" s="84"/>
      <c r="N1502" s="84" t="str">
        <f>IFERROR(__xludf.DUMMYFUNCTION("IFERROR(AVERAGE(query(INDIRECT(""'FR Table'!"" &amp; vlookup(rows($A$1:$A1501),Reference!$O:$P,2,false) &amp; ""3:"" &amp; vlookup(rows($A$1:$A1501),Reference!$O:$P,2,false)), 
""SELECT "" &amp; vlookup(rows($A$1:$A1501),Reference!$O:$P,2,false) 
&amp; "" WHERE "" &amp; vlookup("&amp;"rows($A$1:$A1501),Reference!$O:$P,2,false) &amp;
"" &gt;= "" &amp; Reference!$R$2)) * M1502,"""")"),"")</f>
        <v/>
      </c>
      <c r="O1502" s="84" t="str">
        <f t="shared" si="2"/>
        <v/>
      </c>
    </row>
    <row r="1503">
      <c r="A1503" s="84"/>
      <c r="B1503" s="84"/>
      <c r="C1503" s="85"/>
      <c r="D1503" s="86"/>
      <c r="E1503" s="87"/>
      <c r="F1503" s="86"/>
      <c r="G1503" s="87"/>
      <c r="H1503" s="86"/>
      <c r="I1503" s="86"/>
      <c r="J1503" s="86"/>
      <c r="K1503" s="84"/>
      <c r="L1503" s="84"/>
      <c r="M1503" s="84"/>
      <c r="N1503" s="84" t="str">
        <f>IFERROR(__xludf.DUMMYFUNCTION("IFERROR(AVERAGE(query(INDIRECT(""'FR Table'!"" &amp; vlookup(rows($A$1:$A1502),Reference!$O:$P,2,false) &amp; ""3:"" &amp; vlookup(rows($A$1:$A1502),Reference!$O:$P,2,false)), 
""SELECT "" &amp; vlookup(rows($A$1:$A1502),Reference!$O:$P,2,false) 
&amp; "" WHERE "" &amp; vlookup("&amp;"rows($A$1:$A1502),Reference!$O:$P,2,false) &amp;
"" &gt;= "" &amp; Reference!$R$2)) * M1503,"""")"),"")</f>
        <v/>
      </c>
      <c r="O1503" s="84" t="str">
        <f t="shared" si="2"/>
        <v/>
      </c>
    </row>
    <row r="1504">
      <c r="A1504" s="84"/>
      <c r="B1504" s="84"/>
      <c r="C1504" s="85"/>
      <c r="D1504" s="86"/>
      <c r="E1504" s="87"/>
      <c r="F1504" s="86"/>
      <c r="G1504" s="87"/>
      <c r="H1504" s="86"/>
      <c r="I1504" s="86"/>
      <c r="J1504" s="86"/>
      <c r="K1504" s="84"/>
      <c r="L1504" s="84"/>
      <c r="M1504" s="84"/>
      <c r="N1504" s="84" t="str">
        <f>IFERROR(__xludf.DUMMYFUNCTION("IFERROR(AVERAGE(query(INDIRECT(""'FR Table'!"" &amp; vlookup(rows($A$1:$A1503),Reference!$O:$P,2,false) &amp; ""3:"" &amp; vlookup(rows($A$1:$A1503),Reference!$O:$P,2,false)), 
""SELECT "" &amp; vlookup(rows($A$1:$A1503),Reference!$O:$P,2,false) 
&amp; "" WHERE "" &amp; vlookup("&amp;"rows($A$1:$A1503),Reference!$O:$P,2,false) &amp;
"" &gt;= "" &amp; Reference!$R$2)) * M1504,"""")"),"")</f>
        <v/>
      </c>
      <c r="O1504" s="84" t="str">
        <f t="shared" si="2"/>
        <v/>
      </c>
    </row>
    <row r="1505">
      <c r="A1505" s="84"/>
      <c r="B1505" s="84"/>
      <c r="C1505" s="85"/>
      <c r="D1505" s="86"/>
      <c r="E1505" s="87"/>
      <c r="F1505" s="86"/>
      <c r="G1505" s="87"/>
      <c r="H1505" s="86"/>
      <c r="I1505" s="86"/>
      <c r="J1505" s="86"/>
      <c r="K1505" s="84"/>
      <c r="L1505" s="84"/>
      <c r="M1505" s="84"/>
      <c r="N1505" s="84" t="str">
        <f>IFERROR(__xludf.DUMMYFUNCTION("IFERROR(AVERAGE(query(INDIRECT(""'FR Table'!"" &amp; vlookup(rows($A$1:$A1504),Reference!$O:$P,2,false) &amp; ""3:"" &amp; vlookup(rows($A$1:$A1504),Reference!$O:$P,2,false)), 
""SELECT "" &amp; vlookup(rows($A$1:$A1504),Reference!$O:$P,2,false) 
&amp; "" WHERE "" &amp; vlookup("&amp;"rows($A$1:$A1504),Reference!$O:$P,2,false) &amp;
"" &gt;= "" &amp; Reference!$R$2)) * M1505,"""")"),"")</f>
        <v/>
      </c>
      <c r="O1505" s="84" t="str">
        <f t="shared" si="2"/>
        <v/>
      </c>
    </row>
    <row r="1506">
      <c r="A1506" s="84"/>
      <c r="B1506" s="84"/>
      <c r="C1506" s="85"/>
      <c r="D1506" s="86"/>
      <c r="E1506" s="87"/>
      <c r="F1506" s="86"/>
      <c r="G1506" s="87"/>
      <c r="H1506" s="86"/>
      <c r="I1506" s="86"/>
      <c r="J1506" s="86"/>
      <c r="K1506" s="84"/>
      <c r="L1506" s="84"/>
      <c r="M1506" s="84"/>
      <c r="N1506" s="84" t="str">
        <f>IFERROR(__xludf.DUMMYFUNCTION("IFERROR(AVERAGE(query(INDIRECT(""'FR Table'!"" &amp; vlookup(rows($A$1:$A1505),Reference!$O:$P,2,false) &amp; ""3:"" &amp; vlookup(rows($A$1:$A1505),Reference!$O:$P,2,false)), 
""SELECT "" &amp; vlookup(rows($A$1:$A1505),Reference!$O:$P,2,false) 
&amp; "" WHERE "" &amp; vlookup("&amp;"rows($A$1:$A1505),Reference!$O:$P,2,false) &amp;
"" &gt;= "" &amp; Reference!$R$2)) * M1506,"""")"),"")</f>
        <v/>
      </c>
      <c r="O1506" s="84" t="str">
        <f t="shared" si="2"/>
        <v/>
      </c>
    </row>
    <row r="1507">
      <c r="A1507" s="84"/>
      <c r="B1507" s="84"/>
      <c r="C1507" s="85"/>
      <c r="D1507" s="86"/>
      <c r="E1507" s="87"/>
      <c r="F1507" s="86"/>
      <c r="G1507" s="87"/>
      <c r="H1507" s="86"/>
      <c r="I1507" s="86"/>
      <c r="J1507" s="86"/>
      <c r="K1507" s="84"/>
      <c r="L1507" s="84"/>
      <c r="M1507" s="84"/>
      <c r="N1507" s="84" t="str">
        <f>IFERROR(__xludf.DUMMYFUNCTION("IFERROR(AVERAGE(query(INDIRECT(""'FR Table'!"" &amp; vlookup(rows($A$1:$A1506),Reference!$O:$P,2,false) &amp; ""3:"" &amp; vlookup(rows($A$1:$A1506),Reference!$O:$P,2,false)), 
""SELECT "" &amp; vlookup(rows($A$1:$A1506),Reference!$O:$P,2,false) 
&amp; "" WHERE "" &amp; vlookup("&amp;"rows($A$1:$A1506),Reference!$O:$P,2,false) &amp;
"" &gt;= "" &amp; Reference!$R$2)) * M1507,"""")"),"")</f>
        <v/>
      </c>
      <c r="O1507" s="84" t="str">
        <f t="shared" si="2"/>
        <v/>
      </c>
    </row>
    <row r="1508">
      <c r="A1508" s="84"/>
      <c r="B1508" s="84"/>
      <c r="C1508" s="85"/>
      <c r="D1508" s="86"/>
      <c r="E1508" s="87"/>
      <c r="F1508" s="86"/>
      <c r="G1508" s="87"/>
      <c r="H1508" s="86"/>
      <c r="I1508" s="86"/>
      <c r="J1508" s="86"/>
      <c r="K1508" s="84"/>
      <c r="L1508" s="84"/>
      <c r="M1508" s="84"/>
      <c r="N1508" s="84" t="str">
        <f>IFERROR(__xludf.DUMMYFUNCTION("IFERROR(AVERAGE(query(INDIRECT(""'FR Table'!"" &amp; vlookup(rows($A$1:$A1507),Reference!$O:$P,2,false) &amp; ""3:"" &amp; vlookup(rows($A$1:$A1507),Reference!$O:$P,2,false)), 
""SELECT "" &amp; vlookup(rows($A$1:$A1507),Reference!$O:$P,2,false) 
&amp; "" WHERE "" &amp; vlookup("&amp;"rows($A$1:$A1507),Reference!$O:$P,2,false) &amp;
"" &gt;= "" &amp; Reference!$R$2)) * M1508,"""")"),"")</f>
        <v/>
      </c>
      <c r="O1508" s="84" t="str">
        <f t="shared" si="2"/>
        <v/>
      </c>
    </row>
    <row r="1509">
      <c r="A1509" s="84"/>
      <c r="B1509" s="84"/>
      <c r="C1509" s="85"/>
      <c r="D1509" s="86"/>
      <c r="E1509" s="87"/>
      <c r="F1509" s="86"/>
      <c r="G1509" s="87"/>
      <c r="H1509" s="86"/>
      <c r="I1509" s="86"/>
      <c r="J1509" s="86"/>
      <c r="K1509" s="84"/>
      <c r="L1509" s="84"/>
      <c r="M1509" s="84"/>
      <c r="N1509" s="84" t="str">
        <f>IFERROR(__xludf.DUMMYFUNCTION("IFERROR(AVERAGE(query(INDIRECT(""'FR Table'!"" &amp; vlookup(rows($A$1:$A1508),Reference!$O:$P,2,false) &amp; ""3:"" &amp; vlookup(rows($A$1:$A1508),Reference!$O:$P,2,false)), 
""SELECT "" &amp; vlookup(rows($A$1:$A1508),Reference!$O:$P,2,false) 
&amp; "" WHERE "" &amp; vlookup("&amp;"rows($A$1:$A1508),Reference!$O:$P,2,false) &amp;
"" &gt;= "" &amp; Reference!$R$2)) * M1509,"""")"),"")</f>
        <v/>
      </c>
      <c r="O1509" s="84" t="str">
        <f t="shared" si="2"/>
        <v/>
      </c>
    </row>
    <row r="1510">
      <c r="A1510" s="84"/>
      <c r="B1510" s="84"/>
      <c r="C1510" s="85"/>
      <c r="D1510" s="86"/>
      <c r="E1510" s="87"/>
      <c r="F1510" s="86"/>
      <c r="G1510" s="87"/>
      <c r="H1510" s="86"/>
      <c r="I1510" s="86"/>
      <c r="J1510" s="86"/>
      <c r="K1510" s="84"/>
      <c r="L1510" s="84"/>
      <c r="M1510" s="84"/>
      <c r="N1510" s="84" t="str">
        <f>IFERROR(__xludf.DUMMYFUNCTION("IFERROR(AVERAGE(query(INDIRECT(""'FR Table'!"" &amp; vlookup(rows($A$1:$A1509),Reference!$O:$P,2,false) &amp; ""3:"" &amp; vlookup(rows($A$1:$A1509),Reference!$O:$P,2,false)), 
""SELECT "" &amp; vlookup(rows($A$1:$A1509),Reference!$O:$P,2,false) 
&amp; "" WHERE "" &amp; vlookup("&amp;"rows($A$1:$A1509),Reference!$O:$P,2,false) &amp;
"" &gt;= "" &amp; Reference!$R$2)) * M1510,"""")"),"")</f>
        <v/>
      </c>
      <c r="O1510" s="84" t="str">
        <f t="shared" si="2"/>
        <v/>
      </c>
    </row>
    <row r="1511">
      <c r="A1511" s="84"/>
      <c r="B1511" s="84"/>
      <c r="C1511" s="85"/>
      <c r="D1511" s="86"/>
      <c r="E1511" s="87"/>
      <c r="F1511" s="86"/>
      <c r="G1511" s="87"/>
      <c r="H1511" s="86"/>
      <c r="I1511" s="86"/>
      <c r="J1511" s="86"/>
      <c r="K1511" s="84"/>
      <c r="L1511" s="84"/>
      <c r="M1511" s="84"/>
      <c r="N1511" s="84" t="str">
        <f>IFERROR(__xludf.DUMMYFUNCTION("IFERROR(AVERAGE(query(INDIRECT(""'FR Table'!"" &amp; vlookup(rows($A$1:$A1510),Reference!$O:$P,2,false) &amp; ""3:"" &amp; vlookup(rows($A$1:$A1510),Reference!$O:$P,2,false)), 
""SELECT "" &amp; vlookup(rows($A$1:$A1510),Reference!$O:$P,2,false) 
&amp; "" WHERE "" &amp; vlookup("&amp;"rows($A$1:$A1510),Reference!$O:$P,2,false) &amp;
"" &gt;= "" &amp; Reference!$R$2)) * M1511,"""")"),"")</f>
        <v/>
      </c>
      <c r="O1511" s="84" t="str">
        <f t="shared" si="2"/>
        <v/>
      </c>
    </row>
    <row r="1512">
      <c r="A1512" s="84"/>
      <c r="B1512" s="84"/>
      <c r="C1512" s="85"/>
      <c r="D1512" s="86"/>
      <c r="E1512" s="87"/>
      <c r="F1512" s="86"/>
      <c r="G1512" s="87"/>
      <c r="H1512" s="86"/>
      <c r="I1512" s="86"/>
      <c r="J1512" s="86"/>
      <c r="K1512" s="84"/>
      <c r="L1512" s="84"/>
      <c r="M1512" s="84"/>
      <c r="N1512" s="84" t="str">
        <f>IFERROR(__xludf.DUMMYFUNCTION("IFERROR(AVERAGE(query(INDIRECT(""'FR Table'!"" &amp; vlookup(rows($A$1:$A1511),Reference!$O:$P,2,false) &amp; ""3:"" &amp; vlookup(rows($A$1:$A1511),Reference!$O:$P,2,false)), 
""SELECT "" &amp; vlookup(rows($A$1:$A1511),Reference!$O:$P,2,false) 
&amp; "" WHERE "" &amp; vlookup("&amp;"rows($A$1:$A1511),Reference!$O:$P,2,false) &amp;
"" &gt;= "" &amp; Reference!$R$2)) * M1512,"""")"),"")</f>
        <v/>
      </c>
      <c r="O1512" s="84" t="str">
        <f t="shared" si="2"/>
        <v/>
      </c>
    </row>
    <row r="1513">
      <c r="A1513" s="84"/>
      <c r="B1513" s="84"/>
      <c r="C1513" s="85"/>
      <c r="D1513" s="86"/>
      <c r="E1513" s="87"/>
      <c r="F1513" s="86"/>
      <c r="G1513" s="87"/>
      <c r="H1513" s="86"/>
      <c r="I1513" s="86"/>
      <c r="J1513" s="86"/>
      <c r="K1513" s="84"/>
      <c r="L1513" s="84"/>
      <c r="M1513" s="84"/>
      <c r="N1513" s="84" t="str">
        <f>IFERROR(__xludf.DUMMYFUNCTION("IFERROR(AVERAGE(query(INDIRECT(""'FR Table'!"" &amp; vlookup(rows($A$1:$A1512),Reference!$O:$P,2,false) &amp; ""3:"" &amp; vlookup(rows($A$1:$A1512),Reference!$O:$P,2,false)), 
""SELECT "" &amp; vlookup(rows($A$1:$A1512),Reference!$O:$P,2,false) 
&amp; "" WHERE "" &amp; vlookup("&amp;"rows($A$1:$A1512),Reference!$O:$P,2,false) &amp;
"" &gt;= "" &amp; Reference!$R$2)) * M1513,"""")"),"")</f>
        <v/>
      </c>
      <c r="O1513" s="84" t="str">
        <f t="shared" si="2"/>
        <v/>
      </c>
    </row>
    <row r="1514">
      <c r="A1514" s="84"/>
      <c r="B1514" s="84"/>
      <c r="C1514" s="85"/>
      <c r="D1514" s="86"/>
      <c r="E1514" s="87"/>
      <c r="F1514" s="86"/>
      <c r="G1514" s="87"/>
      <c r="H1514" s="86"/>
      <c r="I1514" s="86"/>
      <c r="J1514" s="86"/>
      <c r="K1514" s="84"/>
      <c r="L1514" s="84"/>
      <c r="M1514" s="84"/>
      <c r="N1514" s="84" t="str">
        <f>IFERROR(__xludf.DUMMYFUNCTION("IFERROR(AVERAGE(query(INDIRECT(""'FR Table'!"" &amp; vlookup(rows($A$1:$A1513),Reference!$O:$P,2,false) &amp; ""3:"" &amp; vlookup(rows($A$1:$A1513),Reference!$O:$P,2,false)), 
""SELECT "" &amp; vlookup(rows($A$1:$A1513),Reference!$O:$P,2,false) 
&amp; "" WHERE "" &amp; vlookup("&amp;"rows($A$1:$A1513),Reference!$O:$P,2,false) &amp;
"" &gt;= "" &amp; Reference!$R$2)) * M1514,"""")"),"")</f>
        <v/>
      </c>
      <c r="O1514" s="84" t="str">
        <f t="shared" si="2"/>
        <v/>
      </c>
    </row>
    <row r="1515">
      <c r="A1515" s="84"/>
      <c r="B1515" s="84"/>
      <c r="C1515" s="85"/>
      <c r="D1515" s="86"/>
      <c r="E1515" s="87"/>
      <c r="F1515" s="86"/>
      <c r="G1515" s="87"/>
      <c r="H1515" s="86"/>
      <c r="I1515" s="86"/>
      <c r="J1515" s="86"/>
      <c r="K1515" s="84"/>
      <c r="L1515" s="84"/>
      <c r="M1515" s="84"/>
      <c r="N1515" s="84" t="str">
        <f>IFERROR(__xludf.DUMMYFUNCTION("IFERROR(AVERAGE(query(INDIRECT(""'FR Table'!"" &amp; vlookup(rows($A$1:$A1514),Reference!$O:$P,2,false) &amp; ""3:"" &amp; vlookup(rows($A$1:$A1514),Reference!$O:$P,2,false)), 
""SELECT "" &amp; vlookup(rows($A$1:$A1514),Reference!$O:$P,2,false) 
&amp; "" WHERE "" &amp; vlookup("&amp;"rows($A$1:$A1514),Reference!$O:$P,2,false) &amp;
"" &gt;= "" &amp; Reference!$R$2)) * M1515,"""")"),"")</f>
        <v/>
      </c>
      <c r="O1515" s="84" t="str">
        <f t="shared" si="2"/>
        <v/>
      </c>
    </row>
    <row r="1516">
      <c r="A1516" s="84"/>
      <c r="B1516" s="84"/>
      <c r="C1516" s="85"/>
      <c r="D1516" s="86"/>
      <c r="E1516" s="87"/>
      <c r="F1516" s="86"/>
      <c r="G1516" s="87"/>
      <c r="H1516" s="86"/>
      <c r="I1516" s="86"/>
      <c r="J1516" s="86"/>
      <c r="K1516" s="84"/>
      <c r="L1516" s="84"/>
      <c r="M1516" s="84"/>
      <c r="N1516" s="84" t="str">
        <f>IFERROR(__xludf.DUMMYFUNCTION("IFERROR(AVERAGE(query(INDIRECT(""'FR Table'!"" &amp; vlookup(rows($A$1:$A1515),Reference!$O:$P,2,false) &amp; ""3:"" &amp; vlookup(rows($A$1:$A1515),Reference!$O:$P,2,false)), 
""SELECT "" &amp; vlookup(rows($A$1:$A1515),Reference!$O:$P,2,false) 
&amp; "" WHERE "" &amp; vlookup("&amp;"rows($A$1:$A1515),Reference!$O:$P,2,false) &amp;
"" &gt;= "" &amp; Reference!$R$2)) * M1516,"""")"),"")</f>
        <v/>
      </c>
      <c r="O1516" s="84" t="str">
        <f t="shared" si="2"/>
        <v/>
      </c>
    </row>
    <row r="1517">
      <c r="A1517" s="84"/>
      <c r="B1517" s="84"/>
      <c r="C1517" s="85"/>
      <c r="D1517" s="86"/>
      <c r="E1517" s="87"/>
      <c r="F1517" s="86"/>
      <c r="G1517" s="87"/>
      <c r="H1517" s="86"/>
      <c r="I1517" s="86"/>
      <c r="J1517" s="86"/>
      <c r="K1517" s="84"/>
      <c r="L1517" s="84"/>
      <c r="M1517" s="84"/>
      <c r="N1517" s="84" t="str">
        <f>IFERROR(__xludf.DUMMYFUNCTION("IFERROR(AVERAGE(query(INDIRECT(""'FR Table'!"" &amp; vlookup(rows($A$1:$A1516),Reference!$O:$P,2,false) &amp; ""3:"" &amp; vlookup(rows($A$1:$A1516),Reference!$O:$P,2,false)), 
""SELECT "" &amp; vlookup(rows($A$1:$A1516),Reference!$O:$P,2,false) 
&amp; "" WHERE "" &amp; vlookup("&amp;"rows($A$1:$A1516),Reference!$O:$P,2,false) &amp;
"" &gt;= "" &amp; Reference!$R$2)) * M1517,"""")"),"")</f>
        <v/>
      </c>
      <c r="O1517" s="84" t="str">
        <f t="shared" si="2"/>
        <v/>
      </c>
    </row>
    <row r="1518">
      <c r="A1518" s="84"/>
      <c r="B1518" s="84"/>
      <c r="C1518" s="85"/>
      <c r="D1518" s="86"/>
      <c r="E1518" s="87"/>
      <c r="F1518" s="86"/>
      <c r="G1518" s="87"/>
      <c r="H1518" s="86"/>
      <c r="I1518" s="86"/>
      <c r="J1518" s="86"/>
      <c r="K1518" s="84"/>
      <c r="L1518" s="84"/>
      <c r="M1518" s="84"/>
      <c r="N1518" s="84" t="str">
        <f>IFERROR(__xludf.DUMMYFUNCTION("IFERROR(AVERAGE(query(INDIRECT(""'FR Table'!"" &amp; vlookup(rows($A$1:$A1517),Reference!$O:$P,2,false) &amp; ""3:"" &amp; vlookup(rows($A$1:$A1517),Reference!$O:$P,2,false)), 
""SELECT "" &amp; vlookup(rows($A$1:$A1517),Reference!$O:$P,2,false) 
&amp; "" WHERE "" &amp; vlookup("&amp;"rows($A$1:$A1517),Reference!$O:$P,2,false) &amp;
"" &gt;= "" &amp; Reference!$R$2)) * M1518,"""")"),"")</f>
        <v/>
      </c>
      <c r="O1518" s="84" t="str">
        <f t="shared" si="2"/>
        <v/>
      </c>
    </row>
    <row r="1519">
      <c r="A1519" s="84"/>
      <c r="B1519" s="84"/>
      <c r="C1519" s="85"/>
      <c r="D1519" s="86"/>
      <c r="E1519" s="87"/>
      <c r="F1519" s="86"/>
      <c r="G1519" s="87"/>
      <c r="H1519" s="86"/>
      <c r="I1519" s="86"/>
      <c r="J1519" s="86"/>
      <c r="K1519" s="84"/>
      <c r="L1519" s="84"/>
      <c r="M1519" s="84"/>
      <c r="N1519" s="84" t="str">
        <f>IFERROR(__xludf.DUMMYFUNCTION("IFERROR(AVERAGE(query(INDIRECT(""'FR Table'!"" &amp; vlookup(rows($A$1:$A1518),Reference!$O:$P,2,false) &amp; ""3:"" &amp; vlookup(rows($A$1:$A1518),Reference!$O:$P,2,false)), 
""SELECT "" &amp; vlookup(rows($A$1:$A1518),Reference!$O:$P,2,false) 
&amp; "" WHERE "" &amp; vlookup("&amp;"rows($A$1:$A1518),Reference!$O:$P,2,false) &amp;
"" &gt;= "" &amp; Reference!$R$2)) * M1519,"""")"),"")</f>
        <v/>
      </c>
      <c r="O1519" s="84" t="str">
        <f t="shared" si="2"/>
        <v/>
      </c>
    </row>
    <row r="1520">
      <c r="A1520" s="84"/>
      <c r="B1520" s="84"/>
      <c r="C1520" s="85"/>
      <c r="D1520" s="86"/>
      <c r="E1520" s="87"/>
      <c r="F1520" s="86"/>
      <c r="G1520" s="87"/>
      <c r="H1520" s="86"/>
      <c r="I1520" s="86"/>
      <c r="J1520" s="86"/>
      <c r="K1520" s="84"/>
      <c r="L1520" s="84"/>
      <c r="M1520" s="84"/>
      <c r="N1520" s="84" t="str">
        <f>IFERROR(__xludf.DUMMYFUNCTION("IFERROR(AVERAGE(query(INDIRECT(""'FR Table'!"" &amp; vlookup(rows($A$1:$A1519),Reference!$O:$P,2,false) &amp; ""3:"" &amp; vlookup(rows($A$1:$A1519),Reference!$O:$P,2,false)), 
""SELECT "" &amp; vlookup(rows($A$1:$A1519),Reference!$O:$P,2,false) 
&amp; "" WHERE "" &amp; vlookup("&amp;"rows($A$1:$A1519),Reference!$O:$P,2,false) &amp;
"" &gt;= "" &amp; Reference!$R$2)) * M1520,"""")"),"")</f>
        <v/>
      </c>
      <c r="O1520" s="84" t="str">
        <f t="shared" si="2"/>
        <v/>
      </c>
    </row>
    <row r="1521">
      <c r="A1521" s="84"/>
      <c r="B1521" s="84"/>
      <c r="C1521" s="85"/>
      <c r="D1521" s="86"/>
      <c r="E1521" s="87"/>
      <c r="F1521" s="86"/>
      <c r="G1521" s="87"/>
      <c r="H1521" s="86"/>
      <c r="I1521" s="86"/>
      <c r="J1521" s="86"/>
      <c r="K1521" s="84"/>
      <c r="L1521" s="84"/>
      <c r="M1521" s="84"/>
      <c r="N1521" s="84" t="str">
        <f>IFERROR(__xludf.DUMMYFUNCTION("IFERROR(AVERAGE(query(INDIRECT(""'FR Table'!"" &amp; vlookup(rows($A$1:$A1520),Reference!$O:$P,2,false) &amp; ""3:"" &amp; vlookup(rows($A$1:$A1520),Reference!$O:$P,2,false)), 
""SELECT "" &amp; vlookup(rows($A$1:$A1520),Reference!$O:$P,2,false) 
&amp; "" WHERE "" &amp; vlookup("&amp;"rows($A$1:$A1520),Reference!$O:$P,2,false) &amp;
"" &gt;= "" &amp; Reference!$R$2)) * M1521,"""")"),"")</f>
        <v/>
      </c>
      <c r="O1521" s="84" t="str">
        <f t="shared" si="2"/>
        <v/>
      </c>
    </row>
    <row r="1522">
      <c r="A1522" s="84"/>
      <c r="B1522" s="84"/>
      <c r="C1522" s="85"/>
      <c r="D1522" s="86"/>
      <c r="E1522" s="87"/>
      <c r="F1522" s="86"/>
      <c r="G1522" s="87"/>
      <c r="H1522" s="86"/>
      <c r="I1522" s="86"/>
      <c r="J1522" s="86"/>
      <c r="K1522" s="84"/>
      <c r="L1522" s="84"/>
      <c r="M1522" s="84"/>
      <c r="N1522" s="84" t="str">
        <f>IFERROR(__xludf.DUMMYFUNCTION("IFERROR(AVERAGE(query(INDIRECT(""'FR Table'!"" &amp; vlookup(rows($A$1:$A1521),Reference!$O:$P,2,false) &amp; ""3:"" &amp; vlookup(rows($A$1:$A1521),Reference!$O:$P,2,false)), 
""SELECT "" &amp; vlookup(rows($A$1:$A1521),Reference!$O:$P,2,false) 
&amp; "" WHERE "" &amp; vlookup("&amp;"rows($A$1:$A1521),Reference!$O:$P,2,false) &amp;
"" &gt;= "" &amp; Reference!$R$2)) * M1522,"""")"),"")</f>
        <v/>
      </c>
      <c r="O1522" s="84" t="str">
        <f t="shared" si="2"/>
        <v/>
      </c>
    </row>
    <row r="1523">
      <c r="A1523" s="84"/>
      <c r="B1523" s="84"/>
      <c r="C1523" s="85"/>
      <c r="D1523" s="86"/>
      <c r="E1523" s="87"/>
      <c r="F1523" s="86"/>
      <c r="G1523" s="87"/>
      <c r="H1523" s="86"/>
      <c r="I1523" s="86"/>
      <c r="J1523" s="86"/>
      <c r="K1523" s="84"/>
      <c r="L1523" s="84"/>
      <c r="M1523" s="84"/>
      <c r="N1523" s="84" t="str">
        <f>IFERROR(__xludf.DUMMYFUNCTION("IFERROR(AVERAGE(query(INDIRECT(""'FR Table'!"" &amp; vlookup(rows($A$1:$A1522),Reference!$O:$P,2,false) &amp; ""3:"" &amp; vlookup(rows($A$1:$A1522),Reference!$O:$P,2,false)), 
""SELECT "" &amp; vlookup(rows($A$1:$A1522),Reference!$O:$P,2,false) 
&amp; "" WHERE "" &amp; vlookup("&amp;"rows($A$1:$A1522),Reference!$O:$P,2,false) &amp;
"" &gt;= "" &amp; Reference!$R$2)) * M1523,"""")"),"")</f>
        <v/>
      </c>
      <c r="O1523" s="84" t="str">
        <f t="shared" si="2"/>
        <v/>
      </c>
    </row>
    <row r="1524">
      <c r="A1524" s="84"/>
      <c r="B1524" s="84"/>
      <c r="C1524" s="85"/>
      <c r="D1524" s="86"/>
      <c r="E1524" s="87"/>
      <c r="F1524" s="86"/>
      <c r="G1524" s="87"/>
      <c r="H1524" s="86"/>
      <c r="I1524" s="86"/>
      <c r="J1524" s="86"/>
      <c r="K1524" s="84"/>
      <c r="L1524" s="84"/>
      <c r="M1524" s="84"/>
      <c r="N1524" s="84" t="str">
        <f>IFERROR(__xludf.DUMMYFUNCTION("IFERROR(AVERAGE(query(INDIRECT(""'FR Table'!"" &amp; vlookup(rows($A$1:$A1523),Reference!$O:$P,2,false) &amp; ""3:"" &amp; vlookup(rows($A$1:$A1523),Reference!$O:$P,2,false)), 
""SELECT "" &amp; vlookup(rows($A$1:$A1523),Reference!$O:$P,2,false) 
&amp; "" WHERE "" &amp; vlookup("&amp;"rows($A$1:$A1523),Reference!$O:$P,2,false) &amp;
"" &gt;= "" &amp; Reference!$R$2)) * M1524,"""")"),"")</f>
        <v/>
      </c>
      <c r="O1524" s="84" t="str">
        <f t="shared" si="2"/>
        <v/>
      </c>
    </row>
    <row r="1525">
      <c r="A1525" s="84"/>
      <c r="B1525" s="84"/>
      <c r="C1525" s="85"/>
      <c r="D1525" s="86"/>
      <c r="E1525" s="87"/>
      <c r="F1525" s="86"/>
      <c r="G1525" s="87"/>
      <c r="H1525" s="86"/>
      <c r="I1525" s="86"/>
      <c r="J1525" s="86"/>
      <c r="K1525" s="84"/>
      <c r="L1525" s="84"/>
      <c r="M1525" s="84"/>
      <c r="N1525" s="84" t="str">
        <f>IFERROR(__xludf.DUMMYFUNCTION("IFERROR(AVERAGE(query(INDIRECT(""'FR Table'!"" &amp; vlookup(rows($A$1:$A1524),Reference!$O:$P,2,false) &amp; ""3:"" &amp; vlookup(rows($A$1:$A1524),Reference!$O:$P,2,false)), 
""SELECT "" &amp; vlookup(rows($A$1:$A1524),Reference!$O:$P,2,false) 
&amp; "" WHERE "" &amp; vlookup("&amp;"rows($A$1:$A1524),Reference!$O:$P,2,false) &amp;
"" &gt;= "" &amp; Reference!$R$2)) * M1525,"""")"),"")</f>
        <v/>
      </c>
      <c r="O1525" s="84" t="str">
        <f t="shared" si="2"/>
        <v/>
      </c>
    </row>
    <row r="1526">
      <c r="A1526" s="84"/>
      <c r="B1526" s="84"/>
      <c r="C1526" s="85"/>
      <c r="D1526" s="86"/>
      <c r="E1526" s="87"/>
      <c r="F1526" s="86"/>
      <c r="G1526" s="87"/>
      <c r="H1526" s="86"/>
      <c r="I1526" s="86"/>
      <c r="J1526" s="86"/>
      <c r="K1526" s="84"/>
      <c r="L1526" s="84"/>
      <c r="M1526" s="84"/>
      <c r="N1526" s="84" t="str">
        <f>IFERROR(__xludf.DUMMYFUNCTION("IFERROR(AVERAGE(query(INDIRECT(""'FR Table'!"" &amp; vlookup(rows($A$1:$A1525),Reference!$O:$P,2,false) &amp; ""3:"" &amp; vlookup(rows($A$1:$A1525),Reference!$O:$P,2,false)), 
""SELECT "" &amp; vlookup(rows($A$1:$A1525),Reference!$O:$P,2,false) 
&amp; "" WHERE "" &amp; vlookup("&amp;"rows($A$1:$A1525),Reference!$O:$P,2,false) &amp;
"" &gt;= "" &amp; Reference!$R$2)) * M1526,"""")"),"")</f>
        <v/>
      </c>
      <c r="O1526" s="84" t="str">
        <f t="shared" si="2"/>
        <v/>
      </c>
    </row>
    <row r="1527">
      <c r="A1527" s="84"/>
      <c r="B1527" s="84"/>
      <c r="C1527" s="85"/>
      <c r="D1527" s="86"/>
      <c r="E1527" s="87"/>
      <c r="F1527" s="86"/>
      <c r="G1527" s="87"/>
      <c r="H1527" s="86"/>
      <c r="I1527" s="86"/>
      <c r="J1527" s="86"/>
      <c r="K1527" s="84"/>
      <c r="L1527" s="84"/>
      <c r="M1527" s="84"/>
      <c r="N1527" s="84" t="str">
        <f>IFERROR(__xludf.DUMMYFUNCTION("IFERROR(AVERAGE(query(INDIRECT(""'FR Table'!"" &amp; vlookup(rows($A$1:$A1526),Reference!$O:$P,2,false) &amp; ""3:"" &amp; vlookup(rows($A$1:$A1526),Reference!$O:$P,2,false)), 
""SELECT "" &amp; vlookup(rows($A$1:$A1526),Reference!$O:$P,2,false) 
&amp; "" WHERE "" &amp; vlookup("&amp;"rows($A$1:$A1526),Reference!$O:$P,2,false) &amp;
"" &gt;= "" &amp; Reference!$R$2)) * M1527,"""")"),"")</f>
        <v/>
      </c>
      <c r="O1527" s="84" t="str">
        <f t="shared" si="2"/>
        <v/>
      </c>
    </row>
    <row r="1528">
      <c r="A1528" s="84"/>
      <c r="B1528" s="84"/>
      <c r="C1528" s="85"/>
      <c r="D1528" s="86"/>
      <c r="E1528" s="87"/>
      <c r="F1528" s="86"/>
      <c r="G1528" s="87"/>
      <c r="H1528" s="86"/>
      <c r="I1528" s="86"/>
      <c r="J1528" s="86"/>
      <c r="K1528" s="84"/>
      <c r="L1528" s="84"/>
      <c r="M1528" s="84"/>
      <c r="N1528" s="84" t="str">
        <f>IFERROR(__xludf.DUMMYFUNCTION("IFERROR(AVERAGE(query(INDIRECT(""'FR Table'!"" &amp; vlookup(rows($A$1:$A1527),Reference!$O:$P,2,false) &amp; ""3:"" &amp; vlookup(rows($A$1:$A1527),Reference!$O:$P,2,false)), 
""SELECT "" &amp; vlookup(rows($A$1:$A1527),Reference!$O:$P,2,false) 
&amp; "" WHERE "" &amp; vlookup("&amp;"rows($A$1:$A1527),Reference!$O:$P,2,false) &amp;
"" &gt;= "" &amp; Reference!$R$2)) * M1528,"""")"),"")</f>
        <v/>
      </c>
      <c r="O1528" s="84" t="str">
        <f t="shared" si="2"/>
        <v/>
      </c>
    </row>
    <row r="1529">
      <c r="A1529" s="84"/>
      <c r="B1529" s="84"/>
      <c r="C1529" s="85"/>
      <c r="D1529" s="86"/>
      <c r="E1529" s="87"/>
      <c r="F1529" s="86"/>
      <c r="G1529" s="87"/>
      <c r="H1529" s="86"/>
      <c r="I1529" s="86"/>
      <c r="J1529" s="86"/>
      <c r="K1529" s="84"/>
      <c r="L1529" s="84"/>
      <c r="M1529" s="84"/>
      <c r="N1529" s="84" t="str">
        <f>IFERROR(__xludf.DUMMYFUNCTION("IFERROR(AVERAGE(query(INDIRECT(""'FR Table'!"" &amp; vlookup(rows($A$1:$A1528),Reference!$O:$P,2,false) &amp; ""3:"" &amp; vlookup(rows($A$1:$A1528),Reference!$O:$P,2,false)), 
""SELECT "" &amp; vlookup(rows($A$1:$A1528),Reference!$O:$P,2,false) 
&amp; "" WHERE "" &amp; vlookup("&amp;"rows($A$1:$A1528),Reference!$O:$P,2,false) &amp;
"" &gt;= "" &amp; Reference!$R$2)) * M1529,"""")"),"")</f>
        <v/>
      </c>
      <c r="O1529" s="84" t="str">
        <f t="shared" si="2"/>
        <v/>
      </c>
    </row>
    <row r="1530">
      <c r="A1530" s="84"/>
      <c r="B1530" s="84"/>
      <c r="C1530" s="85"/>
      <c r="D1530" s="86"/>
      <c r="E1530" s="87"/>
      <c r="F1530" s="86"/>
      <c r="G1530" s="87"/>
      <c r="H1530" s="86"/>
      <c r="I1530" s="86"/>
      <c r="J1530" s="86"/>
      <c r="K1530" s="84"/>
      <c r="L1530" s="84"/>
      <c r="M1530" s="84"/>
      <c r="N1530" s="84" t="str">
        <f>IFERROR(__xludf.DUMMYFUNCTION("IFERROR(AVERAGE(query(INDIRECT(""'FR Table'!"" &amp; vlookup(rows($A$1:$A1529),Reference!$O:$P,2,false) &amp; ""3:"" &amp; vlookup(rows($A$1:$A1529),Reference!$O:$P,2,false)), 
""SELECT "" &amp; vlookup(rows($A$1:$A1529),Reference!$O:$P,2,false) 
&amp; "" WHERE "" &amp; vlookup("&amp;"rows($A$1:$A1529),Reference!$O:$P,2,false) &amp;
"" &gt;= "" &amp; Reference!$R$2)) * M1530,"""")"),"")</f>
        <v/>
      </c>
      <c r="O1530" s="84" t="str">
        <f t="shared" si="2"/>
        <v/>
      </c>
    </row>
    <row r="1531">
      <c r="A1531" s="84"/>
      <c r="B1531" s="84"/>
      <c r="C1531" s="85"/>
      <c r="D1531" s="86"/>
      <c r="E1531" s="87"/>
      <c r="F1531" s="86"/>
      <c r="G1531" s="87"/>
      <c r="H1531" s="86"/>
      <c r="I1531" s="86"/>
      <c r="J1531" s="86"/>
      <c r="K1531" s="84"/>
      <c r="L1531" s="84"/>
      <c r="M1531" s="84"/>
      <c r="N1531" s="84" t="str">
        <f>IFERROR(__xludf.DUMMYFUNCTION("IFERROR(AVERAGE(query(INDIRECT(""'FR Table'!"" &amp; vlookup(rows($A$1:$A1530),Reference!$O:$P,2,false) &amp; ""3:"" &amp; vlookup(rows($A$1:$A1530),Reference!$O:$P,2,false)), 
""SELECT "" &amp; vlookup(rows($A$1:$A1530),Reference!$O:$P,2,false) 
&amp; "" WHERE "" &amp; vlookup("&amp;"rows($A$1:$A1530),Reference!$O:$P,2,false) &amp;
"" &gt;= "" &amp; Reference!$R$2)) * M1531,"""")"),"")</f>
        <v/>
      </c>
      <c r="O1531" s="84" t="str">
        <f t="shared" si="2"/>
        <v/>
      </c>
    </row>
    <row r="1532">
      <c r="A1532" s="84"/>
      <c r="B1532" s="84"/>
      <c r="C1532" s="85"/>
      <c r="D1532" s="86"/>
      <c r="E1532" s="87"/>
      <c r="F1532" s="86"/>
      <c r="G1532" s="87"/>
      <c r="H1532" s="86"/>
      <c r="I1532" s="86"/>
      <c r="J1532" s="86"/>
      <c r="K1532" s="84"/>
      <c r="L1532" s="84"/>
      <c r="M1532" s="84"/>
      <c r="N1532" s="84" t="str">
        <f>IFERROR(__xludf.DUMMYFUNCTION("IFERROR(AVERAGE(query(INDIRECT(""'FR Table'!"" &amp; vlookup(rows($A$1:$A1531),Reference!$O:$P,2,false) &amp; ""3:"" &amp; vlookup(rows($A$1:$A1531),Reference!$O:$P,2,false)), 
""SELECT "" &amp; vlookup(rows($A$1:$A1531),Reference!$O:$P,2,false) 
&amp; "" WHERE "" &amp; vlookup("&amp;"rows($A$1:$A1531),Reference!$O:$P,2,false) &amp;
"" &gt;= "" &amp; Reference!$R$2)) * M1532,"""")"),"")</f>
        <v/>
      </c>
      <c r="O1532" s="84" t="str">
        <f t="shared" si="2"/>
        <v/>
      </c>
    </row>
    <row r="1533">
      <c r="A1533" s="84"/>
      <c r="B1533" s="84"/>
      <c r="C1533" s="85"/>
      <c r="D1533" s="86"/>
      <c r="E1533" s="87"/>
      <c r="F1533" s="86"/>
      <c r="G1533" s="87"/>
      <c r="H1533" s="86"/>
      <c r="I1533" s="86"/>
      <c r="J1533" s="86"/>
      <c r="K1533" s="84"/>
      <c r="L1533" s="84"/>
      <c r="M1533" s="84"/>
      <c r="N1533" s="84" t="str">
        <f>IFERROR(__xludf.DUMMYFUNCTION("IFERROR(AVERAGE(query(INDIRECT(""'FR Table'!"" &amp; vlookup(rows($A$1:$A1532),Reference!$O:$P,2,false) &amp; ""3:"" &amp; vlookup(rows($A$1:$A1532),Reference!$O:$P,2,false)), 
""SELECT "" &amp; vlookup(rows($A$1:$A1532),Reference!$O:$P,2,false) 
&amp; "" WHERE "" &amp; vlookup("&amp;"rows($A$1:$A1532),Reference!$O:$P,2,false) &amp;
"" &gt;= "" &amp; Reference!$R$2)) * M1533,"""")"),"")</f>
        <v/>
      </c>
      <c r="O1533" s="84" t="str">
        <f t="shared" si="2"/>
        <v/>
      </c>
    </row>
    <row r="1534">
      <c r="A1534" s="84"/>
      <c r="B1534" s="84"/>
      <c r="C1534" s="85"/>
      <c r="D1534" s="86"/>
      <c r="E1534" s="87"/>
      <c r="F1534" s="86"/>
      <c r="G1534" s="87"/>
      <c r="H1534" s="86"/>
      <c r="I1534" s="86"/>
      <c r="J1534" s="86"/>
      <c r="K1534" s="84"/>
      <c r="L1534" s="84"/>
      <c r="M1534" s="84"/>
      <c r="N1534" s="84" t="str">
        <f>IFERROR(__xludf.DUMMYFUNCTION("IFERROR(AVERAGE(query(INDIRECT(""'FR Table'!"" &amp; vlookup(rows($A$1:$A1533),Reference!$O:$P,2,false) &amp; ""3:"" &amp; vlookup(rows($A$1:$A1533),Reference!$O:$P,2,false)), 
""SELECT "" &amp; vlookup(rows($A$1:$A1533),Reference!$O:$P,2,false) 
&amp; "" WHERE "" &amp; vlookup("&amp;"rows($A$1:$A1533),Reference!$O:$P,2,false) &amp;
"" &gt;= "" &amp; Reference!$R$2)) * M1534,"""")"),"")</f>
        <v/>
      </c>
      <c r="O1534" s="84" t="str">
        <f t="shared" si="2"/>
        <v/>
      </c>
    </row>
    <row r="1535">
      <c r="A1535" s="84"/>
      <c r="B1535" s="84"/>
      <c r="C1535" s="85"/>
      <c r="D1535" s="86"/>
      <c r="E1535" s="87"/>
      <c r="F1535" s="86"/>
      <c r="G1535" s="87"/>
      <c r="H1535" s="86"/>
      <c r="I1535" s="86"/>
      <c r="J1535" s="86"/>
      <c r="K1535" s="84"/>
      <c r="L1535" s="84"/>
      <c r="M1535" s="84"/>
      <c r="N1535" s="84" t="str">
        <f>IFERROR(__xludf.DUMMYFUNCTION("IFERROR(AVERAGE(query(INDIRECT(""'FR Table'!"" &amp; vlookup(rows($A$1:$A1534),Reference!$O:$P,2,false) &amp; ""3:"" &amp; vlookup(rows($A$1:$A1534),Reference!$O:$P,2,false)), 
""SELECT "" &amp; vlookup(rows($A$1:$A1534),Reference!$O:$P,2,false) 
&amp; "" WHERE "" &amp; vlookup("&amp;"rows($A$1:$A1534),Reference!$O:$P,2,false) &amp;
"" &gt;= "" &amp; Reference!$R$2)) * M1535,"""")"),"")</f>
        <v/>
      </c>
      <c r="O1535" s="84" t="str">
        <f t="shared" si="2"/>
        <v/>
      </c>
    </row>
    <row r="1536">
      <c r="A1536" s="84"/>
      <c r="B1536" s="84"/>
      <c r="C1536" s="85"/>
      <c r="D1536" s="86"/>
      <c r="E1536" s="87"/>
      <c r="F1536" s="86"/>
      <c r="G1536" s="87"/>
      <c r="H1536" s="86"/>
      <c r="I1536" s="86"/>
      <c r="J1536" s="86"/>
      <c r="K1536" s="84"/>
      <c r="L1536" s="84"/>
      <c r="M1536" s="84"/>
      <c r="N1536" s="84" t="str">
        <f>IFERROR(__xludf.DUMMYFUNCTION("IFERROR(AVERAGE(query(INDIRECT(""'FR Table'!"" &amp; vlookup(rows($A$1:$A1535),Reference!$O:$P,2,false) &amp; ""3:"" &amp; vlookup(rows($A$1:$A1535),Reference!$O:$P,2,false)), 
""SELECT "" &amp; vlookup(rows($A$1:$A1535),Reference!$O:$P,2,false) 
&amp; "" WHERE "" &amp; vlookup("&amp;"rows($A$1:$A1535),Reference!$O:$P,2,false) &amp;
"" &gt;= "" &amp; Reference!$R$2)) * M1536,"""")"),"")</f>
        <v/>
      </c>
      <c r="O1536" s="84" t="str">
        <f t="shared" si="2"/>
        <v/>
      </c>
    </row>
    <row r="1537">
      <c r="A1537" s="84"/>
      <c r="B1537" s="84"/>
      <c r="C1537" s="85"/>
      <c r="D1537" s="86"/>
      <c r="E1537" s="87"/>
      <c r="F1537" s="86"/>
      <c r="G1537" s="87"/>
      <c r="H1537" s="86"/>
      <c r="I1537" s="86"/>
      <c r="J1537" s="86"/>
      <c r="K1537" s="84"/>
      <c r="L1537" s="84"/>
      <c r="M1537" s="84"/>
      <c r="N1537" s="84" t="str">
        <f>IFERROR(__xludf.DUMMYFUNCTION("IFERROR(AVERAGE(query(INDIRECT(""'FR Table'!"" &amp; vlookup(rows($A$1:$A1536),Reference!$O:$P,2,false) &amp; ""3:"" &amp; vlookup(rows($A$1:$A1536),Reference!$O:$P,2,false)), 
""SELECT "" &amp; vlookup(rows($A$1:$A1536),Reference!$O:$P,2,false) 
&amp; "" WHERE "" &amp; vlookup("&amp;"rows($A$1:$A1536),Reference!$O:$P,2,false) &amp;
"" &gt;= "" &amp; Reference!$R$2)) * M1537,"""")"),"")</f>
        <v/>
      </c>
      <c r="O1537" s="84" t="str">
        <f t="shared" si="2"/>
        <v/>
      </c>
    </row>
    <row r="1538">
      <c r="A1538" s="84"/>
      <c r="B1538" s="84"/>
      <c r="C1538" s="85"/>
      <c r="D1538" s="86"/>
      <c r="E1538" s="87"/>
      <c r="F1538" s="86"/>
      <c r="G1538" s="87"/>
      <c r="H1538" s="86"/>
      <c r="I1538" s="86"/>
      <c r="J1538" s="86"/>
      <c r="K1538" s="84"/>
      <c r="L1538" s="84"/>
      <c r="M1538" s="84"/>
      <c r="N1538" s="84" t="str">
        <f>IFERROR(__xludf.DUMMYFUNCTION("IFERROR(AVERAGE(query(INDIRECT(""'FR Table'!"" &amp; vlookup(rows($A$1:$A1537),Reference!$O:$P,2,false) &amp; ""3:"" &amp; vlookup(rows($A$1:$A1537),Reference!$O:$P,2,false)), 
""SELECT "" &amp; vlookup(rows($A$1:$A1537),Reference!$O:$P,2,false) 
&amp; "" WHERE "" &amp; vlookup("&amp;"rows($A$1:$A1537),Reference!$O:$P,2,false) &amp;
"" &gt;= "" &amp; Reference!$R$2)) * M1538,"""")"),"")</f>
        <v/>
      </c>
      <c r="O1538" s="84" t="str">
        <f t="shared" si="2"/>
        <v/>
      </c>
    </row>
    <row r="1539">
      <c r="A1539" s="84"/>
      <c r="B1539" s="84"/>
      <c r="C1539" s="85"/>
      <c r="D1539" s="86"/>
      <c r="E1539" s="87"/>
      <c r="F1539" s="86"/>
      <c r="G1539" s="87"/>
      <c r="H1539" s="86"/>
      <c r="I1539" s="86"/>
      <c r="J1539" s="86"/>
      <c r="K1539" s="84"/>
      <c r="L1539" s="84"/>
      <c r="M1539" s="84"/>
      <c r="N1539" s="84" t="str">
        <f>IFERROR(__xludf.DUMMYFUNCTION("IFERROR(AVERAGE(query(INDIRECT(""'FR Table'!"" &amp; vlookup(rows($A$1:$A1538),Reference!$O:$P,2,false) &amp; ""3:"" &amp; vlookup(rows($A$1:$A1538),Reference!$O:$P,2,false)), 
""SELECT "" &amp; vlookup(rows($A$1:$A1538),Reference!$O:$P,2,false) 
&amp; "" WHERE "" &amp; vlookup("&amp;"rows($A$1:$A1538),Reference!$O:$P,2,false) &amp;
"" &gt;= "" &amp; Reference!$R$2)) * M1539,"""")"),"")</f>
        <v/>
      </c>
      <c r="O1539" s="84" t="str">
        <f t="shared" si="2"/>
        <v/>
      </c>
    </row>
    <row r="1540">
      <c r="A1540" s="84"/>
      <c r="B1540" s="84"/>
      <c r="C1540" s="85"/>
      <c r="D1540" s="86"/>
      <c r="E1540" s="87"/>
      <c r="F1540" s="86"/>
      <c r="G1540" s="87"/>
      <c r="H1540" s="86"/>
      <c r="I1540" s="86"/>
      <c r="J1540" s="86"/>
      <c r="K1540" s="84"/>
      <c r="L1540" s="84"/>
      <c r="M1540" s="84"/>
      <c r="N1540" s="84" t="str">
        <f>IFERROR(__xludf.DUMMYFUNCTION("IFERROR(AVERAGE(query(INDIRECT(""'FR Table'!"" &amp; vlookup(rows($A$1:$A1539),Reference!$O:$P,2,false) &amp; ""3:"" &amp; vlookup(rows($A$1:$A1539),Reference!$O:$P,2,false)), 
""SELECT "" &amp; vlookup(rows($A$1:$A1539),Reference!$O:$P,2,false) 
&amp; "" WHERE "" &amp; vlookup("&amp;"rows($A$1:$A1539),Reference!$O:$P,2,false) &amp;
"" &gt;= "" &amp; Reference!$R$2)) * M1540,"""")"),"")</f>
        <v/>
      </c>
      <c r="O1540" s="84" t="str">
        <f t="shared" si="2"/>
        <v/>
      </c>
    </row>
    <row r="1541">
      <c r="A1541" s="84"/>
      <c r="B1541" s="84"/>
      <c r="C1541" s="85"/>
      <c r="D1541" s="86"/>
      <c r="E1541" s="87"/>
      <c r="F1541" s="86"/>
      <c r="G1541" s="87"/>
      <c r="H1541" s="86"/>
      <c r="I1541" s="86"/>
      <c r="J1541" s="86"/>
      <c r="K1541" s="84"/>
      <c r="L1541" s="84"/>
      <c r="M1541" s="84"/>
      <c r="N1541" s="84" t="str">
        <f>IFERROR(__xludf.DUMMYFUNCTION("IFERROR(AVERAGE(query(INDIRECT(""'FR Table'!"" &amp; vlookup(rows($A$1:$A1540),Reference!$O:$P,2,false) &amp; ""3:"" &amp; vlookup(rows($A$1:$A1540),Reference!$O:$P,2,false)), 
""SELECT "" &amp; vlookup(rows($A$1:$A1540),Reference!$O:$P,2,false) 
&amp; "" WHERE "" &amp; vlookup("&amp;"rows($A$1:$A1540),Reference!$O:$P,2,false) &amp;
"" &gt;= "" &amp; Reference!$R$2)) * M1541,"""")"),"")</f>
        <v/>
      </c>
      <c r="O1541" s="84" t="str">
        <f t="shared" si="2"/>
        <v/>
      </c>
    </row>
    <row r="1542">
      <c r="A1542" s="84"/>
      <c r="B1542" s="84"/>
      <c r="C1542" s="85"/>
      <c r="D1542" s="86"/>
      <c r="E1542" s="87"/>
      <c r="F1542" s="86"/>
      <c r="G1542" s="87"/>
      <c r="H1542" s="86"/>
      <c r="I1542" s="86"/>
      <c r="J1542" s="86"/>
      <c r="K1542" s="84"/>
      <c r="L1542" s="84"/>
      <c r="M1542" s="84"/>
      <c r="N1542" s="84" t="str">
        <f>IFERROR(__xludf.DUMMYFUNCTION("IFERROR(AVERAGE(query(INDIRECT(""'FR Table'!"" &amp; vlookup(rows($A$1:$A1541),Reference!$O:$P,2,false) &amp; ""3:"" &amp; vlookup(rows($A$1:$A1541),Reference!$O:$P,2,false)), 
""SELECT "" &amp; vlookup(rows($A$1:$A1541),Reference!$O:$P,2,false) 
&amp; "" WHERE "" &amp; vlookup("&amp;"rows($A$1:$A1541),Reference!$O:$P,2,false) &amp;
"" &gt;= "" &amp; Reference!$R$2)) * M1542,"""")"),"")</f>
        <v/>
      </c>
      <c r="O1542" s="84" t="str">
        <f t="shared" si="2"/>
        <v/>
      </c>
    </row>
    <row r="1543">
      <c r="A1543" s="84"/>
      <c r="B1543" s="84"/>
      <c r="C1543" s="85"/>
      <c r="D1543" s="86"/>
      <c r="E1543" s="87"/>
      <c r="F1543" s="86"/>
      <c r="G1543" s="87"/>
      <c r="H1543" s="86"/>
      <c r="I1543" s="86"/>
      <c r="J1543" s="86"/>
      <c r="K1543" s="84"/>
      <c r="L1543" s="84"/>
      <c r="M1543" s="84"/>
      <c r="N1543" s="84" t="str">
        <f>IFERROR(__xludf.DUMMYFUNCTION("IFERROR(AVERAGE(query(INDIRECT(""'FR Table'!"" &amp; vlookup(rows($A$1:$A1542),Reference!$O:$P,2,false) &amp; ""3:"" &amp; vlookup(rows($A$1:$A1542),Reference!$O:$P,2,false)), 
""SELECT "" &amp; vlookup(rows($A$1:$A1542),Reference!$O:$P,2,false) 
&amp; "" WHERE "" &amp; vlookup("&amp;"rows($A$1:$A1542),Reference!$O:$P,2,false) &amp;
"" &gt;= "" &amp; Reference!$R$2)) * M1543,"""")"),"")</f>
        <v/>
      </c>
      <c r="O1543" s="84" t="str">
        <f t="shared" si="2"/>
        <v/>
      </c>
    </row>
    <row r="1544">
      <c r="A1544" s="84"/>
      <c r="B1544" s="84"/>
      <c r="C1544" s="85"/>
      <c r="D1544" s="86"/>
      <c r="E1544" s="87"/>
      <c r="F1544" s="86"/>
      <c r="G1544" s="87"/>
      <c r="H1544" s="86"/>
      <c r="I1544" s="86"/>
      <c r="J1544" s="86"/>
      <c r="K1544" s="84"/>
      <c r="L1544" s="84"/>
      <c r="M1544" s="84"/>
      <c r="N1544" s="84" t="str">
        <f>IFERROR(__xludf.DUMMYFUNCTION("IFERROR(AVERAGE(query(INDIRECT(""'FR Table'!"" &amp; vlookup(rows($A$1:$A1543),Reference!$O:$P,2,false) &amp; ""3:"" &amp; vlookup(rows($A$1:$A1543),Reference!$O:$P,2,false)), 
""SELECT "" &amp; vlookup(rows($A$1:$A1543),Reference!$O:$P,2,false) 
&amp; "" WHERE "" &amp; vlookup("&amp;"rows($A$1:$A1543),Reference!$O:$P,2,false) &amp;
"" &gt;= "" &amp; Reference!$R$2)) * M1544,"""")"),"")</f>
        <v/>
      </c>
      <c r="O1544" s="84" t="str">
        <f t="shared" si="2"/>
        <v/>
      </c>
    </row>
    <row r="1545">
      <c r="A1545" s="84"/>
      <c r="B1545" s="84"/>
      <c r="C1545" s="85"/>
      <c r="D1545" s="86"/>
      <c r="E1545" s="87"/>
      <c r="F1545" s="86"/>
      <c r="G1545" s="87"/>
      <c r="H1545" s="86"/>
      <c r="I1545" s="86"/>
      <c r="J1545" s="86"/>
      <c r="K1545" s="84"/>
      <c r="L1545" s="84"/>
      <c r="M1545" s="84"/>
      <c r="N1545" s="84" t="str">
        <f>IFERROR(__xludf.DUMMYFUNCTION("IFERROR(AVERAGE(query(INDIRECT(""'FR Table'!"" &amp; vlookup(rows($A$1:$A1544),Reference!$O:$P,2,false) &amp; ""3:"" &amp; vlookup(rows($A$1:$A1544),Reference!$O:$P,2,false)), 
""SELECT "" &amp; vlookup(rows($A$1:$A1544),Reference!$O:$P,2,false) 
&amp; "" WHERE "" &amp; vlookup("&amp;"rows($A$1:$A1544),Reference!$O:$P,2,false) &amp;
"" &gt;= "" &amp; Reference!$R$2)) * M1545,"""")"),"")</f>
        <v/>
      </c>
      <c r="O1545" s="84" t="str">
        <f t="shared" si="2"/>
        <v/>
      </c>
    </row>
    <row r="1546">
      <c r="A1546" s="84"/>
      <c r="B1546" s="84"/>
      <c r="C1546" s="85"/>
      <c r="D1546" s="86"/>
      <c r="E1546" s="87"/>
      <c r="F1546" s="86"/>
      <c r="G1546" s="87"/>
      <c r="H1546" s="86"/>
      <c r="I1546" s="86"/>
      <c r="J1546" s="86"/>
      <c r="K1546" s="84"/>
      <c r="L1546" s="84"/>
      <c r="M1546" s="84"/>
      <c r="N1546" s="84" t="str">
        <f>IFERROR(__xludf.DUMMYFUNCTION("IFERROR(AVERAGE(query(INDIRECT(""'FR Table'!"" &amp; vlookup(rows($A$1:$A1545),Reference!$O:$P,2,false) &amp; ""3:"" &amp; vlookup(rows($A$1:$A1545),Reference!$O:$P,2,false)), 
""SELECT "" &amp; vlookup(rows($A$1:$A1545),Reference!$O:$P,2,false) 
&amp; "" WHERE "" &amp; vlookup("&amp;"rows($A$1:$A1545),Reference!$O:$P,2,false) &amp;
"" &gt;= "" &amp; Reference!$R$2)) * M1546,"""")"),"")</f>
        <v/>
      </c>
      <c r="O1546" s="84" t="str">
        <f t="shared" si="2"/>
        <v/>
      </c>
    </row>
    <row r="1547">
      <c r="A1547" s="84"/>
      <c r="B1547" s="84"/>
      <c r="C1547" s="85"/>
      <c r="D1547" s="86"/>
      <c r="E1547" s="87"/>
      <c r="F1547" s="86"/>
      <c r="G1547" s="87"/>
      <c r="H1547" s="86"/>
      <c r="I1547" s="86"/>
      <c r="J1547" s="86"/>
      <c r="K1547" s="84"/>
      <c r="L1547" s="84"/>
      <c r="M1547" s="84"/>
      <c r="N1547" s="84" t="str">
        <f>IFERROR(__xludf.DUMMYFUNCTION("IFERROR(AVERAGE(query(INDIRECT(""'FR Table'!"" &amp; vlookup(rows($A$1:$A1546),Reference!$O:$P,2,false) &amp; ""3:"" &amp; vlookup(rows($A$1:$A1546),Reference!$O:$P,2,false)), 
""SELECT "" &amp; vlookup(rows($A$1:$A1546),Reference!$O:$P,2,false) 
&amp; "" WHERE "" &amp; vlookup("&amp;"rows($A$1:$A1546),Reference!$O:$P,2,false) &amp;
"" &gt;= "" &amp; Reference!$R$2)) * M1547,"""")"),"")</f>
        <v/>
      </c>
      <c r="O1547" s="84" t="str">
        <f t="shared" si="2"/>
        <v/>
      </c>
    </row>
    <row r="1548">
      <c r="A1548" s="84"/>
      <c r="B1548" s="84"/>
      <c r="C1548" s="85"/>
      <c r="D1548" s="86"/>
      <c r="E1548" s="87"/>
      <c r="F1548" s="86"/>
      <c r="G1548" s="87"/>
      <c r="H1548" s="86"/>
      <c r="I1548" s="86"/>
      <c r="J1548" s="86"/>
      <c r="K1548" s="84"/>
      <c r="L1548" s="84"/>
      <c r="M1548" s="84"/>
      <c r="N1548" s="84" t="str">
        <f>IFERROR(__xludf.DUMMYFUNCTION("IFERROR(AVERAGE(query(INDIRECT(""'FR Table'!"" &amp; vlookup(rows($A$1:$A1547),Reference!$O:$P,2,false) &amp; ""3:"" &amp; vlookup(rows($A$1:$A1547),Reference!$O:$P,2,false)), 
""SELECT "" &amp; vlookup(rows($A$1:$A1547),Reference!$O:$P,2,false) 
&amp; "" WHERE "" &amp; vlookup("&amp;"rows($A$1:$A1547),Reference!$O:$P,2,false) &amp;
"" &gt;= "" &amp; Reference!$R$2)) * M1548,"""")"),"")</f>
        <v/>
      </c>
      <c r="O1548" s="84" t="str">
        <f t="shared" si="2"/>
        <v/>
      </c>
    </row>
    <row r="1549">
      <c r="A1549" s="84"/>
      <c r="B1549" s="84"/>
      <c r="C1549" s="85"/>
      <c r="D1549" s="86"/>
      <c r="E1549" s="87"/>
      <c r="F1549" s="86"/>
      <c r="G1549" s="87"/>
      <c r="H1549" s="86"/>
      <c r="I1549" s="86"/>
      <c r="J1549" s="86"/>
      <c r="K1549" s="84"/>
      <c r="L1549" s="84"/>
      <c r="M1549" s="84"/>
      <c r="N1549" s="84" t="str">
        <f>IFERROR(__xludf.DUMMYFUNCTION("IFERROR(AVERAGE(query(INDIRECT(""'FR Table'!"" &amp; vlookup(rows($A$1:$A1548),Reference!$O:$P,2,false) &amp; ""3:"" &amp; vlookup(rows($A$1:$A1548),Reference!$O:$P,2,false)), 
""SELECT "" &amp; vlookup(rows($A$1:$A1548),Reference!$O:$P,2,false) 
&amp; "" WHERE "" &amp; vlookup("&amp;"rows($A$1:$A1548),Reference!$O:$P,2,false) &amp;
"" &gt;= "" &amp; Reference!$R$2)) * M1549,"""")"),"")</f>
        <v/>
      </c>
      <c r="O1549" s="84" t="str">
        <f t="shared" si="2"/>
        <v/>
      </c>
    </row>
    <row r="1550">
      <c r="A1550" s="84"/>
      <c r="B1550" s="84"/>
      <c r="C1550" s="85"/>
      <c r="D1550" s="86"/>
      <c r="E1550" s="87"/>
      <c r="F1550" s="86"/>
      <c r="G1550" s="87"/>
      <c r="H1550" s="86"/>
      <c r="I1550" s="86"/>
      <c r="J1550" s="86"/>
      <c r="K1550" s="84"/>
      <c r="L1550" s="84"/>
      <c r="M1550" s="84"/>
      <c r="N1550" s="84" t="str">
        <f>IFERROR(__xludf.DUMMYFUNCTION("IFERROR(AVERAGE(query(INDIRECT(""'FR Table'!"" &amp; vlookup(rows($A$1:$A1549),Reference!$O:$P,2,false) &amp; ""3:"" &amp; vlookup(rows($A$1:$A1549),Reference!$O:$P,2,false)), 
""SELECT "" &amp; vlookup(rows($A$1:$A1549),Reference!$O:$P,2,false) 
&amp; "" WHERE "" &amp; vlookup("&amp;"rows($A$1:$A1549),Reference!$O:$P,2,false) &amp;
"" &gt;= "" &amp; Reference!$R$2)) * M1550,"""")"),"")</f>
        <v/>
      </c>
      <c r="O1550" s="84" t="str">
        <f t="shared" si="2"/>
        <v/>
      </c>
    </row>
    <row r="1551">
      <c r="A1551" s="84"/>
      <c r="B1551" s="84"/>
      <c r="C1551" s="85"/>
      <c r="D1551" s="86"/>
      <c r="E1551" s="87"/>
      <c r="F1551" s="86"/>
      <c r="G1551" s="87"/>
      <c r="H1551" s="86"/>
      <c r="I1551" s="86"/>
      <c r="J1551" s="86"/>
      <c r="K1551" s="84"/>
      <c r="L1551" s="84"/>
      <c r="M1551" s="84"/>
      <c r="N1551" s="84" t="str">
        <f>IFERROR(__xludf.DUMMYFUNCTION("IFERROR(AVERAGE(query(INDIRECT(""'FR Table'!"" &amp; vlookup(rows($A$1:$A1550),Reference!$O:$P,2,false) &amp; ""3:"" &amp; vlookup(rows($A$1:$A1550),Reference!$O:$P,2,false)), 
""SELECT "" &amp; vlookup(rows($A$1:$A1550),Reference!$O:$P,2,false) 
&amp; "" WHERE "" &amp; vlookup("&amp;"rows($A$1:$A1550),Reference!$O:$P,2,false) &amp;
"" &gt;= "" &amp; Reference!$R$2)) * M1551,"""")"),"")</f>
        <v/>
      </c>
      <c r="O1551" s="84" t="str">
        <f t="shared" si="2"/>
        <v/>
      </c>
    </row>
    <row r="1552">
      <c r="A1552" s="84"/>
      <c r="B1552" s="84"/>
      <c r="C1552" s="85"/>
      <c r="D1552" s="86"/>
      <c r="E1552" s="87"/>
      <c r="F1552" s="86"/>
      <c r="G1552" s="87"/>
      <c r="H1552" s="86"/>
      <c r="I1552" s="86"/>
      <c r="J1552" s="86"/>
      <c r="K1552" s="84"/>
      <c r="L1552" s="84"/>
      <c r="M1552" s="84"/>
      <c r="N1552" s="84" t="str">
        <f>IFERROR(__xludf.DUMMYFUNCTION("IFERROR(AVERAGE(query(INDIRECT(""'FR Table'!"" &amp; vlookup(rows($A$1:$A1551),Reference!$O:$P,2,false) &amp; ""3:"" &amp; vlookup(rows($A$1:$A1551),Reference!$O:$P,2,false)), 
""SELECT "" &amp; vlookup(rows($A$1:$A1551),Reference!$O:$P,2,false) 
&amp; "" WHERE "" &amp; vlookup("&amp;"rows($A$1:$A1551),Reference!$O:$P,2,false) &amp;
"" &gt;= "" &amp; Reference!$R$2)) * M1552,"""")"),"")</f>
        <v/>
      </c>
      <c r="O1552" s="84" t="str">
        <f t="shared" si="2"/>
        <v/>
      </c>
    </row>
    <row r="1553">
      <c r="A1553" s="84"/>
      <c r="B1553" s="84"/>
      <c r="C1553" s="85"/>
      <c r="D1553" s="86"/>
      <c r="E1553" s="87"/>
      <c r="F1553" s="86"/>
      <c r="G1553" s="87"/>
      <c r="H1553" s="86"/>
      <c r="I1553" s="86"/>
      <c r="J1553" s="86"/>
      <c r="K1553" s="84"/>
      <c r="L1553" s="84"/>
      <c r="M1553" s="84"/>
      <c r="N1553" s="84" t="str">
        <f>IFERROR(__xludf.DUMMYFUNCTION("IFERROR(AVERAGE(query(INDIRECT(""'FR Table'!"" &amp; vlookup(rows($A$1:$A1552),Reference!$O:$P,2,false) &amp; ""3:"" &amp; vlookup(rows($A$1:$A1552),Reference!$O:$P,2,false)), 
""SELECT "" &amp; vlookup(rows($A$1:$A1552),Reference!$O:$P,2,false) 
&amp; "" WHERE "" &amp; vlookup("&amp;"rows($A$1:$A1552),Reference!$O:$P,2,false) &amp;
"" &gt;= "" &amp; Reference!$R$2)) * M1553,"""")"),"")</f>
        <v/>
      </c>
      <c r="O1553" s="84" t="str">
        <f t="shared" si="2"/>
        <v/>
      </c>
    </row>
    <row r="1554">
      <c r="A1554" s="84"/>
      <c r="B1554" s="84"/>
      <c r="C1554" s="85"/>
      <c r="D1554" s="86"/>
      <c r="E1554" s="87"/>
      <c r="F1554" s="86"/>
      <c r="G1554" s="87"/>
      <c r="H1554" s="86"/>
      <c r="I1554" s="86"/>
      <c r="J1554" s="86"/>
      <c r="K1554" s="84"/>
      <c r="L1554" s="84"/>
      <c r="M1554" s="84"/>
      <c r="N1554" s="84" t="str">
        <f>IFERROR(__xludf.DUMMYFUNCTION("IFERROR(AVERAGE(query(INDIRECT(""'FR Table'!"" &amp; vlookup(rows($A$1:$A1553),Reference!$O:$P,2,false) &amp; ""3:"" &amp; vlookup(rows($A$1:$A1553),Reference!$O:$P,2,false)), 
""SELECT "" &amp; vlookup(rows($A$1:$A1553),Reference!$O:$P,2,false) 
&amp; "" WHERE "" &amp; vlookup("&amp;"rows($A$1:$A1553),Reference!$O:$P,2,false) &amp;
"" &gt;= "" &amp; Reference!$R$2)) * M1554,"""")"),"")</f>
        <v/>
      </c>
      <c r="O1554" s="84" t="str">
        <f t="shared" si="2"/>
        <v/>
      </c>
    </row>
    <row r="1555">
      <c r="A1555" s="84"/>
      <c r="B1555" s="84"/>
      <c r="C1555" s="85"/>
      <c r="D1555" s="86"/>
      <c r="E1555" s="87"/>
      <c r="F1555" s="86"/>
      <c r="G1555" s="87"/>
      <c r="H1555" s="86"/>
      <c r="I1555" s="86"/>
      <c r="J1555" s="86"/>
      <c r="K1555" s="84"/>
      <c r="L1555" s="84"/>
      <c r="M1555" s="84"/>
      <c r="N1555" s="84" t="str">
        <f>IFERROR(__xludf.DUMMYFUNCTION("IFERROR(AVERAGE(query(INDIRECT(""'FR Table'!"" &amp; vlookup(rows($A$1:$A1554),Reference!$O:$P,2,false) &amp; ""3:"" &amp; vlookup(rows($A$1:$A1554),Reference!$O:$P,2,false)), 
""SELECT "" &amp; vlookup(rows($A$1:$A1554),Reference!$O:$P,2,false) 
&amp; "" WHERE "" &amp; vlookup("&amp;"rows($A$1:$A1554),Reference!$O:$P,2,false) &amp;
"" &gt;= "" &amp; Reference!$R$2)) * M1555,"""")"),"")</f>
        <v/>
      </c>
      <c r="O1555" s="84" t="str">
        <f t="shared" si="2"/>
        <v/>
      </c>
    </row>
    <row r="1556">
      <c r="A1556" s="84"/>
      <c r="B1556" s="84"/>
      <c r="C1556" s="85"/>
      <c r="D1556" s="86"/>
      <c r="E1556" s="87"/>
      <c r="F1556" s="86"/>
      <c r="G1556" s="87"/>
      <c r="H1556" s="86"/>
      <c r="I1556" s="86"/>
      <c r="J1556" s="86"/>
      <c r="K1556" s="84"/>
      <c r="L1556" s="84"/>
      <c r="M1556" s="84"/>
      <c r="N1556" s="84" t="str">
        <f>IFERROR(__xludf.DUMMYFUNCTION("IFERROR(AVERAGE(query(INDIRECT(""'FR Table'!"" &amp; vlookup(rows($A$1:$A1555),Reference!$O:$P,2,false) &amp; ""3:"" &amp; vlookup(rows($A$1:$A1555),Reference!$O:$P,2,false)), 
""SELECT "" &amp; vlookup(rows($A$1:$A1555),Reference!$O:$P,2,false) 
&amp; "" WHERE "" &amp; vlookup("&amp;"rows($A$1:$A1555),Reference!$O:$P,2,false) &amp;
"" &gt;= "" &amp; Reference!$R$2)) * M1556,"""")"),"")</f>
        <v/>
      </c>
      <c r="O1556" s="84" t="str">
        <f t="shared" si="2"/>
        <v/>
      </c>
    </row>
    <row r="1557">
      <c r="A1557" s="84"/>
      <c r="B1557" s="84"/>
      <c r="C1557" s="85"/>
      <c r="D1557" s="86"/>
      <c r="E1557" s="87"/>
      <c r="F1557" s="86"/>
      <c r="G1557" s="87"/>
      <c r="H1557" s="86"/>
      <c r="I1557" s="86"/>
      <c r="J1557" s="86"/>
      <c r="K1557" s="84"/>
      <c r="L1557" s="84"/>
      <c r="M1557" s="84"/>
      <c r="N1557" s="84" t="str">
        <f>IFERROR(__xludf.DUMMYFUNCTION("IFERROR(AVERAGE(query(INDIRECT(""'FR Table'!"" &amp; vlookup(rows($A$1:$A1556),Reference!$O:$P,2,false) &amp; ""3:"" &amp; vlookup(rows($A$1:$A1556),Reference!$O:$P,2,false)), 
""SELECT "" &amp; vlookup(rows($A$1:$A1556),Reference!$O:$P,2,false) 
&amp; "" WHERE "" &amp; vlookup("&amp;"rows($A$1:$A1556),Reference!$O:$P,2,false) &amp;
"" &gt;= "" &amp; Reference!$R$2)) * M1557,"""")"),"")</f>
        <v/>
      </c>
      <c r="O1557" s="84" t="str">
        <f t="shared" si="2"/>
        <v/>
      </c>
    </row>
    <row r="1558">
      <c r="A1558" s="84"/>
      <c r="B1558" s="84"/>
      <c r="C1558" s="85"/>
      <c r="D1558" s="86"/>
      <c r="E1558" s="87"/>
      <c r="F1558" s="86"/>
      <c r="G1558" s="87"/>
      <c r="H1558" s="86"/>
      <c r="I1558" s="86"/>
      <c r="J1558" s="86"/>
      <c r="K1558" s="84"/>
      <c r="L1558" s="84"/>
      <c r="M1558" s="84"/>
      <c r="N1558" s="84" t="str">
        <f>IFERROR(__xludf.DUMMYFUNCTION("IFERROR(AVERAGE(query(INDIRECT(""'FR Table'!"" &amp; vlookup(rows($A$1:$A1557),Reference!$O:$P,2,false) &amp; ""3:"" &amp; vlookup(rows($A$1:$A1557),Reference!$O:$P,2,false)), 
""SELECT "" &amp; vlookup(rows($A$1:$A1557),Reference!$O:$P,2,false) 
&amp; "" WHERE "" &amp; vlookup("&amp;"rows($A$1:$A1557),Reference!$O:$P,2,false) &amp;
"" &gt;= "" &amp; Reference!$R$2)) * M1558,"""")"),"")</f>
        <v/>
      </c>
      <c r="O1558" s="84" t="str">
        <f t="shared" si="2"/>
        <v/>
      </c>
    </row>
    <row r="1559">
      <c r="A1559" s="84"/>
      <c r="B1559" s="84"/>
      <c r="C1559" s="85"/>
      <c r="D1559" s="86"/>
      <c r="E1559" s="87"/>
      <c r="F1559" s="86"/>
      <c r="G1559" s="87"/>
      <c r="H1559" s="86"/>
      <c r="I1559" s="86"/>
      <c r="J1559" s="86"/>
      <c r="K1559" s="84"/>
      <c r="L1559" s="84"/>
      <c r="M1559" s="84"/>
      <c r="N1559" s="84" t="str">
        <f>IFERROR(__xludf.DUMMYFUNCTION("IFERROR(AVERAGE(query(INDIRECT(""'FR Table'!"" &amp; vlookup(rows($A$1:$A1558),Reference!$O:$P,2,false) &amp; ""3:"" &amp; vlookup(rows($A$1:$A1558),Reference!$O:$P,2,false)), 
""SELECT "" &amp; vlookup(rows($A$1:$A1558),Reference!$O:$P,2,false) 
&amp; "" WHERE "" &amp; vlookup("&amp;"rows($A$1:$A1558),Reference!$O:$P,2,false) &amp;
"" &gt;= "" &amp; Reference!$R$2)) * M1559,"""")"),"")</f>
        <v/>
      </c>
      <c r="O1559" s="84" t="str">
        <f t="shared" si="2"/>
        <v/>
      </c>
    </row>
    <row r="1560">
      <c r="A1560" s="84"/>
      <c r="B1560" s="84"/>
      <c r="C1560" s="85"/>
      <c r="D1560" s="86"/>
      <c r="E1560" s="87"/>
      <c r="F1560" s="86"/>
      <c r="G1560" s="87"/>
      <c r="H1560" s="86"/>
      <c r="I1560" s="86"/>
      <c r="J1560" s="86"/>
      <c r="K1560" s="84"/>
      <c r="L1560" s="84"/>
      <c r="M1560" s="84"/>
      <c r="N1560" s="84" t="str">
        <f>IFERROR(__xludf.DUMMYFUNCTION("IFERROR(AVERAGE(query(INDIRECT(""'FR Table'!"" &amp; vlookup(rows($A$1:$A1559),Reference!$O:$P,2,false) &amp; ""3:"" &amp; vlookup(rows($A$1:$A1559),Reference!$O:$P,2,false)), 
""SELECT "" &amp; vlookup(rows($A$1:$A1559),Reference!$O:$P,2,false) 
&amp; "" WHERE "" &amp; vlookup("&amp;"rows($A$1:$A1559),Reference!$O:$P,2,false) &amp;
"" &gt;= "" &amp; Reference!$R$2)) * M1560,"""")"),"")</f>
        <v/>
      </c>
      <c r="O1560" s="84" t="str">
        <f t="shared" si="2"/>
        <v/>
      </c>
    </row>
    <row r="1561">
      <c r="A1561" s="84"/>
      <c r="B1561" s="84"/>
      <c r="C1561" s="85"/>
      <c r="D1561" s="86"/>
      <c r="E1561" s="87"/>
      <c r="F1561" s="86"/>
      <c r="G1561" s="87"/>
      <c r="H1561" s="86"/>
      <c r="I1561" s="86"/>
      <c r="J1561" s="86"/>
      <c r="K1561" s="84"/>
      <c r="L1561" s="84"/>
      <c r="M1561" s="84"/>
      <c r="N1561" s="84" t="str">
        <f>IFERROR(__xludf.DUMMYFUNCTION("IFERROR(AVERAGE(query(INDIRECT(""'FR Table'!"" &amp; vlookup(rows($A$1:$A1560),Reference!$O:$P,2,false) &amp; ""3:"" &amp; vlookup(rows($A$1:$A1560),Reference!$O:$P,2,false)), 
""SELECT "" &amp; vlookup(rows($A$1:$A1560),Reference!$O:$P,2,false) 
&amp; "" WHERE "" &amp; vlookup("&amp;"rows($A$1:$A1560),Reference!$O:$P,2,false) &amp;
"" &gt;= "" &amp; Reference!$R$2)) * M1561,"""")"),"")</f>
        <v/>
      </c>
      <c r="O1561" s="84" t="str">
        <f t="shared" si="2"/>
        <v/>
      </c>
    </row>
    <row r="1562">
      <c r="A1562" s="84"/>
      <c r="B1562" s="84"/>
      <c r="C1562" s="85"/>
      <c r="D1562" s="86"/>
      <c r="E1562" s="87"/>
      <c r="F1562" s="86"/>
      <c r="G1562" s="87"/>
      <c r="H1562" s="86"/>
      <c r="I1562" s="86"/>
      <c r="J1562" s="86"/>
      <c r="K1562" s="84"/>
      <c r="L1562" s="84"/>
      <c r="M1562" s="84"/>
      <c r="N1562" s="84" t="str">
        <f>IFERROR(__xludf.DUMMYFUNCTION("IFERROR(AVERAGE(query(INDIRECT(""'FR Table'!"" &amp; vlookup(rows($A$1:$A1561),Reference!$O:$P,2,false) &amp; ""3:"" &amp; vlookup(rows($A$1:$A1561),Reference!$O:$P,2,false)), 
""SELECT "" &amp; vlookup(rows($A$1:$A1561),Reference!$O:$P,2,false) 
&amp; "" WHERE "" &amp; vlookup("&amp;"rows($A$1:$A1561),Reference!$O:$P,2,false) &amp;
"" &gt;= "" &amp; Reference!$R$2)) * M1562,"""")"),"")</f>
        <v/>
      </c>
      <c r="O1562" s="84" t="str">
        <f t="shared" si="2"/>
        <v/>
      </c>
    </row>
    <row r="1563">
      <c r="A1563" s="84"/>
      <c r="B1563" s="84"/>
      <c r="C1563" s="85"/>
      <c r="D1563" s="86"/>
      <c r="E1563" s="87"/>
      <c r="F1563" s="86"/>
      <c r="G1563" s="87"/>
      <c r="H1563" s="86"/>
      <c r="I1563" s="86"/>
      <c r="J1563" s="86"/>
      <c r="K1563" s="84"/>
      <c r="L1563" s="84"/>
      <c r="M1563" s="84"/>
      <c r="N1563" s="84" t="str">
        <f>IFERROR(__xludf.DUMMYFUNCTION("IFERROR(AVERAGE(query(INDIRECT(""'FR Table'!"" &amp; vlookup(rows($A$1:$A1562),Reference!$O:$P,2,false) &amp; ""3:"" &amp; vlookup(rows($A$1:$A1562),Reference!$O:$P,2,false)), 
""SELECT "" &amp; vlookup(rows($A$1:$A1562),Reference!$O:$P,2,false) 
&amp; "" WHERE "" &amp; vlookup("&amp;"rows($A$1:$A1562),Reference!$O:$P,2,false) &amp;
"" &gt;= "" &amp; Reference!$R$2)) * M1563,"""")"),"")</f>
        <v/>
      </c>
      <c r="O1563" s="84" t="str">
        <f t="shared" si="2"/>
        <v/>
      </c>
    </row>
    <row r="1564">
      <c r="A1564" s="84"/>
      <c r="B1564" s="84"/>
      <c r="C1564" s="85"/>
      <c r="D1564" s="86"/>
      <c r="E1564" s="87"/>
      <c r="F1564" s="86"/>
      <c r="G1564" s="87"/>
      <c r="H1564" s="86"/>
      <c r="I1564" s="86"/>
      <c r="J1564" s="86"/>
      <c r="K1564" s="84"/>
      <c r="L1564" s="84"/>
      <c r="M1564" s="84"/>
      <c r="N1564" s="84" t="str">
        <f>IFERROR(__xludf.DUMMYFUNCTION("IFERROR(AVERAGE(query(INDIRECT(""'FR Table'!"" &amp; vlookup(rows($A$1:$A1563),Reference!$O:$P,2,false) &amp; ""3:"" &amp; vlookup(rows($A$1:$A1563),Reference!$O:$P,2,false)), 
""SELECT "" &amp; vlookup(rows($A$1:$A1563),Reference!$O:$P,2,false) 
&amp; "" WHERE "" &amp; vlookup("&amp;"rows($A$1:$A1563),Reference!$O:$P,2,false) &amp;
"" &gt;= "" &amp; Reference!$R$2)) * M1564,"""")"),"")</f>
        <v/>
      </c>
      <c r="O1564" s="84" t="str">
        <f t="shared" si="2"/>
        <v/>
      </c>
    </row>
    <row r="1565">
      <c r="A1565" s="84"/>
      <c r="B1565" s="84"/>
      <c r="C1565" s="85"/>
      <c r="D1565" s="86"/>
      <c r="E1565" s="87"/>
      <c r="F1565" s="86"/>
      <c r="G1565" s="87"/>
      <c r="H1565" s="86"/>
      <c r="I1565" s="86"/>
      <c r="J1565" s="86"/>
      <c r="K1565" s="84"/>
      <c r="L1565" s="84"/>
      <c r="M1565" s="84"/>
      <c r="N1565" s="84" t="str">
        <f>IFERROR(__xludf.DUMMYFUNCTION("IFERROR(AVERAGE(query(INDIRECT(""'FR Table'!"" &amp; vlookup(rows($A$1:$A1564),Reference!$O:$P,2,false) &amp; ""3:"" &amp; vlookup(rows($A$1:$A1564),Reference!$O:$P,2,false)), 
""SELECT "" &amp; vlookup(rows($A$1:$A1564),Reference!$O:$P,2,false) 
&amp; "" WHERE "" &amp; vlookup("&amp;"rows($A$1:$A1564),Reference!$O:$P,2,false) &amp;
"" &gt;= "" &amp; Reference!$R$2)) * M1565,"""")"),"")</f>
        <v/>
      </c>
      <c r="O1565" s="84" t="str">
        <f t="shared" si="2"/>
        <v/>
      </c>
    </row>
    <row r="1566">
      <c r="A1566" s="84"/>
      <c r="B1566" s="84"/>
      <c r="C1566" s="85"/>
      <c r="D1566" s="86"/>
      <c r="E1566" s="87"/>
      <c r="F1566" s="86"/>
      <c r="G1566" s="87"/>
      <c r="H1566" s="86"/>
      <c r="I1566" s="86"/>
      <c r="J1566" s="86"/>
      <c r="K1566" s="84"/>
      <c r="L1566" s="84"/>
      <c r="M1566" s="84"/>
      <c r="N1566" s="84" t="str">
        <f>IFERROR(__xludf.DUMMYFUNCTION("IFERROR(AVERAGE(query(INDIRECT(""'FR Table'!"" &amp; vlookup(rows($A$1:$A1565),Reference!$O:$P,2,false) &amp; ""3:"" &amp; vlookup(rows($A$1:$A1565),Reference!$O:$P,2,false)), 
""SELECT "" &amp; vlookup(rows($A$1:$A1565),Reference!$O:$P,2,false) 
&amp; "" WHERE "" &amp; vlookup("&amp;"rows($A$1:$A1565),Reference!$O:$P,2,false) &amp;
"" &gt;= "" &amp; Reference!$R$2)) * M1566,"""")"),"")</f>
        <v/>
      </c>
      <c r="O1566" s="84" t="str">
        <f t="shared" si="2"/>
        <v/>
      </c>
    </row>
    <row r="1567">
      <c r="A1567" s="84"/>
      <c r="B1567" s="84"/>
      <c r="C1567" s="85"/>
      <c r="D1567" s="86"/>
      <c r="E1567" s="87"/>
      <c r="F1567" s="86"/>
      <c r="G1567" s="87"/>
      <c r="H1567" s="86"/>
      <c r="I1567" s="86"/>
      <c r="J1567" s="86"/>
      <c r="K1567" s="84"/>
      <c r="L1567" s="84"/>
      <c r="M1567" s="84"/>
      <c r="N1567" s="84" t="str">
        <f>IFERROR(__xludf.DUMMYFUNCTION("IFERROR(AVERAGE(query(INDIRECT(""'FR Table'!"" &amp; vlookup(rows($A$1:$A1566),Reference!$O:$P,2,false) &amp; ""3:"" &amp; vlookup(rows($A$1:$A1566),Reference!$O:$P,2,false)), 
""SELECT "" &amp; vlookup(rows($A$1:$A1566),Reference!$O:$P,2,false) 
&amp; "" WHERE "" &amp; vlookup("&amp;"rows($A$1:$A1566),Reference!$O:$P,2,false) &amp;
"" &gt;= "" &amp; Reference!$R$2)) * M1567,"""")"),"")</f>
        <v/>
      </c>
      <c r="O1567" s="84" t="str">
        <f t="shared" si="2"/>
        <v/>
      </c>
    </row>
    <row r="1568">
      <c r="A1568" s="84"/>
      <c r="B1568" s="84"/>
      <c r="C1568" s="85"/>
      <c r="D1568" s="86"/>
      <c r="E1568" s="87"/>
      <c r="F1568" s="86"/>
      <c r="G1568" s="87"/>
      <c r="H1568" s="86"/>
      <c r="I1568" s="86"/>
      <c r="J1568" s="86"/>
      <c r="K1568" s="84"/>
      <c r="L1568" s="84"/>
      <c r="M1568" s="84"/>
      <c r="N1568" s="84" t="str">
        <f>IFERROR(__xludf.DUMMYFUNCTION("IFERROR(AVERAGE(query(INDIRECT(""'FR Table'!"" &amp; vlookup(rows($A$1:$A1567),Reference!$O:$P,2,false) &amp; ""3:"" &amp; vlookup(rows($A$1:$A1567),Reference!$O:$P,2,false)), 
""SELECT "" &amp; vlookup(rows($A$1:$A1567),Reference!$O:$P,2,false) 
&amp; "" WHERE "" &amp; vlookup("&amp;"rows($A$1:$A1567),Reference!$O:$P,2,false) &amp;
"" &gt;= "" &amp; Reference!$R$2)) * M1568,"""")"),"")</f>
        <v/>
      </c>
      <c r="O1568" s="84" t="str">
        <f t="shared" si="2"/>
        <v/>
      </c>
    </row>
    <row r="1569">
      <c r="A1569" s="84"/>
      <c r="B1569" s="84"/>
      <c r="C1569" s="85"/>
      <c r="D1569" s="86"/>
      <c r="E1569" s="87"/>
      <c r="F1569" s="86"/>
      <c r="G1569" s="87"/>
      <c r="H1569" s="86"/>
      <c r="I1569" s="86"/>
      <c r="J1569" s="86"/>
      <c r="K1569" s="84"/>
      <c r="L1569" s="84"/>
      <c r="M1569" s="84"/>
      <c r="N1569" s="84" t="str">
        <f>IFERROR(__xludf.DUMMYFUNCTION("IFERROR(AVERAGE(query(INDIRECT(""'FR Table'!"" &amp; vlookup(rows($A$1:$A1568),Reference!$O:$P,2,false) &amp; ""3:"" &amp; vlookup(rows($A$1:$A1568),Reference!$O:$P,2,false)), 
""SELECT "" &amp; vlookup(rows($A$1:$A1568),Reference!$O:$P,2,false) 
&amp; "" WHERE "" &amp; vlookup("&amp;"rows($A$1:$A1568),Reference!$O:$P,2,false) &amp;
"" &gt;= "" &amp; Reference!$R$2)) * M1569,"""")"),"")</f>
        <v/>
      </c>
      <c r="O1569" s="84" t="str">
        <f t="shared" si="2"/>
        <v/>
      </c>
    </row>
    <row r="1570">
      <c r="A1570" s="84"/>
      <c r="B1570" s="84"/>
      <c r="C1570" s="85"/>
      <c r="D1570" s="86"/>
      <c r="E1570" s="87"/>
      <c r="F1570" s="86"/>
      <c r="G1570" s="87"/>
      <c r="H1570" s="86"/>
      <c r="I1570" s="86"/>
      <c r="J1570" s="86"/>
      <c r="K1570" s="84"/>
      <c r="L1570" s="84"/>
      <c r="M1570" s="84"/>
      <c r="N1570" s="84" t="str">
        <f>IFERROR(__xludf.DUMMYFUNCTION("IFERROR(AVERAGE(query(INDIRECT(""'FR Table'!"" &amp; vlookup(rows($A$1:$A1569),Reference!$O:$P,2,false) &amp; ""3:"" &amp; vlookup(rows($A$1:$A1569),Reference!$O:$P,2,false)), 
""SELECT "" &amp; vlookup(rows($A$1:$A1569),Reference!$O:$P,2,false) 
&amp; "" WHERE "" &amp; vlookup("&amp;"rows($A$1:$A1569),Reference!$O:$P,2,false) &amp;
"" &gt;= "" &amp; Reference!$R$2)) * M1570,"""")"),"")</f>
        <v/>
      </c>
      <c r="O1570" s="84" t="str">
        <f t="shared" si="2"/>
        <v/>
      </c>
    </row>
    <row r="1571">
      <c r="A1571" s="84"/>
      <c r="B1571" s="84"/>
      <c r="C1571" s="85"/>
      <c r="D1571" s="86"/>
      <c r="E1571" s="87"/>
      <c r="F1571" s="86"/>
      <c r="G1571" s="87"/>
      <c r="H1571" s="86"/>
      <c r="I1571" s="86"/>
      <c r="J1571" s="86"/>
      <c r="K1571" s="84"/>
      <c r="L1571" s="84"/>
      <c r="M1571" s="84"/>
      <c r="N1571" s="84" t="str">
        <f>IFERROR(__xludf.DUMMYFUNCTION("IFERROR(AVERAGE(query(INDIRECT(""'FR Table'!"" &amp; vlookup(rows($A$1:$A1570),Reference!$O:$P,2,false) &amp; ""3:"" &amp; vlookup(rows($A$1:$A1570),Reference!$O:$P,2,false)), 
""SELECT "" &amp; vlookup(rows($A$1:$A1570),Reference!$O:$P,2,false) 
&amp; "" WHERE "" &amp; vlookup("&amp;"rows($A$1:$A1570),Reference!$O:$P,2,false) &amp;
"" &gt;= "" &amp; Reference!$R$2)) * M1571,"""")"),"")</f>
        <v/>
      </c>
      <c r="O1571" s="84" t="str">
        <f t="shared" si="2"/>
        <v/>
      </c>
    </row>
    <row r="1572">
      <c r="A1572" s="84"/>
      <c r="B1572" s="84"/>
      <c r="C1572" s="85"/>
      <c r="D1572" s="86"/>
      <c r="E1572" s="87"/>
      <c r="F1572" s="86"/>
      <c r="G1572" s="87"/>
      <c r="H1572" s="86"/>
      <c r="I1572" s="86"/>
      <c r="J1572" s="86"/>
      <c r="K1572" s="84"/>
      <c r="L1572" s="84"/>
      <c r="M1572" s="84"/>
      <c r="N1572" s="84" t="str">
        <f>IFERROR(__xludf.DUMMYFUNCTION("IFERROR(AVERAGE(query(INDIRECT(""'FR Table'!"" &amp; vlookup(rows($A$1:$A1571),Reference!$O:$P,2,false) &amp; ""3:"" &amp; vlookup(rows($A$1:$A1571),Reference!$O:$P,2,false)), 
""SELECT "" &amp; vlookup(rows($A$1:$A1571),Reference!$O:$P,2,false) 
&amp; "" WHERE "" &amp; vlookup("&amp;"rows($A$1:$A1571),Reference!$O:$P,2,false) &amp;
"" &gt;= "" &amp; Reference!$R$2)) * M1572,"""")"),"")</f>
        <v/>
      </c>
      <c r="O1572" s="84" t="str">
        <f t="shared" si="2"/>
        <v/>
      </c>
    </row>
    <row r="1573">
      <c r="A1573" s="84"/>
      <c r="B1573" s="84"/>
      <c r="C1573" s="85"/>
      <c r="D1573" s="86"/>
      <c r="E1573" s="87"/>
      <c r="F1573" s="86"/>
      <c r="G1573" s="87"/>
      <c r="H1573" s="86"/>
      <c r="I1573" s="86"/>
      <c r="J1573" s="86"/>
      <c r="K1573" s="84"/>
      <c r="L1573" s="84"/>
      <c r="M1573" s="84"/>
      <c r="N1573" s="84" t="str">
        <f>IFERROR(__xludf.DUMMYFUNCTION("IFERROR(AVERAGE(query(INDIRECT(""'FR Table'!"" &amp; vlookup(rows($A$1:$A1572),Reference!$O:$P,2,false) &amp; ""3:"" &amp; vlookup(rows($A$1:$A1572),Reference!$O:$P,2,false)), 
""SELECT "" &amp; vlookup(rows($A$1:$A1572),Reference!$O:$P,2,false) 
&amp; "" WHERE "" &amp; vlookup("&amp;"rows($A$1:$A1572),Reference!$O:$P,2,false) &amp;
"" &gt;= "" &amp; Reference!$R$2)) * M1573,"""")"),"")</f>
        <v/>
      </c>
      <c r="O1573" s="84" t="str">
        <f t="shared" si="2"/>
        <v/>
      </c>
    </row>
    <row r="1574">
      <c r="A1574" s="84"/>
      <c r="B1574" s="84"/>
      <c r="C1574" s="85"/>
      <c r="D1574" s="86"/>
      <c r="E1574" s="87"/>
      <c r="F1574" s="86"/>
      <c r="G1574" s="87"/>
      <c r="H1574" s="86"/>
      <c r="I1574" s="86"/>
      <c r="J1574" s="86"/>
      <c r="K1574" s="84"/>
      <c r="L1574" s="84"/>
      <c r="M1574" s="84"/>
      <c r="N1574" s="84" t="str">
        <f>IFERROR(__xludf.DUMMYFUNCTION("IFERROR(AVERAGE(query(INDIRECT(""'FR Table'!"" &amp; vlookup(rows($A$1:$A1573),Reference!$O:$P,2,false) &amp; ""3:"" &amp; vlookup(rows($A$1:$A1573),Reference!$O:$P,2,false)), 
""SELECT "" &amp; vlookup(rows($A$1:$A1573),Reference!$O:$P,2,false) 
&amp; "" WHERE "" &amp; vlookup("&amp;"rows($A$1:$A1573),Reference!$O:$P,2,false) &amp;
"" &gt;= "" &amp; Reference!$R$2)) * M1574,"""")"),"")</f>
        <v/>
      </c>
      <c r="O1574" s="84" t="str">
        <f t="shared" si="2"/>
        <v/>
      </c>
    </row>
    <row r="1575">
      <c r="A1575" s="84"/>
      <c r="B1575" s="84"/>
      <c r="C1575" s="85"/>
      <c r="D1575" s="86"/>
      <c r="E1575" s="87"/>
      <c r="F1575" s="86"/>
      <c r="G1575" s="87"/>
      <c r="H1575" s="86"/>
      <c r="I1575" s="86"/>
      <c r="J1575" s="86"/>
      <c r="K1575" s="84"/>
      <c r="L1575" s="84"/>
      <c r="M1575" s="84"/>
      <c r="N1575" s="84" t="str">
        <f>IFERROR(__xludf.DUMMYFUNCTION("IFERROR(AVERAGE(query(INDIRECT(""'FR Table'!"" &amp; vlookup(rows($A$1:$A1574),Reference!$O:$P,2,false) &amp; ""3:"" &amp; vlookup(rows($A$1:$A1574),Reference!$O:$P,2,false)), 
""SELECT "" &amp; vlookup(rows($A$1:$A1574),Reference!$O:$P,2,false) 
&amp; "" WHERE "" &amp; vlookup("&amp;"rows($A$1:$A1574),Reference!$O:$P,2,false) &amp;
"" &gt;= "" &amp; Reference!$R$2)) * M1575,"""")"),"")</f>
        <v/>
      </c>
      <c r="O1575" s="84" t="str">
        <f t="shared" si="2"/>
        <v/>
      </c>
    </row>
    <row r="1576">
      <c r="A1576" s="84"/>
      <c r="B1576" s="84"/>
      <c r="C1576" s="85"/>
      <c r="D1576" s="86"/>
      <c r="E1576" s="87"/>
      <c r="F1576" s="86"/>
      <c r="G1576" s="87"/>
      <c r="H1576" s="86"/>
      <c r="I1576" s="86"/>
      <c r="J1576" s="86"/>
      <c r="K1576" s="84"/>
      <c r="L1576" s="84"/>
      <c r="M1576" s="84"/>
      <c r="N1576" s="84" t="str">
        <f>IFERROR(__xludf.DUMMYFUNCTION("IFERROR(AVERAGE(query(INDIRECT(""'FR Table'!"" &amp; vlookup(rows($A$1:$A1575),Reference!$O:$P,2,false) &amp; ""3:"" &amp; vlookup(rows($A$1:$A1575),Reference!$O:$P,2,false)), 
""SELECT "" &amp; vlookup(rows($A$1:$A1575),Reference!$O:$P,2,false) 
&amp; "" WHERE "" &amp; vlookup("&amp;"rows($A$1:$A1575),Reference!$O:$P,2,false) &amp;
"" &gt;= "" &amp; Reference!$R$2)) * M1576,"""")"),"")</f>
        <v/>
      </c>
      <c r="O1576" s="84" t="str">
        <f t="shared" si="2"/>
        <v/>
      </c>
    </row>
    <row r="1577">
      <c r="A1577" s="84"/>
      <c r="B1577" s="84"/>
      <c r="C1577" s="85"/>
      <c r="D1577" s="86"/>
      <c r="E1577" s="87"/>
      <c r="F1577" s="86"/>
      <c r="G1577" s="87"/>
      <c r="H1577" s="86"/>
      <c r="I1577" s="86"/>
      <c r="J1577" s="86"/>
      <c r="K1577" s="84"/>
      <c r="L1577" s="84"/>
      <c r="M1577" s="84"/>
      <c r="N1577" s="84" t="str">
        <f>IFERROR(__xludf.DUMMYFUNCTION("IFERROR(AVERAGE(query(INDIRECT(""'FR Table'!"" &amp; vlookup(rows($A$1:$A1576),Reference!$O:$P,2,false) &amp; ""3:"" &amp; vlookup(rows($A$1:$A1576),Reference!$O:$P,2,false)), 
""SELECT "" &amp; vlookup(rows($A$1:$A1576),Reference!$O:$P,2,false) 
&amp; "" WHERE "" &amp; vlookup("&amp;"rows($A$1:$A1576),Reference!$O:$P,2,false) &amp;
"" &gt;= "" &amp; Reference!$R$2)) * M1577,"""")"),"")</f>
        <v/>
      </c>
      <c r="O1577" s="84" t="str">
        <f t="shared" si="2"/>
        <v/>
      </c>
    </row>
    <row r="1578">
      <c r="A1578" s="84"/>
      <c r="B1578" s="84"/>
      <c r="C1578" s="85"/>
      <c r="D1578" s="86"/>
      <c r="E1578" s="87"/>
      <c r="F1578" s="86"/>
      <c r="G1578" s="87"/>
      <c r="H1578" s="86"/>
      <c r="I1578" s="86"/>
      <c r="J1578" s="86"/>
      <c r="K1578" s="84"/>
      <c r="L1578" s="84"/>
      <c r="M1578" s="84"/>
      <c r="N1578" s="84" t="str">
        <f>IFERROR(__xludf.DUMMYFUNCTION("IFERROR(AVERAGE(query(INDIRECT(""'FR Table'!"" &amp; vlookup(rows($A$1:$A1577),Reference!$O:$P,2,false) &amp; ""3:"" &amp; vlookup(rows($A$1:$A1577),Reference!$O:$P,2,false)), 
""SELECT "" &amp; vlookup(rows($A$1:$A1577),Reference!$O:$P,2,false) 
&amp; "" WHERE "" &amp; vlookup("&amp;"rows($A$1:$A1577),Reference!$O:$P,2,false) &amp;
"" &gt;= "" &amp; Reference!$R$2)) * M1578,"""")"),"")</f>
        <v/>
      </c>
      <c r="O1578" s="84" t="str">
        <f t="shared" si="2"/>
        <v/>
      </c>
    </row>
    <row r="1579">
      <c r="A1579" s="84"/>
      <c r="B1579" s="84"/>
      <c r="C1579" s="85"/>
      <c r="D1579" s="86"/>
      <c r="E1579" s="87"/>
      <c r="F1579" s="86"/>
      <c r="G1579" s="87"/>
      <c r="H1579" s="86"/>
      <c r="I1579" s="86"/>
      <c r="J1579" s="86"/>
      <c r="K1579" s="84"/>
      <c r="L1579" s="84"/>
      <c r="M1579" s="84"/>
      <c r="N1579" s="84" t="str">
        <f>IFERROR(__xludf.DUMMYFUNCTION("IFERROR(AVERAGE(query(INDIRECT(""'FR Table'!"" &amp; vlookup(rows($A$1:$A1578),Reference!$O:$P,2,false) &amp; ""3:"" &amp; vlookup(rows($A$1:$A1578),Reference!$O:$P,2,false)), 
""SELECT "" &amp; vlookup(rows($A$1:$A1578),Reference!$O:$P,2,false) 
&amp; "" WHERE "" &amp; vlookup("&amp;"rows($A$1:$A1578),Reference!$O:$P,2,false) &amp;
"" &gt;= "" &amp; Reference!$R$2)) * M1579,"""")"),"")</f>
        <v/>
      </c>
      <c r="O1579" s="84" t="str">
        <f t="shared" si="2"/>
        <v/>
      </c>
    </row>
    <row r="1580">
      <c r="A1580" s="84"/>
      <c r="B1580" s="84"/>
      <c r="C1580" s="85"/>
      <c r="D1580" s="86"/>
      <c r="E1580" s="87"/>
      <c r="F1580" s="86"/>
      <c r="G1580" s="87"/>
      <c r="H1580" s="86"/>
      <c r="I1580" s="86"/>
      <c r="J1580" s="86"/>
      <c r="K1580" s="84"/>
      <c r="L1580" s="84"/>
      <c r="M1580" s="84"/>
      <c r="N1580" s="84" t="str">
        <f>IFERROR(__xludf.DUMMYFUNCTION("IFERROR(AVERAGE(query(INDIRECT(""'FR Table'!"" &amp; vlookup(rows($A$1:$A1579),Reference!$O:$P,2,false) &amp; ""3:"" &amp; vlookup(rows($A$1:$A1579),Reference!$O:$P,2,false)), 
""SELECT "" &amp; vlookup(rows($A$1:$A1579),Reference!$O:$P,2,false) 
&amp; "" WHERE "" &amp; vlookup("&amp;"rows($A$1:$A1579),Reference!$O:$P,2,false) &amp;
"" &gt;= "" &amp; Reference!$R$2)) * M1580,"""")"),"")</f>
        <v/>
      </c>
      <c r="O1580" s="84" t="str">
        <f t="shared" si="2"/>
        <v/>
      </c>
    </row>
    <row r="1581">
      <c r="A1581" s="84"/>
      <c r="B1581" s="84"/>
      <c r="C1581" s="85"/>
      <c r="D1581" s="86"/>
      <c r="E1581" s="87"/>
      <c r="F1581" s="86"/>
      <c r="G1581" s="87"/>
      <c r="H1581" s="86"/>
      <c r="I1581" s="86"/>
      <c r="J1581" s="86"/>
      <c r="K1581" s="84"/>
      <c r="L1581" s="84"/>
      <c r="M1581" s="84"/>
      <c r="N1581" s="84" t="str">
        <f>IFERROR(__xludf.DUMMYFUNCTION("IFERROR(AVERAGE(query(INDIRECT(""'FR Table'!"" &amp; vlookup(rows($A$1:$A1580),Reference!$O:$P,2,false) &amp; ""3:"" &amp; vlookup(rows($A$1:$A1580),Reference!$O:$P,2,false)), 
""SELECT "" &amp; vlookup(rows($A$1:$A1580),Reference!$O:$P,2,false) 
&amp; "" WHERE "" &amp; vlookup("&amp;"rows($A$1:$A1580),Reference!$O:$P,2,false) &amp;
"" &gt;= "" &amp; Reference!$R$2)) * M1581,"""")"),"")</f>
        <v/>
      </c>
      <c r="O1581" s="84" t="str">
        <f t="shared" si="2"/>
        <v/>
      </c>
    </row>
    <row r="1582">
      <c r="A1582" s="84"/>
      <c r="B1582" s="84"/>
      <c r="C1582" s="85"/>
      <c r="D1582" s="86"/>
      <c r="E1582" s="87"/>
      <c r="F1582" s="86"/>
      <c r="G1582" s="87"/>
      <c r="H1582" s="86"/>
      <c r="I1582" s="86"/>
      <c r="J1582" s="86"/>
      <c r="K1582" s="84"/>
      <c r="L1582" s="84"/>
      <c r="M1582" s="84"/>
      <c r="N1582" s="84" t="str">
        <f>IFERROR(__xludf.DUMMYFUNCTION("IFERROR(AVERAGE(query(INDIRECT(""'FR Table'!"" &amp; vlookup(rows($A$1:$A1581),Reference!$O:$P,2,false) &amp; ""3:"" &amp; vlookup(rows($A$1:$A1581),Reference!$O:$P,2,false)), 
""SELECT "" &amp; vlookup(rows($A$1:$A1581),Reference!$O:$P,2,false) 
&amp; "" WHERE "" &amp; vlookup("&amp;"rows($A$1:$A1581),Reference!$O:$P,2,false) &amp;
"" &gt;= "" &amp; Reference!$R$2)) * M1582,"""")"),"")</f>
        <v/>
      </c>
      <c r="O1582" s="84" t="str">
        <f t="shared" si="2"/>
        <v/>
      </c>
    </row>
    <row r="1583">
      <c r="A1583" s="84"/>
      <c r="B1583" s="84"/>
      <c r="C1583" s="85"/>
      <c r="D1583" s="86"/>
      <c r="E1583" s="87"/>
      <c r="F1583" s="86"/>
      <c r="G1583" s="87"/>
      <c r="H1583" s="86"/>
      <c r="I1583" s="86"/>
      <c r="J1583" s="86"/>
      <c r="K1583" s="84"/>
      <c r="L1583" s="84"/>
      <c r="M1583" s="84"/>
      <c r="N1583" s="84" t="str">
        <f>IFERROR(__xludf.DUMMYFUNCTION("IFERROR(AVERAGE(query(INDIRECT(""'FR Table'!"" &amp; vlookup(rows($A$1:$A1582),Reference!$O:$P,2,false) &amp; ""3:"" &amp; vlookup(rows($A$1:$A1582),Reference!$O:$P,2,false)), 
""SELECT "" &amp; vlookup(rows($A$1:$A1582),Reference!$O:$P,2,false) 
&amp; "" WHERE "" &amp; vlookup("&amp;"rows($A$1:$A1582),Reference!$O:$P,2,false) &amp;
"" &gt;= "" &amp; Reference!$R$2)) * M1583,"""")"),"")</f>
        <v/>
      </c>
      <c r="O1583" s="84" t="str">
        <f t="shared" si="2"/>
        <v/>
      </c>
    </row>
    <row r="1584">
      <c r="A1584" s="84"/>
      <c r="B1584" s="84"/>
      <c r="C1584" s="85"/>
      <c r="D1584" s="86"/>
      <c r="E1584" s="87"/>
      <c r="F1584" s="86"/>
      <c r="G1584" s="87"/>
      <c r="H1584" s="86"/>
      <c r="I1584" s="86"/>
      <c r="J1584" s="86"/>
      <c r="K1584" s="84"/>
      <c r="L1584" s="84"/>
      <c r="M1584" s="84"/>
      <c r="N1584" s="84" t="str">
        <f>IFERROR(__xludf.DUMMYFUNCTION("IFERROR(AVERAGE(query(INDIRECT(""'FR Table'!"" &amp; vlookup(rows($A$1:$A1583),Reference!$O:$P,2,false) &amp; ""3:"" &amp; vlookup(rows($A$1:$A1583),Reference!$O:$P,2,false)), 
""SELECT "" &amp; vlookup(rows($A$1:$A1583),Reference!$O:$P,2,false) 
&amp; "" WHERE "" &amp; vlookup("&amp;"rows($A$1:$A1583),Reference!$O:$P,2,false) &amp;
"" &gt;= "" &amp; Reference!$R$2)) * M1584,"""")"),"")</f>
        <v/>
      </c>
      <c r="O1584" s="84" t="str">
        <f t="shared" si="2"/>
        <v/>
      </c>
    </row>
    <row r="1585">
      <c r="A1585" s="84"/>
      <c r="B1585" s="84"/>
      <c r="C1585" s="85"/>
      <c r="D1585" s="86"/>
      <c r="E1585" s="87"/>
      <c r="F1585" s="86"/>
      <c r="G1585" s="87"/>
      <c r="H1585" s="86"/>
      <c r="I1585" s="86"/>
      <c r="J1585" s="86"/>
      <c r="K1585" s="84"/>
      <c r="L1585" s="84"/>
      <c r="M1585" s="84"/>
      <c r="N1585" s="84" t="str">
        <f>IFERROR(__xludf.DUMMYFUNCTION("IFERROR(AVERAGE(query(INDIRECT(""'FR Table'!"" &amp; vlookup(rows($A$1:$A1584),Reference!$O:$P,2,false) &amp; ""3:"" &amp; vlookup(rows($A$1:$A1584),Reference!$O:$P,2,false)), 
""SELECT "" &amp; vlookup(rows($A$1:$A1584),Reference!$O:$P,2,false) 
&amp; "" WHERE "" &amp; vlookup("&amp;"rows($A$1:$A1584),Reference!$O:$P,2,false) &amp;
"" &gt;= "" &amp; Reference!$R$2)) * M1585,"""")"),"")</f>
        <v/>
      </c>
      <c r="O1585" s="84" t="str">
        <f t="shared" si="2"/>
        <v/>
      </c>
    </row>
    <row r="1586">
      <c r="A1586" s="84"/>
      <c r="B1586" s="84"/>
      <c r="C1586" s="85"/>
      <c r="D1586" s="86"/>
      <c r="E1586" s="87"/>
      <c r="F1586" s="86"/>
      <c r="G1586" s="87"/>
      <c r="H1586" s="86"/>
      <c r="I1586" s="86"/>
      <c r="J1586" s="86"/>
      <c r="K1586" s="84"/>
      <c r="L1586" s="84"/>
      <c r="M1586" s="84"/>
      <c r="N1586" s="84" t="str">
        <f>IFERROR(__xludf.DUMMYFUNCTION("IFERROR(AVERAGE(query(INDIRECT(""'FR Table'!"" &amp; vlookup(rows($A$1:$A1585),Reference!$O:$P,2,false) &amp; ""3:"" &amp; vlookup(rows($A$1:$A1585),Reference!$O:$P,2,false)), 
""SELECT "" &amp; vlookup(rows($A$1:$A1585),Reference!$O:$P,2,false) 
&amp; "" WHERE "" &amp; vlookup("&amp;"rows($A$1:$A1585),Reference!$O:$P,2,false) &amp;
"" &gt;= "" &amp; Reference!$R$2)) * M1586,"""")"),"")</f>
        <v/>
      </c>
      <c r="O1586" s="84" t="str">
        <f t="shared" si="2"/>
        <v/>
      </c>
    </row>
    <row r="1587">
      <c r="A1587" s="84"/>
      <c r="B1587" s="84"/>
      <c r="C1587" s="85"/>
      <c r="D1587" s="86"/>
      <c r="E1587" s="87"/>
      <c r="F1587" s="86"/>
      <c r="G1587" s="87"/>
      <c r="H1587" s="86"/>
      <c r="I1587" s="86"/>
      <c r="J1587" s="86"/>
      <c r="K1587" s="84"/>
      <c r="L1587" s="84"/>
      <c r="M1587" s="84"/>
      <c r="N1587" s="84" t="str">
        <f>IFERROR(__xludf.DUMMYFUNCTION("IFERROR(AVERAGE(query(INDIRECT(""'FR Table'!"" &amp; vlookup(rows($A$1:$A1586),Reference!$O:$P,2,false) &amp; ""3:"" &amp; vlookup(rows($A$1:$A1586),Reference!$O:$P,2,false)), 
""SELECT "" &amp; vlookup(rows($A$1:$A1586),Reference!$O:$P,2,false) 
&amp; "" WHERE "" &amp; vlookup("&amp;"rows($A$1:$A1586),Reference!$O:$P,2,false) &amp;
"" &gt;= "" &amp; Reference!$R$2)) * M1587,"""")"),"")</f>
        <v/>
      </c>
      <c r="O1587" s="84" t="str">
        <f t="shared" si="2"/>
        <v/>
      </c>
    </row>
    <row r="1588">
      <c r="A1588" s="84"/>
      <c r="B1588" s="84"/>
      <c r="C1588" s="85"/>
      <c r="D1588" s="86"/>
      <c r="E1588" s="87"/>
      <c r="F1588" s="86"/>
      <c r="G1588" s="87"/>
      <c r="H1588" s="86"/>
      <c r="I1588" s="86"/>
      <c r="J1588" s="86"/>
      <c r="K1588" s="84"/>
      <c r="L1588" s="84"/>
      <c r="M1588" s="84"/>
      <c r="N1588" s="84" t="str">
        <f>IFERROR(__xludf.DUMMYFUNCTION("IFERROR(AVERAGE(query(INDIRECT(""'FR Table'!"" &amp; vlookup(rows($A$1:$A1587),Reference!$O:$P,2,false) &amp; ""3:"" &amp; vlookup(rows($A$1:$A1587),Reference!$O:$P,2,false)), 
""SELECT "" &amp; vlookup(rows($A$1:$A1587),Reference!$O:$P,2,false) 
&amp; "" WHERE "" &amp; vlookup("&amp;"rows($A$1:$A1587),Reference!$O:$P,2,false) &amp;
"" &gt;= "" &amp; Reference!$R$2)) * M1588,"""")"),"")</f>
        <v/>
      </c>
      <c r="O1588" s="84" t="str">
        <f t="shared" si="2"/>
        <v/>
      </c>
    </row>
    <row r="1589">
      <c r="A1589" s="84"/>
      <c r="B1589" s="84"/>
      <c r="C1589" s="85"/>
      <c r="D1589" s="86"/>
      <c r="E1589" s="87"/>
      <c r="F1589" s="86"/>
      <c r="G1589" s="87"/>
      <c r="H1589" s="86"/>
      <c r="I1589" s="86"/>
      <c r="J1589" s="86"/>
      <c r="K1589" s="84"/>
      <c r="L1589" s="84"/>
      <c r="M1589" s="84"/>
      <c r="N1589" s="84" t="str">
        <f>IFERROR(__xludf.DUMMYFUNCTION("IFERROR(AVERAGE(query(INDIRECT(""'FR Table'!"" &amp; vlookup(rows($A$1:$A1588),Reference!$O:$P,2,false) &amp; ""3:"" &amp; vlookup(rows($A$1:$A1588),Reference!$O:$P,2,false)), 
""SELECT "" &amp; vlookup(rows($A$1:$A1588),Reference!$O:$P,2,false) 
&amp; "" WHERE "" &amp; vlookup("&amp;"rows($A$1:$A1588),Reference!$O:$P,2,false) &amp;
"" &gt;= "" &amp; Reference!$R$2)) * M1589,"""")"),"")</f>
        <v/>
      </c>
      <c r="O1589" s="84" t="str">
        <f t="shared" si="2"/>
        <v/>
      </c>
    </row>
    <row r="1590">
      <c r="A1590" s="84"/>
      <c r="B1590" s="84"/>
      <c r="C1590" s="85"/>
      <c r="D1590" s="86"/>
      <c r="E1590" s="87"/>
      <c r="F1590" s="86"/>
      <c r="G1590" s="87"/>
      <c r="H1590" s="86"/>
      <c r="I1590" s="86"/>
      <c r="J1590" s="86"/>
      <c r="K1590" s="84"/>
      <c r="L1590" s="84"/>
      <c r="M1590" s="84"/>
      <c r="N1590" s="84" t="str">
        <f>IFERROR(__xludf.DUMMYFUNCTION("IFERROR(AVERAGE(query(INDIRECT(""'FR Table'!"" &amp; vlookup(rows($A$1:$A1589),Reference!$O:$P,2,false) &amp; ""3:"" &amp; vlookup(rows($A$1:$A1589),Reference!$O:$P,2,false)), 
""SELECT "" &amp; vlookup(rows($A$1:$A1589),Reference!$O:$P,2,false) 
&amp; "" WHERE "" &amp; vlookup("&amp;"rows($A$1:$A1589),Reference!$O:$P,2,false) &amp;
"" &gt;= "" &amp; Reference!$R$2)) * M1590,"""")"),"")</f>
        <v/>
      </c>
      <c r="O1590" s="84" t="str">
        <f t="shared" si="2"/>
        <v/>
      </c>
    </row>
    <row r="1591">
      <c r="A1591" s="84"/>
      <c r="B1591" s="84"/>
      <c r="C1591" s="85"/>
      <c r="D1591" s="86"/>
      <c r="E1591" s="87"/>
      <c r="F1591" s="86"/>
      <c r="G1591" s="87"/>
      <c r="H1591" s="86"/>
      <c r="I1591" s="86"/>
      <c r="J1591" s="86"/>
      <c r="K1591" s="84"/>
      <c r="L1591" s="84"/>
      <c r="M1591" s="84"/>
      <c r="N1591" s="84" t="str">
        <f>IFERROR(__xludf.DUMMYFUNCTION("IFERROR(AVERAGE(query(INDIRECT(""'FR Table'!"" &amp; vlookup(rows($A$1:$A1590),Reference!$O:$P,2,false) &amp; ""3:"" &amp; vlookup(rows($A$1:$A1590),Reference!$O:$P,2,false)), 
""SELECT "" &amp; vlookup(rows($A$1:$A1590),Reference!$O:$P,2,false) 
&amp; "" WHERE "" &amp; vlookup("&amp;"rows($A$1:$A1590),Reference!$O:$P,2,false) &amp;
"" &gt;= "" &amp; Reference!$R$2)) * M1591,"""")"),"")</f>
        <v/>
      </c>
      <c r="O1591" s="84" t="str">
        <f t="shared" si="2"/>
        <v/>
      </c>
    </row>
    <row r="1592">
      <c r="A1592" s="84"/>
      <c r="B1592" s="84"/>
      <c r="C1592" s="85"/>
      <c r="D1592" s="86"/>
      <c r="E1592" s="87"/>
      <c r="F1592" s="86"/>
      <c r="G1592" s="87"/>
      <c r="H1592" s="86"/>
      <c r="I1592" s="86"/>
      <c r="J1592" s="86"/>
      <c r="K1592" s="84"/>
      <c r="L1592" s="84"/>
      <c r="M1592" s="84"/>
      <c r="N1592" s="84" t="str">
        <f>IFERROR(__xludf.DUMMYFUNCTION("IFERROR(AVERAGE(query(INDIRECT(""'FR Table'!"" &amp; vlookup(rows($A$1:$A1591),Reference!$O:$P,2,false) &amp; ""3:"" &amp; vlookup(rows($A$1:$A1591),Reference!$O:$P,2,false)), 
""SELECT "" &amp; vlookup(rows($A$1:$A1591),Reference!$O:$P,2,false) 
&amp; "" WHERE "" &amp; vlookup("&amp;"rows($A$1:$A1591),Reference!$O:$P,2,false) &amp;
"" &gt;= "" &amp; Reference!$R$2)) * M1592,"""")"),"")</f>
        <v/>
      </c>
      <c r="O1592" s="84" t="str">
        <f t="shared" si="2"/>
        <v/>
      </c>
    </row>
    <row r="1593">
      <c r="A1593" s="84"/>
      <c r="B1593" s="84"/>
      <c r="C1593" s="85"/>
      <c r="D1593" s="86"/>
      <c r="E1593" s="87"/>
      <c r="F1593" s="86"/>
      <c r="G1593" s="87"/>
      <c r="H1593" s="86"/>
      <c r="I1593" s="86"/>
      <c r="J1593" s="86"/>
      <c r="K1593" s="84"/>
      <c r="L1593" s="84"/>
      <c r="M1593" s="84"/>
      <c r="N1593" s="84" t="str">
        <f>IFERROR(__xludf.DUMMYFUNCTION("IFERROR(AVERAGE(query(INDIRECT(""'FR Table'!"" &amp; vlookup(rows($A$1:$A1592),Reference!$O:$P,2,false) &amp; ""3:"" &amp; vlookup(rows($A$1:$A1592),Reference!$O:$P,2,false)), 
""SELECT "" &amp; vlookup(rows($A$1:$A1592),Reference!$O:$P,2,false) 
&amp; "" WHERE "" &amp; vlookup("&amp;"rows($A$1:$A1592),Reference!$O:$P,2,false) &amp;
"" &gt;= "" &amp; Reference!$R$2)) * M1593,"""")"),"")</f>
        <v/>
      </c>
      <c r="O1593" s="84" t="str">
        <f t="shared" si="2"/>
        <v/>
      </c>
    </row>
    <row r="1594">
      <c r="A1594" s="84"/>
      <c r="B1594" s="84"/>
      <c r="C1594" s="85"/>
      <c r="D1594" s="86"/>
      <c r="E1594" s="87"/>
      <c r="F1594" s="86"/>
      <c r="G1594" s="87"/>
      <c r="H1594" s="86"/>
      <c r="I1594" s="86"/>
      <c r="J1594" s="86"/>
      <c r="K1594" s="84"/>
      <c r="L1594" s="84"/>
      <c r="M1594" s="84"/>
      <c r="N1594" s="84" t="str">
        <f>IFERROR(__xludf.DUMMYFUNCTION("IFERROR(AVERAGE(query(INDIRECT(""'FR Table'!"" &amp; vlookup(rows($A$1:$A1593),Reference!$O:$P,2,false) &amp; ""3:"" &amp; vlookup(rows($A$1:$A1593),Reference!$O:$P,2,false)), 
""SELECT "" &amp; vlookup(rows($A$1:$A1593),Reference!$O:$P,2,false) 
&amp; "" WHERE "" &amp; vlookup("&amp;"rows($A$1:$A1593),Reference!$O:$P,2,false) &amp;
"" &gt;= "" &amp; Reference!$R$2)) * M1594,"""")"),"")</f>
        <v/>
      </c>
      <c r="O1594" s="84" t="str">
        <f t="shared" si="2"/>
        <v/>
      </c>
    </row>
    <row r="1595">
      <c r="A1595" s="84"/>
      <c r="B1595" s="84"/>
      <c r="C1595" s="85"/>
      <c r="D1595" s="86"/>
      <c r="E1595" s="87"/>
      <c r="F1595" s="86"/>
      <c r="G1595" s="87"/>
      <c r="H1595" s="86"/>
      <c r="I1595" s="86"/>
      <c r="J1595" s="86"/>
      <c r="K1595" s="84"/>
      <c r="L1595" s="84"/>
      <c r="M1595" s="84"/>
      <c r="N1595" s="84" t="str">
        <f>IFERROR(__xludf.DUMMYFUNCTION("IFERROR(AVERAGE(query(INDIRECT(""'FR Table'!"" &amp; vlookup(rows($A$1:$A1594),Reference!$O:$P,2,false) &amp; ""3:"" &amp; vlookup(rows($A$1:$A1594),Reference!$O:$P,2,false)), 
""SELECT "" &amp; vlookup(rows($A$1:$A1594),Reference!$O:$P,2,false) 
&amp; "" WHERE "" &amp; vlookup("&amp;"rows($A$1:$A1594),Reference!$O:$P,2,false) &amp;
"" &gt;= "" &amp; Reference!$R$2)) * M1595,"""")"),"")</f>
        <v/>
      </c>
      <c r="O1595" s="84" t="str">
        <f t="shared" si="2"/>
        <v/>
      </c>
    </row>
    <row r="1596">
      <c r="A1596" s="84"/>
      <c r="B1596" s="84"/>
      <c r="C1596" s="85"/>
      <c r="D1596" s="86"/>
      <c r="E1596" s="87"/>
      <c r="F1596" s="86"/>
      <c r="G1596" s="87"/>
      <c r="H1596" s="86"/>
      <c r="I1596" s="86"/>
      <c r="J1596" s="86"/>
      <c r="K1596" s="84"/>
      <c r="L1596" s="84"/>
      <c r="M1596" s="84"/>
      <c r="N1596" s="84" t="str">
        <f>IFERROR(__xludf.DUMMYFUNCTION("IFERROR(AVERAGE(query(INDIRECT(""'FR Table'!"" &amp; vlookup(rows($A$1:$A1595),Reference!$O:$P,2,false) &amp; ""3:"" &amp; vlookup(rows($A$1:$A1595),Reference!$O:$P,2,false)), 
""SELECT "" &amp; vlookup(rows($A$1:$A1595),Reference!$O:$P,2,false) 
&amp; "" WHERE "" &amp; vlookup("&amp;"rows($A$1:$A1595),Reference!$O:$P,2,false) &amp;
"" &gt;= "" &amp; Reference!$R$2)) * M1596,"""")"),"")</f>
        <v/>
      </c>
      <c r="O1596" s="84" t="str">
        <f t="shared" si="2"/>
        <v/>
      </c>
    </row>
    <row r="1597">
      <c r="A1597" s="84"/>
      <c r="B1597" s="84"/>
      <c r="C1597" s="85"/>
      <c r="D1597" s="86"/>
      <c r="E1597" s="87"/>
      <c r="F1597" s="86"/>
      <c r="G1597" s="87"/>
      <c r="H1597" s="86"/>
      <c r="I1597" s="86"/>
      <c r="J1597" s="86"/>
      <c r="K1597" s="84"/>
      <c r="L1597" s="84"/>
      <c r="M1597" s="84"/>
      <c r="N1597" s="84" t="str">
        <f>IFERROR(__xludf.DUMMYFUNCTION("IFERROR(AVERAGE(query(INDIRECT(""'FR Table'!"" &amp; vlookup(rows($A$1:$A1596),Reference!$O:$P,2,false) &amp; ""3:"" &amp; vlookup(rows($A$1:$A1596),Reference!$O:$P,2,false)), 
""SELECT "" &amp; vlookup(rows($A$1:$A1596),Reference!$O:$P,2,false) 
&amp; "" WHERE "" &amp; vlookup("&amp;"rows($A$1:$A1596),Reference!$O:$P,2,false) &amp;
"" &gt;= "" &amp; Reference!$R$2)) * M1597,"""")"),"")</f>
        <v/>
      </c>
      <c r="O1597" s="84" t="str">
        <f t="shared" si="2"/>
        <v/>
      </c>
    </row>
    <row r="1598">
      <c r="A1598" s="84"/>
      <c r="B1598" s="84"/>
      <c r="C1598" s="85"/>
      <c r="D1598" s="86"/>
      <c r="E1598" s="87"/>
      <c r="F1598" s="86"/>
      <c r="G1598" s="87"/>
      <c r="H1598" s="86"/>
      <c r="I1598" s="86"/>
      <c r="J1598" s="86"/>
      <c r="K1598" s="84"/>
      <c r="L1598" s="84"/>
      <c r="M1598" s="84"/>
      <c r="N1598" s="84" t="str">
        <f>IFERROR(__xludf.DUMMYFUNCTION("IFERROR(AVERAGE(query(INDIRECT(""'FR Table'!"" &amp; vlookup(rows($A$1:$A1597),Reference!$O:$P,2,false) &amp; ""3:"" &amp; vlookup(rows($A$1:$A1597),Reference!$O:$P,2,false)), 
""SELECT "" &amp; vlookup(rows($A$1:$A1597),Reference!$O:$P,2,false) 
&amp; "" WHERE "" &amp; vlookup("&amp;"rows($A$1:$A1597),Reference!$O:$P,2,false) &amp;
"" &gt;= "" &amp; Reference!$R$2)) * M1598,"""")"),"")</f>
        <v/>
      </c>
      <c r="O1598" s="84" t="str">
        <f t="shared" si="2"/>
        <v/>
      </c>
    </row>
    <row r="1599">
      <c r="A1599" s="84"/>
      <c r="B1599" s="84"/>
      <c r="C1599" s="85"/>
      <c r="D1599" s="86"/>
      <c r="E1599" s="87"/>
      <c r="F1599" s="86"/>
      <c r="G1599" s="87"/>
      <c r="H1599" s="86"/>
      <c r="I1599" s="86"/>
      <c r="J1599" s="86"/>
      <c r="K1599" s="84"/>
      <c r="L1599" s="84"/>
      <c r="M1599" s="84"/>
      <c r="N1599" s="84" t="str">
        <f>IFERROR(__xludf.DUMMYFUNCTION("IFERROR(AVERAGE(query(INDIRECT(""'FR Table'!"" &amp; vlookup(rows($A$1:$A1598),Reference!$O:$P,2,false) &amp; ""3:"" &amp; vlookup(rows($A$1:$A1598),Reference!$O:$P,2,false)), 
""SELECT "" &amp; vlookup(rows($A$1:$A1598),Reference!$O:$P,2,false) 
&amp; "" WHERE "" &amp; vlookup("&amp;"rows($A$1:$A1598),Reference!$O:$P,2,false) &amp;
"" &gt;= "" &amp; Reference!$R$2)) * M1599,"""")"),"")</f>
        <v/>
      </c>
      <c r="O1599" s="84" t="str">
        <f t="shared" si="2"/>
        <v/>
      </c>
    </row>
    <row r="1600">
      <c r="A1600" s="84"/>
      <c r="B1600" s="84"/>
      <c r="C1600" s="85"/>
      <c r="D1600" s="86"/>
      <c r="E1600" s="87"/>
      <c r="F1600" s="86"/>
      <c r="G1600" s="87"/>
      <c r="H1600" s="86"/>
      <c r="I1600" s="86"/>
      <c r="J1600" s="86"/>
      <c r="K1600" s="84"/>
      <c r="L1600" s="84"/>
      <c r="M1600" s="84"/>
      <c r="N1600" s="84" t="str">
        <f>IFERROR(__xludf.DUMMYFUNCTION("IFERROR(AVERAGE(query(INDIRECT(""'FR Table'!"" &amp; vlookup(rows($A$1:$A1599),Reference!$O:$P,2,false) &amp; ""3:"" &amp; vlookup(rows($A$1:$A1599),Reference!$O:$P,2,false)), 
""SELECT "" &amp; vlookup(rows($A$1:$A1599),Reference!$O:$P,2,false) 
&amp; "" WHERE "" &amp; vlookup("&amp;"rows($A$1:$A1599),Reference!$O:$P,2,false) &amp;
"" &gt;= "" &amp; Reference!$R$2)) * M1600,"""")"),"")</f>
        <v/>
      </c>
      <c r="O1600" s="84" t="str">
        <f t="shared" si="2"/>
        <v/>
      </c>
    </row>
    <row r="1601">
      <c r="A1601" s="84"/>
      <c r="B1601" s="84"/>
      <c r="C1601" s="85"/>
      <c r="D1601" s="86"/>
      <c r="E1601" s="87"/>
      <c r="F1601" s="86"/>
      <c r="G1601" s="87"/>
      <c r="H1601" s="86"/>
      <c r="I1601" s="86"/>
      <c r="J1601" s="86"/>
      <c r="K1601" s="84"/>
      <c r="L1601" s="84"/>
      <c r="M1601" s="84"/>
      <c r="N1601" s="84" t="str">
        <f>IFERROR(__xludf.DUMMYFUNCTION("IFERROR(AVERAGE(query(INDIRECT(""'FR Table'!"" &amp; vlookup(rows($A$1:$A1600),Reference!$O:$P,2,false) &amp; ""3:"" &amp; vlookup(rows($A$1:$A1600),Reference!$O:$P,2,false)), 
""SELECT "" &amp; vlookup(rows($A$1:$A1600),Reference!$O:$P,2,false) 
&amp; "" WHERE "" &amp; vlookup("&amp;"rows($A$1:$A1600),Reference!$O:$P,2,false) &amp;
"" &gt;= "" &amp; Reference!$R$2)) * M1601,"""")"),"")</f>
        <v/>
      </c>
      <c r="O1601" s="84" t="str">
        <f t="shared" si="2"/>
        <v/>
      </c>
    </row>
    <row r="1602">
      <c r="A1602" s="84"/>
      <c r="B1602" s="84"/>
      <c r="C1602" s="85"/>
      <c r="D1602" s="86"/>
      <c r="E1602" s="87"/>
      <c r="F1602" s="86"/>
      <c r="G1602" s="87"/>
      <c r="H1602" s="86"/>
      <c r="I1602" s="86"/>
      <c r="J1602" s="86"/>
      <c r="K1602" s="84"/>
      <c r="L1602" s="84"/>
      <c r="M1602" s="84"/>
      <c r="N1602" s="84" t="str">
        <f>IFERROR(__xludf.DUMMYFUNCTION("IFERROR(AVERAGE(query(INDIRECT(""'FR Table'!"" &amp; vlookup(rows($A$1:$A1601),Reference!$O:$P,2,false) &amp; ""3:"" &amp; vlookup(rows($A$1:$A1601),Reference!$O:$P,2,false)), 
""SELECT "" &amp; vlookup(rows($A$1:$A1601),Reference!$O:$P,2,false) 
&amp; "" WHERE "" &amp; vlookup("&amp;"rows($A$1:$A1601),Reference!$O:$P,2,false) &amp;
"" &gt;= "" &amp; Reference!$R$2)) * M1602,"""")"),"")</f>
        <v/>
      </c>
      <c r="O1602" s="84" t="str">
        <f t="shared" si="2"/>
        <v/>
      </c>
    </row>
    <row r="1603">
      <c r="A1603" s="84"/>
      <c r="B1603" s="84"/>
      <c r="C1603" s="85"/>
      <c r="D1603" s="86"/>
      <c r="E1603" s="87"/>
      <c r="F1603" s="86"/>
      <c r="G1603" s="87"/>
      <c r="H1603" s="86"/>
      <c r="I1603" s="86"/>
      <c r="J1603" s="86"/>
      <c r="K1603" s="84"/>
      <c r="L1603" s="84"/>
      <c r="M1603" s="84"/>
      <c r="N1603" s="84" t="str">
        <f>IFERROR(__xludf.DUMMYFUNCTION("IFERROR(AVERAGE(query(INDIRECT(""'FR Table'!"" &amp; vlookup(rows($A$1:$A1602),Reference!$O:$P,2,false) &amp; ""3:"" &amp; vlookup(rows($A$1:$A1602),Reference!$O:$P,2,false)), 
""SELECT "" &amp; vlookup(rows($A$1:$A1602),Reference!$O:$P,2,false) 
&amp; "" WHERE "" &amp; vlookup("&amp;"rows($A$1:$A1602),Reference!$O:$P,2,false) &amp;
"" &gt;= "" &amp; Reference!$R$2)) * M1603,"""")"),"")</f>
        <v/>
      </c>
      <c r="O1603" s="84" t="str">
        <f t="shared" si="2"/>
        <v/>
      </c>
    </row>
    <row r="1604">
      <c r="A1604" s="84"/>
      <c r="B1604" s="84"/>
      <c r="C1604" s="85"/>
      <c r="D1604" s="86"/>
      <c r="E1604" s="87"/>
      <c r="F1604" s="86"/>
      <c r="G1604" s="87"/>
      <c r="H1604" s="86"/>
      <c r="I1604" s="86"/>
      <c r="J1604" s="86"/>
      <c r="K1604" s="84"/>
      <c r="L1604" s="84"/>
      <c r="M1604" s="84"/>
      <c r="N1604" s="84" t="str">
        <f>IFERROR(__xludf.DUMMYFUNCTION("IFERROR(AVERAGE(query(INDIRECT(""'FR Table'!"" &amp; vlookup(rows($A$1:$A1603),Reference!$O:$P,2,false) &amp; ""3:"" &amp; vlookup(rows($A$1:$A1603),Reference!$O:$P,2,false)), 
""SELECT "" &amp; vlookup(rows($A$1:$A1603),Reference!$O:$P,2,false) 
&amp; "" WHERE "" &amp; vlookup("&amp;"rows($A$1:$A1603),Reference!$O:$P,2,false) &amp;
"" &gt;= "" &amp; Reference!$R$2)) * M1604,"""")"),"")</f>
        <v/>
      </c>
      <c r="O1604" s="84" t="str">
        <f t="shared" si="2"/>
        <v/>
      </c>
    </row>
    <row r="1605">
      <c r="A1605" s="84"/>
      <c r="B1605" s="84"/>
      <c r="C1605" s="85"/>
      <c r="D1605" s="86"/>
      <c r="E1605" s="87"/>
      <c r="F1605" s="86"/>
      <c r="G1605" s="87"/>
      <c r="H1605" s="86"/>
      <c r="I1605" s="86"/>
      <c r="J1605" s="86"/>
      <c r="K1605" s="84"/>
      <c r="L1605" s="84"/>
      <c r="M1605" s="84"/>
      <c r="N1605" s="84" t="str">
        <f>IFERROR(__xludf.DUMMYFUNCTION("IFERROR(AVERAGE(query(INDIRECT(""'FR Table'!"" &amp; vlookup(rows($A$1:$A1604),Reference!$O:$P,2,false) &amp; ""3:"" &amp; vlookup(rows($A$1:$A1604),Reference!$O:$P,2,false)), 
""SELECT "" &amp; vlookup(rows($A$1:$A1604),Reference!$O:$P,2,false) 
&amp; "" WHERE "" &amp; vlookup("&amp;"rows($A$1:$A1604),Reference!$O:$P,2,false) &amp;
"" &gt;= "" &amp; Reference!$R$2)) * M1605,"""")"),"")</f>
        <v/>
      </c>
      <c r="O1605" s="84" t="str">
        <f t="shared" si="2"/>
        <v/>
      </c>
    </row>
    <row r="1606">
      <c r="A1606" s="84"/>
      <c r="B1606" s="84"/>
      <c r="C1606" s="85"/>
      <c r="D1606" s="86"/>
      <c r="E1606" s="87"/>
      <c r="F1606" s="86"/>
      <c r="G1606" s="87"/>
      <c r="H1606" s="86"/>
      <c r="I1606" s="86"/>
      <c r="J1606" s="86"/>
      <c r="K1606" s="84"/>
      <c r="L1606" s="84"/>
      <c r="M1606" s="84"/>
      <c r="N1606" s="84" t="str">
        <f>IFERROR(__xludf.DUMMYFUNCTION("IFERROR(AVERAGE(query(INDIRECT(""'FR Table'!"" &amp; vlookup(rows($A$1:$A1605),Reference!$O:$P,2,false) &amp; ""3:"" &amp; vlookup(rows($A$1:$A1605),Reference!$O:$P,2,false)), 
""SELECT "" &amp; vlookup(rows($A$1:$A1605),Reference!$O:$P,2,false) 
&amp; "" WHERE "" &amp; vlookup("&amp;"rows($A$1:$A1605),Reference!$O:$P,2,false) &amp;
"" &gt;= "" &amp; Reference!$R$2)) * M1606,"""")"),"")</f>
        <v/>
      </c>
      <c r="O1606" s="84" t="str">
        <f t="shared" si="2"/>
        <v/>
      </c>
    </row>
    <row r="1607">
      <c r="A1607" s="84"/>
      <c r="B1607" s="84"/>
      <c r="C1607" s="85"/>
      <c r="D1607" s="86"/>
      <c r="E1607" s="87"/>
      <c r="F1607" s="86"/>
      <c r="G1607" s="87"/>
      <c r="H1607" s="86"/>
      <c r="I1607" s="86"/>
      <c r="J1607" s="86"/>
      <c r="K1607" s="84"/>
      <c r="L1607" s="84"/>
      <c r="M1607" s="84"/>
      <c r="N1607" s="84" t="str">
        <f>IFERROR(__xludf.DUMMYFUNCTION("IFERROR(AVERAGE(query(INDIRECT(""'FR Table'!"" &amp; vlookup(rows($A$1:$A1606),Reference!$O:$P,2,false) &amp; ""3:"" &amp; vlookup(rows($A$1:$A1606),Reference!$O:$P,2,false)), 
""SELECT "" &amp; vlookup(rows($A$1:$A1606),Reference!$O:$P,2,false) 
&amp; "" WHERE "" &amp; vlookup("&amp;"rows($A$1:$A1606),Reference!$O:$P,2,false) &amp;
"" &gt;= "" &amp; Reference!$R$2)) * M1607,"""")"),"")</f>
        <v/>
      </c>
      <c r="O1607" s="84" t="str">
        <f t="shared" si="2"/>
        <v/>
      </c>
    </row>
    <row r="1608">
      <c r="A1608" s="84"/>
      <c r="B1608" s="84"/>
      <c r="C1608" s="85"/>
      <c r="D1608" s="86"/>
      <c r="E1608" s="87"/>
      <c r="F1608" s="86"/>
      <c r="G1608" s="87"/>
      <c r="H1608" s="86"/>
      <c r="I1608" s="86"/>
      <c r="J1608" s="86"/>
      <c r="K1608" s="84"/>
      <c r="L1608" s="84"/>
      <c r="M1608" s="84"/>
      <c r="N1608" s="84" t="str">
        <f>IFERROR(__xludf.DUMMYFUNCTION("IFERROR(AVERAGE(query(INDIRECT(""'FR Table'!"" &amp; vlookup(rows($A$1:$A1607),Reference!$O:$P,2,false) &amp; ""3:"" &amp; vlookup(rows($A$1:$A1607),Reference!$O:$P,2,false)), 
""SELECT "" &amp; vlookup(rows($A$1:$A1607),Reference!$O:$P,2,false) 
&amp; "" WHERE "" &amp; vlookup("&amp;"rows($A$1:$A1607),Reference!$O:$P,2,false) &amp;
"" &gt;= "" &amp; Reference!$R$2)) * M1608,"""")"),"")</f>
        <v/>
      </c>
      <c r="O1608" s="84" t="str">
        <f t="shared" si="2"/>
        <v/>
      </c>
    </row>
    <row r="1609">
      <c r="A1609" s="84"/>
      <c r="B1609" s="84"/>
      <c r="C1609" s="85"/>
      <c r="D1609" s="86"/>
      <c r="E1609" s="87"/>
      <c r="F1609" s="86"/>
      <c r="G1609" s="87"/>
      <c r="H1609" s="86"/>
      <c r="I1609" s="86"/>
      <c r="J1609" s="86"/>
      <c r="K1609" s="84"/>
      <c r="L1609" s="84"/>
      <c r="M1609" s="84"/>
      <c r="N1609" s="84" t="str">
        <f>IFERROR(__xludf.DUMMYFUNCTION("IFERROR(AVERAGE(query(INDIRECT(""'FR Table'!"" &amp; vlookup(rows($A$1:$A1608),Reference!$O:$P,2,false) &amp; ""3:"" &amp; vlookup(rows($A$1:$A1608),Reference!$O:$P,2,false)), 
""SELECT "" &amp; vlookup(rows($A$1:$A1608),Reference!$O:$P,2,false) 
&amp; "" WHERE "" &amp; vlookup("&amp;"rows($A$1:$A1608),Reference!$O:$P,2,false) &amp;
"" &gt;= "" &amp; Reference!$R$2)) * M1609,"""")"),"")</f>
        <v/>
      </c>
      <c r="O1609" s="84" t="str">
        <f t="shared" si="2"/>
        <v/>
      </c>
    </row>
    <row r="1610">
      <c r="A1610" s="84"/>
      <c r="B1610" s="84"/>
      <c r="C1610" s="85"/>
      <c r="D1610" s="86"/>
      <c r="E1610" s="87"/>
      <c r="F1610" s="86"/>
      <c r="G1610" s="87"/>
      <c r="H1610" s="86"/>
      <c r="I1610" s="86"/>
      <c r="J1610" s="86"/>
      <c r="K1610" s="84"/>
      <c r="L1610" s="84"/>
      <c r="M1610" s="84"/>
      <c r="N1610" s="84" t="str">
        <f>IFERROR(__xludf.DUMMYFUNCTION("IFERROR(AVERAGE(query(INDIRECT(""'FR Table'!"" &amp; vlookup(rows($A$1:$A1609),Reference!$O:$P,2,false) &amp; ""3:"" &amp; vlookup(rows($A$1:$A1609),Reference!$O:$P,2,false)), 
""SELECT "" &amp; vlookup(rows($A$1:$A1609),Reference!$O:$P,2,false) 
&amp; "" WHERE "" &amp; vlookup("&amp;"rows($A$1:$A1609),Reference!$O:$P,2,false) &amp;
"" &gt;= "" &amp; Reference!$R$2)) * M1610,"""")"),"")</f>
        <v/>
      </c>
      <c r="O1610" s="84" t="str">
        <f t="shared" si="2"/>
        <v/>
      </c>
    </row>
    <row r="1611">
      <c r="A1611" s="84"/>
      <c r="B1611" s="84"/>
      <c r="C1611" s="85"/>
      <c r="D1611" s="86"/>
      <c r="E1611" s="87"/>
      <c r="F1611" s="86"/>
      <c r="G1611" s="87"/>
      <c r="H1611" s="86"/>
      <c r="I1611" s="86"/>
      <c r="J1611" s="86"/>
      <c r="K1611" s="84"/>
      <c r="L1611" s="84"/>
      <c r="M1611" s="84"/>
      <c r="N1611" s="84" t="str">
        <f>IFERROR(__xludf.DUMMYFUNCTION("IFERROR(AVERAGE(query(INDIRECT(""'FR Table'!"" &amp; vlookup(rows($A$1:$A1610),Reference!$O:$P,2,false) &amp; ""3:"" &amp; vlookup(rows($A$1:$A1610),Reference!$O:$P,2,false)), 
""SELECT "" &amp; vlookup(rows($A$1:$A1610),Reference!$O:$P,2,false) 
&amp; "" WHERE "" &amp; vlookup("&amp;"rows($A$1:$A1610),Reference!$O:$P,2,false) &amp;
"" &gt;= "" &amp; Reference!$R$2)) * M1611,"""")"),"")</f>
        <v/>
      </c>
      <c r="O1611" s="84" t="str">
        <f t="shared" si="2"/>
        <v/>
      </c>
    </row>
    <row r="1612">
      <c r="A1612" s="84"/>
      <c r="B1612" s="84"/>
      <c r="C1612" s="85"/>
      <c r="D1612" s="86"/>
      <c r="E1612" s="87"/>
      <c r="F1612" s="86"/>
      <c r="G1612" s="87"/>
      <c r="H1612" s="86"/>
      <c r="I1612" s="86"/>
      <c r="J1612" s="86"/>
      <c r="K1612" s="84"/>
      <c r="L1612" s="84"/>
      <c r="M1612" s="84"/>
      <c r="N1612" s="84" t="str">
        <f>IFERROR(__xludf.DUMMYFUNCTION("IFERROR(AVERAGE(query(INDIRECT(""'FR Table'!"" &amp; vlookup(rows($A$1:$A1611),Reference!$O:$P,2,false) &amp; ""3:"" &amp; vlookup(rows($A$1:$A1611),Reference!$O:$P,2,false)), 
""SELECT "" &amp; vlookup(rows($A$1:$A1611),Reference!$O:$P,2,false) 
&amp; "" WHERE "" &amp; vlookup("&amp;"rows($A$1:$A1611),Reference!$O:$P,2,false) &amp;
"" &gt;= "" &amp; Reference!$R$2)) * M1612,"""")"),"")</f>
        <v/>
      </c>
      <c r="O1612" s="84" t="str">
        <f t="shared" si="2"/>
        <v/>
      </c>
    </row>
    <row r="1613">
      <c r="A1613" s="84"/>
      <c r="B1613" s="84"/>
      <c r="C1613" s="85"/>
      <c r="D1613" s="86"/>
      <c r="E1613" s="87"/>
      <c r="F1613" s="86"/>
      <c r="G1613" s="87"/>
      <c r="H1613" s="86"/>
      <c r="I1613" s="86"/>
      <c r="J1613" s="86"/>
      <c r="K1613" s="84"/>
      <c r="L1613" s="84"/>
      <c r="M1613" s="84"/>
      <c r="N1613" s="84" t="str">
        <f>IFERROR(__xludf.DUMMYFUNCTION("IFERROR(AVERAGE(query(INDIRECT(""'FR Table'!"" &amp; vlookup(rows($A$1:$A1612),Reference!$O:$P,2,false) &amp; ""3:"" &amp; vlookup(rows($A$1:$A1612),Reference!$O:$P,2,false)), 
""SELECT "" &amp; vlookup(rows($A$1:$A1612),Reference!$O:$P,2,false) 
&amp; "" WHERE "" &amp; vlookup("&amp;"rows($A$1:$A1612),Reference!$O:$P,2,false) &amp;
"" &gt;= "" &amp; Reference!$R$2)) * M1613,"""")"),"")</f>
        <v/>
      </c>
      <c r="O1613" s="84" t="str">
        <f t="shared" si="2"/>
        <v/>
      </c>
    </row>
    <row r="1614">
      <c r="A1614" s="84"/>
      <c r="B1614" s="84"/>
      <c r="C1614" s="85"/>
      <c r="D1614" s="86"/>
      <c r="E1614" s="87"/>
      <c r="F1614" s="86"/>
      <c r="G1614" s="87"/>
      <c r="H1614" s="86"/>
      <c r="I1614" s="86"/>
      <c r="J1614" s="86"/>
      <c r="K1614" s="84"/>
      <c r="L1614" s="84"/>
      <c r="M1614" s="84"/>
      <c r="N1614" s="84" t="str">
        <f>IFERROR(__xludf.DUMMYFUNCTION("IFERROR(AVERAGE(query(INDIRECT(""'FR Table'!"" &amp; vlookup(rows($A$1:$A1613),Reference!$O:$P,2,false) &amp; ""3:"" &amp; vlookup(rows($A$1:$A1613),Reference!$O:$P,2,false)), 
""SELECT "" &amp; vlookup(rows($A$1:$A1613),Reference!$O:$P,2,false) 
&amp; "" WHERE "" &amp; vlookup("&amp;"rows($A$1:$A1613),Reference!$O:$P,2,false) &amp;
"" &gt;= "" &amp; Reference!$R$2)) * M1614,"""")"),"")</f>
        <v/>
      </c>
      <c r="O1614" s="84" t="str">
        <f t="shared" si="2"/>
        <v/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 hidden="1"/>
    <row r="2">
      <c r="A2" s="7" t="str">
        <f t="shared" ref="A2:Z2" si="1">INDIRECT("'BM Data'!O" &amp; COLUMNS($A$1:A$1) + 1)</f>
        <v>43926-222</v>
      </c>
      <c r="B2" s="7" t="str">
        <f t="shared" si="1"/>
        <v>43925-222</v>
      </c>
      <c r="C2" s="7" t="str">
        <f t="shared" si="1"/>
        <v>43925-245</v>
      </c>
      <c r="D2" s="7" t="str">
        <f t="shared" si="1"/>
        <v/>
      </c>
      <c r="E2" s="7" t="str">
        <f t="shared" si="1"/>
        <v/>
      </c>
      <c r="F2" s="7" t="str">
        <f t="shared" si="1"/>
        <v/>
      </c>
      <c r="G2" s="7" t="str">
        <f t="shared" si="1"/>
        <v/>
      </c>
      <c r="H2" s="7" t="str">
        <f t="shared" si="1"/>
        <v/>
      </c>
      <c r="I2" s="7" t="str">
        <f t="shared" si="1"/>
        <v/>
      </c>
      <c r="J2" s="7" t="str">
        <f t="shared" si="1"/>
        <v/>
      </c>
      <c r="K2" s="7" t="str">
        <f t="shared" si="1"/>
        <v/>
      </c>
      <c r="L2" s="7" t="str">
        <f t="shared" si="1"/>
        <v/>
      </c>
      <c r="M2" s="7" t="str">
        <f t="shared" si="1"/>
        <v/>
      </c>
      <c r="N2" s="7" t="str">
        <f t="shared" si="1"/>
        <v/>
      </c>
      <c r="O2" s="7" t="str">
        <f t="shared" si="1"/>
        <v/>
      </c>
      <c r="P2" s="7" t="str">
        <f t="shared" si="1"/>
        <v/>
      </c>
      <c r="Q2" s="7" t="str">
        <f t="shared" si="1"/>
        <v/>
      </c>
      <c r="R2" s="7" t="str">
        <f t="shared" si="1"/>
        <v/>
      </c>
      <c r="S2" s="7" t="str">
        <f t="shared" si="1"/>
        <v/>
      </c>
      <c r="T2" s="7" t="str">
        <f t="shared" si="1"/>
        <v/>
      </c>
      <c r="U2" s="7" t="str">
        <f t="shared" si="1"/>
        <v/>
      </c>
      <c r="V2" s="7" t="str">
        <f t="shared" si="1"/>
        <v/>
      </c>
      <c r="W2" s="7" t="str">
        <f t="shared" si="1"/>
        <v/>
      </c>
      <c r="X2" s="7" t="str">
        <f t="shared" si="1"/>
        <v/>
      </c>
      <c r="Y2" s="7" t="str">
        <f t="shared" si="1"/>
        <v/>
      </c>
      <c r="Z2" s="7" t="str">
        <f t="shared" si="1"/>
        <v/>
      </c>
    </row>
    <row r="3">
      <c r="A3" s="3">
        <f>IFERROR(__xludf.DUMMYFUNCTION("IF(INDIRECT(""'BM Data'!K"" &amp; COLUMNS($A$1:A$1) + 1) = """","""",
ArrayFormula(IFERROR(QUERY(TRANSPOSE(SPLIT(INDIRECT(""'BM Data'!K"" &amp; COLUMNS($A$1:A$1) + 1),"";"")), ""OFFSET 2"") - 
QUERY(TRANSPOSE(SPLIT(INDIRECT(""'BM Data'!K"" &amp; COLUMNS($A$1:A$1) + 1"&amp;"),"";"")), ""OFFSET 1""),"""")))"),1.5999999999999999)</f>
        <v>1.6</v>
      </c>
      <c r="B3" s="3">
        <f>IFERROR(__xludf.DUMMYFUNCTION("IF(INDIRECT(""'BM Data'!K"" &amp; COLUMNS($A$1:B$1) + 1) = """","""",
ArrayFormula(IFERROR(QUERY(TRANSPOSE(SPLIT(INDIRECT(""'BM Data'!K"" &amp; COLUMNS($A$1:B$1) + 1),"";"")), ""OFFSET 2"") - 
QUERY(TRANSPOSE(SPLIT(INDIRECT(""'BM Data'!K"" &amp; COLUMNS($A$1:B$1) + 1"&amp;"),"";"")), ""OFFSET 1""),"""")))"),1.7999999999999998)</f>
        <v>1.8</v>
      </c>
      <c r="C3" s="3">
        <f>IFERROR(__xludf.DUMMYFUNCTION("IF(INDIRECT(""'BM Data'!K"" &amp; COLUMNS($A$1:C$1) + 1) = """","""",
ArrayFormula(IFERROR(QUERY(TRANSPOSE(SPLIT(INDIRECT(""'BM Data'!K"" &amp; COLUMNS($A$1:C$1) + 1),"";"")), ""OFFSET 2"") - 
QUERY(TRANSPOSE(SPLIT(INDIRECT(""'BM Data'!K"" &amp; COLUMNS($A$1:C$1) + 1"&amp;"),"";"")), ""OFFSET 1""),"""")))"),0.0)</f>
        <v>0</v>
      </c>
      <c r="D3" s="3" t="str">
        <f>IFERROR(__xludf.DUMMYFUNCTION("IF(INDIRECT(""'BM Data'!K"" &amp; COLUMNS($A$1:D$1) + 1) = """","""",
ArrayFormula(IFERROR(QUERY(TRANSPOSE(SPLIT(INDIRECT(""'BM Data'!K"" &amp; COLUMNS($A$1:D$1) + 1),"";"")), ""OFFSET 2"") - 
QUERY(TRANSPOSE(SPLIT(INDIRECT(""'BM Data'!K"" &amp; COLUMNS($A$1:D$1) + 1"&amp;"),"";"")), ""OFFSET 1""),"""")))"),"")</f>
        <v/>
      </c>
      <c r="E3" s="3" t="str">
        <f>IFERROR(__xludf.DUMMYFUNCTION("IF(INDIRECT(""'BM Data'!K"" &amp; COLUMNS($A$1:E$1) + 1) = """","""",
ArrayFormula(IFERROR(QUERY(TRANSPOSE(SPLIT(INDIRECT(""'BM Data'!K"" &amp; COLUMNS($A$1:E$1) + 1),"";"")), ""OFFSET 2"") - 
QUERY(TRANSPOSE(SPLIT(INDIRECT(""'BM Data'!K"" &amp; COLUMNS($A$1:E$1) + 1"&amp;"),"";"")), ""OFFSET 1""),"""")))"),"")</f>
        <v/>
      </c>
      <c r="F3" s="3" t="str">
        <f>IFERROR(__xludf.DUMMYFUNCTION("IF(INDIRECT(""'BM Data'!K"" &amp; COLUMNS($A$1:F$1) + 1) = """","""",
ArrayFormula(IFERROR(QUERY(TRANSPOSE(SPLIT(INDIRECT(""'BM Data'!K"" &amp; COLUMNS($A$1:F$1) + 1),"";"")), ""OFFSET 2"") - 
QUERY(TRANSPOSE(SPLIT(INDIRECT(""'BM Data'!K"" &amp; COLUMNS($A$1:F$1) + 1"&amp;"),"";"")), ""OFFSET 1""),"""")))"),"")</f>
        <v/>
      </c>
      <c r="G3" s="3" t="str">
        <f>IFERROR(__xludf.DUMMYFUNCTION("IF(INDIRECT(""'BM Data'!K"" &amp; COLUMNS($A$1:G$1) + 1) = """","""",
ArrayFormula(IFERROR(QUERY(TRANSPOSE(SPLIT(INDIRECT(""'BM Data'!K"" &amp; COLUMNS($A$1:G$1) + 1),"";"")), ""OFFSET 2"") - 
QUERY(TRANSPOSE(SPLIT(INDIRECT(""'BM Data'!K"" &amp; COLUMNS($A$1:G$1) + 1"&amp;"),"";"")), ""OFFSET 1""),"""")))"),"")</f>
        <v/>
      </c>
      <c r="H3" s="3" t="str">
        <f>IFERROR(__xludf.DUMMYFUNCTION("IF(INDIRECT(""'BM Data'!K"" &amp; COLUMNS($A$1:H$1) + 1) = """","""",
ArrayFormula(IFERROR(QUERY(TRANSPOSE(SPLIT(INDIRECT(""'BM Data'!K"" &amp; COLUMNS($A$1:H$1) + 1),"";"")), ""OFFSET 2"") - 
QUERY(TRANSPOSE(SPLIT(INDIRECT(""'BM Data'!K"" &amp; COLUMNS($A$1:H$1) + 1"&amp;"),"";"")), ""OFFSET 1""),"""")))"),"")</f>
        <v/>
      </c>
      <c r="I3" s="3" t="str">
        <f>IFERROR(__xludf.DUMMYFUNCTION("IF(INDIRECT(""'BM Data'!K"" &amp; COLUMNS($A$1:I$1) + 1) = """","""",
ArrayFormula(IFERROR(QUERY(TRANSPOSE(SPLIT(INDIRECT(""'BM Data'!K"" &amp; COLUMNS($A$1:I$1) + 1),"";"")), ""OFFSET 2"") - 
QUERY(TRANSPOSE(SPLIT(INDIRECT(""'BM Data'!K"" &amp; COLUMNS($A$1:I$1) + 1"&amp;"),"";"")), ""OFFSET 1""),"""")))"),"")</f>
        <v/>
      </c>
      <c r="J3" s="3" t="str">
        <f>IFERROR(__xludf.DUMMYFUNCTION("IF(INDIRECT(""'BM Data'!K"" &amp; COLUMNS($A$1:J$1) + 1) = """","""",
ArrayFormula(IFERROR(QUERY(TRANSPOSE(SPLIT(INDIRECT(""'BM Data'!K"" &amp; COLUMNS($A$1:J$1) + 1),"";"")), ""OFFSET 2"") - 
QUERY(TRANSPOSE(SPLIT(INDIRECT(""'BM Data'!K"" &amp; COLUMNS($A$1:J$1) + 1"&amp;"),"";"")), ""OFFSET 1""),"""")))"),"")</f>
        <v/>
      </c>
      <c r="K3" s="3" t="str">
        <f>IFERROR(__xludf.DUMMYFUNCTION("IF(INDIRECT(""'BM Data'!K"" &amp; COLUMNS($A$1:K$1) + 1) = """","""",
ArrayFormula(IFERROR(QUERY(TRANSPOSE(SPLIT(INDIRECT(""'BM Data'!K"" &amp; COLUMNS($A$1:K$1) + 1),"";"")), ""OFFSET 2"") - 
QUERY(TRANSPOSE(SPLIT(INDIRECT(""'BM Data'!K"" &amp; COLUMNS($A$1:K$1) + 1"&amp;"),"";"")), ""OFFSET 1""),"""")))"),"")</f>
        <v/>
      </c>
      <c r="L3" s="3" t="str">
        <f>IFERROR(__xludf.DUMMYFUNCTION("IF(INDIRECT(""'BM Data'!K"" &amp; COLUMNS($A$1:L$1) + 1) = """","""",
ArrayFormula(IFERROR(QUERY(TRANSPOSE(SPLIT(INDIRECT(""'BM Data'!K"" &amp; COLUMNS($A$1:L$1) + 1),"";"")), ""OFFSET 2"") - 
QUERY(TRANSPOSE(SPLIT(INDIRECT(""'BM Data'!K"" &amp; COLUMNS($A$1:L$1) + 1"&amp;"),"";"")), ""OFFSET 1""),"""")))"),"")</f>
        <v/>
      </c>
      <c r="M3" s="3" t="str">
        <f>IFERROR(__xludf.DUMMYFUNCTION("IF(INDIRECT(""'BM Data'!K"" &amp; COLUMNS($A$1:M$1) + 1) = """","""",
ArrayFormula(IFERROR(QUERY(TRANSPOSE(SPLIT(INDIRECT(""'BM Data'!K"" &amp; COLUMNS($A$1:M$1) + 1),"";"")), ""OFFSET 2"") - 
QUERY(TRANSPOSE(SPLIT(INDIRECT(""'BM Data'!K"" &amp; COLUMNS($A$1:M$1) + 1"&amp;"),"";"")), ""OFFSET 1""),"""")))"),"")</f>
        <v/>
      </c>
      <c r="N3" s="3" t="str">
        <f>IFERROR(__xludf.DUMMYFUNCTION("IF(INDIRECT(""'BM Data'!K"" &amp; COLUMNS($A$1:N$1) + 1) = """","""",
ArrayFormula(IFERROR(QUERY(TRANSPOSE(SPLIT(INDIRECT(""'BM Data'!K"" &amp; COLUMNS($A$1:N$1) + 1),"";"")), ""OFFSET 2"") - 
QUERY(TRANSPOSE(SPLIT(INDIRECT(""'BM Data'!K"" &amp; COLUMNS($A$1:N$1) + 1"&amp;"),"";"")), ""OFFSET 1""),"""")))"),"")</f>
        <v/>
      </c>
      <c r="O3" s="3" t="str">
        <f>IFERROR(__xludf.DUMMYFUNCTION("IF(INDIRECT(""'BM Data'!K"" &amp; COLUMNS($A$1:O$1) + 1) = """","""",
ArrayFormula(IFERROR(QUERY(TRANSPOSE(SPLIT(INDIRECT(""'BM Data'!K"" &amp; COLUMNS($A$1:O$1) + 1),"";"")), ""OFFSET 2"") - 
QUERY(TRANSPOSE(SPLIT(INDIRECT(""'BM Data'!K"" &amp; COLUMNS($A$1:O$1) + 1"&amp;"),"";"")), ""OFFSET 1""),"""")))"),"")</f>
        <v/>
      </c>
      <c r="P3" s="3" t="str">
        <f>IFERROR(__xludf.DUMMYFUNCTION("IF(INDIRECT(""'BM Data'!K"" &amp; COLUMNS($A$1:P$1) + 1) = """","""",
ArrayFormula(IFERROR(QUERY(TRANSPOSE(SPLIT(INDIRECT(""'BM Data'!K"" &amp; COLUMNS($A$1:P$1) + 1),"";"")), ""OFFSET 2"") - 
QUERY(TRANSPOSE(SPLIT(INDIRECT(""'BM Data'!K"" &amp; COLUMNS($A$1:P$1) + 1"&amp;"),"";"")), ""OFFSET 1""),"""")))"),"")</f>
        <v/>
      </c>
      <c r="Q3" s="3" t="str">
        <f>IFERROR(__xludf.DUMMYFUNCTION("IF(INDIRECT(""'BM Data'!K"" &amp; COLUMNS($A$1:Q$1) + 1) = """","""",
ArrayFormula(IFERROR(QUERY(TRANSPOSE(SPLIT(INDIRECT(""'BM Data'!K"" &amp; COLUMNS($A$1:Q$1) + 1),"";"")), ""OFFSET 2"") - 
QUERY(TRANSPOSE(SPLIT(INDIRECT(""'BM Data'!K"" &amp; COLUMNS($A$1:Q$1) + 1"&amp;"),"";"")), ""OFFSET 1""),"""")))"),"")</f>
        <v/>
      </c>
      <c r="R3" s="3" t="str">
        <f>IFERROR(__xludf.DUMMYFUNCTION("IF(INDIRECT(""'BM Data'!K"" &amp; COLUMNS($A$1:R$1) + 1) = """","""",
ArrayFormula(IFERROR(QUERY(TRANSPOSE(SPLIT(INDIRECT(""'BM Data'!K"" &amp; COLUMNS($A$1:R$1) + 1),"";"")), ""OFFSET 2"") - 
QUERY(TRANSPOSE(SPLIT(INDIRECT(""'BM Data'!K"" &amp; COLUMNS($A$1:R$1) + 1"&amp;"),"";"")), ""OFFSET 1""),"""")))"),"")</f>
        <v/>
      </c>
      <c r="S3" s="3" t="str">
        <f>IFERROR(__xludf.DUMMYFUNCTION("IF(INDIRECT(""'BM Data'!K"" &amp; COLUMNS($A$1:S$1) + 1) = """","""",
ArrayFormula(IFERROR(QUERY(TRANSPOSE(SPLIT(INDIRECT(""'BM Data'!K"" &amp; COLUMNS($A$1:S$1) + 1),"";"")), ""OFFSET 2"") - 
QUERY(TRANSPOSE(SPLIT(INDIRECT(""'BM Data'!K"" &amp; COLUMNS($A$1:S$1) + 1"&amp;"),"";"")), ""OFFSET 1""),"""")))"),"")</f>
        <v/>
      </c>
      <c r="T3" s="3" t="str">
        <f>IFERROR(__xludf.DUMMYFUNCTION("IF(INDIRECT(""'BM Data'!K"" &amp; COLUMNS($A$1:T$1) + 1) = """","""",
ArrayFormula(IFERROR(QUERY(TRANSPOSE(SPLIT(INDIRECT(""'BM Data'!K"" &amp; COLUMNS($A$1:T$1) + 1),"";"")), ""OFFSET 2"") - 
QUERY(TRANSPOSE(SPLIT(INDIRECT(""'BM Data'!K"" &amp; COLUMNS($A$1:T$1) + 1"&amp;"),"";"")), ""OFFSET 1""),"""")))"),"")</f>
        <v/>
      </c>
      <c r="U3" s="3" t="str">
        <f>IFERROR(__xludf.DUMMYFUNCTION("IF(INDIRECT(""'BM Data'!K"" &amp; COLUMNS($A$1:U$1) + 1) = """","""",
ArrayFormula(IFERROR(QUERY(TRANSPOSE(SPLIT(INDIRECT(""'BM Data'!K"" &amp; COLUMNS($A$1:U$1) + 1),"";"")), ""OFFSET 2"") - 
QUERY(TRANSPOSE(SPLIT(INDIRECT(""'BM Data'!K"" &amp; COLUMNS($A$1:U$1) + 1"&amp;"),"";"")), ""OFFSET 1""),"""")))"),"")</f>
        <v/>
      </c>
      <c r="V3" s="3" t="str">
        <f>IFERROR(__xludf.DUMMYFUNCTION("IF(INDIRECT(""'BM Data'!K"" &amp; COLUMNS($A$1:V$1) + 1) = """","""",
ArrayFormula(IFERROR(QUERY(TRANSPOSE(SPLIT(INDIRECT(""'BM Data'!K"" &amp; COLUMNS($A$1:V$1) + 1),"";"")), ""OFFSET 2"") - 
QUERY(TRANSPOSE(SPLIT(INDIRECT(""'BM Data'!K"" &amp; COLUMNS($A$1:V$1) + 1"&amp;"),"";"")), ""OFFSET 1""),"""")))"),"")</f>
        <v/>
      </c>
      <c r="W3" s="3" t="str">
        <f>IFERROR(__xludf.DUMMYFUNCTION("IF(INDIRECT(""'BM Data'!K"" &amp; COLUMNS($A$1:W$1) + 1) = """","""",
ArrayFormula(IFERROR(QUERY(TRANSPOSE(SPLIT(INDIRECT(""'BM Data'!K"" &amp; COLUMNS($A$1:W$1) + 1),"";"")), ""OFFSET 2"") - 
QUERY(TRANSPOSE(SPLIT(INDIRECT(""'BM Data'!K"" &amp; COLUMNS($A$1:W$1) + 1"&amp;"),"";"")), ""OFFSET 1""),"""")))"),"")</f>
        <v/>
      </c>
      <c r="X3" s="3" t="str">
        <f>IFERROR(__xludf.DUMMYFUNCTION("IF(INDIRECT(""'BM Data'!K"" &amp; COLUMNS($A$1:X$1) + 1) = """","""",
ArrayFormula(IFERROR(QUERY(TRANSPOSE(SPLIT(INDIRECT(""'BM Data'!K"" &amp; COLUMNS($A$1:X$1) + 1),"";"")), ""OFFSET 2"") - 
QUERY(TRANSPOSE(SPLIT(INDIRECT(""'BM Data'!K"" &amp; COLUMNS($A$1:X$1) + 1"&amp;"),"";"")), ""OFFSET 1""),"""")))"),"")</f>
        <v/>
      </c>
      <c r="Y3" s="3" t="str">
        <f>IFERROR(__xludf.DUMMYFUNCTION("IF(INDIRECT(""'BM Data'!K"" &amp; COLUMNS($A$1:Y$1) + 1) = """","""",
ArrayFormula(IFERROR(QUERY(TRANSPOSE(SPLIT(INDIRECT(""'BM Data'!K"" &amp; COLUMNS($A$1:Y$1) + 1),"";"")), ""OFFSET 2"") - 
QUERY(TRANSPOSE(SPLIT(INDIRECT(""'BM Data'!K"" &amp; COLUMNS($A$1:Y$1) + 1"&amp;"),"";"")), ""OFFSET 1""),"""")))"),"")</f>
        <v/>
      </c>
      <c r="Z3" s="3" t="str">
        <f>IFERROR(__xludf.DUMMYFUNCTION("IF(INDIRECT(""'BM Data'!K"" &amp; COLUMNS($A$1:Z$1) + 1) = """","""",
ArrayFormula(IFERROR(QUERY(TRANSPOSE(SPLIT(INDIRECT(""'BM Data'!K"" &amp; COLUMNS($A$1:Z$1) + 1),"";"")), ""OFFSET 2"") - 
QUERY(TRANSPOSE(SPLIT(INDIRECT(""'BM Data'!K"" &amp; COLUMNS($A$1:Z$1) + 1"&amp;"),"";"")), ""OFFSET 1""),"""")))"),"")</f>
        <v/>
      </c>
    </row>
    <row r="4">
      <c r="A4" s="3">
        <f>IFERROR(__xludf.DUMMYFUNCTION("""COMPUTED_VALUE"""),0.10000000000000009)</f>
        <v>0.1</v>
      </c>
      <c r="B4" s="3">
        <f>IFERROR(__xludf.DUMMYFUNCTION("""COMPUTED_VALUE"""),-4.0)</f>
        <v>-4</v>
      </c>
      <c r="C4" s="3">
        <f>IFERROR(__xludf.DUMMYFUNCTION("""COMPUTED_VALUE"""),1.4)</f>
        <v>1.4</v>
      </c>
    </row>
    <row r="5">
      <c r="A5" s="3">
        <f>IFERROR(__xludf.DUMMYFUNCTION("""COMPUTED_VALUE"""),0.8999999999999999)</f>
        <v>0.9</v>
      </c>
      <c r="B5" s="3">
        <f>IFERROR(__xludf.DUMMYFUNCTION("""COMPUTED_VALUE"""),1.2000000000000002)</f>
        <v>1.2</v>
      </c>
      <c r="C5" s="3">
        <f>IFERROR(__xludf.DUMMYFUNCTION("""COMPUTED_VALUE"""),0.7999999999999998)</f>
        <v>0.8</v>
      </c>
    </row>
    <row r="6">
      <c r="A6" s="3">
        <f>IFERROR(__xludf.DUMMYFUNCTION("""COMPUTED_VALUE"""),0.39000000000000057)</f>
        <v>0.39</v>
      </c>
      <c r="B6" s="3">
        <f>IFERROR(__xludf.DUMMYFUNCTION("""COMPUTED_VALUE"""),0.0)</f>
        <v>0</v>
      </c>
      <c r="C6" s="3">
        <f>IFERROR(__xludf.DUMMYFUNCTION("""COMPUTED_VALUE"""),0.9000000000000004)</f>
        <v>0.9</v>
      </c>
    </row>
    <row r="7">
      <c r="A7" s="3">
        <f>IFERROR(__xludf.DUMMYFUNCTION("""COMPUTED_VALUE"""),0.0)</f>
        <v>0</v>
      </c>
      <c r="B7" s="3">
        <f>IFERROR(__xludf.DUMMYFUNCTION("""COMPUTED_VALUE"""),1.2999999999999998)</f>
        <v>1.3</v>
      </c>
      <c r="C7" s="3">
        <f>IFERROR(__xludf.DUMMYFUNCTION("""COMPUTED_VALUE"""),0.0)</f>
        <v>0</v>
      </c>
    </row>
    <row r="8">
      <c r="A8" s="3">
        <f>IFERROR(__xludf.DUMMYFUNCTION("""COMPUTED_VALUE"""),0.8099999999999996)</f>
        <v>0.81</v>
      </c>
      <c r="B8" s="3">
        <f>IFERROR(__xludf.DUMMYFUNCTION("""COMPUTED_VALUE"""),1.9000000000000004)</f>
        <v>1.9</v>
      </c>
      <c r="C8" s="3">
        <f>IFERROR(__xludf.DUMMYFUNCTION("""COMPUTED_VALUE"""),0.0)</f>
        <v>0</v>
      </c>
    </row>
    <row r="9">
      <c r="A9" s="3">
        <f>IFERROR(__xludf.DUMMYFUNCTION("""COMPUTED_VALUE"""),0.7999999999999998)</f>
        <v>0.8</v>
      </c>
      <c r="B9" s="3">
        <f>IFERROR(__xludf.DUMMYFUNCTION("""COMPUTED_VALUE"""),0.7999999999999998)</f>
        <v>0.8</v>
      </c>
      <c r="C9" s="3">
        <f>IFERROR(__xludf.DUMMYFUNCTION("""COMPUTED_VALUE"""),0.09999999999999964)</f>
        <v>0.1</v>
      </c>
    </row>
    <row r="10">
      <c r="A10" s="3">
        <f>IFERROR(__xludf.DUMMYFUNCTION("""COMPUTED_VALUE"""),0.20000000000000018)</f>
        <v>0.2</v>
      </c>
      <c r="B10" s="3">
        <f>IFERROR(__xludf.DUMMYFUNCTION("""COMPUTED_VALUE"""),0.8900000000000006)</f>
        <v>0.89</v>
      </c>
      <c r="C10" s="3">
        <f>IFERROR(__xludf.DUMMYFUNCTION("""COMPUTED_VALUE"""),0.10000000000000053)</f>
        <v>0.1</v>
      </c>
    </row>
    <row r="11">
      <c r="A11" s="3">
        <f>IFERROR(__xludf.DUMMYFUNCTION("""COMPUTED_VALUE"""),0.2999999999999998)</f>
        <v>0.3</v>
      </c>
      <c r="B11" s="3">
        <f>IFERROR(__xludf.DUMMYFUNCTION("""COMPUTED_VALUE"""),0.8099999999999987)</f>
        <v>0.81</v>
      </c>
      <c r="C11" s="3">
        <f>IFERROR(__xludf.DUMMYFUNCTION("""COMPUTED_VALUE"""),0.2999999999999998)</f>
        <v>0.3</v>
      </c>
    </row>
    <row r="12">
      <c r="A12" s="3">
        <f>IFERROR(__xludf.DUMMYFUNCTION("""COMPUTED_VALUE"""),0.40000000000000036)</f>
        <v>0.4</v>
      </c>
      <c r="B12" s="3">
        <f>IFERROR(__xludf.DUMMYFUNCTION("""COMPUTED_VALUE"""),2.3000000000000007)</f>
        <v>2.3</v>
      </c>
      <c r="C12" s="3">
        <f>IFERROR(__xludf.DUMMYFUNCTION("""COMPUTED_VALUE"""),0.2999999999999998)</f>
        <v>0.3</v>
      </c>
    </row>
    <row r="13">
      <c r="A13" s="3">
        <f>IFERROR(__xludf.DUMMYFUNCTION("""COMPUTED_VALUE"""),0.5)</f>
        <v>0.5</v>
      </c>
      <c r="B13" s="3">
        <f>IFERROR(__xludf.DUMMYFUNCTION("""COMPUTED_VALUE"""),0.9000000000000004)</f>
        <v>0.9</v>
      </c>
      <c r="C13" s="3">
        <f>IFERROR(__xludf.DUMMYFUNCTION("""COMPUTED_VALUE"""),0.40000000000000036)</f>
        <v>0.4</v>
      </c>
    </row>
    <row r="14">
      <c r="A14" s="3">
        <f>IFERROR(__xludf.DUMMYFUNCTION("""COMPUTED_VALUE"""),1.8999999999999995)</f>
        <v>1.9</v>
      </c>
      <c r="B14" s="3">
        <f>IFERROR(__xludf.DUMMYFUNCTION("""COMPUTED_VALUE"""),1.299999999999999)</f>
        <v>1.3</v>
      </c>
      <c r="C14" s="3">
        <f>IFERROR(__xludf.DUMMYFUNCTION("""COMPUTED_VALUE"""),0.20000000000000018)</f>
        <v>0.2</v>
      </c>
    </row>
    <row r="15">
      <c r="A15" s="3">
        <f>IFERROR(__xludf.DUMMYFUNCTION("""COMPUTED_VALUE"""),1.0999999999999996)</f>
        <v>1.1</v>
      </c>
      <c r="B15" s="3">
        <f>IFERROR(__xludf.DUMMYFUNCTION("""COMPUTED_VALUE"""),1.3000000000000007)</f>
        <v>1.3</v>
      </c>
      <c r="C15" s="3">
        <f>IFERROR(__xludf.DUMMYFUNCTION("""COMPUTED_VALUE"""),0.5)</f>
        <v>0.5</v>
      </c>
    </row>
    <row r="16">
      <c r="A16" s="3">
        <f>IFERROR(__xludf.DUMMYFUNCTION("""COMPUTED_VALUE"""),0.20000000000000107)</f>
        <v>0.2</v>
      </c>
      <c r="B16" s="3">
        <f>IFERROR(__xludf.DUMMYFUNCTION("""COMPUTED_VALUE"""),0.3000000000000007)</f>
        <v>0.3</v>
      </c>
      <c r="C16" s="3">
        <f>IFERROR(__xludf.DUMMYFUNCTION("""COMPUTED_VALUE"""),0.0)</f>
        <v>0</v>
      </c>
    </row>
    <row r="17">
      <c r="A17" s="3">
        <f>IFERROR(__xludf.DUMMYFUNCTION("""COMPUTED_VALUE"""),0.09999999999999964)</f>
        <v>0.1</v>
      </c>
      <c r="B17" s="3">
        <f>IFERROR(__xludf.DUMMYFUNCTION("""COMPUTED_VALUE"""),1.5999999999999979)</f>
        <v>1.6</v>
      </c>
      <c r="C17" s="3">
        <f>IFERROR(__xludf.DUMMYFUNCTION("""COMPUTED_VALUE"""),0.2999999999999998)</f>
        <v>0.3</v>
      </c>
    </row>
    <row r="18">
      <c r="A18" s="3">
        <f>IFERROR(__xludf.DUMMYFUNCTION("""COMPUTED_VALUE"""),0.40000000000000036)</f>
        <v>0.4</v>
      </c>
      <c r="B18" s="3">
        <f>IFERROR(__xludf.DUMMYFUNCTION("""COMPUTED_VALUE"""),0.7000000000000028)</f>
        <v>0.7</v>
      </c>
      <c r="C18" s="3">
        <f>IFERROR(__xludf.DUMMYFUNCTION("""COMPUTED_VALUE"""),0.6900000000000004)</f>
        <v>0.69</v>
      </c>
    </row>
    <row r="19">
      <c r="A19" s="3">
        <f>IFERROR(__xludf.DUMMYFUNCTION("""COMPUTED_VALUE"""),1.6999999999999993)</f>
        <v>1.7</v>
      </c>
      <c r="B19" s="3">
        <f>IFERROR(__xludf.DUMMYFUNCTION("""COMPUTED_VALUE"""),0.8999999999999986)</f>
        <v>0.9</v>
      </c>
      <c r="C19" s="3">
        <f>IFERROR(__xludf.DUMMYFUNCTION("""COMPUTED_VALUE"""),1.6099999999999994)</f>
        <v>1.61</v>
      </c>
    </row>
    <row r="20">
      <c r="A20" s="3">
        <f>IFERROR(__xludf.DUMMYFUNCTION("""COMPUTED_VALUE"""),0.7000000000000011)</f>
        <v>0.7</v>
      </c>
      <c r="B20" s="3">
        <f>IFERROR(__xludf.DUMMYFUNCTION("""COMPUTED_VALUE"""),1.1000000000000014)</f>
        <v>1.1</v>
      </c>
      <c r="C20" s="3">
        <f>IFERROR(__xludf.DUMMYFUNCTION("""COMPUTED_VALUE"""),0.6999999999999993)</f>
        <v>0.7</v>
      </c>
    </row>
    <row r="21">
      <c r="A21" s="3">
        <f>IFERROR(__xludf.DUMMYFUNCTION("""COMPUTED_VALUE"""),1.299999999999999)</f>
        <v>1.3</v>
      </c>
      <c r="B21" s="3">
        <f>IFERROR(__xludf.DUMMYFUNCTION("""COMPUTED_VALUE"""),0.5)</f>
        <v>0.5</v>
      </c>
      <c r="C21" s="3">
        <f>IFERROR(__xludf.DUMMYFUNCTION("""COMPUTED_VALUE"""),0.40000000000000036)</f>
        <v>0.4</v>
      </c>
    </row>
    <row r="22">
      <c r="A22" s="3">
        <f>IFERROR(__xludf.DUMMYFUNCTION("""COMPUTED_VALUE"""),0.20000000000000107)</f>
        <v>0.2</v>
      </c>
      <c r="B22" s="3">
        <f>IFERROR(__xludf.DUMMYFUNCTION("""COMPUTED_VALUE"""),0.6999999999999993)</f>
        <v>0.7</v>
      </c>
      <c r="C22" s="3">
        <f>IFERROR(__xludf.DUMMYFUNCTION("""COMPUTED_VALUE"""),0.0)</f>
        <v>0</v>
      </c>
    </row>
    <row r="23">
      <c r="A23" s="3">
        <f>IFERROR(__xludf.DUMMYFUNCTION("""COMPUTED_VALUE"""),1.1999999999999993)</f>
        <v>1.2</v>
      </c>
      <c r="B23" s="3">
        <f>IFERROR(__xludf.DUMMYFUNCTION("""COMPUTED_VALUE"""),0.8000000000000007)</f>
        <v>0.8</v>
      </c>
      <c r="C23" s="3">
        <f>IFERROR(__xludf.DUMMYFUNCTION("""COMPUTED_VALUE"""),0.3000000000000007)</f>
        <v>0.3</v>
      </c>
    </row>
    <row r="24">
      <c r="A24" s="3">
        <f>IFERROR(__xludf.DUMMYFUNCTION("""COMPUTED_VALUE"""),0.1999999999999993)</f>
        <v>0.2</v>
      </c>
      <c r="B24" s="3">
        <f>IFERROR(__xludf.DUMMYFUNCTION("""COMPUTED_VALUE"""),1.2999999999999972)</f>
        <v>1.3</v>
      </c>
      <c r="C24" s="3">
        <f>IFERROR(__xludf.DUMMYFUNCTION("""COMPUTED_VALUE"""),0.5)</f>
        <v>0.5</v>
      </c>
    </row>
    <row r="25">
      <c r="A25" s="3">
        <f>IFERROR(__xludf.DUMMYFUNCTION("""COMPUTED_VALUE"""),0.6999999999999993)</f>
        <v>0.7</v>
      </c>
      <c r="B25" s="3">
        <f>IFERROR(__xludf.DUMMYFUNCTION("""COMPUTED_VALUE"""),0.3000000000000007)</f>
        <v>0.3</v>
      </c>
      <c r="C25" s="3">
        <f>IFERROR(__xludf.DUMMYFUNCTION("""COMPUTED_VALUE"""),0.5999999999999996)</f>
        <v>0.6</v>
      </c>
    </row>
    <row r="26">
      <c r="A26" s="3">
        <f>IFERROR(__xludf.DUMMYFUNCTION("""COMPUTED_VALUE"""),0.8000000000000007)</f>
        <v>0.8</v>
      </c>
      <c r="B26" s="3">
        <f>IFERROR(__xludf.DUMMYFUNCTION("""COMPUTED_VALUE"""),0.9000000000000021)</f>
        <v>0.9</v>
      </c>
      <c r="C26" s="3">
        <f>IFERROR(__xludf.DUMMYFUNCTION("""COMPUTED_VALUE"""),0.9000000000000004)</f>
        <v>0.9</v>
      </c>
    </row>
    <row r="27">
      <c r="A27" s="3">
        <f>IFERROR(__xludf.DUMMYFUNCTION("""COMPUTED_VALUE"""),0.40000000000000213)</f>
        <v>0.4</v>
      </c>
      <c r="B27" s="3">
        <f>IFERROR(__xludf.DUMMYFUNCTION("""COMPUTED_VALUE"""),1.2999999999999972)</f>
        <v>1.3</v>
      </c>
      <c r="C27" s="3">
        <f>IFERROR(__xludf.DUMMYFUNCTION("""COMPUTED_VALUE"""),0.29999999999999893)</f>
        <v>0.3</v>
      </c>
    </row>
    <row r="28">
      <c r="A28" s="3">
        <f>IFERROR(__xludf.DUMMYFUNCTION("""COMPUTED_VALUE"""),1.1899999999999977)</f>
        <v>1.19</v>
      </c>
      <c r="B28" s="3">
        <f>IFERROR(__xludf.DUMMYFUNCTION("""COMPUTED_VALUE"""),0.7000000000000028)</f>
        <v>0.7</v>
      </c>
      <c r="C28" s="3">
        <f>IFERROR(__xludf.DUMMYFUNCTION("""COMPUTED_VALUE"""),0.9000000000000004)</f>
        <v>0.9</v>
      </c>
    </row>
    <row r="29">
      <c r="A29" s="3">
        <f>IFERROR(__xludf.DUMMYFUNCTION("""COMPUTED_VALUE"""),0.5)</f>
        <v>0.5</v>
      </c>
      <c r="B29" s="3">
        <f>IFERROR(__xludf.DUMMYFUNCTION("""COMPUTED_VALUE"""),1.0999999999999979)</f>
        <v>1.1</v>
      </c>
      <c r="C29" s="3">
        <f>IFERROR(__xludf.DUMMYFUNCTION("""COMPUTED_VALUE"""),0.20000000000000107)</f>
        <v>0.2</v>
      </c>
    </row>
    <row r="30">
      <c r="A30" s="3">
        <f>IFERROR(__xludf.DUMMYFUNCTION("""COMPUTED_VALUE"""),0.8100000000000023)</f>
        <v>0.81</v>
      </c>
      <c r="B30" s="3">
        <f>IFERROR(__xludf.DUMMYFUNCTION("""COMPUTED_VALUE"""),0.5)</f>
        <v>0.5</v>
      </c>
      <c r="C30" s="3">
        <f>IFERROR(__xludf.DUMMYFUNCTION("""COMPUTED_VALUE"""),0.3999999999999986)</f>
        <v>0.4</v>
      </c>
    </row>
    <row r="31">
      <c r="A31" s="3">
        <f>IFERROR(__xludf.DUMMYFUNCTION("""COMPUTED_VALUE"""),0.5)</f>
        <v>0.5</v>
      </c>
      <c r="B31" s="3">
        <f>IFERROR(__xludf.DUMMYFUNCTION("""COMPUTED_VALUE"""),0.40000000000000213)</f>
        <v>0.4</v>
      </c>
      <c r="C31" s="3">
        <f>IFERROR(__xludf.DUMMYFUNCTION("""COMPUTED_VALUE"""),0.5)</f>
        <v>0.5</v>
      </c>
    </row>
    <row r="32">
      <c r="A32" s="3">
        <f>IFERROR(__xludf.DUMMYFUNCTION("""COMPUTED_VALUE"""),1.0)</f>
        <v>1</v>
      </c>
      <c r="B32" s="3">
        <f>IFERROR(__xludf.DUMMYFUNCTION("""COMPUTED_VALUE"""),0.7999999999999972)</f>
        <v>0.8</v>
      </c>
      <c r="C32" s="3">
        <f>IFERROR(__xludf.DUMMYFUNCTION("""COMPUTED_VALUE"""),0.5)</f>
        <v>0.5</v>
      </c>
    </row>
    <row r="33">
      <c r="A33" s="3">
        <f>IFERROR(__xludf.DUMMYFUNCTION("""COMPUTED_VALUE"""),0.5999999999999979)</f>
        <v>0.6</v>
      </c>
      <c r="B33" s="3">
        <f>IFERROR(__xludf.DUMMYFUNCTION("""COMPUTED_VALUE"""),0.7000000000000028)</f>
        <v>0.7</v>
      </c>
      <c r="C33" s="3">
        <f>IFERROR(__xludf.DUMMYFUNCTION("""COMPUTED_VALUE"""),0.5)</f>
        <v>0.5</v>
      </c>
    </row>
    <row r="34">
      <c r="A34" s="3">
        <f>IFERROR(__xludf.DUMMYFUNCTION("""COMPUTED_VALUE"""),0.6999999999999993)</f>
        <v>0.7</v>
      </c>
      <c r="B34" s="3">
        <f>IFERROR(__xludf.DUMMYFUNCTION("""COMPUTED_VALUE"""),0.09999999999999787)</f>
        <v>0.1</v>
      </c>
      <c r="C34" s="3">
        <f>IFERROR(__xludf.DUMMYFUNCTION("""COMPUTED_VALUE"""),0.5)</f>
        <v>0.5</v>
      </c>
    </row>
    <row r="35">
      <c r="A35" s="3">
        <f>IFERROR(__xludf.DUMMYFUNCTION("""COMPUTED_VALUE"""),0.9000000000000021)</f>
        <v>0.9</v>
      </c>
      <c r="B35" s="3">
        <f>IFERROR(__xludf.DUMMYFUNCTION("""COMPUTED_VALUE"""),2.390000000000004)</f>
        <v>2.39</v>
      </c>
      <c r="C35" s="3">
        <f>IFERROR(__xludf.DUMMYFUNCTION("""COMPUTED_VALUE"""),0.6999999999999993)</f>
        <v>0.7</v>
      </c>
    </row>
    <row r="36">
      <c r="A36" s="3">
        <f>IFERROR(__xludf.DUMMYFUNCTION("""COMPUTED_VALUE"""),0.8999999999999986)</f>
        <v>0.9</v>
      </c>
      <c r="B36" s="3">
        <f>IFERROR(__xludf.DUMMYFUNCTION("""COMPUTED_VALUE"""),-0.19000000000000483)</f>
        <v>-0.19</v>
      </c>
      <c r="C36" s="3">
        <f>IFERROR(__xludf.DUMMYFUNCTION("""COMPUTED_VALUE"""),1.3000000000000007)</f>
        <v>1.3</v>
      </c>
    </row>
    <row r="37">
      <c r="A37" s="3">
        <f>IFERROR(__xludf.DUMMYFUNCTION("""COMPUTED_VALUE"""),0.8000000000000007)</f>
        <v>0.8</v>
      </c>
      <c r="B37" s="3">
        <f>IFERROR(__xludf.DUMMYFUNCTION("""COMPUTED_VALUE"""),0.3999999999999986)</f>
        <v>0.4</v>
      </c>
      <c r="C37" s="3">
        <f>IFERROR(__xludf.DUMMYFUNCTION("""COMPUTED_VALUE"""),0.3000000000000007)</f>
        <v>0.3</v>
      </c>
    </row>
    <row r="38">
      <c r="A38" s="3">
        <f>IFERROR(__xludf.DUMMYFUNCTION("""COMPUTED_VALUE"""),0.3999999999999986)</f>
        <v>0.4</v>
      </c>
      <c r="B38" s="3">
        <f>IFERROR(__xludf.DUMMYFUNCTION("""COMPUTED_VALUE"""),0.29000000000000625)</f>
        <v>0.29</v>
      </c>
      <c r="C38" s="3">
        <f>IFERROR(__xludf.DUMMYFUNCTION("""COMPUTED_VALUE"""),0.0)</f>
        <v>0</v>
      </c>
    </row>
    <row r="39">
      <c r="A39" s="3">
        <f>IFERROR(__xludf.DUMMYFUNCTION("""COMPUTED_VALUE"""),1.2000000000000028)</f>
        <v>1.2</v>
      </c>
      <c r="B39" s="3">
        <f>IFERROR(__xludf.DUMMYFUNCTION("""COMPUTED_VALUE"""),0.4099999999999966)</f>
        <v>0.41</v>
      </c>
      <c r="C39" s="3">
        <f>IFERROR(__xludf.DUMMYFUNCTION("""COMPUTED_VALUE"""),0.5)</f>
        <v>0.5</v>
      </c>
    </row>
    <row r="40">
      <c r="A40" s="3">
        <f>IFERROR(__xludf.DUMMYFUNCTION("""COMPUTED_VALUE"""),0.3999999999999986)</f>
        <v>0.4</v>
      </c>
      <c r="B40" s="3">
        <f>IFERROR(__xludf.DUMMYFUNCTION("""COMPUTED_VALUE"""),0.29999999999999716)</f>
        <v>0.3</v>
      </c>
      <c r="C40" s="3">
        <f>IFERROR(__xludf.DUMMYFUNCTION("""COMPUTED_VALUE"""),0.6000000000000014)</f>
        <v>0.6</v>
      </c>
    </row>
    <row r="41">
      <c r="A41" s="3">
        <f>IFERROR(__xludf.DUMMYFUNCTION("""COMPUTED_VALUE"""),1.1999999999999993)</f>
        <v>1.2</v>
      </c>
      <c r="B41" s="3">
        <f>IFERROR(__xludf.DUMMYFUNCTION("""COMPUTED_VALUE"""),2.0)</f>
        <v>2</v>
      </c>
      <c r="C41" s="3">
        <f>IFERROR(__xludf.DUMMYFUNCTION("""COMPUTED_VALUE"""),0.5)</f>
        <v>0.5</v>
      </c>
    </row>
    <row r="42">
      <c r="A42" s="3">
        <f>IFERROR(__xludf.DUMMYFUNCTION("""COMPUTED_VALUE"""),0.6000000000000014)</f>
        <v>0.6</v>
      </c>
      <c r="B42" s="3">
        <f>IFERROR(__xludf.DUMMYFUNCTION("""COMPUTED_VALUE"""),0.6000000000000014)</f>
        <v>0.6</v>
      </c>
      <c r="C42" s="3">
        <f>IFERROR(__xludf.DUMMYFUNCTION("""COMPUTED_VALUE"""),0.5)</f>
        <v>0.5</v>
      </c>
    </row>
    <row r="43">
      <c r="A43" s="3">
        <f>IFERROR(__xludf.DUMMYFUNCTION("""COMPUTED_VALUE"""),0.1999999999999993)</f>
        <v>0.2</v>
      </c>
      <c r="B43" s="3">
        <f>IFERROR(__xludf.DUMMYFUNCTION("""COMPUTED_VALUE"""),1.1900000000000048)</f>
        <v>1.19</v>
      </c>
      <c r="C43" s="3">
        <f>IFERROR(__xludf.DUMMYFUNCTION("""COMPUTED_VALUE"""),0.3999999999999986)</f>
        <v>0.4</v>
      </c>
    </row>
    <row r="44">
      <c r="A44" s="3">
        <f>IFERROR(__xludf.DUMMYFUNCTION("""COMPUTED_VALUE"""),0.5)</f>
        <v>0.5</v>
      </c>
      <c r="B44" s="3">
        <f>IFERROR(__xludf.DUMMYFUNCTION("""COMPUTED_VALUE"""),0.20999999999999375)</f>
        <v>0.21</v>
      </c>
      <c r="C44" s="3">
        <f>IFERROR(__xludf.DUMMYFUNCTION("""COMPUTED_VALUE"""),0.6999999999999993)</f>
        <v>0.7</v>
      </c>
    </row>
    <row r="45">
      <c r="A45" s="3">
        <f>IFERROR(__xludf.DUMMYFUNCTION("""COMPUTED_VALUE"""),0.6999999999999993)</f>
        <v>0.7</v>
      </c>
      <c r="B45" s="3">
        <f>IFERROR(__xludf.DUMMYFUNCTION("""COMPUTED_VALUE"""),0.29000000000000625)</f>
        <v>0.29</v>
      </c>
      <c r="C45" s="3">
        <f>IFERROR(__xludf.DUMMYFUNCTION("""COMPUTED_VALUE"""),1.0)</f>
        <v>1</v>
      </c>
    </row>
    <row r="46">
      <c r="A46" s="3">
        <f>IFERROR(__xludf.DUMMYFUNCTION("""COMPUTED_VALUE"""),0.6000000000000014)</f>
        <v>0.6</v>
      </c>
      <c r="B46" s="3">
        <f>IFERROR(__xludf.DUMMYFUNCTION("""COMPUTED_VALUE"""),0.20999999999999375)</f>
        <v>0.21</v>
      </c>
      <c r="C46" s="3">
        <f>IFERROR(__xludf.DUMMYFUNCTION("""COMPUTED_VALUE"""),0.10000000000000142)</f>
        <v>0.1</v>
      </c>
    </row>
    <row r="47">
      <c r="A47" s="3">
        <f>IFERROR(__xludf.DUMMYFUNCTION("""COMPUTED_VALUE"""),0.5999999999999979)</f>
        <v>0.6</v>
      </c>
      <c r="B47" s="3">
        <f>IFERROR(__xludf.DUMMYFUNCTION("""COMPUTED_VALUE"""),1.0)</f>
        <v>1</v>
      </c>
      <c r="C47" s="3">
        <f>IFERROR(__xludf.DUMMYFUNCTION("""COMPUTED_VALUE"""),0.1999999999999993)</f>
        <v>0.2</v>
      </c>
    </row>
    <row r="48">
      <c r="A48" s="3">
        <f>IFERROR(__xludf.DUMMYFUNCTION("""COMPUTED_VALUE"""),0.5)</f>
        <v>0.5</v>
      </c>
      <c r="B48" s="3">
        <f>IFERROR(__xludf.DUMMYFUNCTION("""COMPUTED_VALUE"""),0.6000000000000014)</f>
        <v>0.6</v>
      </c>
      <c r="C48" s="3">
        <f>IFERROR(__xludf.DUMMYFUNCTION("""COMPUTED_VALUE"""),0.5)</f>
        <v>0.5</v>
      </c>
    </row>
    <row r="49">
      <c r="A49" s="3">
        <f>IFERROR(__xludf.DUMMYFUNCTION("""COMPUTED_VALUE"""),2.1000000000000014)</f>
        <v>2.1</v>
      </c>
      <c r="B49" s="3">
        <f>IFERROR(__xludf.DUMMYFUNCTION("""COMPUTED_VALUE"""),1.7000000000000028)</f>
        <v>1.7</v>
      </c>
      <c r="C49" s="3">
        <f>IFERROR(__xludf.DUMMYFUNCTION("""COMPUTED_VALUE"""),0.1999999999999993)</f>
        <v>0.2</v>
      </c>
    </row>
    <row r="50">
      <c r="A50" s="3">
        <f>IFERROR(__xludf.DUMMYFUNCTION("""COMPUTED_VALUE"""),0.7000000000000028)</f>
        <v>0.7</v>
      </c>
      <c r="B50" s="3">
        <f>IFERROR(__xludf.DUMMYFUNCTION("""COMPUTED_VALUE"""),0.5)</f>
        <v>0.5</v>
      </c>
      <c r="C50" s="3">
        <f>IFERROR(__xludf.DUMMYFUNCTION("""COMPUTED_VALUE"""),0.5)</f>
        <v>0.5</v>
      </c>
    </row>
    <row r="51">
      <c r="A51" s="3">
        <f>IFERROR(__xludf.DUMMYFUNCTION("""COMPUTED_VALUE"""),0.19999999999999574)</f>
        <v>0.2</v>
      </c>
      <c r="B51" s="3">
        <f>IFERROR(__xludf.DUMMYFUNCTION("""COMPUTED_VALUE"""),0.6000000000000014)</f>
        <v>0.6</v>
      </c>
      <c r="C51" s="3">
        <f>IFERROR(__xludf.DUMMYFUNCTION("""COMPUTED_VALUE"""),0.10000000000000142)</f>
        <v>0.1</v>
      </c>
    </row>
    <row r="52">
      <c r="A52" s="3">
        <f>IFERROR(__xludf.DUMMYFUNCTION("""COMPUTED_VALUE"""),0.30000000000000426)</f>
        <v>0.3</v>
      </c>
      <c r="B52" s="3">
        <f>IFERROR(__xludf.DUMMYFUNCTION("""COMPUTED_VALUE"""),0.7999999999999972)</f>
        <v>0.8</v>
      </c>
      <c r="C52" s="3">
        <f>IFERROR(__xludf.DUMMYFUNCTION("""COMPUTED_VALUE"""),0.1999999999999993)</f>
        <v>0.2</v>
      </c>
    </row>
    <row r="53">
      <c r="A53" s="3">
        <f>IFERROR(__xludf.DUMMYFUNCTION("""COMPUTED_VALUE"""),0.5)</f>
        <v>0.5</v>
      </c>
      <c r="B53" s="3">
        <f>IFERROR(__xludf.DUMMYFUNCTION("""COMPUTED_VALUE"""),0.10000000000000142)</f>
        <v>0.1</v>
      </c>
      <c r="C53" s="3">
        <f>IFERROR(__xludf.DUMMYFUNCTION("""COMPUTED_VALUE"""),0.6000000000000014)</f>
        <v>0.6</v>
      </c>
    </row>
    <row r="54">
      <c r="A54" s="3">
        <f>IFERROR(__xludf.DUMMYFUNCTION("""COMPUTED_VALUE"""),0.5999999999999943)</f>
        <v>0.6</v>
      </c>
      <c r="B54" s="3">
        <f>IFERROR(__xludf.DUMMYFUNCTION("""COMPUTED_VALUE"""),0.3999999999999986)</f>
        <v>0.4</v>
      </c>
      <c r="C54" s="3">
        <f>IFERROR(__xludf.DUMMYFUNCTION("""COMPUTED_VALUE"""),0.0)</f>
        <v>0</v>
      </c>
    </row>
    <row r="55">
      <c r="A55" s="3">
        <f>IFERROR(__xludf.DUMMYFUNCTION("""COMPUTED_VALUE"""),0.7000000000000028)</f>
        <v>0.7</v>
      </c>
      <c r="B55" s="3">
        <f>IFERROR(__xludf.DUMMYFUNCTION("""COMPUTED_VALUE"""),0.8999999999999986)</f>
        <v>0.9</v>
      </c>
      <c r="C55" s="3">
        <f>IFERROR(__xludf.DUMMYFUNCTION("""COMPUTED_VALUE"""),0.09999999999999787)</f>
        <v>0.1</v>
      </c>
    </row>
    <row r="56">
      <c r="A56" s="3">
        <f>IFERROR(__xludf.DUMMYFUNCTION("""COMPUTED_VALUE"""),0.8999999999999986)</f>
        <v>0.9</v>
      </c>
      <c r="B56" s="3">
        <f>IFERROR(__xludf.DUMMYFUNCTION("""COMPUTED_VALUE"""),0.6000000000000014)</f>
        <v>0.6</v>
      </c>
      <c r="C56" s="3">
        <f>IFERROR(__xludf.DUMMYFUNCTION("""COMPUTED_VALUE"""),0.3000000000000007)</f>
        <v>0.3</v>
      </c>
    </row>
    <row r="57">
      <c r="A57" s="3">
        <f>IFERROR(__xludf.DUMMYFUNCTION("""COMPUTED_VALUE"""),1.3000000000000043)</f>
        <v>1.3</v>
      </c>
      <c r="B57" s="3">
        <f>IFERROR(__xludf.DUMMYFUNCTION("""COMPUTED_VALUE"""),0.6000000000000014)</f>
        <v>0.6</v>
      </c>
      <c r="C57" s="3">
        <f>IFERROR(__xludf.DUMMYFUNCTION("""COMPUTED_VALUE"""),0.3000000000000007)</f>
        <v>0.3</v>
      </c>
    </row>
    <row r="58">
      <c r="A58" s="3">
        <f>IFERROR(__xludf.DUMMYFUNCTION("""COMPUTED_VALUE"""),0.19999999999999574)</f>
        <v>0.2</v>
      </c>
      <c r="B58" s="3">
        <f>IFERROR(__xludf.DUMMYFUNCTION("""COMPUTED_VALUE"""),0.8999999999999986)</f>
        <v>0.9</v>
      </c>
      <c r="C58" s="3">
        <f>IFERROR(__xludf.DUMMYFUNCTION("""COMPUTED_VALUE"""),0.3999999999999986)</f>
        <v>0.4</v>
      </c>
    </row>
    <row r="59">
      <c r="A59" s="3">
        <f>IFERROR(__xludf.DUMMYFUNCTION("""COMPUTED_VALUE"""),1.2000000000000028)</f>
        <v>1.2</v>
      </c>
      <c r="B59" s="3">
        <f>IFERROR(__xludf.DUMMYFUNCTION("""COMPUTED_VALUE"""),0.5)</f>
        <v>0.5</v>
      </c>
      <c r="C59" s="3">
        <f>IFERROR(__xludf.DUMMYFUNCTION("""COMPUTED_VALUE"""),0.5)</f>
        <v>0.5</v>
      </c>
    </row>
    <row r="60">
      <c r="A60" s="3">
        <f>IFERROR(__xludf.DUMMYFUNCTION("""COMPUTED_VALUE"""),0.7999999999999972)</f>
        <v>0.8</v>
      </c>
      <c r="B60" s="3">
        <f>IFERROR(__xludf.DUMMYFUNCTION("""COMPUTED_VALUE"""),0.5)</f>
        <v>0.5</v>
      </c>
      <c r="C60" s="3">
        <f>IFERROR(__xludf.DUMMYFUNCTION("""COMPUTED_VALUE"""),0.6999999999999993)</f>
        <v>0.7</v>
      </c>
    </row>
    <row r="61">
      <c r="A61" s="3">
        <f>IFERROR(__xludf.DUMMYFUNCTION("""COMPUTED_VALUE"""),0.6000000000000014)</f>
        <v>0.6</v>
      </c>
      <c r="B61" s="3">
        <f>IFERROR(__xludf.DUMMYFUNCTION("""COMPUTED_VALUE"""),0.7999999999999972)</f>
        <v>0.8</v>
      </c>
      <c r="C61" s="3">
        <f>IFERROR(__xludf.DUMMYFUNCTION("""COMPUTED_VALUE"""),1.4000000000000021)</f>
        <v>1.4</v>
      </c>
    </row>
    <row r="62">
      <c r="A62" s="3">
        <f>IFERROR(__xludf.DUMMYFUNCTION("""COMPUTED_VALUE"""),0.7000000000000028)</f>
        <v>0.7</v>
      </c>
      <c r="B62" s="3">
        <f>IFERROR(__xludf.DUMMYFUNCTION("""COMPUTED_VALUE"""),1.6000000000000014)</f>
        <v>1.6</v>
      </c>
      <c r="C62" s="3">
        <f>IFERROR(__xludf.DUMMYFUNCTION("""COMPUTED_VALUE"""),0.1999999999999993)</f>
        <v>0.2</v>
      </c>
    </row>
    <row r="63">
      <c r="A63" s="3">
        <f>IFERROR(__xludf.DUMMYFUNCTION("""COMPUTED_VALUE"""),0.7999999999999972)</f>
        <v>0.8</v>
      </c>
      <c r="B63" s="3">
        <f>IFERROR(__xludf.DUMMYFUNCTION("""COMPUTED_VALUE"""),0.10000000000000142)</f>
        <v>0.1</v>
      </c>
      <c r="C63" s="3">
        <f>IFERROR(__xludf.DUMMYFUNCTION("""COMPUTED_VALUE"""),0.1999999999999993)</f>
        <v>0.2</v>
      </c>
    </row>
    <row r="64">
      <c r="A64" s="3">
        <f>IFERROR(__xludf.DUMMYFUNCTION("""COMPUTED_VALUE"""),0.5)</f>
        <v>0.5</v>
      </c>
      <c r="B64" s="3">
        <f>IFERROR(__xludf.DUMMYFUNCTION("""COMPUTED_VALUE"""),0.0)</f>
        <v>0</v>
      </c>
      <c r="C64" s="3">
        <f>IFERROR(__xludf.DUMMYFUNCTION("""COMPUTED_VALUE"""),0.40000000000000213)</f>
        <v>0.4</v>
      </c>
    </row>
    <row r="65">
      <c r="A65" s="3">
        <f>IFERROR(__xludf.DUMMYFUNCTION("""COMPUTED_VALUE"""),0.7000000000000028)</f>
        <v>0.7</v>
      </c>
      <c r="B65" s="3">
        <f>IFERROR(__xludf.DUMMYFUNCTION("""COMPUTED_VALUE"""),0.0)</f>
        <v>0</v>
      </c>
      <c r="C65" s="3">
        <f>IFERROR(__xludf.DUMMYFUNCTION("""COMPUTED_VALUE"""),1.6999999999999957)</f>
        <v>1.7</v>
      </c>
    </row>
    <row r="66">
      <c r="A66" s="3">
        <f>IFERROR(__xludf.DUMMYFUNCTION("""COMPUTED_VALUE"""),0.7999999999999972)</f>
        <v>0.8</v>
      </c>
      <c r="B66" s="3">
        <f>IFERROR(__xludf.DUMMYFUNCTION("""COMPUTED_VALUE"""),0.10000000000000142)</f>
        <v>0.1</v>
      </c>
      <c r="C66" s="3">
        <f>IFERROR(__xludf.DUMMYFUNCTION("""COMPUTED_VALUE"""),0.9000000000000057)</f>
        <v>0.9</v>
      </c>
    </row>
    <row r="67">
      <c r="A67" s="3">
        <f>IFERROR(__xludf.DUMMYFUNCTION("""COMPUTED_VALUE"""),0.7000000000000028)</f>
        <v>0.7</v>
      </c>
      <c r="B67" s="3">
        <f>IFERROR(__xludf.DUMMYFUNCTION("""COMPUTED_VALUE"""),0.0)</f>
        <v>0</v>
      </c>
      <c r="C67" s="3">
        <f>IFERROR(__xludf.DUMMYFUNCTION("""COMPUTED_VALUE"""),0.5999999999999943)</f>
        <v>0.6</v>
      </c>
    </row>
    <row r="68">
      <c r="A68" s="3">
        <f>IFERROR(__xludf.DUMMYFUNCTION("""COMPUTED_VALUE"""),1.1999999999999957)</f>
        <v>1.2</v>
      </c>
      <c r="B68" s="3">
        <f>IFERROR(__xludf.DUMMYFUNCTION("""COMPUTED_VALUE"""),0.10000000000000142)</f>
        <v>0.1</v>
      </c>
      <c r="C68" s="3">
        <f>IFERROR(__xludf.DUMMYFUNCTION("""COMPUTED_VALUE"""),0.7900000000000063)</f>
        <v>0.79</v>
      </c>
    </row>
    <row r="69">
      <c r="A69" s="3">
        <f>IFERROR(__xludf.DUMMYFUNCTION("""COMPUTED_VALUE"""),1.2000000000000028)</f>
        <v>1.2</v>
      </c>
      <c r="B69" s="3">
        <f>IFERROR(__xludf.DUMMYFUNCTION("""COMPUTED_VALUE"""),0.5)</f>
        <v>0.5</v>
      </c>
      <c r="C69" s="3">
        <f>IFERROR(__xludf.DUMMYFUNCTION("""COMPUTED_VALUE"""),0.7099999999999937)</f>
        <v>0.71</v>
      </c>
    </row>
    <row r="70">
      <c r="A70" s="3">
        <f>IFERROR(__xludf.DUMMYFUNCTION("""COMPUTED_VALUE"""),0.19999999999999574)</f>
        <v>0.2</v>
      </c>
      <c r="B70" s="3">
        <f>IFERROR(__xludf.DUMMYFUNCTION("""COMPUTED_VALUE"""),1.2999999999999972)</f>
        <v>1.3</v>
      </c>
      <c r="C70" s="3">
        <f>IFERROR(__xludf.DUMMYFUNCTION("""COMPUTED_VALUE"""),0.5)</f>
        <v>0.5</v>
      </c>
    </row>
    <row r="71">
      <c r="A71" s="3">
        <f>IFERROR(__xludf.DUMMYFUNCTION("""COMPUTED_VALUE"""),0.30000000000000426)</f>
        <v>0.3</v>
      </c>
      <c r="B71" s="3">
        <f>IFERROR(__xludf.DUMMYFUNCTION("""COMPUTED_VALUE"""),0.29999999999999716)</f>
        <v>0.3</v>
      </c>
      <c r="C71" s="3">
        <f>IFERROR(__xludf.DUMMYFUNCTION("""COMPUTED_VALUE"""),0.20000000000000284)</f>
        <v>0.2</v>
      </c>
    </row>
    <row r="72">
      <c r="A72" s="3">
        <f>IFERROR(__xludf.DUMMYFUNCTION("""COMPUTED_VALUE"""),0.6000000000000014)</f>
        <v>0.6</v>
      </c>
      <c r="B72" s="3">
        <f>IFERROR(__xludf.DUMMYFUNCTION("""COMPUTED_VALUE"""),0.20000000000000284)</f>
        <v>0.2</v>
      </c>
      <c r="C72" s="3">
        <f>IFERROR(__xludf.DUMMYFUNCTION("""COMPUTED_VALUE"""),1.0900000000000034)</f>
        <v>1.09</v>
      </c>
    </row>
    <row r="73">
      <c r="A73" s="3">
        <f>IFERROR(__xludf.DUMMYFUNCTION("""COMPUTED_VALUE"""),2.5)</f>
        <v>2.5</v>
      </c>
      <c r="B73" s="3">
        <f>IFERROR(__xludf.DUMMYFUNCTION("""COMPUTED_VALUE"""),0.3999999999999986)</f>
        <v>0.4</v>
      </c>
      <c r="C73" s="3">
        <f>IFERROR(__xludf.DUMMYFUNCTION("""COMPUTED_VALUE"""),0.20999999999999375)</f>
        <v>0.21</v>
      </c>
    </row>
    <row r="74">
      <c r="A74" s="3">
        <f>IFERROR(__xludf.DUMMYFUNCTION("""COMPUTED_VALUE"""),-0.20000000000000284)</f>
        <v>-0.2</v>
      </c>
      <c r="B74" s="3">
        <f>IFERROR(__xludf.DUMMYFUNCTION("""COMPUTED_VALUE"""),0.5)</f>
        <v>0.5</v>
      </c>
      <c r="C74" s="3">
        <f>IFERROR(__xludf.DUMMYFUNCTION("""COMPUTED_VALUE"""),0.20000000000000284)</f>
        <v>0.2</v>
      </c>
    </row>
    <row r="75">
      <c r="A75" s="3">
        <f>IFERROR(__xludf.DUMMYFUNCTION("""COMPUTED_VALUE"""),0.20000000000000284)</f>
        <v>0.2</v>
      </c>
      <c r="B75" s="3">
        <f>IFERROR(__xludf.DUMMYFUNCTION("""COMPUTED_VALUE"""),0.5)</f>
        <v>0.5</v>
      </c>
      <c r="C75" s="3">
        <f>IFERROR(__xludf.DUMMYFUNCTION("""COMPUTED_VALUE"""),0.3999999999999986)</f>
        <v>0.4</v>
      </c>
    </row>
    <row r="76">
      <c r="A76" s="3">
        <f>IFERROR(__xludf.DUMMYFUNCTION("""COMPUTED_VALUE"""),0.29999999999999716)</f>
        <v>0.3</v>
      </c>
      <c r="B76" s="3">
        <f>IFERROR(__xludf.DUMMYFUNCTION("""COMPUTED_VALUE"""),0.3999999999999986)</f>
        <v>0.4</v>
      </c>
      <c r="C76" s="3">
        <f>IFERROR(__xludf.DUMMYFUNCTION("""COMPUTED_VALUE"""),0.30000000000000426)</f>
        <v>0.3</v>
      </c>
    </row>
    <row r="77">
      <c r="A77" s="3">
        <f>IFERROR(__xludf.DUMMYFUNCTION("""COMPUTED_VALUE"""),1.2000000000000028)</f>
        <v>1.2</v>
      </c>
      <c r="B77" s="3">
        <f>IFERROR(__xludf.DUMMYFUNCTION("""COMPUTED_VALUE"""),0.10000000000000142)</f>
        <v>0.1</v>
      </c>
      <c r="C77" s="3">
        <f>IFERROR(__xludf.DUMMYFUNCTION("""COMPUTED_VALUE"""),0.09999999999999432)</f>
        <v>0.1</v>
      </c>
    </row>
    <row r="78">
      <c r="A78" s="3">
        <f>IFERROR(__xludf.DUMMYFUNCTION("""COMPUTED_VALUE"""),0.3999999999999986)</f>
        <v>0.4</v>
      </c>
      <c r="B78" s="3">
        <f>IFERROR(__xludf.DUMMYFUNCTION("""COMPUTED_VALUE"""),0.10000000000000142)</f>
        <v>0.1</v>
      </c>
      <c r="C78" s="3">
        <f>IFERROR(__xludf.DUMMYFUNCTION("""COMPUTED_VALUE"""),0.10000000000000142)</f>
        <v>0.1</v>
      </c>
    </row>
    <row r="79">
      <c r="A79" s="3">
        <f>IFERROR(__xludf.DUMMYFUNCTION("""COMPUTED_VALUE"""),0.0)</f>
        <v>0</v>
      </c>
      <c r="B79" s="3">
        <f>IFERROR(__xludf.DUMMYFUNCTION("""COMPUTED_VALUE"""),-0.10000000000000142)</f>
        <v>-0.1</v>
      </c>
      <c r="C79" s="3">
        <f>IFERROR(__xludf.DUMMYFUNCTION("""COMPUTED_VALUE"""),-0.10000000000000142)</f>
        <v>-0.1</v>
      </c>
    </row>
    <row r="80">
      <c r="A80" s="3">
        <f>IFERROR(__xludf.DUMMYFUNCTION("""COMPUTED_VALUE"""),-0.10000000000000142)</f>
        <v>-0.1</v>
      </c>
      <c r="B80" s="3">
        <f>IFERROR(__xludf.DUMMYFUNCTION("""COMPUTED_VALUE"""),0.10000000000000142)</f>
        <v>0.1</v>
      </c>
      <c r="C80" s="3">
        <f>IFERROR(__xludf.DUMMYFUNCTION("""COMPUTED_VALUE"""),0.0)</f>
        <v>0</v>
      </c>
    </row>
    <row r="81">
      <c r="A81" s="3">
        <f>IFERROR(__xludf.DUMMYFUNCTION("""COMPUTED_VALUE"""),0.0)</f>
        <v>0</v>
      </c>
      <c r="B81" s="3">
        <f>IFERROR(__xludf.DUMMYFUNCTION("""COMPUTED_VALUE"""),0.0)</f>
        <v>0</v>
      </c>
      <c r="C81" s="3">
        <f>IFERROR(__xludf.DUMMYFUNCTION("""COMPUTED_VALUE"""),0.0)</f>
        <v>0</v>
      </c>
    </row>
    <row r="82">
      <c r="A82" s="3">
        <f>IFERROR(__xludf.DUMMYFUNCTION("""COMPUTED_VALUE"""),0.10000000000000142)</f>
        <v>0.1</v>
      </c>
      <c r="B82" s="3">
        <f>IFERROR(__xludf.DUMMYFUNCTION("""COMPUTED_VALUE"""),0.29999999999999716)</f>
        <v>0.3</v>
      </c>
      <c r="C82" s="3">
        <f>IFERROR(__xludf.DUMMYFUNCTION("""COMPUTED_VALUE"""),0.0)</f>
        <v>0</v>
      </c>
    </row>
    <row r="83">
      <c r="A83" s="3">
        <f>IFERROR(__xludf.DUMMYFUNCTION("""COMPUTED_VALUE"""),0.19999999999999574)</f>
        <v>0.2</v>
      </c>
      <c r="B83" s="3">
        <f>IFERROR(__xludf.DUMMYFUNCTION("""COMPUTED_VALUE"""),0.6000000000000014)</f>
        <v>0.6</v>
      </c>
      <c r="C83" s="3">
        <f>IFERROR(__xludf.DUMMYFUNCTION("""COMPUTED_VALUE"""),0.10000000000000142)</f>
        <v>0.1</v>
      </c>
    </row>
    <row r="84">
      <c r="A84" s="3">
        <f>IFERROR(__xludf.DUMMYFUNCTION("""COMPUTED_VALUE"""),0.10000000000000142)</f>
        <v>0.1</v>
      </c>
      <c r="B84" s="3">
        <f>IFERROR(__xludf.DUMMYFUNCTION("""COMPUTED_VALUE"""),0.8000000000000043)</f>
        <v>0.8</v>
      </c>
      <c r="C84" s="3">
        <f>IFERROR(__xludf.DUMMYFUNCTION("""COMPUTED_VALUE"""),1.3999999999999986)</f>
        <v>1.4</v>
      </c>
    </row>
    <row r="85">
      <c r="A85" s="3">
        <f>IFERROR(__xludf.DUMMYFUNCTION("""COMPUTED_VALUE"""),0.0)</f>
        <v>0</v>
      </c>
      <c r="B85" s="3">
        <f>IFERROR(__xludf.DUMMYFUNCTION("""COMPUTED_VALUE"""),0.09999999999999432)</f>
        <v>0.1</v>
      </c>
      <c r="C85" s="3">
        <f>IFERROR(__xludf.DUMMYFUNCTION("""COMPUTED_VALUE"""),0.0)</f>
        <v>0</v>
      </c>
    </row>
    <row r="86">
      <c r="A86" s="3">
        <f>IFERROR(__xludf.DUMMYFUNCTION("""COMPUTED_VALUE"""),1.7000000000000028)</f>
        <v>1.7</v>
      </c>
      <c r="B86" s="3">
        <f>IFERROR(__xludf.DUMMYFUNCTION("""COMPUTED_VALUE"""),0.10000000000000142)</f>
        <v>0.1</v>
      </c>
      <c r="C86" s="3">
        <f>IFERROR(__xludf.DUMMYFUNCTION("""COMPUTED_VALUE"""),0.10000000000000142)</f>
        <v>0.1</v>
      </c>
    </row>
    <row r="87">
      <c r="A87" s="3">
        <f>IFERROR(__xludf.DUMMYFUNCTION("""COMPUTED_VALUE"""),-0.5)</f>
        <v>-0.5</v>
      </c>
      <c r="B87" s="3">
        <f>IFERROR(__xludf.DUMMYFUNCTION("""COMPUTED_VALUE"""),0.0)</f>
        <v>0</v>
      </c>
      <c r="C87" s="3">
        <f>IFERROR(__xludf.DUMMYFUNCTION("""COMPUTED_VALUE"""),0.19000000000000483)</f>
        <v>0.19</v>
      </c>
    </row>
    <row r="88">
      <c r="A88" s="3">
        <f>IFERROR(__xludf.DUMMYFUNCTION("""COMPUTED_VALUE"""),-0.10000000000000142)</f>
        <v>-0.1</v>
      </c>
      <c r="B88" s="3">
        <f>IFERROR(__xludf.DUMMYFUNCTION("""COMPUTED_VALUE"""),0.0)</f>
        <v>0</v>
      </c>
      <c r="C88" s="3">
        <f>IFERROR(__xludf.DUMMYFUNCTION("""COMPUTED_VALUE"""),0.5)</f>
        <v>0.5</v>
      </c>
    </row>
    <row r="89">
      <c r="A89" s="3">
        <f>IFERROR(__xludf.DUMMYFUNCTION("""COMPUTED_VALUE"""),0.0)</f>
        <v>0</v>
      </c>
      <c r="B89" s="3">
        <f>IFERROR(__xludf.DUMMYFUNCTION("""COMPUTED_VALUE"""),0.0)</f>
        <v>0</v>
      </c>
      <c r="C89" s="3">
        <f>IFERROR(__xludf.DUMMYFUNCTION("""COMPUTED_VALUE"""),0.6099999999999994)</f>
        <v>0.61</v>
      </c>
    </row>
    <row r="90">
      <c r="A90" s="3">
        <f>IFERROR(__xludf.DUMMYFUNCTION("""COMPUTED_VALUE"""),0.0)</f>
        <v>0</v>
      </c>
      <c r="B90" s="3">
        <f>IFERROR(__xludf.DUMMYFUNCTION("""COMPUTED_VALUE"""),-0.19999999999999574)</f>
        <v>-0.2</v>
      </c>
      <c r="C90" s="3">
        <f>IFERROR(__xludf.DUMMYFUNCTION("""COMPUTED_VALUE"""),0.5)</f>
        <v>0.5</v>
      </c>
    </row>
    <row r="91">
      <c r="A91" s="3">
        <f>IFERROR(__xludf.DUMMYFUNCTION("""COMPUTED_VALUE"""),0.0)</f>
        <v>0</v>
      </c>
      <c r="B91" s="3">
        <f>IFERROR(__xludf.DUMMYFUNCTION("""COMPUTED_VALUE"""),-0.10000000000000142)</f>
        <v>-0.1</v>
      </c>
      <c r="C91" s="3">
        <f>IFERROR(__xludf.DUMMYFUNCTION("""COMPUTED_VALUE"""),0.5999999999999943)</f>
        <v>0.6</v>
      </c>
    </row>
    <row r="92">
      <c r="A92" s="3">
        <f>IFERROR(__xludf.DUMMYFUNCTION("""COMPUTED_VALUE"""),0.10000000000000142)</f>
        <v>0.1</v>
      </c>
      <c r="B92" s="3">
        <f>IFERROR(__xludf.DUMMYFUNCTION("""COMPUTED_VALUE"""),-0.10000000000000142)</f>
        <v>-0.1</v>
      </c>
      <c r="C92" s="3">
        <f>IFERROR(__xludf.DUMMYFUNCTION("""COMPUTED_VALUE"""),0.9000000000000057)</f>
        <v>0.9</v>
      </c>
    </row>
    <row r="93">
      <c r="A93" s="3">
        <f>IFERROR(__xludf.DUMMYFUNCTION("""COMPUTED_VALUE"""),0.0)</f>
        <v>0</v>
      </c>
      <c r="B93" s="3">
        <f>IFERROR(__xludf.DUMMYFUNCTION("""COMPUTED_VALUE"""),0.0)</f>
        <v>0</v>
      </c>
      <c r="C93" s="3">
        <f>IFERROR(__xludf.DUMMYFUNCTION("""COMPUTED_VALUE"""),1.5999999999999943)</f>
        <v>1.6</v>
      </c>
    </row>
    <row r="94">
      <c r="A94" s="3">
        <f>IFERROR(__xludf.DUMMYFUNCTION("""COMPUTED_VALUE"""),-0.30000000000000426)</f>
        <v>-0.3</v>
      </c>
      <c r="B94" s="3">
        <f>IFERROR(__xludf.DUMMYFUNCTION("""COMPUTED_VALUE"""),0.20000000000000284)</f>
        <v>0.2</v>
      </c>
      <c r="C94" s="3">
        <f>IFERROR(__xludf.DUMMYFUNCTION("""COMPUTED_VALUE"""),0.10000000000000142)</f>
        <v>0.1</v>
      </c>
    </row>
    <row r="95">
      <c r="A95" s="3">
        <f>IFERROR(__xludf.DUMMYFUNCTION("""COMPUTED_VALUE"""),0.20000000000000284)</f>
        <v>0.2</v>
      </c>
      <c r="B95" s="3">
        <f>IFERROR(__xludf.DUMMYFUNCTION("""COMPUTED_VALUE"""),0.19999999999999574)</f>
        <v>0.2</v>
      </c>
      <c r="C95" s="3">
        <f>IFERROR(__xludf.DUMMYFUNCTION("""COMPUTED_VALUE"""),0.20000000000000284)</f>
        <v>0.2</v>
      </c>
    </row>
    <row r="96">
      <c r="A96" s="3">
        <f>IFERROR(__xludf.DUMMYFUNCTION("""COMPUTED_VALUE"""),0.10000000000000142)</f>
        <v>0.1</v>
      </c>
      <c r="B96" s="3">
        <f>IFERROR(__xludf.DUMMYFUNCTION("""COMPUTED_VALUE"""),0.10000000000000142)</f>
        <v>0.1</v>
      </c>
      <c r="C96" s="3">
        <f>IFERROR(__xludf.DUMMYFUNCTION("""COMPUTED_VALUE"""),0.3999999999999986)</f>
        <v>0.4</v>
      </c>
    </row>
    <row r="97">
      <c r="A97" s="3">
        <f>IFERROR(__xludf.DUMMYFUNCTION("""COMPUTED_VALUE"""),-0.10000000000000142)</f>
        <v>-0.1</v>
      </c>
      <c r="B97" s="3">
        <f>IFERROR(__xludf.DUMMYFUNCTION("""COMPUTED_VALUE"""),-0.10000000000000142)</f>
        <v>-0.1</v>
      </c>
      <c r="C97" s="3">
        <f>IFERROR(__xludf.DUMMYFUNCTION("""COMPUTED_VALUE"""),0.5)</f>
        <v>0.5</v>
      </c>
    </row>
    <row r="98">
      <c r="A98" s="3">
        <f>IFERROR(__xludf.DUMMYFUNCTION("""COMPUTED_VALUE"""),0.0)</f>
        <v>0</v>
      </c>
      <c r="B98" s="3">
        <f>IFERROR(__xludf.DUMMYFUNCTION("""COMPUTED_VALUE"""),0.0)</f>
        <v>0</v>
      </c>
      <c r="C98" s="3">
        <f>IFERROR(__xludf.DUMMYFUNCTION("""COMPUTED_VALUE"""),0.6000000000000014)</f>
        <v>0.6</v>
      </c>
    </row>
    <row r="99">
      <c r="A99" s="3">
        <f>IFERROR(__xludf.DUMMYFUNCTION("""COMPUTED_VALUE"""),-0.10000000000000142)</f>
        <v>-0.1</v>
      </c>
      <c r="B99" s="3">
        <f>IFERROR(__xludf.DUMMYFUNCTION("""COMPUTED_VALUE"""),0.0)</f>
        <v>0</v>
      </c>
      <c r="C99" s="3">
        <f>IFERROR(__xludf.DUMMYFUNCTION("""COMPUTED_VALUE"""),0.5)</f>
        <v>0.5</v>
      </c>
    </row>
    <row r="100">
      <c r="A100" s="3">
        <f>IFERROR(__xludf.DUMMYFUNCTION("""COMPUTED_VALUE"""),0.10000000000000142)</f>
        <v>0.1</v>
      </c>
      <c r="B100" s="3">
        <f>IFERROR(__xludf.DUMMYFUNCTION("""COMPUTED_VALUE"""),0.0)</f>
        <v>0</v>
      </c>
      <c r="C100" s="3">
        <f>IFERROR(__xludf.DUMMYFUNCTION("""COMPUTED_VALUE"""),0.5)</f>
        <v>0.5</v>
      </c>
    </row>
    <row r="101">
      <c r="A101" s="3">
        <f>IFERROR(__xludf.DUMMYFUNCTION("""COMPUTED_VALUE"""),-0.20000000000000284)</f>
        <v>-0.2</v>
      </c>
      <c r="B101" s="3">
        <f>IFERROR(__xludf.DUMMYFUNCTION("""COMPUTED_VALUE"""),0.0)</f>
        <v>0</v>
      </c>
      <c r="C101" s="3">
        <f>IFERROR(__xludf.DUMMYFUNCTION("""COMPUTED_VALUE"""),0.29999999999999716)</f>
        <v>0.3</v>
      </c>
    </row>
    <row r="102">
      <c r="A102" s="3">
        <f>IFERROR(__xludf.DUMMYFUNCTION("""COMPUTED_VALUE"""),0.0)</f>
        <v>0</v>
      </c>
      <c r="B102" s="3">
        <f>IFERROR(__xludf.DUMMYFUNCTION("""COMPUTED_VALUE"""),0.0)</f>
        <v>0</v>
      </c>
      <c r="C102" s="3">
        <f>IFERROR(__xludf.DUMMYFUNCTION("""COMPUTED_VALUE"""),0.3999999999999986)</f>
        <v>0.4</v>
      </c>
    </row>
    <row r="103">
      <c r="A103" s="3">
        <f>IFERROR(__xludf.DUMMYFUNCTION("""COMPUTED_VALUE"""),0.20000000000000284)</f>
        <v>0.2</v>
      </c>
      <c r="B103" s="3">
        <f>IFERROR(__xludf.DUMMYFUNCTION("""COMPUTED_VALUE"""),0.0)</f>
        <v>0</v>
      </c>
      <c r="C103" s="3">
        <f>IFERROR(__xludf.DUMMYFUNCTION("""COMPUTED_VALUE"""),0.20000000000000284)</f>
        <v>0.2</v>
      </c>
    </row>
    <row r="104">
      <c r="A104" s="3">
        <f>IFERROR(__xludf.DUMMYFUNCTION("""COMPUTED_VALUE"""),0.0)</f>
        <v>0</v>
      </c>
      <c r="B104" s="3">
        <f>IFERROR(__xludf.DUMMYFUNCTION("""COMPUTED_VALUE"""),0.0)</f>
        <v>0</v>
      </c>
      <c r="C104" s="3">
        <f>IFERROR(__xludf.DUMMYFUNCTION("""COMPUTED_VALUE"""),0.20000000000000284)</f>
        <v>0.2</v>
      </c>
    </row>
    <row r="105">
      <c r="A105" s="3">
        <f>IFERROR(__xludf.DUMMYFUNCTION("""COMPUTED_VALUE"""),0.10000000000000142)</f>
        <v>0.1</v>
      </c>
      <c r="B105" s="3">
        <f>IFERROR(__xludf.DUMMYFUNCTION("""COMPUTED_VALUE"""),0.0)</f>
        <v>0</v>
      </c>
      <c r="C105" s="3">
        <f>IFERROR(__xludf.DUMMYFUNCTION("""COMPUTED_VALUE"""),0.19999999999999574)</f>
        <v>0.2</v>
      </c>
    </row>
    <row r="106">
      <c r="A106" s="3">
        <f>IFERROR(__xludf.DUMMYFUNCTION("""COMPUTED_VALUE"""),0.0)</f>
        <v>0</v>
      </c>
      <c r="B106" s="3">
        <f>IFERROR(__xludf.DUMMYFUNCTION("""COMPUTED_VALUE"""),0.10000000000000142)</f>
        <v>0.1</v>
      </c>
      <c r="C106" s="3">
        <f>IFERROR(__xludf.DUMMYFUNCTION("""COMPUTED_VALUE"""),0.6000000000000014)</f>
        <v>0.6</v>
      </c>
    </row>
    <row r="107">
      <c r="A107" s="3">
        <f>IFERROR(__xludf.DUMMYFUNCTION("""COMPUTED_VALUE"""),-0.30000000000000426)</f>
        <v>-0.3</v>
      </c>
      <c r="B107" s="3">
        <f>IFERROR(__xludf.DUMMYFUNCTION("""COMPUTED_VALUE"""),-0.10000000000000142)</f>
        <v>-0.1</v>
      </c>
      <c r="C107" s="3">
        <f>IFERROR(__xludf.DUMMYFUNCTION("""COMPUTED_VALUE"""),0.3999999999999986)</f>
        <v>0.4</v>
      </c>
    </row>
    <row r="108">
      <c r="A108" s="3">
        <f>IFERROR(__xludf.DUMMYFUNCTION("""COMPUTED_VALUE"""),0.20000000000000284)</f>
        <v>0.2</v>
      </c>
      <c r="B108" s="3">
        <f>IFERROR(__xludf.DUMMYFUNCTION("""COMPUTED_VALUE"""),0.0)</f>
        <v>0</v>
      </c>
      <c r="C108" s="3">
        <f>IFERROR(__xludf.DUMMYFUNCTION("""COMPUTED_VALUE"""),0.3999999999999986)</f>
        <v>0.4</v>
      </c>
    </row>
    <row r="109">
      <c r="A109" s="3">
        <f>IFERROR(__xludf.DUMMYFUNCTION("""COMPUTED_VALUE"""),0.10000000000000142)</f>
        <v>0.1</v>
      </c>
      <c r="B109" s="3">
        <f>IFERROR(__xludf.DUMMYFUNCTION("""COMPUTED_VALUE"""),-0.10000000000000142)</f>
        <v>-0.1</v>
      </c>
      <c r="C109" s="3">
        <f>IFERROR(__xludf.DUMMYFUNCTION("""COMPUTED_VALUE"""),0.6000000000000014)</f>
        <v>0.6</v>
      </c>
    </row>
    <row r="110">
      <c r="A110" s="3">
        <f>IFERROR(__xludf.DUMMYFUNCTION("""COMPUTED_VALUE"""),0.0)</f>
        <v>0</v>
      </c>
      <c r="B110" s="3">
        <f>IFERROR(__xludf.DUMMYFUNCTION("""COMPUTED_VALUE"""),0.0)</f>
        <v>0</v>
      </c>
      <c r="C110" s="3">
        <f>IFERROR(__xludf.DUMMYFUNCTION("""COMPUTED_VALUE"""),0.7000000000000028)</f>
        <v>0.7</v>
      </c>
    </row>
    <row r="111">
      <c r="A111" s="3">
        <f>IFERROR(__xludf.DUMMYFUNCTION("""COMPUTED_VALUE"""),0.0)</f>
        <v>0</v>
      </c>
      <c r="B111" s="3">
        <f>IFERROR(__xludf.DUMMYFUNCTION("""COMPUTED_VALUE"""),0.0)</f>
        <v>0</v>
      </c>
      <c r="C111" s="3">
        <f>IFERROR(__xludf.DUMMYFUNCTION("""COMPUTED_VALUE"""),0.8999999999999986)</f>
        <v>0.9</v>
      </c>
    </row>
    <row r="112">
      <c r="A112" s="3">
        <f>IFERROR(__xludf.DUMMYFUNCTION("""COMPUTED_VALUE"""),0.10000000000000142)</f>
        <v>0.1</v>
      </c>
      <c r="B112" s="3">
        <f>IFERROR(__xludf.DUMMYFUNCTION("""COMPUTED_VALUE"""),-0.09999999999999432)</f>
        <v>-0.1</v>
      </c>
      <c r="C112" s="3">
        <f>IFERROR(__xludf.DUMMYFUNCTION("""COMPUTED_VALUE"""),0.29999999999999716)</f>
        <v>0.3</v>
      </c>
    </row>
    <row r="113">
      <c r="A113" s="3">
        <f>IFERROR(__xludf.DUMMYFUNCTION("""COMPUTED_VALUE"""),0.09999999999999432)</f>
        <v>0.1</v>
      </c>
      <c r="B113" s="3">
        <f>IFERROR(__xludf.DUMMYFUNCTION("""COMPUTED_VALUE"""),-0.20000000000000284)</f>
        <v>-0.2</v>
      </c>
      <c r="C113" s="3">
        <f>IFERROR(__xludf.DUMMYFUNCTION("""COMPUTED_VALUE"""),0.9000000000000057)</f>
        <v>0.9</v>
      </c>
    </row>
    <row r="114">
      <c r="A114" s="3">
        <f>IFERROR(__xludf.DUMMYFUNCTION("""COMPUTED_VALUE"""),0.0)</f>
        <v>0</v>
      </c>
      <c r="B114" s="3">
        <f>IFERROR(__xludf.DUMMYFUNCTION("""COMPUTED_VALUE"""),0.0)</f>
        <v>0</v>
      </c>
      <c r="C114" s="3">
        <f>IFERROR(__xludf.DUMMYFUNCTION("""COMPUTED_VALUE"""),0.29999999999999716)</f>
        <v>0.3</v>
      </c>
    </row>
    <row r="115">
      <c r="A115" s="3">
        <f>IFERROR(__xludf.DUMMYFUNCTION("""COMPUTED_VALUE"""),0.0)</f>
        <v>0</v>
      </c>
      <c r="B115" s="3">
        <f>IFERROR(__xludf.DUMMYFUNCTION("""COMPUTED_VALUE"""),0.10000000000000142)</f>
        <v>0.1</v>
      </c>
      <c r="C115" s="3">
        <f>IFERROR(__xludf.DUMMYFUNCTION("""COMPUTED_VALUE"""),0.3999999999999986)</f>
        <v>0.4</v>
      </c>
    </row>
    <row r="116">
      <c r="A116" s="3">
        <f>IFERROR(__xludf.DUMMYFUNCTION("""COMPUTED_VALUE"""),0.0)</f>
        <v>0</v>
      </c>
      <c r="B116" s="3">
        <f>IFERROR(__xludf.DUMMYFUNCTION("""COMPUTED_VALUE"""),0.10000000000000142)</f>
        <v>0.1</v>
      </c>
      <c r="C116" s="3">
        <f>IFERROR(__xludf.DUMMYFUNCTION("""COMPUTED_VALUE"""),0.5)</f>
        <v>0.5</v>
      </c>
    </row>
    <row r="117">
      <c r="A117" s="3">
        <f>IFERROR(__xludf.DUMMYFUNCTION("""COMPUTED_VALUE"""),-0.5999999999999943)</f>
        <v>-0.6</v>
      </c>
      <c r="B117" s="3">
        <f>IFERROR(__xludf.DUMMYFUNCTION("""COMPUTED_VALUE"""),0.09999999999999432)</f>
        <v>0.1</v>
      </c>
      <c r="C117" s="3">
        <f>IFERROR(__xludf.DUMMYFUNCTION("""COMPUTED_VALUE"""),0.6000000000000014)</f>
        <v>0.6</v>
      </c>
    </row>
    <row r="118">
      <c r="A118" s="3">
        <f>IFERROR(__xludf.DUMMYFUNCTION("""COMPUTED_VALUE"""),0.09999999999999432)</f>
        <v>0.1</v>
      </c>
      <c r="B118" s="3">
        <f>IFERROR(__xludf.DUMMYFUNCTION("""COMPUTED_VALUE"""),0.0)</f>
        <v>0</v>
      </c>
      <c r="C118" s="3">
        <f>IFERROR(__xludf.DUMMYFUNCTION("""COMPUTED_VALUE"""),0.29999999999999716)</f>
        <v>0.3</v>
      </c>
    </row>
    <row r="119">
      <c r="A119" s="3">
        <f>IFERROR(__xludf.DUMMYFUNCTION("""COMPUTED_VALUE"""),0.20000000000000284)</f>
        <v>0.2</v>
      </c>
      <c r="B119" s="3">
        <f>IFERROR(__xludf.DUMMYFUNCTION("""COMPUTED_VALUE"""),0.0)</f>
        <v>0</v>
      </c>
      <c r="C119" s="3">
        <f>IFERROR(__xludf.DUMMYFUNCTION("""COMPUTED_VALUE"""),0.20000000000000284)</f>
        <v>0.2</v>
      </c>
    </row>
    <row r="120">
      <c r="A120" s="3">
        <f>IFERROR(__xludf.DUMMYFUNCTION("""COMPUTED_VALUE"""),0.20000000000000284)</f>
        <v>0.2</v>
      </c>
      <c r="B120" s="3">
        <f>IFERROR(__xludf.DUMMYFUNCTION("""COMPUTED_VALUE"""),0.0)</f>
        <v>0</v>
      </c>
      <c r="C120" s="3">
        <f>IFERROR(__xludf.DUMMYFUNCTION("""COMPUTED_VALUE"""),0.10000000000000142)</f>
        <v>0.1</v>
      </c>
    </row>
    <row r="121">
      <c r="A121" s="3">
        <f>IFERROR(__xludf.DUMMYFUNCTION("""COMPUTED_VALUE"""),0.0)</f>
        <v>0</v>
      </c>
      <c r="B121" s="3">
        <f>IFERROR(__xludf.DUMMYFUNCTION("""COMPUTED_VALUE"""),-0.09999999999999432)</f>
        <v>-0.1</v>
      </c>
      <c r="C121" s="3">
        <f>IFERROR(__xludf.DUMMYFUNCTION("""COMPUTED_VALUE"""),0.0)</f>
        <v>0</v>
      </c>
    </row>
    <row r="122">
      <c r="A122" s="3">
        <f>IFERROR(__xludf.DUMMYFUNCTION("""COMPUTED_VALUE"""),0.0)</f>
        <v>0</v>
      </c>
      <c r="B122" s="3">
        <f>IFERROR(__xludf.DUMMYFUNCTION("""COMPUTED_VALUE"""),0.0)</f>
        <v>0</v>
      </c>
      <c r="C122" s="3">
        <f>IFERROR(__xludf.DUMMYFUNCTION("""COMPUTED_VALUE"""),0.0)</f>
        <v>0</v>
      </c>
    </row>
    <row r="123">
      <c r="A123" s="3">
        <f>IFERROR(__xludf.DUMMYFUNCTION("""COMPUTED_VALUE"""),0.0)</f>
        <v>0</v>
      </c>
      <c r="B123" s="3">
        <f>IFERROR(__xludf.DUMMYFUNCTION("""COMPUTED_VALUE"""),0.0)</f>
        <v>0</v>
      </c>
      <c r="C123" s="3">
        <f>IFERROR(__xludf.DUMMYFUNCTION("""COMPUTED_VALUE"""),0.0)</f>
        <v>0</v>
      </c>
    </row>
    <row r="124">
      <c r="A124" s="3">
        <f>IFERROR(__xludf.DUMMYFUNCTION("""COMPUTED_VALUE"""),0.0)</f>
        <v>0</v>
      </c>
      <c r="B124" s="3">
        <f>IFERROR(__xludf.DUMMYFUNCTION("""COMPUTED_VALUE"""),0.09999999999999432)</f>
        <v>0.1</v>
      </c>
      <c r="C124" s="3">
        <f>IFERROR(__xludf.DUMMYFUNCTION("""COMPUTED_VALUE"""),0.0)</f>
        <v>0</v>
      </c>
    </row>
    <row r="125">
      <c r="A125" s="3">
        <f>IFERROR(__xludf.DUMMYFUNCTION("""COMPUTED_VALUE"""),-0.10000000000000142)</f>
        <v>-0.1</v>
      </c>
      <c r="B125" s="3">
        <f>IFERROR(__xludf.DUMMYFUNCTION("""COMPUTED_VALUE"""),-0.09999999999999432)</f>
        <v>-0.1</v>
      </c>
      <c r="C125" s="3">
        <f>IFERROR(__xludf.DUMMYFUNCTION("""COMPUTED_VALUE"""),0.0)</f>
        <v>0</v>
      </c>
    </row>
    <row r="126">
      <c r="A126" s="3">
        <f>IFERROR(__xludf.DUMMYFUNCTION("""COMPUTED_VALUE"""),-0.5)</f>
        <v>-0.5</v>
      </c>
      <c r="B126" s="3">
        <f>IFERROR(__xludf.DUMMYFUNCTION("""COMPUTED_VALUE"""),0.0)</f>
        <v>0</v>
      </c>
      <c r="C126" s="3">
        <f>IFERROR(__xludf.DUMMYFUNCTION("""COMPUTED_VALUE"""),0.0)</f>
        <v>0</v>
      </c>
    </row>
    <row r="127">
      <c r="A127" s="3">
        <f>IFERROR(__xludf.DUMMYFUNCTION("""COMPUTED_VALUE"""),0.19999999999999574)</f>
        <v>0.2</v>
      </c>
      <c r="B127" s="3">
        <f>IFERROR(__xludf.DUMMYFUNCTION("""COMPUTED_VALUE"""),0.0)</f>
        <v>0</v>
      </c>
      <c r="C127" s="3">
        <f>IFERROR(__xludf.DUMMYFUNCTION("""COMPUTED_VALUE"""),-0.10000000000000142)</f>
        <v>-0.1</v>
      </c>
    </row>
    <row r="128">
      <c r="A128" s="3">
        <f>IFERROR(__xludf.DUMMYFUNCTION("""COMPUTED_VALUE"""),0.20000000000000284)</f>
        <v>0.2</v>
      </c>
      <c r="B128" s="3">
        <f>IFERROR(__xludf.DUMMYFUNCTION("""COMPUTED_VALUE"""),0.0)</f>
        <v>0</v>
      </c>
      <c r="C128" s="3">
        <f>IFERROR(__xludf.DUMMYFUNCTION("""COMPUTED_VALUE"""),0.0)</f>
        <v>0</v>
      </c>
    </row>
    <row r="129">
      <c r="A129" s="3">
        <f>IFERROR(__xludf.DUMMYFUNCTION("""COMPUTED_VALUE"""),0.0)</f>
        <v>0</v>
      </c>
      <c r="B129" s="3">
        <f>IFERROR(__xludf.DUMMYFUNCTION("""COMPUTED_VALUE"""),0.09999999999999432)</f>
        <v>0.1</v>
      </c>
      <c r="C129" s="3">
        <f>IFERROR(__xludf.DUMMYFUNCTION("""COMPUTED_VALUE"""),0.0)</f>
        <v>0</v>
      </c>
    </row>
    <row r="130">
      <c r="A130" s="3">
        <f>IFERROR(__xludf.DUMMYFUNCTION("""COMPUTED_VALUE"""),0.0)</f>
        <v>0</v>
      </c>
      <c r="B130" s="3">
        <f>IFERROR(__xludf.DUMMYFUNCTION("""COMPUTED_VALUE"""),0.0)</f>
        <v>0</v>
      </c>
      <c r="C130" s="3">
        <f>IFERROR(__xludf.DUMMYFUNCTION("""COMPUTED_VALUE"""),0.0)</f>
        <v>0</v>
      </c>
    </row>
    <row r="131">
      <c r="A131" s="3">
        <f>IFERROR(__xludf.DUMMYFUNCTION("""COMPUTED_VALUE"""),0.0)</f>
        <v>0</v>
      </c>
      <c r="B131" s="3">
        <f>IFERROR(__xludf.DUMMYFUNCTION("""COMPUTED_VALUE"""),0.10000000000000142)</f>
        <v>0.1</v>
      </c>
      <c r="C131" s="3">
        <f>IFERROR(__xludf.DUMMYFUNCTION("""COMPUTED_VALUE"""),-0.20000000000000284)</f>
        <v>-0.2</v>
      </c>
    </row>
    <row r="132">
      <c r="A132" s="3">
        <f>IFERROR(__xludf.DUMMYFUNCTION("""COMPUTED_VALUE"""),0.0)</f>
        <v>0</v>
      </c>
      <c r="B132" s="3">
        <f>IFERROR(__xludf.DUMMYFUNCTION("""COMPUTED_VALUE"""),-0.10000000000000142)</f>
        <v>-0.1</v>
      </c>
      <c r="C132" s="3">
        <f>IFERROR(__xludf.DUMMYFUNCTION("""COMPUTED_VALUE"""),0.10000000000000142)</f>
        <v>0.1</v>
      </c>
    </row>
    <row r="133">
      <c r="A133" s="3">
        <f>IFERROR(__xludf.DUMMYFUNCTION("""COMPUTED_VALUE"""),0.20000000000000284)</f>
        <v>0.2</v>
      </c>
      <c r="B133" s="3">
        <f>IFERROR(__xludf.DUMMYFUNCTION("""COMPUTED_VALUE"""),0.10000000000000142)</f>
        <v>0.1</v>
      </c>
      <c r="C133" s="3">
        <f>IFERROR(__xludf.DUMMYFUNCTION("""COMPUTED_VALUE"""),0.0)</f>
        <v>0</v>
      </c>
    </row>
    <row r="134">
      <c r="A134" s="3">
        <f>IFERROR(__xludf.DUMMYFUNCTION("""COMPUTED_VALUE"""),0.0)</f>
        <v>0</v>
      </c>
      <c r="B134" s="3">
        <f>IFERROR(__xludf.DUMMYFUNCTION("""COMPUTED_VALUE"""),0.0)</f>
        <v>0</v>
      </c>
      <c r="C134" s="3">
        <f>IFERROR(__xludf.DUMMYFUNCTION("""COMPUTED_VALUE"""),0.10000000000000142)</f>
        <v>0.1</v>
      </c>
    </row>
    <row r="135">
      <c r="A135" s="3">
        <f>IFERROR(__xludf.DUMMYFUNCTION("""COMPUTED_VALUE"""),0.09999999999999432)</f>
        <v>0.1</v>
      </c>
      <c r="B135" s="3">
        <f>IFERROR(__xludf.DUMMYFUNCTION("""COMPUTED_VALUE"""),0.0)</f>
        <v>0</v>
      </c>
      <c r="C135" s="3">
        <f>IFERROR(__xludf.DUMMYFUNCTION("""COMPUTED_VALUE"""),0.3999999999999986)</f>
        <v>0.4</v>
      </c>
    </row>
    <row r="136">
      <c r="A136" s="3">
        <f>IFERROR(__xludf.DUMMYFUNCTION("""COMPUTED_VALUE"""),0.10000000000000142)</f>
        <v>0.1</v>
      </c>
      <c r="B136" s="3">
        <f>IFERROR(__xludf.DUMMYFUNCTION("""COMPUTED_VALUE"""),-0.10000000000000142)</f>
        <v>-0.1</v>
      </c>
      <c r="C136" s="3">
        <f>IFERROR(__xludf.DUMMYFUNCTION("""COMPUTED_VALUE"""),0.3999999999999986)</f>
        <v>0.4</v>
      </c>
    </row>
    <row r="137">
      <c r="A137" s="3">
        <f>IFERROR(__xludf.DUMMYFUNCTION("""COMPUTED_VALUE"""),-0.19999999999999574)</f>
        <v>-0.2</v>
      </c>
      <c r="B137" s="3">
        <f>IFERROR(__xludf.DUMMYFUNCTION("""COMPUTED_VALUE"""),0.0)</f>
        <v>0</v>
      </c>
      <c r="C137" s="3">
        <f>IFERROR(__xludf.DUMMYFUNCTION("""COMPUTED_VALUE"""),0.30000000000000426)</f>
        <v>0.3</v>
      </c>
    </row>
    <row r="138">
      <c r="A138" s="3">
        <f>IFERROR(__xludf.DUMMYFUNCTION("""COMPUTED_VALUE"""),-0.10000000000000142)</f>
        <v>-0.1</v>
      </c>
      <c r="B138" s="3">
        <f>IFERROR(__xludf.DUMMYFUNCTION("""COMPUTED_VALUE"""),0.0)</f>
        <v>0</v>
      </c>
      <c r="C138" s="3">
        <f>IFERROR(__xludf.DUMMYFUNCTION("""COMPUTED_VALUE"""),0.0)</f>
        <v>0</v>
      </c>
    </row>
    <row r="139">
      <c r="A139" s="3">
        <f>IFERROR(__xludf.DUMMYFUNCTION("""COMPUTED_VALUE"""),0.10000000000000142)</f>
        <v>0.1</v>
      </c>
      <c r="B139" s="3">
        <f>IFERROR(__xludf.DUMMYFUNCTION("""COMPUTED_VALUE"""),0.10000000000000142)</f>
        <v>0.1</v>
      </c>
      <c r="C139" s="3">
        <f>IFERROR(__xludf.DUMMYFUNCTION("""COMPUTED_VALUE"""),0.0)</f>
        <v>0</v>
      </c>
    </row>
    <row r="140">
      <c r="A140" s="3">
        <f>IFERROR(__xludf.DUMMYFUNCTION("""COMPUTED_VALUE"""),0.0)</f>
        <v>0</v>
      </c>
      <c r="B140" s="3">
        <f>IFERROR(__xludf.DUMMYFUNCTION("""COMPUTED_VALUE"""),0.0)</f>
        <v>0</v>
      </c>
      <c r="C140" s="3">
        <f>IFERROR(__xludf.DUMMYFUNCTION("""COMPUTED_VALUE"""),-0.10000000000000142)</f>
        <v>-0.1</v>
      </c>
    </row>
    <row r="141">
      <c r="A141" s="3">
        <f>IFERROR(__xludf.DUMMYFUNCTION("""COMPUTED_VALUE"""),0.09999999999999432)</f>
        <v>0.1</v>
      </c>
      <c r="B141" s="3">
        <f>IFERROR(__xludf.DUMMYFUNCTION("""COMPUTED_VALUE"""),-0.19999999999999574)</f>
        <v>-0.2</v>
      </c>
      <c r="C141" s="3">
        <f>IFERROR(__xludf.DUMMYFUNCTION("""COMPUTED_VALUE"""),-0.10000000000000142)</f>
        <v>-0.1</v>
      </c>
    </row>
    <row r="142">
      <c r="A142" s="3">
        <f>IFERROR(__xludf.DUMMYFUNCTION("""COMPUTED_VALUE"""),-0.19999999999999574)</f>
        <v>-0.2</v>
      </c>
      <c r="B142" s="3">
        <f>IFERROR(__xludf.DUMMYFUNCTION("""COMPUTED_VALUE"""),0.0)</f>
        <v>0</v>
      </c>
      <c r="C142" s="3">
        <f>IFERROR(__xludf.DUMMYFUNCTION("""COMPUTED_VALUE"""),0.0)</f>
        <v>0</v>
      </c>
    </row>
    <row r="143">
      <c r="A143" s="3">
        <f>IFERROR(__xludf.DUMMYFUNCTION("""COMPUTED_VALUE"""),-0.10000000000000142)</f>
        <v>-0.1</v>
      </c>
      <c r="B143" s="3">
        <f>IFERROR(__xludf.DUMMYFUNCTION("""COMPUTED_VALUE"""),0.09999999999999432)</f>
        <v>0.1</v>
      </c>
      <c r="C143" s="3">
        <f>IFERROR(__xludf.DUMMYFUNCTION("""COMPUTED_VALUE"""),0.10000000000000142)</f>
        <v>0.1</v>
      </c>
    </row>
    <row r="144">
      <c r="A144" s="3">
        <f>IFERROR(__xludf.DUMMYFUNCTION("""COMPUTED_VALUE"""),0.0)</f>
        <v>0</v>
      </c>
      <c r="B144" s="3">
        <f>IFERROR(__xludf.DUMMYFUNCTION("""COMPUTED_VALUE"""),-0.09999999999999432)</f>
        <v>-0.1</v>
      </c>
      <c r="C144" s="3">
        <f>IFERROR(__xludf.DUMMYFUNCTION("""COMPUTED_VALUE"""),0.0)</f>
        <v>0</v>
      </c>
    </row>
    <row r="145">
      <c r="A145" s="3">
        <f>IFERROR(__xludf.DUMMYFUNCTION("""COMPUTED_VALUE"""),0.10000000000000142)</f>
        <v>0.1</v>
      </c>
      <c r="B145" s="3">
        <f>IFERROR(__xludf.DUMMYFUNCTION("""COMPUTED_VALUE"""),0.09999999999999432)</f>
        <v>0.1</v>
      </c>
      <c r="C145" s="3">
        <f>IFERROR(__xludf.DUMMYFUNCTION("""COMPUTED_VALUE"""),0.0)</f>
        <v>0</v>
      </c>
    </row>
    <row r="146">
      <c r="A146" s="3">
        <f>IFERROR(__xludf.DUMMYFUNCTION("""COMPUTED_VALUE"""),0.0)</f>
        <v>0</v>
      </c>
      <c r="B146" s="3">
        <f>IFERROR(__xludf.DUMMYFUNCTION("""COMPUTED_VALUE"""),0.0)</f>
        <v>0</v>
      </c>
      <c r="C146" s="3">
        <f>IFERROR(__xludf.DUMMYFUNCTION("""COMPUTED_VALUE"""),0.0)</f>
        <v>0</v>
      </c>
    </row>
    <row r="147">
      <c r="A147" s="3">
        <f>IFERROR(__xludf.DUMMYFUNCTION("""COMPUTED_VALUE"""),-0.30000000000000426)</f>
        <v>-0.3</v>
      </c>
      <c r="B147" s="3">
        <f>IFERROR(__xludf.DUMMYFUNCTION("""COMPUTED_VALUE"""),0.0)</f>
        <v>0</v>
      </c>
      <c r="C147" s="3">
        <f>IFERROR(__xludf.DUMMYFUNCTION("""COMPUTED_VALUE"""),0.0)</f>
        <v>0</v>
      </c>
    </row>
    <row r="148">
      <c r="A148" s="3">
        <f>IFERROR(__xludf.DUMMYFUNCTION("""COMPUTED_VALUE"""),0.10000000000000142)</f>
        <v>0.1</v>
      </c>
      <c r="B148" s="3">
        <f>IFERROR(__xludf.DUMMYFUNCTION("""COMPUTED_VALUE"""),-0.09999999999999432)</f>
        <v>-0.1</v>
      </c>
      <c r="C148" s="3">
        <f>IFERROR(__xludf.DUMMYFUNCTION("""COMPUTED_VALUE"""),0.0)</f>
        <v>0</v>
      </c>
    </row>
    <row r="149">
      <c r="A149" s="3">
        <f>IFERROR(__xludf.DUMMYFUNCTION("""COMPUTED_VALUE"""),0.10000000000000142)</f>
        <v>0.1</v>
      </c>
      <c r="B149" s="3">
        <f>IFERROR(__xludf.DUMMYFUNCTION("""COMPUTED_VALUE"""),-0.20000000000000284)</f>
        <v>-0.2</v>
      </c>
      <c r="C149" s="3">
        <f>IFERROR(__xludf.DUMMYFUNCTION("""COMPUTED_VALUE"""),-0.10000000000000142)</f>
        <v>-0.1</v>
      </c>
    </row>
    <row r="150">
      <c r="A150" s="3">
        <f>IFERROR(__xludf.DUMMYFUNCTION("""COMPUTED_VALUE"""),0.10000000000000142)</f>
        <v>0.1</v>
      </c>
      <c r="B150" s="3">
        <f>IFERROR(__xludf.DUMMYFUNCTION("""COMPUTED_VALUE"""),0.5)</f>
        <v>0.5</v>
      </c>
      <c r="C150" s="3">
        <f>IFERROR(__xludf.DUMMYFUNCTION("""COMPUTED_VALUE"""),0.0)</f>
        <v>0</v>
      </c>
    </row>
    <row r="151">
      <c r="A151" s="3">
        <f>IFERROR(__xludf.DUMMYFUNCTION("""COMPUTED_VALUE"""),-0.10000000000000142)</f>
        <v>-0.1</v>
      </c>
      <c r="B151" s="3">
        <f>IFERROR(__xludf.DUMMYFUNCTION("""COMPUTED_VALUE"""),5.5)</f>
        <v>5.5</v>
      </c>
      <c r="C151" s="3">
        <f>IFERROR(__xludf.DUMMYFUNCTION("""COMPUTED_VALUE"""),0.0)</f>
        <v>0</v>
      </c>
    </row>
    <row r="152">
      <c r="A152" s="3">
        <f>IFERROR(__xludf.DUMMYFUNCTION("""COMPUTED_VALUE"""),0.0)</f>
        <v>0</v>
      </c>
      <c r="B152" s="3">
        <f>IFERROR(__xludf.DUMMYFUNCTION("""COMPUTED_VALUE"""),-0.8999999999999986)</f>
        <v>-0.9</v>
      </c>
      <c r="C152" s="3">
        <f>IFERROR(__xludf.DUMMYFUNCTION("""COMPUTED_VALUE"""),0.0)</f>
        <v>0</v>
      </c>
    </row>
    <row r="153">
      <c r="A153" s="3">
        <f>IFERROR(__xludf.DUMMYFUNCTION("""COMPUTED_VALUE"""),0.10000000000000142)</f>
        <v>0.1</v>
      </c>
      <c r="B153" s="3">
        <f>IFERROR(__xludf.DUMMYFUNCTION("""COMPUTED_VALUE"""),-0.10000000000000142)</f>
        <v>-0.1</v>
      </c>
      <c r="C153" s="3">
        <f>IFERROR(__xludf.DUMMYFUNCTION("""COMPUTED_VALUE"""),-0.5)</f>
        <v>-0.5</v>
      </c>
    </row>
    <row r="154">
      <c r="A154" s="3">
        <f>IFERROR(__xludf.DUMMYFUNCTION("""COMPUTED_VALUE"""),0.0)</f>
        <v>0</v>
      </c>
      <c r="B154" s="3">
        <f>IFERROR(__xludf.DUMMYFUNCTION("""COMPUTED_VALUE"""),0.20000000000000284)</f>
        <v>0.2</v>
      </c>
      <c r="C154" s="3">
        <f>IFERROR(__xludf.DUMMYFUNCTION("""COMPUTED_VALUE"""),0.10000000000000142)</f>
        <v>0.1</v>
      </c>
    </row>
    <row r="155">
      <c r="A155" s="3">
        <f>IFERROR(__xludf.DUMMYFUNCTION("""COMPUTED_VALUE"""),0.0)</f>
        <v>0</v>
      </c>
      <c r="B155" s="3">
        <f>IFERROR(__xludf.DUMMYFUNCTION("""COMPUTED_VALUE"""),0.7999999999999972)</f>
        <v>0.8</v>
      </c>
      <c r="C155" s="3">
        <f>IFERROR(__xludf.DUMMYFUNCTION("""COMPUTED_VALUE"""),0.29999999999999716)</f>
        <v>0.3</v>
      </c>
    </row>
    <row r="156">
      <c r="A156" s="3">
        <f>IFERROR(__xludf.DUMMYFUNCTION("""COMPUTED_VALUE"""),1.6999999999999957)</f>
        <v>1.7</v>
      </c>
      <c r="B156" s="3">
        <f>IFERROR(__xludf.DUMMYFUNCTION("""COMPUTED_VALUE"""),1.1000000000000014)</f>
        <v>1.1</v>
      </c>
      <c r="C156" s="3">
        <f>IFERROR(__xludf.DUMMYFUNCTION("""COMPUTED_VALUE"""),0.10000000000000142)</f>
        <v>0.1</v>
      </c>
    </row>
    <row r="157">
      <c r="A157" s="3">
        <f>IFERROR(__xludf.DUMMYFUNCTION("""COMPUTED_VALUE"""),1.0)</f>
        <v>1</v>
      </c>
      <c r="B157" s="3">
        <f>IFERROR(__xludf.DUMMYFUNCTION("""COMPUTED_VALUE"""),4.499999999999993)</f>
        <v>4.5</v>
      </c>
      <c r="C157" s="3">
        <f>IFERROR(__xludf.DUMMYFUNCTION("""COMPUTED_VALUE"""),3.8000000000000043)</f>
        <v>3.8</v>
      </c>
    </row>
    <row r="158">
      <c r="A158" s="3">
        <f>IFERROR(__xludf.DUMMYFUNCTION("""COMPUTED_VALUE"""),0.10000000000000142)</f>
        <v>0.1</v>
      </c>
      <c r="B158" s="3">
        <f>IFERROR(__xludf.DUMMYFUNCTION("""COMPUTED_VALUE"""),3.5)</f>
        <v>3.5</v>
      </c>
      <c r="C158" s="3">
        <f>IFERROR(__xludf.DUMMYFUNCTION("""COMPUTED_VALUE"""),-1.3000000000000043)</f>
        <v>-1.3</v>
      </c>
    </row>
    <row r="159">
      <c r="A159" s="3">
        <f>IFERROR(__xludf.DUMMYFUNCTION("""COMPUTED_VALUE"""),0.8999999999999986)</f>
        <v>0.9</v>
      </c>
      <c r="B159" s="3">
        <f>IFERROR(__xludf.DUMMYFUNCTION("""COMPUTED_VALUE"""),-2.799999999999997)</f>
        <v>-2.8</v>
      </c>
      <c r="C159" s="3">
        <f>IFERROR(__xludf.DUMMYFUNCTION("""COMPUTED_VALUE"""),-0.6000000000000014)</f>
        <v>-0.6</v>
      </c>
    </row>
    <row r="160">
      <c r="A160" s="3">
        <f>IFERROR(__xludf.DUMMYFUNCTION("""COMPUTED_VALUE"""),3.8900000000000006)</f>
        <v>3.89</v>
      </c>
      <c r="B160" s="3">
        <f>IFERROR(__xludf.DUMMYFUNCTION("""COMPUTED_VALUE"""),-0.10999999999999943)</f>
        <v>-0.11</v>
      </c>
      <c r="C160" s="3">
        <f>IFERROR(__xludf.DUMMYFUNCTION("""COMPUTED_VALUE"""),0.30000000000000426)</f>
        <v>0.3</v>
      </c>
    </row>
    <row r="161">
      <c r="A161" s="3">
        <f>IFERROR(__xludf.DUMMYFUNCTION("""COMPUTED_VALUE"""),-1.4899999999999949)</f>
        <v>-1.49</v>
      </c>
      <c r="B161" s="3">
        <f>IFERROR(__xludf.DUMMYFUNCTION("""COMPUTED_VALUE"""),0.21000000000000796)</f>
        <v>0.21</v>
      </c>
      <c r="C161" s="3">
        <f>IFERROR(__xludf.DUMMYFUNCTION("""COMPUTED_VALUE"""),0.7999999999999972)</f>
        <v>0.8</v>
      </c>
    </row>
    <row r="162">
      <c r="A162" s="3">
        <f>IFERROR(__xludf.DUMMYFUNCTION("""COMPUTED_VALUE"""),-0.30000000000000426)</f>
        <v>-0.3</v>
      </c>
      <c r="B162" s="3">
        <f>IFERROR(__xludf.DUMMYFUNCTION("""COMPUTED_VALUE"""),0.6999999999999886)</f>
        <v>0.7</v>
      </c>
      <c r="C162" s="3">
        <f>IFERROR(__xludf.DUMMYFUNCTION("""COMPUTED_VALUE"""),0.8000000000000043)</f>
        <v>0.8</v>
      </c>
    </row>
    <row r="163">
      <c r="A163" s="3">
        <f>IFERROR(__xludf.DUMMYFUNCTION("""COMPUTED_VALUE"""),0.3999999999999986)</f>
        <v>0.4</v>
      </c>
      <c r="B163" s="3">
        <f>IFERROR(__xludf.DUMMYFUNCTION("""COMPUTED_VALUE"""),0.7000000000000028)</f>
        <v>0.7</v>
      </c>
      <c r="C163" s="3">
        <f>IFERROR(__xludf.DUMMYFUNCTION("""COMPUTED_VALUE"""),0.7999999999999972)</f>
        <v>0.8</v>
      </c>
    </row>
    <row r="164">
      <c r="A164" s="3">
        <f>IFERROR(__xludf.DUMMYFUNCTION("""COMPUTED_VALUE"""),0.9000000000000057)</f>
        <v>0.9</v>
      </c>
      <c r="B164" s="3">
        <f>IFERROR(__xludf.DUMMYFUNCTION("""COMPUTED_VALUE"""),1.2999999999999972)</f>
        <v>1.3</v>
      </c>
      <c r="C164" s="3">
        <f>IFERROR(__xludf.DUMMYFUNCTION("""COMPUTED_VALUE"""),0.8999999999999986)</f>
        <v>0.9</v>
      </c>
    </row>
    <row r="165">
      <c r="A165" s="3">
        <f>IFERROR(__xludf.DUMMYFUNCTION("""COMPUTED_VALUE"""),0.7000000000000028)</f>
        <v>0.7</v>
      </c>
      <c r="B165" s="3">
        <f>IFERROR(__xludf.DUMMYFUNCTION("""COMPUTED_VALUE"""),1.0)</f>
        <v>1</v>
      </c>
      <c r="C165" s="3">
        <f>IFERROR(__xludf.DUMMYFUNCTION("""COMPUTED_VALUE"""),1.6999999999999957)</f>
        <v>1.7</v>
      </c>
    </row>
    <row r="166">
      <c r="A166" s="3">
        <f>IFERROR(__xludf.DUMMYFUNCTION("""COMPUTED_VALUE"""),0.789999999999992)</f>
        <v>0.79</v>
      </c>
      <c r="B166" s="3">
        <f>IFERROR(__xludf.DUMMYFUNCTION("""COMPUTED_VALUE"""),1.0)</f>
        <v>1</v>
      </c>
      <c r="C166" s="3">
        <f>IFERROR(__xludf.DUMMYFUNCTION("""COMPUTED_VALUE"""),0.5900000000000034)</f>
        <v>0.59</v>
      </c>
    </row>
    <row r="167">
      <c r="A167" s="3">
        <f>IFERROR(__xludf.DUMMYFUNCTION("""COMPUTED_VALUE"""),0.3100000000000023)</f>
        <v>0.31</v>
      </c>
      <c r="B167" s="3">
        <f>IFERROR(__xludf.DUMMYFUNCTION("""COMPUTED_VALUE"""),0.5900000000000034)</f>
        <v>0.59</v>
      </c>
      <c r="C167" s="3">
        <f>IFERROR(__xludf.DUMMYFUNCTION("""COMPUTED_VALUE"""),0.5)</f>
        <v>0.5</v>
      </c>
    </row>
    <row r="168">
      <c r="A168" s="3">
        <f>IFERROR(__xludf.DUMMYFUNCTION("""COMPUTED_VALUE"""),0.9000000000000057)</f>
        <v>0.9</v>
      </c>
      <c r="B168" s="3">
        <f>IFERROR(__xludf.DUMMYFUNCTION("""COMPUTED_VALUE"""),0.6099999999999994)</f>
        <v>0.61</v>
      </c>
      <c r="C168" s="3">
        <f>IFERROR(__xludf.DUMMYFUNCTION("""COMPUTED_VALUE"""),2.5)</f>
        <v>2.5</v>
      </c>
    </row>
    <row r="169">
      <c r="A169" s="3">
        <f>IFERROR(__xludf.DUMMYFUNCTION("""COMPUTED_VALUE"""),0.5)</f>
        <v>0.5</v>
      </c>
      <c r="B169" s="3">
        <f>IFERROR(__xludf.DUMMYFUNCTION("""COMPUTED_VALUE"""),0.5)</f>
        <v>0.5</v>
      </c>
      <c r="C169" s="3">
        <f>IFERROR(__xludf.DUMMYFUNCTION("""COMPUTED_VALUE"""),0.0)</f>
        <v>0</v>
      </c>
    </row>
    <row r="170">
      <c r="A170" s="3">
        <f>IFERROR(__xludf.DUMMYFUNCTION("""COMPUTED_VALUE"""),0.5999999999999943)</f>
        <v>0.6</v>
      </c>
      <c r="B170" s="3">
        <f>IFERROR(__xludf.DUMMYFUNCTION("""COMPUTED_VALUE"""),0.39000000000000057)</f>
        <v>0.39</v>
      </c>
      <c r="C170" s="3">
        <f>IFERROR(__xludf.DUMMYFUNCTION("""COMPUTED_VALUE"""),0.8100000000000023)</f>
        <v>0.81</v>
      </c>
    </row>
    <row r="171">
      <c r="A171" s="3">
        <f>IFERROR(__xludf.DUMMYFUNCTION("""COMPUTED_VALUE"""),0.5999999999999943)</f>
        <v>0.6</v>
      </c>
      <c r="B171" s="3">
        <f>IFERROR(__xludf.DUMMYFUNCTION("""COMPUTED_VALUE"""),0.710000000000008)</f>
        <v>0.71</v>
      </c>
      <c r="C171" s="3">
        <f>IFERROR(__xludf.DUMMYFUNCTION("""COMPUTED_VALUE"""),0.18999999999999773)</f>
        <v>0.19</v>
      </c>
    </row>
    <row r="172">
      <c r="A172" s="3">
        <f>IFERROR(__xludf.DUMMYFUNCTION("""COMPUTED_VALUE"""),0.9000000000000057)</f>
        <v>0.9</v>
      </c>
      <c r="B172" s="3">
        <f>IFERROR(__xludf.DUMMYFUNCTION("""COMPUTED_VALUE"""),1.0)</f>
        <v>1</v>
      </c>
      <c r="C172" s="3">
        <f>IFERROR(__xludf.DUMMYFUNCTION("""COMPUTED_VALUE"""),0.21000000000000796)</f>
        <v>0.21</v>
      </c>
    </row>
    <row r="173">
      <c r="A173" s="3">
        <f>IFERROR(__xludf.DUMMYFUNCTION("""COMPUTED_VALUE"""),0.7999999999999972)</f>
        <v>0.8</v>
      </c>
      <c r="B173" s="3">
        <f>IFERROR(__xludf.DUMMYFUNCTION("""COMPUTED_VALUE"""),1.6999999999999886)</f>
        <v>1.7</v>
      </c>
      <c r="C173" s="3">
        <f>IFERROR(__xludf.DUMMYFUNCTION("""COMPUTED_VALUE"""),0.6999999999999886)</f>
        <v>0.7</v>
      </c>
    </row>
    <row r="174">
      <c r="A174" s="3">
        <f>IFERROR(__xludf.DUMMYFUNCTION("""COMPUTED_VALUE"""),1.0)</f>
        <v>1</v>
      </c>
      <c r="B174" s="3">
        <f>IFERROR(__xludf.DUMMYFUNCTION("""COMPUTED_VALUE"""),0.0)</f>
        <v>0</v>
      </c>
      <c r="C174" s="3">
        <f>IFERROR(__xludf.DUMMYFUNCTION("""COMPUTED_VALUE"""),0.5900000000000034)</f>
        <v>0.59</v>
      </c>
    </row>
    <row r="175">
      <c r="A175" s="3">
        <f>IFERROR(__xludf.DUMMYFUNCTION("""COMPUTED_VALUE"""),0.5)</f>
        <v>0.5</v>
      </c>
      <c r="B175" s="3">
        <f>IFERROR(__xludf.DUMMYFUNCTION("""COMPUTED_VALUE"""),0.20000000000000284)</f>
        <v>0.2</v>
      </c>
      <c r="C175" s="3">
        <f>IFERROR(__xludf.DUMMYFUNCTION("""COMPUTED_VALUE"""),2.6099999999999994)</f>
        <v>2.61</v>
      </c>
    </row>
    <row r="176">
      <c r="A176" s="3">
        <f>IFERROR(__xludf.DUMMYFUNCTION("""COMPUTED_VALUE"""),0.39000000000000057)</f>
        <v>0.39</v>
      </c>
      <c r="B176" s="3">
        <f>IFERROR(__xludf.DUMMYFUNCTION("""COMPUTED_VALUE"""),0.6000000000000085)</f>
        <v>0.6</v>
      </c>
      <c r="C176" s="3">
        <f>IFERROR(__xludf.DUMMYFUNCTION("""COMPUTED_VALUE"""),0.39000000000000057)</f>
        <v>0.39</v>
      </c>
    </row>
    <row r="177">
      <c r="A177" s="3">
        <f>IFERROR(__xludf.DUMMYFUNCTION("""COMPUTED_VALUE"""),0.9099999999999966)</f>
        <v>0.91</v>
      </c>
      <c r="B177" s="3">
        <f>IFERROR(__xludf.DUMMYFUNCTION("""COMPUTED_VALUE"""),0.5)</f>
        <v>0.5</v>
      </c>
      <c r="C177" s="3">
        <f>IFERROR(__xludf.DUMMYFUNCTION("""COMPUTED_VALUE"""),2.0)</f>
        <v>2</v>
      </c>
    </row>
    <row r="178">
      <c r="A178" s="3">
        <f>IFERROR(__xludf.DUMMYFUNCTION("""COMPUTED_VALUE"""),0.4000000000000057)</f>
        <v>0.4</v>
      </c>
      <c r="B178" s="3">
        <f>IFERROR(__xludf.DUMMYFUNCTION("""COMPUTED_VALUE"""),0.3999999999999915)</f>
        <v>0.4</v>
      </c>
      <c r="C178" s="3">
        <f>IFERROR(__xludf.DUMMYFUNCTION("""COMPUTED_VALUE"""),-0.09000000000000341)</f>
        <v>-0.09</v>
      </c>
    </row>
    <row r="179">
      <c r="A179" s="3">
        <f>IFERROR(__xludf.DUMMYFUNCTION("""COMPUTED_VALUE"""),0.5999999999999943)</f>
        <v>0.6</v>
      </c>
      <c r="B179" s="3">
        <f>IFERROR(__xludf.DUMMYFUNCTION("""COMPUTED_VALUE"""),0.39000000000000057)</f>
        <v>0.39</v>
      </c>
      <c r="C179" s="3">
        <f>IFERROR(__xludf.DUMMYFUNCTION("""COMPUTED_VALUE"""),-0.29999999999999716)</f>
        <v>-0.3</v>
      </c>
    </row>
    <row r="180">
      <c r="A180" s="3">
        <f>IFERROR(__xludf.DUMMYFUNCTION("""COMPUTED_VALUE"""),1.8000000000000114)</f>
        <v>1.8</v>
      </c>
      <c r="B180" s="3">
        <f>IFERROR(__xludf.DUMMYFUNCTION("""COMPUTED_VALUE"""),0.8100000000000023)</f>
        <v>0.81</v>
      </c>
      <c r="C180" s="3">
        <f>IFERROR(__xludf.DUMMYFUNCTION("""COMPUTED_VALUE"""),0.0)</f>
        <v>0</v>
      </c>
    </row>
    <row r="181">
      <c r="A181" s="3">
        <f>IFERROR(__xludf.DUMMYFUNCTION("""COMPUTED_VALUE"""),0.19999999999998863)</f>
        <v>0.2</v>
      </c>
      <c r="B181" s="3">
        <f>IFERROR(__xludf.DUMMYFUNCTION("""COMPUTED_VALUE"""),1.5999999999999943)</f>
        <v>1.6</v>
      </c>
      <c r="C181" s="3">
        <f>IFERROR(__xludf.DUMMYFUNCTION("""COMPUTED_VALUE"""),0.39000000000000057)</f>
        <v>0.39</v>
      </c>
    </row>
    <row r="182">
      <c r="A182" s="3">
        <f>IFERROR(__xludf.DUMMYFUNCTION("""COMPUTED_VALUE"""),0.5900000000000034)</f>
        <v>0.59</v>
      </c>
      <c r="B182" s="3">
        <f>IFERROR(__xludf.DUMMYFUNCTION("""COMPUTED_VALUE"""),1.2000000000000028)</f>
        <v>1.2</v>
      </c>
      <c r="C182" s="3">
        <f>IFERROR(__xludf.DUMMYFUNCTION("""COMPUTED_VALUE"""),0.710000000000008)</f>
        <v>0.71</v>
      </c>
    </row>
    <row r="183">
      <c r="A183" s="3">
        <f>IFERROR(__xludf.DUMMYFUNCTION("""COMPUTED_VALUE"""),0.710000000000008)</f>
        <v>0.71</v>
      </c>
      <c r="B183" s="3">
        <f>IFERROR(__xludf.DUMMYFUNCTION("""COMPUTED_VALUE"""),-0.09999999999999432)</f>
        <v>-0.1</v>
      </c>
      <c r="C183" s="3">
        <f>IFERROR(__xludf.DUMMYFUNCTION("""COMPUTED_VALUE"""),1.0)</f>
        <v>1</v>
      </c>
    </row>
    <row r="184">
      <c r="A184" s="3">
        <f>IFERROR(__xludf.DUMMYFUNCTION("""COMPUTED_VALUE"""),0.6999999999999886)</f>
        <v>0.7</v>
      </c>
      <c r="B184" s="3">
        <f>IFERROR(__xludf.DUMMYFUNCTION("""COMPUTED_VALUE"""),0.09999999999999432)</f>
        <v>0.1</v>
      </c>
      <c r="C184" s="3">
        <f>IFERROR(__xludf.DUMMYFUNCTION("""COMPUTED_VALUE"""),0.8999999999999915)</f>
        <v>0.9</v>
      </c>
    </row>
    <row r="185">
      <c r="A185" s="3">
        <f>IFERROR(__xludf.DUMMYFUNCTION("""COMPUTED_VALUE"""),2.5)</f>
        <v>2.5</v>
      </c>
      <c r="B185" s="3">
        <f>IFERROR(__xludf.DUMMYFUNCTION("""COMPUTED_VALUE"""),0.4000000000000057)</f>
        <v>0.4</v>
      </c>
      <c r="C185" s="3">
        <f>IFERROR(__xludf.DUMMYFUNCTION("""COMPUTED_VALUE"""),-0.6099999999999994)</f>
        <v>-0.61</v>
      </c>
    </row>
    <row r="186">
      <c r="A186" s="3">
        <f>IFERROR(__xludf.DUMMYFUNCTION("""COMPUTED_VALUE"""),2.4000000000000057)</f>
        <v>2.4</v>
      </c>
      <c r="B186" s="3">
        <f>IFERROR(__xludf.DUMMYFUNCTION("""COMPUTED_VALUE"""),0.5999999999999943)</f>
        <v>0.6</v>
      </c>
      <c r="C186" s="3">
        <f>IFERROR(__xludf.DUMMYFUNCTION("""COMPUTED_VALUE"""),2.5)</f>
        <v>2.5</v>
      </c>
    </row>
    <row r="187">
      <c r="A187" s="3">
        <f>IFERROR(__xludf.DUMMYFUNCTION("""COMPUTED_VALUE"""),-0.5)</f>
        <v>-0.5</v>
      </c>
      <c r="B187" s="3">
        <f>IFERROR(__xludf.DUMMYFUNCTION("""COMPUTED_VALUE"""),0.5)</f>
        <v>0.5</v>
      </c>
      <c r="C187" s="3">
        <f>IFERROR(__xludf.DUMMYFUNCTION("""COMPUTED_VALUE"""),0.21000000000000796)</f>
        <v>0.21</v>
      </c>
    </row>
    <row r="188">
      <c r="A188" s="3">
        <f>IFERROR(__xludf.DUMMYFUNCTION("""COMPUTED_VALUE"""),0.20000000000000284)</f>
        <v>0.2</v>
      </c>
      <c r="B188" s="3">
        <f>IFERROR(__xludf.DUMMYFUNCTION("""COMPUTED_VALUE"""),0.6000000000000085)</f>
        <v>0.6</v>
      </c>
      <c r="C188" s="3">
        <f>IFERROR(__xludf.DUMMYFUNCTION("""COMPUTED_VALUE"""),0.6999999999999886)</f>
        <v>0.7</v>
      </c>
    </row>
    <row r="189">
      <c r="A189" s="3">
        <f>IFERROR(__xludf.DUMMYFUNCTION("""COMPUTED_VALUE"""),0.3999999999999915)</f>
        <v>0.4</v>
      </c>
      <c r="B189" s="3">
        <f>IFERROR(__xludf.DUMMYFUNCTION("""COMPUTED_VALUE"""),0.5999999999999943)</f>
        <v>0.6</v>
      </c>
      <c r="C189" s="3">
        <f>IFERROR(__xludf.DUMMYFUNCTION("""COMPUTED_VALUE"""),0.9000000000000057)</f>
        <v>0.9</v>
      </c>
    </row>
    <row r="190">
      <c r="A190" s="3">
        <f>IFERROR(__xludf.DUMMYFUNCTION("""COMPUTED_VALUE"""),0.7000000000000028)</f>
        <v>0.7</v>
      </c>
      <c r="B190" s="3">
        <f>IFERROR(__xludf.DUMMYFUNCTION("""COMPUTED_VALUE"""),0.5)</f>
        <v>0.5</v>
      </c>
      <c r="C190" s="3">
        <f>IFERROR(__xludf.DUMMYFUNCTION("""COMPUTED_VALUE"""),0.7999999999999972)</f>
        <v>0.8</v>
      </c>
    </row>
    <row r="191">
      <c r="A191" s="3">
        <f>IFERROR(__xludf.DUMMYFUNCTION("""COMPUTED_VALUE"""),0.6000000000000085)</f>
        <v>0.6</v>
      </c>
      <c r="B191" s="3">
        <f>IFERROR(__xludf.DUMMYFUNCTION("""COMPUTED_VALUE"""),1.5)</f>
        <v>1.5</v>
      </c>
      <c r="C191" s="3">
        <f>IFERROR(__xludf.DUMMYFUNCTION("""COMPUTED_VALUE"""),0.7999999999999972)</f>
        <v>0.8</v>
      </c>
    </row>
    <row r="192">
      <c r="A192" s="3">
        <f>IFERROR(__xludf.DUMMYFUNCTION("""COMPUTED_VALUE"""),0.6999999999999886)</f>
        <v>0.7</v>
      </c>
      <c r="B192" s="3">
        <f>IFERROR(__xludf.DUMMYFUNCTION("""COMPUTED_VALUE"""),0.20000000000000284)</f>
        <v>0.2</v>
      </c>
      <c r="C192" s="3">
        <f>IFERROR(__xludf.DUMMYFUNCTION("""COMPUTED_VALUE"""),0.9000000000000057)</f>
        <v>0.9</v>
      </c>
    </row>
    <row r="193">
      <c r="A193" s="3">
        <f>IFERROR(__xludf.DUMMYFUNCTION("""COMPUTED_VALUE"""),2.0)</f>
        <v>2</v>
      </c>
      <c r="B193" s="3">
        <f>IFERROR(__xludf.DUMMYFUNCTION("""COMPUTED_VALUE"""),0.3999999999999915)</f>
        <v>0.4</v>
      </c>
      <c r="C193" s="3">
        <f>IFERROR(__xludf.DUMMYFUNCTION("""COMPUTED_VALUE"""),0.29999999999999716)</f>
        <v>0.3</v>
      </c>
    </row>
    <row r="194">
      <c r="A194" s="3">
        <f>IFERROR(__xludf.DUMMYFUNCTION("""COMPUTED_VALUE"""),0.30000000000001137)</f>
        <v>0.3</v>
      </c>
      <c r="B194" s="3">
        <f>IFERROR(__xludf.DUMMYFUNCTION("""COMPUTED_VALUE"""),0.6000000000000085)</f>
        <v>0.6</v>
      </c>
      <c r="C194" s="3">
        <f>IFERROR(__xludf.DUMMYFUNCTION("""COMPUTED_VALUE"""),0.7000000000000028)</f>
        <v>0.7</v>
      </c>
    </row>
    <row r="195">
      <c r="A195" s="3">
        <f>IFERROR(__xludf.DUMMYFUNCTION("""COMPUTED_VALUE"""),0.3999999999999915)</f>
        <v>0.4</v>
      </c>
      <c r="B195" s="3">
        <f>IFERROR(__xludf.DUMMYFUNCTION("""COMPUTED_VALUE"""),0.7000000000000028)</f>
        <v>0.7</v>
      </c>
      <c r="C195" s="3">
        <f>IFERROR(__xludf.DUMMYFUNCTION("""COMPUTED_VALUE"""),0.9000000000000057)</f>
        <v>0.9</v>
      </c>
    </row>
    <row r="196">
      <c r="A196" s="3">
        <f>IFERROR(__xludf.DUMMYFUNCTION("""COMPUTED_VALUE"""),0.7999999999999972)</f>
        <v>0.8</v>
      </c>
      <c r="B196" s="3">
        <f>IFERROR(__xludf.DUMMYFUNCTION("""COMPUTED_VALUE"""),0.6999999999999886)</f>
        <v>0.7</v>
      </c>
      <c r="C196" s="3">
        <f>IFERROR(__xludf.DUMMYFUNCTION("""COMPUTED_VALUE"""),1.0)</f>
        <v>1</v>
      </c>
    </row>
    <row r="197">
      <c r="A197" s="3">
        <f>IFERROR(__xludf.DUMMYFUNCTION("""COMPUTED_VALUE"""),0.6000000000000085)</f>
        <v>0.6</v>
      </c>
      <c r="B197" s="3">
        <f>IFERROR(__xludf.DUMMYFUNCTION("""COMPUTED_VALUE"""),2.3000000000000114)</f>
        <v>2.3</v>
      </c>
      <c r="C197" s="3">
        <f>IFERROR(__xludf.DUMMYFUNCTION("""COMPUTED_VALUE"""),1.5999999999999943)</f>
        <v>1.6</v>
      </c>
    </row>
    <row r="198">
      <c r="A198" s="3">
        <f>IFERROR(__xludf.DUMMYFUNCTION("""COMPUTED_VALUE"""),0.8999999999999915)</f>
        <v>0.9</v>
      </c>
      <c r="B198" s="3">
        <f>IFERROR(__xludf.DUMMYFUNCTION("""COMPUTED_VALUE"""),-0.20000000000000284)</f>
        <v>-0.2</v>
      </c>
      <c r="C198" s="3">
        <f>IFERROR(__xludf.DUMMYFUNCTION("""COMPUTED_VALUE"""),1.0999999999999943)</f>
        <v>1.1</v>
      </c>
    </row>
    <row r="199">
      <c r="A199" s="3">
        <f>IFERROR(__xludf.DUMMYFUNCTION("""COMPUTED_VALUE"""),0.9000000000000057)</f>
        <v>0.9</v>
      </c>
      <c r="B199" s="3">
        <f>IFERROR(__xludf.DUMMYFUNCTION("""COMPUTED_VALUE"""),0.29999999999999716)</f>
        <v>0.3</v>
      </c>
      <c r="C199" s="3">
        <f>IFERROR(__xludf.DUMMYFUNCTION("""COMPUTED_VALUE"""),0.8000000000000114)</f>
        <v>0.8</v>
      </c>
    </row>
    <row r="200">
      <c r="A200" s="3">
        <f>IFERROR(__xludf.DUMMYFUNCTION("""COMPUTED_VALUE"""),1.2000000000000028)</f>
        <v>1.2</v>
      </c>
      <c r="B200" s="3">
        <f>IFERROR(__xludf.DUMMYFUNCTION("""COMPUTED_VALUE"""),0.5)</f>
        <v>0.5</v>
      </c>
      <c r="C200" s="3">
        <f>IFERROR(__xludf.DUMMYFUNCTION("""COMPUTED_VALUE"""),1.5)</f>
        <v>1.5</v>
      </c>
    </row>
    <row r="201">
      <c r="A201" s="3">
        <f>IFERROR(__xludf.DUMMYFUNCTION("""COMPUTED_VALUE"""),3.3999999999999915)</f>
        <v>3.4</v>
      </c>
      <c r="B201" s="3">
        <f>IFERROR(__xludf.DUMMYFUNCTION("""COMPUTED_VALUE"""),0.5999999999999943)</f>
        <v>0.6</v>
      </c>
      <c r="C201" s="3">
        <f>IFERROR(__xludf.DUMMYFUNCTION("""COMPUTED_VALUE"""),0.19999999999998863)</f>
        <v>0.2</v>
      </c>
    </row>
    <row r="202">
      <c r="A202" s="3">
        <f>IFERROR(__xludf.DUMMYFUNCTION("""COMPUTED_VALUE"""),-1.8999999999999915)</f>
        <v>-1.9</v>
      </c>
      <c r="B202" s="3">
        <f>IFERROR(__xludf.DUMMYFUNCTION("""COMPUTED_VALUE"""),0.5)</f>
        <v>0.5</v>
      </c>
      <c r="C202" s="3">
        <f>IFERROR(__xludf.DUMMYFUNCTION("""COMPUTED_VALUE"""),0.4000000000000057)</f>
        <v>0.4</v>
      </c>
    </row>
    <row r="203">
      <c r="A203" s="3">
        <f>IFERROR(__xludf.DUMMYFUNCTION("""COMPUTED_VALUE"""),0.5999999999999943)</f>
        <v>0.6</v>
      </c>
      <c r="B203" s="3">
        <f>IFERROR(__xludf.DUMMYFUNCTION("""COMPUTED_VALUE"""),0.5)</f>
        <v>0.5</v>
      </c>
      <c r="C203" s="3">
        <f>IFERROR(__xludf.DUMMYFUNCTION("""COMPUTED_VALUE"""),1.2999999999999972)</f>
        <v>1.3</v>
      </c>
    </row>
    <row r="204">
      <c r="A204" s="3">
        <f>IFERROR(__xludf.DUMMYFUNCTION("""COMPUTED_VALUE"""),0.7000000000000028)</f>
        <v>0.7</v>
      </c>
      <c r="B204" s="3">
        <f>IFERROR(__xludf.DUMMYFUNCTION("""COMPUTED_VALUE"""),0.5)</f>
        <v>0.5</v>
      </c>
      <c r="C204" s="3">
        <f>IFERROR(__xludf.DUMMYFUNCTION("""COMPUTED_VALUE"""),1.0)</f>
        <v>1</v>
      </c>
    </row>
    <row r="205">
      <c r="A205" s="3">
        <f>IFERROR(__xludf.DUMMYFUNCTION("""COMPUTED_VALUE"""),0.5999999999999943)</f>
        <v>0.6</v>
      </c>
      <c r="B205" s="3">
        <f>IFERROR(__xludf.DUMMYFUNCTION("""COMPUTED_VALUE"""),0.8000000000000114)</f>
        <v>0.8</v>
      </c>
      <c r="C205" s="3">
        <f>IFERROR(__xludf.DUMMYFUNCTION("""COMPUTED_VALUE"""),0.7999999999999972)</f>
        <v>0.8</v>
      </c>
    </row>
    <row r="206">
      <c r="A206" s="3">
        <f>IFERROR(__xludf.DUMMYFUNCTION("""COMPUTED_VALUE"""),0.6000000000000085)</f>
        <v>0.6</v>
      </c>
      <c r="B206" s="3">
        <f>IFERROR(__xludf.DUMMYFUNCTION("""COMPUTED_VALUE"""),0.3999999999999915)</f>
        <v>0.4</v>
      </c>
      <c r="C206" s="3">
        <f>IFERROR(__xludf.DUMMYFUNCTION("""COMPUTED_VALUE"""),0.8000000000000114)</f>
        <v>0.8</v>
      </c>
    </row>
    <row r="207">
      <c r="A207" s="3">
        <f>IFERROR(__xludf.DUMMYFUNCTION("""COMPUTED_VALUE"""),0.5)</f>
        <v>0.5</v>
      </c>
      <c r="B207" s="3">
        <f>IFERROR(__xludf.DUMMYFUNCTION("""COMPUTED_VALUE"""),1.0)</f>
        <v>1</v>
      </c>
      <c r="C207" s="3">
        <f>IFERROR(__xludf.DUMMYFUNCTION("""COMPUTED_VALUE"""),1.5)</f>
        <v>1.5</v>
      </c>
    </row>
    <row r="208">
      <c r="A208" s="3">
        <f>IFERROR(__xludf.DUMMYFUNCTION("""COMPUTED_VALUE"""),0.3999999999999915)</f>
        <v>0.4</v>
      </c>
      <c r="B208" s="3">
        <f>IFERROR(__xludf.DUMMYFUNCTION("""COMPUTED_VALUE"""),0.4000000000000057)</f>
        <v>0.4</v>
      </c>
      <c r="C208" s="3">
        <f>IFERROR(__xludf.DUMMYFUNCTION("""COMPUTED_VALUE"""),0.7999999999999972)</f>
        <v>0.8</v>
      </c>
    </row>
    <row r="209">
      <c r="A209" s="3">
        <f>IFERROR(__xludf.DUMMYFUNCTION("""COMPUTED_VALUE"""),-0.3999999999999915)</f>
        <v>-0.4</v>
      </c>
      <c r="B209" s="3">
        <f>IFERROR(__xludf.DUMMYFUNCTION("""COMPUTED_VALUE"""),0.29999999999999716)</f>
        <v>0.3</v>
      </c>
      <c r="C209" s="3">
        <f>IFERROR(__xludf.DUMMYFUNCTION("""COMPUTED_VALUE"""),0.5999999999999943)</f>
        <v>0.6</v>
      </c>
    </row>
    <row r="210">
      <c r="A210" s="3">
        <f>IFERROR(__xludf.DUMMYFUNCTION("""COMPUTED_VALUE"""),-66.80000000000001)</f>
        <v>-66.8</v>
      </c>
      <c r="B210" s="3">
        <f>IFERROR(__xludf.DUMMYFUNCTION("""COMPUTED_VALUE"""),0.5)</f>
        <v>0.5</v>
      </c>
      <c r="C210" s="3">
        <f>IFERROR(__xludf.DUMMYFUNCTION("""COMPUTED_VALUE"""),0.7999999999999972)</f>
        <v>0.8</v>
      </c>
    </row>
    <row r="211">
      <c r="A211" s="3">
        <f>IFERROR(__xludf.DUMMYFUNCTION("""COMPUTED_VALUE"""),7.300000000000004)</f>
        <v>7.3</v>
      </c>
      <c r="B211" s="3">
        <f>IFERROR(__xludf.DUMMYFUNCTION("""COMPUTED_VALUE"""),0.29999999999999716)</f>
        <v>0.3</v>
      </c>
      <c r="C211" s="3">
        <f>IFERROR(__xludf.DUMMYFUNCTION("""COMPUTED_VALUE"""),0.6000000000000085)</f>
        <v>0.6</v>
      </c>
    </row>
    <row r="212">
      <c r="A212" s="3">
        <f>IFERROR(__xludf.DUMMYFUNCTION("""COMPUTED_VALUE"""),-8.300000000000004)</f>
        <v>-8.3</v>
      </c>
      <c r="B212" s="3">
        <f>IFERROR(__xludf.DUMMYFUNCTION("""COMPUTED_VALUE"""),0.5)</f>
        <v>0.5</v>
      </c>
      <c r="C212" s="3">
        <f>IFERROR(__xludf.DUMMYFUNCTION("""COMPUTED_VALUE"""),0.8999999999999915)</f>
        <v>0.9</v>
      </c>
    </row>
    <row r="213">
      <c r="A213" s="3">
        <f>IFERROR(__xludf.DUMMYFUNCTION("""COMPUTED_VALUE"""),-44.9)</f>
        <v>-44.9</v>
      </c>
      <c r="B213" s="3">
        <f>IFERROR(__xludf.DUMMYFUNCTION("""COMPUTED_VALUE"""),0.9000000000000057)</f>
        <v>0.9</v>
      </c>
      <c r="C213" s="3">
        <f>IFERROR(__xludf.DUMMYFUNCTION("""COMPUTED_VALUE"""),1.8000000000000114)</f>
        <v>1.8</v>
      </c>
    </row>
    <row r="214">
      <c r="A214" s="3">
        <f>IFERROR(__xludf.DUMMYFUNCTION("""COMPUTED_VALUE"""),241.8)</f>
        <v>241.8</v>
      </c>
      <c r="B214" s="3">
        <f>IFERROR(__xludf.DUMMYFUNCTION("""COMPUTED_VALUE"""),0.20000000000000284)</f>
        <v>0.2</v>
      </c>
      <c r="C214" s="3">
        <f>IFERROR(__xludf.DUMMYFUNCTION("""COMPUTED_VALUE"""),2.0)</f>
        <v>2</v>
      </c>
    </row>
    <row r="215">
      <c r="A215" s="3">
        <f>IFERROR(__xludf.DUMMYFUNCTION("""COMPUTED_VALUE"""),-116.50000000000001)</f>
        <v>-116.5</v>
      </c>
      <c r="B215" s="3">
        <f>IFERROR(__xludf.DUMMYFUNCTION("""COMPUTED_VALUE"""),1.0)</f>
        <v>1</v>
      </c>
      <c r="C215" s="3">
        <f>IFERROR(__xludf.DUMMYFUNCTION("""COMPUTED_VALUE"""),-0.4000000000000057)</f>
        <v>-0.4</v>
      </c>
    </row>
    <row r="216">
      <c r="A216" s="3">
        <f>IFERROR(__xludf.DUMMYFUNCTION("""COMPUTED_VALUE"""),-11.0)</f>
        <v>-11</v>
      </c>
      <c r="B216" s="3">
        <f>IFERROR(__xludf.DUMMYFUNCTION("""COMPUTED_VALUE"""),0.29999999999999716)</f>
        <v>0.3</v>
      </c>
      <c r="C216" s="3">
        <f>IFERROR(__xludf.DUMMYFUNCTION("""COMPUTED_VALUE"""),0.5)</f>
        <v>0.5</v>
      </c>
    </row>
    <row r="217">
      <c r="A217" s="3">
        <f>IFERROR(__xludf.DUMMYFUNCTION("""COMPUTED_VALUE"""),-0.5999999999999943)</f>
        <v>-0.6</v>
      </c>
      <c r="B217" s="3">
        <f>IFERROR(__xludf.DUMMYFUNCTION("""COMPUTED_VALUE"""),0.7999999999999972)</f>
        <v>0.8</v>
      </c>
      <c r="C217" s="3">
        <f>IFERROR(__xludf.DUMMYFUNCTION("""COMPUTED_VALUE"""),0.7000000000000028)</f>
        <v>0.7</v>
      </c>
    </row>
    <row r="218">
      <c r="A218" s="3">
        <f>IFERROR(__xludf.DUMMYFUNCTION("""COMPUTED_VALUE"""),0.09999999999999432)</f>
        <v>0.1</v>
      </c>
      <c r="B218" s="3">
        <f>IFERROR(__xludf.DUMMYFUNCTION("""COMPUTED_VALUE"""),0.5)</f>
        <v>0.5</v>
      </c>
      <c r="C218" s="3">
        <f>IFERROR(__xludf.DUMMYFUNCTION("""COMPUTED_VALUE"""),0.09999999999999432)</f>
        <v>0.1</v>
      </c>
    </row>
    <row r="219">
      <c r="A219" s="3">
        <f>IFERROR(__xludf.DUMMYFUNCTION("""COMPUTED_VALUE"""),0.9000000000000057)</f>
        <v>0.9</v>
      </c>
      <c r="B219" s="3">
        <f>IFERROR(__xludf.DUMMYFUNCTION("""COMPUTED_VALUE"""),1.0)</f>
        <v>1</v>
      </c>
      <c r="C219" s="3">
        <f>IFERROR(__xludf.DUMMYFUNCTION("""COMPUTED_VALUE"""),2.6000000000000085)</f>
        <v>2.6</v>
      </c>
    </row>
    <row r="220">
      <c r="A220" s="3">
        <f>IFERROR(__xludf.DUMMYFUNCTION("""COMPUTED_VALUE"""),0.7999999999999972)</f>
        <v>0.8</v>
      </c>
      <c r="B220" s="3">
        <f>IFERROR(__xludf.DUMMYFUNCTION("""COMPUTED_VALUE"""),0.09999999999999432)</f>
        <v>0.1</v>
      </c>
      <c r="C220" s="3">
        <f>IFERROR(__xludf.DUMMYFUNCTION("""COMPUTED_VALUE"""),-0.4000000000000057)</f>
        <v>-0.4</v>
      </c>
    </row>
    <row r="221">
      <c r="A221" s="3">
        <f>IFERROR(__xludf.DUMMYFUNCTION("""COMPUTED_VALUE"""),0.5999999999999943)</f>
        <v>0.6</v>
      </c>
      <c r="B221" s="3">
        <f>IFERROR(__xludf.DUMMYFUNCTION("""COMPUTED_VALUE"""),0.20000000000000284)</f>
        <v>0.2</v>
      </c>
      <c r="C221" s="3">
        <f>IFERROR(__xludf.DUMMYFUNCTION("""COMPUTED_VALUE"""),0.4000000000000057)</f>
        <v>0.4</v>
      </c>
    </row>
    <row r="222">
      <c r="A222" s="3">
        <f>IFERROR(__xludf.DUMMYFUNCTION("""COMPUTED_VALUE"""),1.4000000000000057)</f>
        <v>1.4</v>
      </c>
      <c r="B222" s="3">
        <f>IFERROR(__xludf.DUMMYFUNCTION("""COMPUTED_VALUE"""),0.4000000000000057)</f>
        <v>0.4</v>
      </c>
      <c r="C222" s="3">
        <f>IFERROR(__xludf.DUMMYFUNCTION("""COMPUTED_VALUE"""),0.3999999999999915)</f>
        <v>0.4</v>
      </c>
    </row>
    <row r="223">
      <c r="A223" s="3">
        <f>IFERROR(__xludf.DUMMYFUNCTION("""COMPUTED_VALUE"""),2.0999999999999943)</f>
        <v>2.1</v>
      </c>
      <c r="B223" s="3">
        <f>IFERROR(__xludf.DUMMYFUNCTION("""COMPUTED_VALUE"""),0.5)</f>
        <v>0.5</v>
      </c>
      <c r="C223" s="3">
        <f>IFERROR(__xludf.DUMMYFUNCTION("""COMPUTED_VALUE"""),0.7999999999999972)</f>
        <v>0.8</v>
      </c>
    </row>
    <row r="224">
      <c r="A224" s="3">
        <f>IFERROR(__xludf.DUMMYFUNCTION("""COMPUTED_VALUE"""),4.0)</f>
        <v>4</v>
      </c>
      <c r="B224" s="3">
        <f>IFERROR(__xludf.DUMMYFUNCTION("""COMPUTED_VALUE"""),0.3999999999999915)</f>
        <v>0.4</v>
      </c>
      <c r="C224" s="3">
        <f>IFERROR(__xludf.DUMMYFUNCTION("""COMPUTED_VALUE"""),1.2000000000000028)</f>
        <v>1.2</v>
      </c>
    </row>
    <row r="225">
      <c r="A225" s="3">
        <f>IFERROR(__xludf.DUMMYFUNCTION("""COMPUTED_VALUE"""),-2.5)</f>
        <v>-2.5</v>
      </c>
      <c r="B225" s="3">
        <f>IFERROR(__xludf.DUMMYFUNCTION("""COMPUTED_VALUE"""),0.7000000000000028)</f>
        <v>0.7</v>
      </c>
      <c r="C225" s="3">
        <f>IFERROR(__xludf.DUMMYFUNCTION("""COMPUTED_VALUE"""),0.7999999999999972)</f>
        <v>0.8</v>
      </c>
    </row>
    <row r="226">
      <c r="A226" s="3">
        <f>IFERROR(__xludf.DUMMYFUNCTION("""COMPUTED_VALUE"""),0.20000000000000284)</f>
        <v>0.2</v>
      </c>
      <c r="B226" s="3">
        <f>IFERROR(__xludf.DUMMYFUNCTION("""COMPUTED_VALUE"""),0.29999999999999716)</f>
        <v>0.3</v>
      </c>
      <c r="C226" s="3">
        <f>IFERROR(__xludf.DUMMYFUNCTION("""COMPUTED_VALUE"""),3.5)</f>
        <v>3.5</v>
      </c>
    </row>
    <row r="227">
      <c r="A227" s="3">
        <f>IFERROR(__xludf.DUMMYFUNCTION("""COMPUTED_VALUE"""),6.5)</f>
        <v>6.5</v>
      </c>
      <c r="B227" s="3">
        <f>IFERROR(__xludf.DUMMYFUNCTION("""COMPUTED_VALUE"""),0.6000000000000085)</f>
        <v>0.6</v>
      </c>
      <c r="C227" s="3">
        <f>IFERROR(__xludf.DUMMYFUNCTION("""COMPUTED_VALUE"""),-0.6999999999999886)</f>
        <v>-0.7</v>
      </c>
    </row>
    <row r="228">
      <c r="A228" s="3">
        <f>IFERROR(__xludf.DUMMYFUNCTION("""COMPUTED_VALUE"""),-3.5999999999999943)</f>
        <v>-3.6</v>
      </c>
      <c r="B228" s="3">
        <f>IFERROR(__xludf.DUMMYFUNCTION("""COMPUTED_VALUE"""),0.5)</f>
        <v>0.5</v>
      </c>
      <c r="C228" s="3">
        <f>IFERROR(__xludf.DUMMYFUNCTION("""COMPUTED_VALUE"""),-0.20000000000000284)</f>
        <v>-0.2</v>
      </c>
    </row>
    <row r="229">
      <c r="A229" s="3">
        <f>IFERROR(__xludf.DUMMYFUNCTION("""COMPUTED_VALUE"""),0.3999999999999915)</f>
        <v>0.4</v>
      </c>
      <c r="B229" s="3">
        <f>IFERROR(__xludf.DUMMYFUNCTION("""COMPUTED_VALUE"""),0.5999999999999943)</f>
        <v>0.6</v>
      </c>
      <c r="C229" s="3">
        <f>IFERROR(__xludf.DUMMYFUNCTION("""COMPUTED_VALUE"""),0.3999999999999915)</f>
        <v>0.4</v>
      </c>
    </row>
    <row r="230">
      <c r="A230" s="3">
        <f>IFERROR(__xludf.DUMMYFUNCTION("""COMPUTED_VALUE"""),0.6000000000000085)</f>
        <v>0.6</v>
      </c>
      <c r="B230" s="3">
        <f>IFERROR(__xludf.DUMMYFUNCTION("""COMPUTED_VALUE"""),0.6000000000000085)</f>
        <v>0.6</v>
      </c>
      <c r="C230" s="3">
        <f>IFERROR(__xludf.DUMMYFUNCTION("""COMPUTED_VALUE"""),0.9000000000000057)</f>
        <v>0.9</v>
      </c>
    </row>
    <row r="231">
      <c r="A231" s="3">
        <f>IFERROR(__xludf.DUMMYFUNCTION("""COMPUTED_VALUE"""),0.5999999999999943)</f>
        <v>0.6</v>
      </c>
      <c r="B231" s="3">
        <f>IFERROR(__xludf.DUMMYFUNCTION("""COMPUTED_VALUE"""),1.1999999999999886)</f>
        <v>1.2</v>
      </c>
      <c r="C231" s="3">
        <f>IFERROR(__xludf.DUMMYFUNCTION("""COMPUTED_VALUE"""),0.7999999999999972)</f>
        <v>0.8</v>
      </c>
    </row>
    <row r="232">
      <c r="A232" s="3">
        <f>IFERROR(__xludf.DUMMYFUNCTION("""COMPUTED_VALUE"""),0.7000000000000028)</f>
        <v>0.7</v>
      </c>
      <c r="B232" s="3">
        <f>IFERROR(__xludf.DUMMYFUNCTION("""COMPUTED_VALUE"""),0.30000000000001137)</f>
        <v>0.3</v>
      </c>
      <c r="C232" s="3">
        <f>IFERROR(__xludf.DUMMYFUNCTION("""COMPUTED_VALUE"""),0.4000000000000057)</f>
        <v>0.4</v>
      </c>
    </row>
    <row r="233">
      <c r="A233" s="3">
        <f>IFERROR(__xludf.DUMMYFUNCTION("""COMPUTED_VALUE"""),0.7999999999999972)</f>
        <v>0.8</v>
      </c>
      <c r="B233" s="3">
        <f>IFERROR(__xludf.DUMMYFUNCTION("""COMPUTED_VALUE"""),0.6999999999999886)</f>
        <v>0.7</v>
      </c>
      <c r="C233" s="3">
        <f>IFERROR(__xludf.DUMMYFUNCTION("""COMPUTED_VALUE"""),0.7000000000000028)</f>
        <v>0.7</v>
      </c>
    </row>
    <row r="234">
      <c r="A234" s="3">
        <f>IFERROR(__xludf.DUMMYFUNCTION("""COMPUTED_VALUE"""),1.2999999999999972)</f>
        <v>1.3</v>
      </c>
      <c r="B234" s="3">
        <f>IFERROR(__xludf.DUMMYFUNCTION("""COMPUTED_VALUE"""),0.7000000000000028)</f>
        <v>0.7</v>
      </c>
      <c r="C234" s="3">
        <f>IFERROR(__xludf.DUMMYFUNCTION("""COMPUTED_VALUE"""),2.299999999999997)</f>
        <v>2.3</v>
      </c>
    </row>
    <row r="235">
      <c r="A235" s="3">
        <f>IFERROR(__xludf.DUMMYFUNCTION("""COMPUTED_VALUE"""),0.6000000000000085)</f>
        <v>0.6</v>
      </c>
      <c r="B235" s="3">
        <f>IFERROR(__xludf.DUMMYFUNCTION("""COMPUTED_VALUE"""),0.7999999999999972)</f>
        <v>0.8</v>
      </c>
      <c r="C235" s="3">
        <f>IFERROR(__xludf.DUMMYFUNCTION("""COMPUTED_VALUE"""),-0.29999999999999716)</f>
        <v>-0.3</v>
      </c>
    </row>
    <row r="236">
      <c r="A236" s="3">
        <f>IFERROR(__xludf.DUMMYFUNCTION("""COMPUTED_VALUE"""),0.8999999999999915)</f>
        <v>0.9</v>
      </c>
      <c r="B236" s="3">
        <f>IFERROR(__xludf.DUMMYFUNCTION("""COMPUTED_VALUE"""),0.6000000000000085)</f>
        <v>0.6</v>
      </c>
      <c r="C236" s="3">
        <f>IFERROR(__xludf.DUMMYFUNCTION("""COMPUTED_VALUE"""),1.8999999999999915)</f>
        <v>1.9</v>
      </c>
    </row>
    <row r="237">
      <c r="A237" s="3">
        <f>IFERROR(__xludf.DUMMYFUNCTION("""COMPUTED_VALUE"""),1.3000000000000114)</f>
        <v>1.3</v>
      </c>
      <c r="B237" s="3">
        <f>IFERROR(__xludf.DUMMYFUNCTION("""COMPUTED_VALUE"""),0.3999999999999915)</f>
        <v>0.4</v>
      </c>
      <c r="C237" s="3">
        <f>IFERROR(__xludf.DUMMYFUNCTION("""COMPUTED_VALUE"""),0.10000000000000853)</f>
        <v>0.1</v>
      </c>
    </row>
    <row r="238">
      <c r="A238" s="3">
        <f>IFERROR(__xludf.DUMMYFUNCTION("""COMPUTED_VALUE"""),0.7999999999999972)</f>
        <v>0.8</v>
      </c>
      <c r="B238" s="3">
        <f>IFERROR(__xludf.DUMMYFUNCTION("""COMPUTED_VALUE"""),0.7000000000000028)</f>
        <v>0.7</v>
      </c>
      <c r="C238" s="3">
        <f>IFERROR(__xludf.DUMMYFUNCTION("""COMPUTED_VALUE"""),0.19999999999998863)</f>
        <v>0.2</v>
      </c>
    </row>
    <row r="239">
      <c r="A239" s="3">
        <f>IFERROR(__xludf.DUMMYFUNCTION("""COMPUTED_VALUE"""),0.3999999999999915)</f>
        <v>0.4</v>
      </c>
      <c r="B239" s="3">
        <f>IFERROR(__xludf.DUMMYFUNCTION("""COMPUTED_VALUE"""),2.1000000000000085)</f>
        <v>2.1</v>
      </c>
      <c r="C239" s="3">
        <f>IFERROR(__xludf.DUMMYFUNCTION("""COMPUTED_VALUE"""),0.5)</f>
        <v>0.5</v>
      </c>
    </row>
    <row r="240">
      <c r="A240" s="3">
        <f>IFERROR(__xludf.DUMMYFUNCTION("""COMPUTED_VALUE"""),0.5)</f>
        <v>0.5</v>
      </c>
      <c r="B240" s="3">
        <f>IFERROR(__xludf.DUMMYFUNCTION("""COMPUTED_VALUE"""),0.0)</f>
        <v>0</v>
      </c>
      <c r="C240" s="3">
        <f>IFERROR(__xludf.DUMMYFUNCTION("""COMPUTED_VALUE"""),0.6000000000000085)</f>
        <v>0.6</v>
      </c>
    </row>
    <row r="241">
      <c r="A241" s="3">
        <f>IFERROR(__xludf.DUMMYFUNCTION("""COMPUTED_VALUE"""),2.5)</f>
        <v>2.5</v>
      </c>
      <c r="B241" s="3">
        <f>IFERROR(__xludf.DUMMYFUNCTION("""COMPUTED_VALUE"""),0.0)</f>
        <v>0</v>
      </c>
      <c r="C241" s="3">
        <f>IFERROR(__xludf.DUMMYFUNCTION("""COMPUTED_VALUE"""),1.0)</f>
        <v>1</v>
      </c>
    </row>
    <row r="242">
      <c r="A242" s="3">
        <f>IFERROR(__xludf.DUMMYFUNCTION("""COMPUTED_VALUE"""),1.0)</f>
        <v>1</v>
      </c>
      <c r="B242" s="3">
        <f>IFERROR(__xludf.DUMMYFUNCTION("""COMPUTED_VALUE"""),0.29999999999999716)</f>
        <v>0.3</v>
      </c>
      <c r="C242" s="3">
        <f>IFERROR(__xludf.DUMMYFUNCTION("""COMPUTED_VALUE"""),0.29999999999999716)</f>
        <v>0.3</v>
      </c>
    </row>
    <row r="243">
      <c r="A243" s="3">
        <f>IFERROR(__xludf.DUMMYFUNCTION("""COMPUTED_VALUE"""),-0.3999999999999915)</f>
        <v>-0.4</v>
      </c>
      <c r="B243" s="3">
        <f>IFERROR(__xludf.DUMMYFUNCTION("""COMPUTED_VALUE"""),0.09999999999999432)</f>
        <v>0.1</v>
      </c>
      <c r="C243" s="3">
        <f>IFERROR(__xludf.DUMMYFUNCTION("""COMPUTED_VALUE"""),1.2000000000000028)</f>
        <v>1.2</v>
      </c>
    </row>
    <row r="244">
      <c r="A244" s="3">
        <f>IFERROR(__xludf.DUMMYFUNCTION("""COMPUTED_VALUE"""),0.0)</f>
        <v>0</v>
      </c>
      <c r="B244" s="3">
        <f>IFERROR(__xludf.DUMMYFUNCTION("""COMPUTED_VALUE"""),0.4000000000000057)</f>
        <v>0.4</v>
      </c>
      <c r="C244" s="3">
        <f>IFERROR(__xludf.DUMMYFUNCTION("""COMPUTED_VALUE"""),0.7000000000000028)</f>
        <v>0.7</v>
      </c>
    </row>
    <row r="245">
      <c r="A245" s="3">
        <f>IFERROR(__xludf.DUMMYFUNCTION("""COMPUTED_VALUE"""),1.0999999999999943)</f>
        <v>1.1</v>
      </c>
      <c r="B245" s="3">
        <f>IFERROR(__xludf.DUMMYFUNCTION("""COMPUTED_VALUE"""),0.5)</f>
        <v>0.5</v>
      </c>
      <c r="C245" s="3">
        <f>IFERROR(__xludf.DUMMYFUNCTION("""COMPUTED_VALUE"""),0.6999999999999886)</f>
        <v>0.7</v>
      </c>
    </row>
    <row r="246">
      <c r="A246" s="3">
        <f>IFERROR(__xludf.DUMMYFUNCTION("""COMPUTED_VALUE"""),0.7000000000000028)</f>
        <v>0.7</v>
      </c>
      <c r="B246" s="3">
        <f>IFERROR(__xludf.DUMMYFUNCTION("""COMPUTED_VALUE"""),0.29999999999999716)</f>
        <v>0.3</v>
      </c>
      <c r="C246" s="3">
        <f>IFERROR(__xludf.DUMMYFUNCTION("""COMPUTED_VALUE"""),0.7000000000000028)</f>
        <v>0.7</v>
      </c>
    </row>
    <row r="247">
      <c r="A247" s="3">
        <f>IFERROR(__xludf.DUMMYFUNCTION("""COMPUTED_VALUE"""),0.7000000000000028)</f>
        <v>0.7</v>
      </c>
      <c r="B247" s="3">
        <f>IFERROR(__xludf.DUMMYFUNCTION("""COMPUTED_VALUE"""),0.5999999999999943)</f>
        <v>0.6</v>
      </c>
      <c r="C247" s="3">
        <f>IFERROR(__xludf.DUMMYFUNCTION("""COMPUTED_VALUE"""),0.3999999999999915)</f>
        <v>0.4</v>
      </c>
    </row>
    <row r="248">
      <c r="A248" s="3">
        <f>IFERROR(__xludf.DUMMYFUNCTION("""COMPUTED_VALUE"""),0.5999999999999943)</f>
        <v>0.6</v>
      </c>
      <c r="B248" s="3">
        <f>IFERROR(__xludf.DUMMYFUNCTION("""COMPUTED_VALUE"""),0.6000000000000085)</f>
        <v>0.6</v>
      </c>
      <c r="C248" s="3">
        <f>IFERROR(__xludf.DUMMYFUNCTION("""COMPUTED_VALUE"""),0.18999999999999773)</f>
        <v>0.19</v>
      </c>
    </row>
    <row r="249">
      <c r="A249" s="3">
        <f>IFERROR(__xludf.DUMMYFUNCTION("""COMPUTED_VALUE"""),1.2000000000000028)</f>
        <v>1.2</v>
      </c>
      <c r="B249" s="3">
        <f>IFERROR(__xludf.DUMMYFUNCTION("""COMPUTED_VALUE"""),0.5999999999999943)</f>
        <v>0.6</v>
      </c>
      <c r="C249" s="3">
        <f>IFERROR(__xludf.DUMMYFUNCTION("""COMPUTED_VALUE"""),0.0)</f>
        <v>0</v>
      </c>
    </row>
    <row r="250">
      <c r="A250" s="3">
        <f>IFERROR(__xludf.DUMMYFUNCTION("""COMPUTED_VALUE"""),0.29999999999999716)</f>
        <v>0.3</v>
      </c>
      <c r="B250" s="3">
        <f>IFERROR(__xludf.DUMMYFUNCTION("""COMPUTED_VALUE"""),0.6000000000000085)</f>
        <v>0.6</v>
      </c>
      <c r="C250" s="3">
        <f>IFERROR(__xludf.DUMMYFUNCTION("""COMPUTED_VALUE"""),-0.8899999999999864)</f>
        <v>-0.89</v>
      </c>
    </row>
    <row r="251">
      <c r="A251" s="3">
        <f>IFERROR(__xludf.DUMMYFUNCTION("""COMPUTED_VALUE"""),0.9000000000000057)</f>
        <v>0.9</v>
      </c>
      <c r="B251" s="3">
        <f>IFERROR(__xludf.DUMMYFUNCTION("""COMPUTED_VALUE"""),0.5999999999999943)</f>
        <v>0.6</v>
      </c>
      <c r="C251" s="3">
        <f>IFERROR(__xludf.DUMMYFUNCTION("""COMPUTED_VALUE"""),0.29999999999999716)</f>
        <v>0.3</v>
      </c>
    </row>
    <row r="252">
      <c r="A252" s="3">
        <f>IFERROR(__xludf.DUMMYFUNCTION("""COMPUTED_VALUE"""),0.7000000000000028)</f>
        <v>0.7</v>
      </c>
      <c r="B252" s="3">
        <f>IFERROR(__xludf.DUMMYFUNCTION("""COMPUTED_VALUE"""),1.2000000000000028)</f>
        <v>1.2</v>
      </c>
      <c r="C252" s="3">
        <f>IFERROR(__xludf.DUMMYFUNCTION("""COMPUTED_VALUE"""),0.20000000000000284)</f>
        <v>0.2</v>
      </c>
    </row>
    <row r="253">
      <c r="A253" s="3">
        <f>IFERROR(__xludf.DUMMYFUNCTION("""COMPUTED_VALUE"""),0.5)</f>
        <v>0.5</v>
      </c>
      <c r="B253" s="3">
        <f>IFERROR(__xludf.DUMMYFUNCTION("""COMPUTED_VALUE"""),0.20000000000000284)</f>
        <v>0.2</v>
      </c>
      <c r="C253" s="3">
        <f>IFERROR(__xludf.DUMMYFUNCTION("""COMPUTED_VALUE"""),0.6999999999999886)</f>
        <v>0.7</v>
      </c>
    </row>
    <row r="254">
      <c r="A254" s="3">
        <f>IFERROR(__xludf.DUMMYFUNCTION("""COMPUTED_VALUE"""),0.8999999999999915)</f>
        <v>0.9</v>
      </c>
      <c r="B254" s="3">
        <f>IFERROR(__xludf.DUMMYFUNCTION("""COMPUTED_VALUE"""),0.6999999999999886)</f>
        <v>0.7</v>
      </c>
      <c r="C254" s="3">
        <f>IFERROR(__xludf.DUMMYFUNCTION("""COMPUTED_VALUE"""),0.6000000000000227)</f>
        <v>0.6</v>
      </c>
    </row>
    <row r="255">
      <c r="A255" s="3">
        <f>IFERROR(__xludf.DUMMYFUNCTION("""COMPUTED_VALUE"""),0.8999999999999915)</f>
        <v>0.9</v>
      </c>
      <c r="B255" s="3">
        <f>IFERROR(__xludf.DUMMYFUNCTION("""COMPUTED_VALUE"""),0.7000000000000028)</f>
        <v>0.7</v>
      </c>
      <c r="C255" s="3">
        <f>IFERROR(__xludf.DUMMYFUNCTION("""COMPUTED_VALUE"""),0.5)</f>
        <v>0.5</v>
      </c>
    </row>
    <row r="256">
      <c r="A256" s="3">
        <f>IFERROR(__xludf.DUMMYFUNCTION("""COMPUTED_VALUE"""),1.0)</f>
        <v>1</v>
      </c>
      <c r="B256" s="3">
        <f>IFERROR(__xludf.DUMMYFUNCTION("""COMPUTED_VALUE"""),0.7999999999999972)</f>
        <v>0.8</v>
      </c>
      <c r="C256" s="3">
        <f>IFERROR(__xludf.DUMMYFUNCTION("""COMPUTED_VALUE"""),0.39999999999997726)</f>
        <v>0.4</v>
      </c>
    </row>
    <row r="257">
      <c r="A257" s="3">
        <f>IFERROR(__xludf.DUMMYFUNCTION("""COMPUTED_VALUE"""),0.18999999999999773)</f>
        <v>0.19</v>
      </c>
      <c r="B257" s="3">
        <f>IFERROR(__xludf.DUMMYFUNCTION("""COMPUTED_VALUE"""),0.6000000000000085)</f>
        <v>0.6</v>
      </c>
      <c r="C257" s="3">
        <f>IFERROR(__xludf.DUMMYFUNCTION("""COMPUTED_VALUE"""),0.4000000000000057)</f>
        <v>0.4</v>
      </c>
    </row>
    <row r="258">
      <c r="A258" s="3">
        <f>IFERROR(__xludf.DUMMYFUNCTION("""COMPUTED_VALUE"""),0.6100000000000136)</f>
        <v>0.61</v>
      </c>
      <c r="B258" s="3">
        <f>IFERROR(__xludf.DUMMYFUNCTION("""COMPUTED_VALUE"""),0.5999999999999943)</f>
        <v>0.6</v>
      </c>
      <c r="C258" s="3">
        <f>IFERROR(__xludf.DUMMYFUNCTION("""COMPUTED_VALUE"""),0.700000000000017)</f>
        <v>0.7</v>
      </c>
    </row>
    <row r="259">
      <c r="A259" s="3">
        <f>IFERROR(__xludf.DUMMYFUNCTION("""COMPUTED_VALUE"""),0.5999999999999943)</f>
        <v>0.6</v>
      </c>
      <c r="B259" s="3">
        <f>IFERROR(__xludf.DUMMYFUNCTION("""COMPUTED_VALUE"""),0.29999999999999716)</f>
        <v>0.3</v>
      </c>
      <c r="C259" s="3">
        <f>IFERROR(__xludf.DUMMYFUNCTION("""COMPUTED_VALUE"""),1.0)</f>
        <v>1</v>
      </c>
    </row>
    <row r="260">
      <c r="A260" s="3">
        <f>IFERROR(__xludf.DUMMYFUNCTION("""COMPUTED_VALUE"""),2.4000000000000057)</f>
        <v>2.4</v>
      </c>
      <c r="B260" s="3">
        <f>IFERROR(__xludf.DUMMYFUNCTION("""COMPUTED_VALUE"""),0.700000000000017)</f>
        <v>0.7</v>
      </c>
      <c r="C260" s="3">
        <f>IFERROR(__xludf.DUMMYFUNCTION("""COMPUTED_VALUE"""),0.589999999999975)</f>
        <v>0.59</v>
      </c>
    </row>
    <row r="261">
      <c r="A261" s="3">
        <f>IFERROR(__xludf.DUMMYFUNCTION("""COMPUTED_VALUE"""),-1.8000000000000114)</f>
        <v>-1.8</v>
      </c>
      <c r="B261" s="3">
        <f>IFERROR(__xludf.DUMMYFUNCTION("""COMPUTED_VALUE"""),0.589999999999975)</f>
        <v>0.59</v>
      </c>
      <c r="C261" s="3">
        <f>IFERROR(__xludf.DUMMYFUNCTION("""COMPUTED_VALUE"""),0.410000000000025)</f>
        <v>0.41</v>
      </c>
    </row>
    <row r="262">
      <c r="A262" s="3">
        <f>IFERROR(__xludf.DUMMYFUNCTION("""COMPUTED_VALUE"""),0.0)</f>
        <v>0</v>
      </c>
      <c r="B262" s="3">
        <f>IFERROR(__xludf.DUMMYFUNCTION("""COMPUTED_VALUE"""),0.6100000000000136)</f>
        <v>0.61</v>
      </c>
      <c r="C262" s="3">
        <f>IFERROR(__xludf.DUMMYFUNCTION("""COMPUTED_VALUE"""),-0.10000000000002274)</f>
        <v>-0.1</v>
      </c>
    </row>
    <row r="263">
      <c r="A263" s="3">
        <f>IFERROR(__xludf.DUMMYFUNCTION("""COMPUTED_VALUE"""),0.10000000000002274)</f>
        <v>0.1</v>
      </c>
      <c r="B263" s="3">
        <f>IFERROR(__xludf.DUMMYFUNCTION("""COMPUTED_VALUE"""),0.8000000000000114)</f>
        <v>0.8</v>
      </c>
      <c r="C263" s="3">
        <f>IFERROR(__xludf.DUMMYFUNCTION("""COMPUTED_VALUE"""),0.10000000000002274)</f>
        <v>0.1</v>
      </c>
    </row>
    <row r="264">
      <c r="A264" s="3">
        <f>IFERROR(__xludf.DUMMYFUNCTION("""COMPUTED_VALUE"""),0.08999999999997499)</f>
        <v>0.09</v>
      </c>
      <c r="B264" s="3">
        <f>IFERROR(__xludf.DUMMYFUNCTION("""COMPUTED_VALUE"""),0.6999999999999886)</f>
        <v>0.7</v>
      </c>
      <c r="C264" s="3">
        <f>IFERROR(__xludf.DUMMYFUNCTION("""COMPUTED_VALUE"""),0.19999999999998863)</f>
        <v>0.2</v>
      </c>
    </row>
    <row r="265">
      <c r="A265" s="3">
        <f>IFERROR(__xludf.DUMMYFUNCTION("""COMPUTED_VALUE"""),0.11000000000001364)</f>
        <v>0.11</v>
      </c>
      <c r="B265" s="3">
        <f>IFERROR(__xludf.DUMMYFUNCTION("""COMPUTED_VALUE"""),1.0999999999999943)</f>
        <v>1.1</v>
      </c>
      <c r="C265" s="3">
        <f>IFERROR(__xludf.DUMMYFUNCTION("""COMPUTED_VALUE"""),0.09999999999999432)</f>
        <v>0.1</v>
      </c>
    </row>
    <row r="266">
      <c r="A266" s="3">
        <f>IFERROR(__xludf.DUMMYFUNCTION("""COMPUTED_VALUE"""),0.0)</f>
        <v>0</v>
      </c>
      <c r="B266" s="3">
        <f>IFERROR(__xludf.DUMMYFUNCTION("""COMPUTED_VALUE"""),0.28999999999999204)</f>
        <v>0.29</v>
      </c>
      <c r="C266" s="3">
        <f>IFERROR(__xludf.DUMMYFUNCTION("""COMPUTED_VALUE"""),-0.09999999999999432)</f>
        <v>-0.1</v>
      </c>
    </row>
    <row r="267">
      <c r="A267" s="3">
        <f>IFERROR(__xludf.DUMMYFUNCTION("""COMPUTED_VALUE"""),-0.19999999999998863)</f>
        <v>-0.2</v>
      </c>
      <c r="B267" s="3">
        <f>IFERROR(__xludf.DUMMYFUNCTION("""COMPUTED_VALUE"""),0.3100000000000023)</f>
        <v>0.31</v>
      </c>
      <c r="C267" s="3">
        <f>IFERROR(__xludf.DUMMYFUNCTION("""COMPUTED_VALUE"""),0.09999999999999432)</f>
        <v>0.1</v>
      </c>
    </row>
    <row r="268">
      <c r="A268" s="3">
        <f>IFERROR(__xludf.DUMMYFUNCTION("""COMPUTED_VALUE"""),0.39999999999997726)</f>
        <v>0.4</v>
      </c>
      <c r="B268" s="3">
        <f>IFERROR(__xludf.DUMMYFUNCTION("""COMPUTED_VALUE"""),0.5)</f>
        <v>0.5</v>
      </c>
      <c r="C268" s="3">
        <f>IFERROR(__xludf.DUMMYFUNCTION("""COMPUTED_VALUE"""),-0.09999999999999432)</f>
        <v>-0.1</v>
      </c>
    </row>
    <row r="269">
      <c r="A269" s="3">
        <f>IFERROR(__xludf.DUMMYFUNCTION("""COMPUTED_VALUE"""),0.5)</f>
        <v>0.5</v>
      </c>
      <c r="B269" s="3">
        <f>IFERROR(__xludf.DUMMYFUNCTION("""COMPUTED_VALUE"""),0.6899999999999977)</f>
        <v>0.69</v>
      </c>
      <c r="C269" s="3">
        <f>IFERROR(__xludf.DUMMYFUNCTION("""COMPUTED_VALUE"""),-1.1100000000000136)</f>
        <v>-1.11</v>
      </c>
    </row>
    <row r="270">
      <c r="A270" s="3">
        <f>IFERROR(__xludf.DUMMYFUNCTION("""COMPUTED_VALUE"""),0.30000000000001137)</f>
        <v>0.3</v>
      </c>
      <c r="B270" s="3">
        <f>IFERROR(__xludf.DUMMYFUNCTION("""COMPUTED_VALUE"""),0.21000000000000796)</f>
        <v>0.21</v>
      </c>
      <c r="C270" s="3">
        <f>IFERROR(__xludf.DUMMYFUNCTION("""COMPUTED_VALUE"""),0.11000000000001364)</f>
        <v>0.11</v>
      </c>
    </row>
    <row r="271">
      <c r="A271" s="3">
        <f>IFERROR(__xludf.DUMMYFUNCTION("""COMPUTED_VALUE"""),1.0)</f>
        <v>1</v>
      </c>
      <c r="B271" s="3">
        <f>IFERROR(__xludf.DUMMYFUNCTION("""COMPUTED_VALUE"""),2.0)</f>
        <v>2</v>
      </c>
      <c r="C271" s="3">
        <f>IFERROR(__xludf.DUMMYFUNCTION("""COMPUTED_VALUE"""),0.0)</f>
        <v>0</v>
      </c>
    </row>
    <row r="272">
      <c r="A272" s="3">
        <f>IFERROR(__xludf.DUMMYFUNCTION("""COMPUTED_VALUE"""),0.6999999999999886)</f>
        <v>0.7</v>
      </c>
      <c r="B272" s="3">
        <f>IFERROR(__xludf.DUMMYFUNCTION("""COMPUTED_VALUE"""),0.09999999999999432)</f>
        <v>0.1</v>
      </c>
      <c r="C272" s="3">
        <f>IFERROR(__xludf.DUMMYFUNCTION("""COMPUTED_VALUE"""),2.0)</f>
        <v>2</v>
      </c>
    </row>
    <row r="273">
      <c r="A273" s="3">
        <f>IFERROR(__xludf.DUMMYFUNCTION("""COMPUTED_VALUE"""),0.5)</f>
        <v>0.5</v>
      </c>
      <c r="B273" s="3">
        <f>IFERROR(__xludf.DUMMYFUNCTION("""COMPUTED_VALUE"""),0.30000000000001137)</f>
        <v>0.3</v>
      </c>
      <c r="C273" s="3">
        <f>IFERROR(__xludf.DUMMYFUNCTION("""COMPUTED_VALUE"""),0.30000000000001137)</f>
        <v>0.3</v>
      </c>
    </row>
    <row r="274">
      <c r="A274" s="3">
        <f>IFERROR(__xludf.DUMMYFUNCTION("""COMPUTED_VALUE"""),0.18999999999999773)</f>
        <v>0.19</v>
      </c>
      <c r="B274" s="3">
        <f>IFERROR(__xludf.DUMMYFUNCTION("""COMPUTED_VALUE"""),0.5999999999999943)</f>
        <v>0.6</v>
      </c>
      <c r="C274" s="3">
        <f>IFERROR(__xludf.DUMMYFUNCTION("""COMPUTED_VALUE"""),0.39999999999997726)</f>
        <v>0.4</v>
      </c>
    </row>
    <row r="275">
      <c r="A275" s="3">
        <f>IFERROR(__xludf.DUMMYFUNCTION("""COMPUTED_VALUE"""),0.8100000000000023)</f>
        <v>0.81</v>
      </c>
      <c r="B275" s="3">
        <f>IFERROR(__xludf.DUMMYFUNCTION("""COMPUTED_VALUE"""),0.5)</f>
        <v>0.5</v>
      </c>
      <c r="C275" s="3">
        <f>IFERROR(__xludf.DUMMYFUNCTION("""COMPUTED_VALUE"""),0.18999999999999773)</f>
        <v>0.19</v>
      </c>
    </row>
    <row r="276">
      <c r="A276" s="3">
        <f>IFERROR(__xludf.DUMMYFUNCTION("""COMPUTED_VALUE"""),0.4000000000000057)</f>
        <v>0.4</v>
      </c>
      <c r="B276" s="3">
        <f>IFERROR(__xludf.DUMMYFUNCTION("""COMPUTED_VALUE"""),0.09999999999999432)</f>
        <v>0.1</v>
      </c>
      <c r="C276" s="3">
        <f>IFERROR(__xludf.DUMMYFUNCTION("""COMPUTED_VALUE"""),0.0)</f>
        <v>0</v>
      </c>
    </row>
    <row r="277">
      <c r="A277" s="3">
        <f>IFERROR(__xludf.DUMMYFUNCTION("""COMPUTED_VALUE"""),-0.21000000000000796)</f>
        <v>-0.21</v>
      </c>
      <c r="B277" s="3">
        <f>IFERROR(__xludf.DUMMYFUNCTION("""COMPUTED_VALUE"""),0.10000000000002274)</f>
        <v>0.1</v>
      </c>
      <c r="C277" s="3">
        <f>IFERROR(__xludf.DUMMYFUNCTION("""COMPUTED_VALUE"""),0.0)</f>
        <v>0</v>
      </c>
    </row>
    <row r="278">
      <c r="A278" s="3">
        <f>IFERROR(__xludf.DUMMYFUNCTION("""COMPUTED_VALUE"""),-0.38999999999998636)</f>
        <v>-0.39</v>
      </c>
      <c r="B278" s="3">
        <f>IFERROR(__xludf.DUMMYFUNCTION("""COMPUTED_VALUE"""),0.0)</f>
        <v>0</v>
      </c>
      <c r="C278" s="3">
        <f>IFERROR(__xludf.DUMMYFUNCTION("""COMPUTED_VALUE"""),0.21000000000000796)</f>
        <v>0.21</v>
      </c>
    </row>
    <row r="279">
      <c r="A279" s="3">
        <f>IFERROR(__xludf.DUMMYFUNCTION("""COMPUTED_VALUE"""),0.0)</f>
        <v>0</v>
      </c>
      <c r="B279" s="3">
        <f>IFERROR(__xludf.DUMMYFUNCTION("""COMPUTED_VALUE"""),-0.10000000000002274)</f>
        <v>-0.1</v>
      </c>
      <c r="C279" s="3">
        <f>IFERROR(__xludf.DUMMYFUNCTION("""COMPUTED_VALUE"""),-0.4000000000000057)</f>
        <v>-0.4</v>
      </c>
    </row>
    <row r="280">
      <c r="A280" s="3">
        <f>IFERROR(__xludf.DUMMYFUNCTION("""COMPUTED_VALUE"""),-0.11000000000001364)</f>
        <v>-0.11</v>
      </c>
      <c r="B280" s="3">
        <f>IFERROR(__xludf.DUMMYFUNCTION("""COMPUTED_VALUE"""),-0.09999999999999432)</f>
        <v>-0.1</v>
      </c>
      <c r="C280" s="3">
        <f>IFERROR(__xludf.DUMMYFUNCTION("""COMPUTED_VALUE"""),0.10000000000002274)</f>
        <v>0.1</v>
      </c>
    </row>
    <row r="281">
      <c r="A281" s="3">
        <f>IFERROR(__xludf.DUMMYFUNCTION("""COMPUTED_VALUE"""),-0.18999999999999773)</f>
        <v>-0.19</v>
      </c>
      <c r="B281" s="3">
        <f>IFERROR(__xludf.DUMMYFUNCTION("""COMPUTED_VALUE"""),0.0)</f>
        <v>0</v>
      </c>
      <c r="C281" s="3">
        <f>IFERROR(__xludf.DUMMYFUNCTION("""COMPUTED_VALUE"""),0.19999999999998863)</f>
        <v>0.2</v>
      </c>
    </row>
    <row r="282">
      <c r="A282" s="3">
        <f>IFERROR(__xludf.DUMMYFUNCTION("""COMPUTED_VALUE"""),0.5)</f>
        <v>0.5</v>
      </c>
      <c r="B282" s="3">
        <f>IFERROR(__xludf.DUMMYFUNCTION("""COMPUTED_VALUE"""),0.0)</f>
        <v>0</v>
      </c>
      <c r="C282" s="3">
        <f>IFERROR(__xludf.DUMMYFUNCTION("""COMPUTED_VALUE"""),0.0)</f>
        <v>0</v>
      </c>
    </row>
    <row r="283">
      <c r="A283" s="3">
        <f>IFERROR(__xludf.DUMMYFUNCTION("""COMPUTED_VALUE"""),-0.09999999999999432)</f>
        <v>-0.1</v>
      </c>
      <c r="B283" s="3">
        <f>IFERROR(__xludf.DUMMYFUNCTION("""COMPUTED_VALUE"""),0.09999999999999432)</f>
        <v>0.1</v>
      </c>
      <c r="C283" s="3">
        <f>IFERROR(__xludf.DUMMYFUNCTION("""COMPUTED_VALUE"""),0.0)</f>
        <v>0</v>
      </c>
    </row>
    <row r="284">
      <c r="A284" s="3">
        <f>IFERROR(__xludf.DUMMYFUNCTION("""COMPUTED_VALUE"""),-0.21000000000000796)</f>
        <v>-0.21</v>
      </c>
      <c r="B284" s="3">
        <f>IFERROR(__xludf.DUMMYFUNCTION("""COMPUTED_VALUE"""),-0.09999999999999432)</f>
        <v>-0.1</v>
      </c>
      <c r="C284" s="3">
        <f>IFERROR(__xludf.DUMMYFUNCTION("""COMPUTED_VALUE"""),-0.11000000000001364)</f>
        <v>-0.11</v>
      </c>
    </row>
    <row r="285">
      <c r="A285" s="3">
        <f>IFERROR(__xludf.DUMMYFUNCTION("""COMPUTED_VALUE"""),-0.08999999999997499)</f>
        <v>-0.09</v>
      </c>
      <c r="B285" s="3">
        <f>IFERROR(__xludf.DUMMYFUNCTION("""COMPUTED_VALUE"""),0.4000000000000057)</f>
        <v>0.4</v>
      </c>
      <c r="C285" s="3">
        <f>IFERROR(__xludf.DUMMYFUNCTION("""COMPUTED_VALUE"""),-0.08999999999997499)</f>
        <v>-0.09</v>
      </c>
    </row>
    <row r="286">
      <c r="A286" s="3">
        <f>IFERROR(__xludf.DUMMYFUNCTION("""COMPUTED_VALUE"""),-0.20000000000001705)</f>
        <v>-0.2</v>
      </c>
      <c r="B286" s="3">
        <f>IFERROR(__xludf.DUMMYFUNCTION("""COMPUTED_VALUE"""),-0.11000000000001364)</f>
        <v>-0.11</v>
      </c>
      <c r="C286" s="3">
        <f>IFERROR(__xludf.DUMMYFUNCTION("""COMPUTED_VALUE"""),0.0)</f>
        <v>0</v>
      </c>
    </row>
    <row r="287">
      <c r="A287" s="3">
        <f>IFERROR(__xludf.DUMMYFUNCTION("""COMPUTED_VALUE"""),-0.09999999999999432)</f>
        <v>-0.1</v>
      </c>
      <c r="B287" s="3">
        <f>IFERROR(__xludf.DUMMYFUNCTION("""COMPUTED_VALUE"""),0.0)</f>
        <v>0</v>
      </c>
      <c r="C287" s="3">
        <f>IFERROR(__xludf.DUMMYFUNCTION("""COMPUTED_VALUE"""),0.08999999999997499)</f>
        <v>0.09</v>
      </c>
    </row>
    <row r="288">
      <c r="A288" s="3">
        <f>IFERROR(__xludf.DUMMYFUNCTION("""COMPUTED_VALUE"""),0.19999999999998863)</f>
        <v>0.2</v>
      </c>
      <c r="B288" s="3">
        <f>IFERROR(__xludf.DUMMYFUNCTION("""COMPUTED_VALUE"""),0.0)</f>
        <v>0</v>
      </c>
      <c r="C288" s="3">
        <f>IFERROR(__xludf.DUMMYFUNCTION("""COMPUTED_VALUE"""),0.11000000000001364)</f>
        <v>0.11</v>
      </c>
    </row>
    <row r="289">
      <c r="A289" s="3">
        <f>IFERROR(__xludf.DUMMYFUNCTION("""COMPUTED_VALUE"""),-0.39999999999997726)</f>
        <v>-0.4</v>
      </c>
      <c r="B289" s="3">
        <f>IFERROR(__xludf.DUMMYFUNCTION("""COMPUTED_VALUE"""),-0.18999999999999773)</f>
        <v>-0.19</v>
      </c>
      <c r="C289" s="3">
        <f>IFERROR(__xludf.DUMMYFUNCTION("""COMPUTED_VALUE"""),0.0)</f>
        <v>0</v>
      </c>
    </row>
    <row r="290">
      <c r="A290" s="3">
        <f>IFERROR(__xludf.DUMMYFUNCTION("""COMPUTED_VALUE"""),0.08999999999997499)</f>
        <v>0.09</v>
      </c>
      <c r="B290" s="3">
        <f>IFERROR(__xludf.DUMMYFUNCTION("""COMPUTED_VALUE"""),-0.09999999999999432)</f>
        <v>-0.1</v>
      </c>
      <c r="C290" s="3">
        <f>IFERROR(__xludf.DUMMYFUNCTION("""COMPUTED_VALUE"""),0.0)</f>
        <v>0</v>
      </c>
    </row>
    <row r="291">
      <c r="A291" s="3">
        <f>IFERROR(__xludf.DUMMYFUNCTION("""COMPUTED_VALUE"""),0.0)</f>
        <v>0</v>
      </c>
      <c r="B291" s="3">
        <f>IFERROR(__xludf.DUMMYFUNCTION("""COMPUTED_VALUE"""),0.09999999999999432)</f>
        <v>0.1</v>
      </c>
      <c r="C291" s="3">
        <f>IFERROR(__xludf.DUMMYFUNCTION("""COMPUTED_VALUE"""),0.0)</f>
        <v>0</v>
      </c>
    </row>
    <row r="292">
      <c r="A292" s="3">
        <f>IFERROR(__xludf.DUMMYFUNCTION("""COMPUTED_VALUE"""),0.11000000000001364)</f>
        <v>0.11</v>
      </c>
      <c r="B292" s="3">
        <f>IFERROR(__xludf.DUMMYFUNCTION("""COMPUTED_VALUE"""),0.10000000000002274)</f>
        <v>0.1</v>
      </c>
      <c r="C292" s="3">
        <f>IFERROR(__xludf.DUMMYFUNCTION("""COMPUTED_VALUE"""),-0.11000000000001364)</f>
        <v>-0.11</v>
      </c>
    </row>
    <row r="293">
      <c r="A293" s="3">
        <f>IFERROR(__xludf.DUMMYFUNCTION("""COMPUTED_VALUE"""),-0.11000000000001364)</f>
        <v>-0.11</v>
      </c>
      <c r="B293" s="3">
        <f>IFERROR(__xludf.DUMMYFUNCTION("""COMPUTED_VALUE"""),0.0)</f>
        <v>0</v>
      </c>
      <c r="C293" s="3">
        <f>IFERROR(__xludf.DUMMYFUNCTION("""COMPUTED_VALUE"""),0.0)</f>
        <v>0</v>
      </c>
    </row>
    <row r="294">
      <c r="A294" s="3">
        <f>IFERROR(__xludf.DUMMYFUNCTION("""COMPUTED_VALUE"""),0.11000000000001364)</f>
        <v>0.11</v>
      </c>
      <c r="B294" s="3">
        <f>IFERROR(__xludf.DUMMYFUNCTION("""COMPUTED_VALUE"""),-0.5)</f>
        <v>-0.5</v>
      </c>
      <c r="C294" s="3">
        <f>IFERROR(__xludf.DUMMYFUNCTION("""COMPUTED_VALUE"""),0.0)</f>
        <v>0</v>
      </c>
    </row>
    <row r="295">
      <c r="A295" s="3">
        <f>IFERROR(__xludf.DUMMYFUNCTION("""COMPUTED_VALUE"""),0.09999999999999432)</f>
        <v>0.1</v>
      </c>
      <c r="B295" s="3">
        <f>IFERROR(__xludf.DUMMYFUNCTION("""COMPUTED_VALUE"""),0.19999999999998863)</f>
        <v>0.2</v>
      </c>
      <c r="C295" s="3">
        <f>IFERROR(__xludf.DUMMYFUNCTION("""COMPUTED_VALUE"""),0.11000000000001364)</f>
        <v>0.11</v>
      </c>
    </row>
    <row r="296">
      <c r="A296" s="3">
        <f>IFERROR(__xludf.DUMMYFUNCTION("""COMPUTED_VALUE"""),-0.5)</f>
        <v>-0.5</v>
      </c>
      <c r="B296" s="3">
        <f>IFERROR(__xludf.DUMMYFUNCTION("""COMPUTED_VALUE"""),0.09999999999999432)</f>
        <v>0.1</v>
      </c>
      <c r="C296" s="3">
        <f>IFERROR(__xludf.DUMMYFUNCTION("""COMPUTED_VALUE"""),0.0)</f>
        <v>0</v>
      </c>
    </row>
    <row r="297">
      <c r="A297" s="3">
        <f>IFERROR(__xludf.DUMMYFUNCTION("""COMPUTED_VALUE"""),0.09999999999999432)</f>
        <v>0.1</v>
      </c>
      <c r="B297" s="3">
        <f>IFERROR(__xludf.DUMMYFUNCTION("""COMPUTED_VALUE"""),0.09999999999999432)</f>
        <v>0.1</v>
      </c>
      <c r="C297" s="3">
        <f>IFERROR(__xludf.DUMMYFUNCTION("""COMPUTED_VALUE"""),-0.11000000000001364)</f>
        <v>-0.11</v>
      </c>
    </row>
    <row r="298">
      <c r="A298" s="3">
        <f>IFERROR(__xludf.DUMMYFUNCTION("""COMPUTED_VALUE"""),0.10000000000002274)</f>
        <v>0.1</v>
      </c>
      <c r="B298" s="3">
        <f>IFERROR(__xludf.DUMMYFUNCTION("""COMPUTED_VALUE"""),0.10000000000002274)</f>
        <v>0.1</v>
      </c>
      <c r="C298" s="3">
        <f>IFERROR(__xludf.DUMMYFUNCTION("""COMPUTED_VALUE"""),-0.08999999999997499)</f>
        <v>-0.09</v>
      </c>
    </row>
    <row r="299">
      <c r="A299" s="3">
        <f>IFERROR(__xludf.DUMMYFUNCTION("""COMPUTED_VALUE"""),0.19999999999998863)</f>
        <v>0.2</v>
      </c>
      <c r="B299" s="3">
        <f>IFERROR(__xludf.DUMMYFUNCTION("""COMPUTED_VALUE"""),0.0)</f>
        <v>0</v>
      </c>
      <c r="C299" s="3">
        <f>IFERROR(__xludf.DUMMYFUNCTION("""COMPUTED_VALUE"""),-0.10000000000002274)</f>
        <v>-0.1</v>
      </c>
    </row>
    <row r="300">
      <c r="A300" s="3">
        <f>IFERROR(__xludf.DUMMYFUNCTION("""COMPUTED_VALUE"""),0.0)</f>
        <v>0</v>
      </c>
      <c r="B300" s="3">
        <f>IFERROR(__xludf.DUMMYFUNCTION("""COMPUTED_VALUE"""),-0.10000000000002274)</f>
        <v>-0.1</v>
      </c>
      <c r="C300" s="3">
        <f>IFERROR(__xludf.DUMMYFUNCTION("""COMPUTED_VALUE"""),1.9000000000000057)</f>
        <v>1.9</v>
      </c>
    </row>
    <row r="301">
      <c r="A301" s="3">
        <f>IFERROR(__xludf.DUMMYFUNCTION("""COMPUTED_VALUE"""),0.09999999999999432)</f>
        <v>0.1</v>
      </c>
      <c r="B301" s="3">
        <f>IFERROR(__xludf.DUMMYFUNCTION("""COMPUTED_VALUE"""),-0.19999999999998863)</f>
        <v>-0.2</v>
      </c>
      <c r="C301" s="3">
        <f>IFERROR(__xludf.DUMMYFUNCTION("""COMPUTED_VALUE"""),-1.5)</f>
        <v>-1.5</v>
      </c>
    </row>
    <row r="302">
      <c r="A302" s="3">
        <f>IFERROR(__xludf.DUMMYFUNCTION("""COMPUTED_VALUE"""),0.0)</f>
        <v>0</v>
      </c>
      <c r="B302" s="3">
        <f>IFERROR(__xludf.DUMMYFUNCTION("""COMPUTED_VALUE"""),0.19999999999998863)</f>
        <v>0.2</v>
      </c>
      <c r="C302" s="3">
        <f>IFERROR(__xludf.DUMMYFUNCTION("""COMPUTED_VALUE"""),-0.09999999999999432)</f>
        <v>-0.1</v>
      </c>
    </row>
    <row r="303">
      <c r="A303" s="3">
        <f>IFERROR(__xludf.DUMMYFUNCTION("""COMPUTED_VALUE"""),0.20000000000001705)</f>
        <v>0.2</v>
      </c>
      <c r="B303" s="3">
        <f>IFERROR(__xludf.DUMMYFUNCTION("""COMPUTED_VALUE"""),0.18999999999999773)</f>
        <v>0.19</v>
      </c>
      <c r="C303" s="3">
        <f>IFERROR(__xludf.DUMMYFUNCTION("""COMPUTED_VALUE"""),0.0)</f>
        <v>0</v>
      </c>
    </row>
    <row r="304">
      <c r="A304" s="3">
        <f>IFERROR(__xludf.DUMMYFUNCTION("""COMPUTED_VALUE"""),0.0)</f>
        <v>0</v>
      </c>
      <c r="B304" s="3">
        <f>IFERROR(__xludf.DUMMYFUNCTION("""COMPUTED_VALUE"""),0.0)</f>
        <v>0</v>
      </c>
      <c r="C304" s="3">
        <f>IFERROR(__xludf.DUMMYFUNCTION("""COMPUTED_VALUE"""),-0.11000000000001364)</f>
        <v>-0.11</v>
      </c>
    </row>
    <row r="305">
      <c r="A305" s="3">
        <f>IFERROR(__xludf.DUMMYFUNCTION("""COMPUTED_VALUE"""),-0.10000000000002274)</f>
        <v>-0.1</v>
      </c>
      <c r="B305" s="3">
        <f>IFERROR(__xludf.DUMMYFUNCTION("""COMPUTED_VALUE"""),0.0)</f>
        <v>0</v>
      </c>
      <c r="C305" s="3">
        <f>IFERROR(__xludf.DUMMYFUNCTION("""COMPUTED_VALUE"""),-0.08999999999997499)</f>
        <v>-0.09</v>
      </c>
    </row>
    <row r="306">
      <c r="A306" s="3">
        <f>IFERROR(__xludf.DUMMYFUNCTION("""COMPUTED_VALUE"""),0.0)</f>
        <v>0</v>
      </c>
      <c r="B306" s="3">
        <f>IFERROR(__xludf.DUMMYFUNCTION("""COMPUTED_VALUE"""),0.0)</f>
        <v>0</v>
      </c>
      <c r="C306" s="3">
        <f>IFERROR(__xludf.DUMMYFUNCTION("""COMPUTED_VALUE"""),0.0)</f>
        <v>0</v>
      </c>
    </row>
    <row r="307">
      <c r="A307" s="3">
        <f>IFERROR(__xludf.DUMMYFUNCTION("""COMPUTED_VALUE"""),0.10000000000002274)</f>
        <v>0.1</v>
      </c>
      <c r="B307" s="3">
        <f>IFERROR(__xludf.DUMMYFUNCTION("""COMPUTED_VALUE"""),-0.38999999999998636)</f>
        <v>-0.39</v>
      </c>
      <c r="C307" s="3">
        <f>IFERROR(__xludf.DUMMYFUNCTION("""COMPUTED_VALUE"""),0.08999999999997499)</f>
        <v>0.09</v>
      </c>
    </row>
    <row r="308">
      <c r="A308" s="3">
        <f>IFERROR(__xludf.DUMMYFUNCTION("""COMPUTED_VALUE"""),-0.10000000000002274)</f>
        <v>-0.1</v>
      </c>
      <c r="B308" s="3">
        <f>IFERROR(__xludf.DUMMYFUNCTION("""COMPUTED_VALUE"""),0.19999999999998863)</f>
        <v>0.2</v>
      </c>
      <c r="C308" s="3">
        <f>IFERROR(__xludf.DUMMYFUNCTION("""COMPUTED_VALUE"""),0.5)</f>
        <v>0.5</v>
      </c>
    </row>
    <row r="309">
      <c r="A309" s="3">
        <f>IFERROR(__xludf.DUMMYFUNCTION("""COMPUTED_VALUE"""),-0.39999999999997726)</f>
        <v>-0.4</v>
      </c>
      <c r="B309" s="3">
        <f>IFERROR(__xludf.DUMMYFUNCTION("""COMPUTED_VALUE"""),0.0)</f>
        <v>0</v>
      </c>
      <c r="C309" s="3">
        <f>IFERROR(__xludf.DUMMYFUNCTION("""COMPUTED_VALUE"""),-0.28999999999999204)</f>
        <v>-0.29</v>
      </c>
    </row>
    <row r="310">
      <c r="A310" s="3">
        <f>IFERROR(__xludf.DUMMYFUNCTION("""COMPUTED_VALUE"""),0.19999999999998863)</f>
        <v>0.2</v>
      </c>
      <c r="B310" s="3">
        <f>IFERROR(__xludf.DUMMYFUNCTION("""COMPUTED_VALUE"""),0.0)</f>
        <v>0</v>
      </c>
      <c r="C310" s="3">
        <f>IFERROR(__xludf.DUMMYFUNCTION("""COMPUTED_VALUE"""),-0.09999999999999432)</f>
        <v>-0.1</v>
      </c>
    </row>
    <row r="311">
      <c r="A311" s="3">
        <f>IFERROR(__xludf.DUMMYFUNCTION("""COMPUTED_VALUE"""),0.09999999999999432)</f>
        <v>0.1</v>
      </c>
      <c r="B311" s="3">
        <f>IFERROR(__xludf.DUMMYFUNCTION("""COMPUTED_VALUE"""),0.0)</f>
        <v>0</v>
      </c>
      <c r="C311" s="3">
        <f>IFERROR(__xludf.DUMMYFUNCTION("""COMPUTED_VALUE"""),-0.11000000000001364)</f>
        <v>-0.11</v>
      </c>
    </row>
    <row r="312">
      <c r="A312" s="3">
        <f>IFERROR(__xludf.DUMMYFUNCTION("""COMPUTED_VALUE"""),0.20000000000001705)</f>
        <v>0.2</v>
      </c>
      <c r="B312" s="3">
        <f>IFERROR(__xludf.DUMMYFUNCTION("""COMPUTED_VALUE"""),0.18999999999999773)</f>
        <v>0.19</v>
      </c>
      <c r="C312" s="3">
        <f>IFERROR(__xludf.DUMMYFUNCTION("""COMPUTED_VALUE"""),0.0)</f>
        <v>0</v>
      </c>
    </row>
    <row r="313">
      <c r="A313" s="3">
        <f>IFERROR(__xludf.DUMMYFUNCTION("""COMPUTED_VALUE"""),-0.10000000000002274)</f>
        <v>-0.1</v>
      </c>
      <c r="B313" s="3">
        <f>IFERROR(__xludf.DUMMYFUNCTION("""COMPUTED_VALUE"""),0.0)</f>
        <v>0</v>
      </c>
      <c r="C313" s="3">
        <f>IFERROR(__xludf.DUMMYFUNCTION("""COMPUTED_VALUE"""),0.11000000000001364)</f>
        <v>0.11</v>
      </c>
    </row>
    <row r="314">
      <c r="A314" s="3">
        <f>IFERROR(__xludf.DUMMYFUNCTION("""COMPUTED_VALUE"""),0.10000000000002274)</f>
        <v>0.1</v>
      </c>
      <c r="B314" s="3">
        <f>IFERROR(__xludf.DUMMYFUNCTION("""COMPUTED_VALUE"""),-0.08999999999997499)</f>
        <v>-0.09</v>
      </c>
      <c r="C314" s="3">
        <f>IFERROR(__xludf.DUMMYFUNCTION("""COMPUTED_VALUE"""),0.0)</f>
        <v>0</v>
      </c>
    </row>
    <row r="315">
      <c r="A315" s="3">
        <f>IFERROR(__xludf.DUMMYFUNCTION("""COMPUTED_VALUE"""),0.0)</f>
        <v>0</v>
      </c>
      <c r="B315" s="3">
        <f>IFERROR(__xludf.DUMMYFUNCTION("""COMPUTED_VALUE"""),0.0)</f>
        <v>0</v>
      </c>
      <c r="C315" s="3">
        <f>IFERROR(__xludf.DUMMYFUNCTION("""COMPUTED_VALUE"""),-0.30000000000001137)</f>
        <v>-0.3</v>
      </c>
    </row>
    <row r="316">
      <c r="A316" s="3">
        <f>IFERROR(__xludf.DUMMYFUNCTION("""COMPUTED_VALUE"""),0.19999999999998863)</f>
        <v>0.2</v>
      </c>
      <c r="B316" s="3">
        <f>IFERROR(__xludf.DUMMYFUNCTION("""COMPUTED_VALUE"""),0.0)</f>
        <v>0</v>
      </c>
      <c r="C316" s="3">
        <f>IFERROR(__xludf.DUMMYFUNCTION("""COMPUTED_VALUE"""),0.10000000000002274)</f>
        <v>0.1</v>
      </c>
    </row>
    <row r="317">
      <c r="A317" s="3">
        <f>IFERROR(__xludf.DUMMYFUNCTION("""COMPUTED_VALUE"""),0.0)</f>
        <v>0</v>
      </c>
      <c r="B317" s="3">
        <f>IFERROR(__xludf.DUMMYFUNCTION("""COMPUTED_VALUE"""),0.0)</f>
        <v>0</v>
      </c>
      <c r="C317" s="3">
        <f>IFERROR(__xludf.DUMMYFUNCTION("""COMPUTED_VALUE"""),0.08999999999997499)</f>
        <v>0.09</v>
      </c>
    </row>
    <row r="318">
      <c r="A318" s="3">
        <f>IFERROR(__xludf.DUMMYFUNCTION("""COMPUTED_VALUE"""),-0.11000000000001364)</f>
        <v>-0.11</v>
      </c>
      <c r="B318" s="3">
        <f>IFERROR(__xludf.DUMMYFUNCTION("""COMPUTED_VALUE"""),0.0)</f>
        <v>0</v>
      </c>
      <c r="C318" s="3">
        <f>IFERROR(__xludf.DUMMYFUNCTION("""COMPUTED_VALUE"""),0.0)</f>
        <v>0</v>
      </c>
    </row>
    <row r="319">
      <c r="A319" s="3">
        <f>IFERROR(__xludf.DUMMYFUNCTION("""COMPUTED_VALUE"""),-0.08999999999997499)</f>
        <v>-0.09</v>
      </c>
      <c r="B319" s="3">
        <f>IFERROR(__xludf.DUMMYFUNCTION("""COMPUTED_VALUE"""),-0.10000000000002274)</f>
        <v>-0.1</v>
      </c>
      <c r="C319" s="3">
        <f>IFERROR(__xludf.DUMMYFUNCTION("""COMPUTED_VALUE"""),0.0)</f>
        <v>0</v>
      </c>
    </row>
    <row r="320">
      <c r="A320" s="3">
        <f>IFERROR(__xludf.DUMMYFUNCTION("""COMPUTED_VALUE"""),0.08999999999997499)</f>
        <v>0.09</v>
      </c>
      <c r="B320" s="3">
        <f>IFERROR(__xludf.DUMMYFUNCTION("""COMPUTED_VALUE"""),-0.39999999999997726)</f>
        <v>-0.4</v>
      </c>
      <c r="C320" s="3">
        <f>IFERROR(__xludf.DUMMYFUNCTION("""COMPUTED_VALUE"""),0.21000000000000796)</f>
        <v>0.21</v>
      </c>
    </row>
    <row r="321">
      <c r="A321" s="3">
        <f>IFERROR(__xludf.DUMMYFUNCTION("""COMPUTED_VALUE"""),0.0)</f>
        <v>0</v>
      </c>
      <c r="B321" s="3">
        <f>IFERROR(__xludf.DUMMYFUNCTION("""COMPUTED_VALUE"""),0.19999999999998863)</f>
        <v>0.2</v>
      </c>
      <c r="C321" s="3">
        <f>IFERROR(__xludf.DUMMYFUNCTION("""COMPUTED_VALUE"""),0.09999999999999432)</f>
        <v>0.1</v>
      </c>
    </row>
    <row r="322">
      <c r="A322" s="3">
        <f>IFERROR(__xludf.DUMMYFUNCTION("""COMPUTED_VALUE"""),-0.08999999999997499)</f>
        <v>-0.09</v>
      </c>
      <c r="B322" s="3">
        <f>IFERROR(__xludf.DUMMYFUNCTION("""COMPUTED_VALUE"""),0.30000000000001137)</f>
        <v>0.3</v>
      </c>
      <c r="C322" s="3">
        <f>IFERROR(__xludf.DUMMYFUNCTION("""COMPUTED_VALUE"""),0.0)</f>
        <v>0</v>
      </c>
    </row>
    <row r="323">
      <c r="A323" s="3">
        <f>IFERROR(__xludf.DUMMYFUNCTION("""COMPUTED_VALUE"""),-0.10000000000002274)</f>
        <v>-0.1</v>
      </c>
      <c r="B323" s="3">
        <f>IFERROR(__xludf.DUMMYFUNCTION("""COMPUTED_VALUE"""),0.0)</f>
        <v>0</v>
      </c>
      <c r="C323" s="3">
        <f>IFERROR(__xludf.DUMMYFUNCTION("""COMPUTED_VALUE"""),0.0)</f>
        <v>0</v>
      </c>
    </row>
    <row r="324">
      <c r="A324" s="3">
        <f>IFERROR(__xludf.DUMMYFUNCTION("""COMPUTED_VALUE"""),0.0)</f>
        <v>0</v>
      </c>
      <c r="B324" s="3">
        <f>IFERROR(__xludf.DUMMYFUNCTION("""COMPUTED_VALUE"""),0.0)</f>
        <v>0</v>
      </c>
      <c r="C324" s="3">
        <f>IFERROR(__xludf.DUMMYFUNCTION("""COMPUTED_VALUE"""),0.0)</f>
        <v>0</v>
      </c>
    </row>
    <row r="325">
      <c r="A325" s="3">
        <f>IFERROR(__xludf.DUMMYFUNCTION("""COMPUTED_VALUE"""),-0.09999999999999432)</f>
        <v>-0.1</v>
      </c>
      <c r="B325" s="3">
        <f>IFERROR(__xludf.DUMMYFUNCTION("""COMPUTED_VALUE"""),0.0)</f>
        <v>0</v>
      </c>
      <c r="C325" s="3">
        <f>IFERROR(__xludf.DUMMYFUNCTION("""COMPUTED_VALUE"""),-0.09999999999999432)</f>
        <v>-0.1</v>
      </c>
    </row>
    <row r="326">
      <c r="A326" s="3">
        <f>IFERROR(__xludf.DUMMYFUNCTION("""COMPUTED_VALUE"""),0.09999999999999432)</f>
        <v>0.1</v>
      </c>
      <c r="B326" s="3">
        <f>IFERROR(__xludf.DUMMYFUNCTION("""COMPUTED_VALUE"""),0.0)</f>
        <v>0</v>
      </c>
      <c r="C326" s="3">
        <f>IFERROR(__xludf.DUMMYFUNCTION("""COMPUTED_VALUE"""),0.0)</f>
        <v>0</v>
      </c>
    </row>
    <row r="327">
      <c r="A327" s="3">
        <f>IFERROR(__xludf.DUMMYFUNCTION("""COMPUTED_VALUE"""),0.10000000000002274)</f>
        <v>0.1</v>
      </c>
      <c r="B327" s="3">
        <f>IFERROR(__xludf.DUMMYFUNCTION("""COMPUTED_VALUE"""),-0.20000000000001705)</f>
        <v>-0.2</v>
      </c>
      <c r="C327" s="3">
        <f>IFERROR(__xludf.DUMMYFUNCTION("""COMPUTED_VALUE"""),0.0)</f>
        <v>0</v>
      </c>
    </row>
    <row r="328">
      <c r="A328" s="3">
        <f>IFERROR(__xludf.DUMMYFUNCTION("""COMPUTED_VALUE"""),-0.10000000000002274)</f>
        <v>-0.1</v>
      </c>
      <c r="B328" s="3">
        <f>IFERROR(__xludf.DUMMYFUNCTION("""COMPUTED_VALUE"""),0.20000000000001705)</f>
        <v>0.2</v>
      </c>
      <c r="C328" s="3">
        <f>IFERROR(__xludf.DUMMYFUNCTION("""COMPUTED_VALUE"""),-0.09999999999999432)</f>
        <v>-0.1</v>
      </c>
    </row>
    <row r="329">
      <c r="A329" s="3">
        <f>IFERROR(__xludf.DUMMYFUNCTION("""COMPUTED_VALUE"""),1.1000000000000227)</f>
        <v>1.1</v>
      </c>
      <c r="B329" s="3">
        <f>IFERROR(__xludf.DUMMYFUNCTION("""COMPUTED_VALUE"""),-0.10000000000002274)</f>
        <v>-0.1</v>
      </c>
      <c r="C329" s="3">
        <f>IFERROR(__xludf.DUMMYFUNCTION("""COMPUTED_VALUE"""),0.0)</f>
        <v>0</v>
      </c>
    </row>
    <row r="330">
      <c r="A330" s="3">
        <f>IFERROR(__xludf.DUMMYFUNCTION("""COMPUTED_VALUE"""),-0.700000000000017)</f>
        <v>-0.7</v>
      </c>
      <c r="B330" s="3">
        <f>IFERROR(__xludf.DUMMYFUNCTION("""COMPUTED_VALUE"""),0.10000000000002274)</f>
        <v>0.1</v>
      </c>
      <c r="C330" s="3">
        <f>IFERROR(__xludf.DUMMYFUNCTION("""COMPUTED_VALUE"""),-0.19999999999998863)</f>
        <v>-0.2</v>
      </c>
    </row>
    <row r="331">
      <c r="A331" s="3">
        <f>IFERROR(__xludf.DUMMYFUNCTION("""COMPUTED_VALUE"""),-0.09999999999999432)</f>
        <v>-0.1</v>
      </c>
      <c r="B331" s="3">
        <f>IFERROR(__xludf.DUMMYFUNCTION("""COMPUTED_VALUE"""),0.08999999999997499)</f>
        <v>0.09</v>
      </c>
      <c r="C331" s="3">
        <f>IFERROR(__xludf.DUMMYFUNCTION("""COMPUTED_VALUE"""),0.0)</f>
        <v>0</v>
      </c>
    </row>
    <row r="332">
      <c r="A332" s="3">
        <f>IFERROR(__xludf.DUMMYFUNCTION("""COMPUTED_VALUE"""),-0.30000000000001137)</f>
        <v>-0.3</v>
      </c>
      <c r="B332" s="3">
        <f>IFERROR(__xludf.DUMMYFUNCTION("""COMPUTED_VALUE"""),-0.08999999999997499)</f>
        <v>-0.09</v>
      </c>
      <c r="C332" s="3">
        <f>IFERROR(__xludf.DUMMYFUNCTION("""COMPUTED_VALUE"""),0.08999999999997499)</f>
        <v>0.09</v>
      </c>
    </row>
    <row r="333">
      <c r="A333" s="3">
        <f>IFERROR(__xludf.DUMMYFUNCTION("""COMPUTED_VALUE"""),-0.09999999999999432)</f>
        <v>-0.1</v>
      </c>
      <c r="B333" s="3">
        <f>IFERROR(__xludf.DUMMYFUNCTION("""COMPUTED_VALUE"""),0.0)</f>
        <v>0</v>
      </c>
      <c r="C333" s="3">
        <f>IFERROR(__xludf.DUMMYFUNCTION("""COMPUTED_VALUE"""),0.11000000000001364)</f>
        <v>0.11</v>
      </c>
    </row>
    <row r="334">
      <c r="A334" s="3">
        <f>IFERROR(__xludf.DUMMYFUNCTION("""COMPUTED_VALUE"""),-0.09999999999999432)</f>
        <v>-0.1</v>
      </c>
      <c r="B334" s="3">
        <f>IFERROR(__xludf.DUMMYFUNCTION("""COMPUTED_VALUE"""),0.0)</f>
        <v>0</v>
      </c>
      <c r="C334" s="3">
        <f>IFERROR(__xludf.DUMMYFUNCTION("""COMPUTED_VALUE"""),0.0)</f>
        <v>0</v>
      </c>
    </row>
    <row r="335">
      <c r="A335" s="3">
        <f>IFERROR(__xludf.DUMMYFUNCTION("""COMPUTED_VALUE"""),0.09999999999999432)</f>
        <v>0.1</v>
      </c>
      <c r="B335" s="3">
        <f>IFERROR(__xludf.DUMMYFUNCTION("""COMPUTED_VALUE"""),-0.20000000000001705)</f>
        <v>-0.2</v>
      </c>
      <c r="C335" s="3">
        <f>IFERROR(__xludf.DUMMYFUNCTION("""COMPUTED_VALUE"""),0.0)</f>
        <v>0</v>
      </c>
    </row>
    <row r="336">
      <c r="A336" s="3">
        <f>IFERROR(__xludf.DUMMYFUNCTION("""COMPUTED_VALUE"""),0.20000000000001705)</f>
        <v>0.2</v>
      </c>
      <c r="B336" s="3">
        <f>IFERROR(__xludf.DUMMYFUNCTION("""COMPUTED_VALUE"""),0.0)</f>
        <v>0</v>
      </c>
      <c r="C336" s="3">
        <f>IFERROR(__xludf.DUMMYFUNCTION("""COMPUTED_VALUE"""),-0.30000000000001137)</f>
        <v>-0.3</v>
      </c>
    </row>
    <row r="337">
      <c r="A337" s="3">
        <f>IFERROR(__xludf.DUMMYFUNCTION("""COMPUTED_VALUE"""),0.0)</f>
        <v>0</v>
      </c>
      <c r="B337" s="3">
        <f>IFERROR(__xludf.DUMMYFUNCTION("""COMPUTED_VALUE"""),0.0)</f>
        <v>0</v>
      </c>
      <c r="C337" s="3">
        <f>IFERROR(__xludf.DUMMYFUNCTION("""COMPUTED_VALUE"""),0.10000000000002274)</f>
        <v>0.1</v>
      </c>
    </row>
    <row r="338">
      <c r="A338" s="3">
        <f>IFERROR(__xludf.DUMMYFUNCTION("""COMPUTED_VALUE"""),0.19999999999998863)</f>
        <v>0.2</v>
      </c>
      <c r="B338" s="3">
        <f>IFERROR(__xludf.DUMMYFUNCTION("""COMPUTED_VALUE"""),0.09999999999999432)</f>
        <v>0.1</v>
      </c>
      <c r="C338" s="3">
        <f>IFERROR(__xludf.DUMMYFUNCTION("""COMPUTED_VALUE"""),0.19999999999998863)</f>
        <v>0.2</v>
      </c>
    </row>
    <row r="339">
      <c r="A339" s="3">
        <f>IFERROR(__xludf.DUMMYFUNCTION("""COMPUTED_VALUE"""),-0.11000000000001364)</f>
        <v>-0.11</v>
      </c>
      <c r="B339" s="3">
        <f>IFERROR(__xludf.DUMMYFUNCTION("""COMPUTED_VALUE"""),-0.09999999999999432)</f>
        <v>-0.1</v>
      </c>
      <c r="C339" s="3">
        <f>IFERROR(__xludf.DUMMYFUNCTION("""COMPUTED_VALUE"""),0.09999999999999432)</f>
        <v>0.1</v>
      </c>
    </row>
    <row r="340">
      <c r="A340" s="3">
        <f>IFERROR(__xludf.DUMMYFUNCTION("""COMPUTED_VALUE"""),-0.18999999999999773)</f>
        <v>-0.19</v>
      </c>
      <c r="B340" s="3">
        <f>IFERROR(__xludf.DUMMYFUNCTION("""COMPUTED_VALUE"""),0.09999999999999432)</f>
        <v>0.1</v>
      </c>
      <c r="C340" s="3">
        <f>IFERROR(__xludf.DUMMYFUNCTION("""COMPUTED_VALUE"""),-0.09999999999999432)</f>
        <v>-0.1</v>
      </c>
    </row>
    <row r="341">
      <c r="A341" s="3">
        <f>IFERROR(__xludf.DUMMYFUNCTION("""COMPUTED_VALUE"""),-0.09999999999999432)</f>
        <v>-0.1</v>
      </c>
      <c r="B341" s="3">
        <f>IFERROR(__xludf.DUMMYFUNCTION("""COMPUTED_VALUE"""),-0.09999999999999432)</f>
        <v>-0.1</v>
      </c>
      <c r="C341" s="3">
        <f>IFERROR(__xludf.DUMMYFUNCTION("""COMPUTED_VALUE"""),0.09999999999999432)</f>
        <v>0.1</v>
      </c>
    </row>
    <row r="342">
      <c r="A342" s="3">
        <f>IFERROR(__xludf.DUMMYFUNCTION("""COMPUTED_VALUE"""),0.0)</f>
        <v>0</v>
      </c>
      <c r="B342" s="3">
        <f>IFERROR(__xludf.DUMMYFUNCTION("""COMPUTED_VALUE"""),0.09999999999999432)</f>
        <v>0.1</v>
      </c>
      <c r="C342" s="3">
        <f>IFERROR(__xludf.DUMMYFUNCTION("""COMPUTED_VALUE"""),0.09999999999999432)</f>
        <v>0.1</v>
      </c>
    </row>
    <row r="343">
      <c r="A343" s="3">
        <f>IFERROR(__xludf.DUMMYFUNCTION("""COMPUTED_VALUE"""),0.20000000000001705)</f>
        <v>0.2</v>
      </c>
      <c r="B343" s="3">
        <f>IFERROR(__xludf.DUMMYFUNCTION("""COMPUTED_VALUE"""),-0.09999999999999432)</f>
        <v>-0.1</v>
      </c>
      <c r="C343" s="3">
        <f>IFERROR(__xludf.DUMMYFUNCTION("""COMPUTED_VALUE"""),0.0)</f>
        <v>0</v>
      </c>
    </row>
    <row r="344">
      <c r="A344" s="3">
        <f>IFERROR(__xludf.DUMMYFUNCTION("""COMPUTED_VALUE"""),-0.20000000000001705)</f>
        <v>-0.2</v>
      </c>
      <c r="B344" s="3">
        <f>IFERROR(__xludf.DUMMYFUNCTION("""COMPUTED_VALUE"""),0.09999999999999432)</f>
        <v>0.1</v>
      </c>
      <c r="C344" s="3">
        <f>IFERROR(__xludf.DUMMYFUNCTION("""COMPUTED_VALUE"""),0.0)</f>
        <v>0</v>
      </c>
    </row>
    <row r="345">
      <c r="A345" s="3">
        <f>IFERROR(__xludf.DUMMYFUNCTION("""COMPUTED_VALUE"""),0.0)</f>
        <v>0</v>
      </c>
      <c r="B345" s="3">
        <f>IFERROR(__xludf.DUMMYFUNCTION("""COMPUTED_VALUE"""),0.0)</f>
        <v>0</v>
      </c>
      <c r="C345" s="3">
        <f>IFERROR(__xludf.DUMMYFUNCTION("""COMPUTED_VALUE"""),0.0)</f>
        <v>0</v>
      </c>
    </row>
    <row r="346">
      <c r="A346" s="3">
        <f>IFERROR(__xludf.DUMMYFUNCTION("""COMPUTED_VALUE"""),0.09999999999999432)</f>
        <v>0.1</v>
      </c>
      <c r="B346" s="3">
        <f>IFERROR(__xludf.DUMMYFUNCTION("""COMPUTED_VALUE"""),0.10000000000002274)</f>
        <v>0.1</v>
      </c>
      <c r="C346" s="3">
        <f>IFERROR(__xludf.DUMMYFUNCTION("""COMPUTED_VALUE"""),0.0)</f>
        <v>0</v>
      </c>
    </row>
    <row r="347">
      <c r="A347" s="3">
        <f>IFERROR(__xludf.DUMMYFUNCTION("""COMPUTED_VALUE"""),0.10000000000002274)</f>
        <v>0.1</v>
      </c>
      <c r="B347" s="3">
        <f>IFERROR(__xludf.DUMMYFUNCTION("""COMPUTED_VALUE"""),0.08999999999997499)</f>
        <v>0.09</v>
      </c>
      <c r="C347" s="3">
        <f>IFERROR(__xludf.DUMMYFUNCTION("""COMPUTED_VALUE"""),-0.19999999999998863)</f>
        <v>-0.2</v>
      </c>
    </row>
    <row r="348">
      <c r="A348" s="3">
        <f>IFERROR(__xludf.DUMMYFUNCTION("""COMPUTED_VALUE"""),-0.20000000000001705)</f>
        <v>-0.2</v>
      </c>
      <c r="B348" s="3">
        <f>IFERROR(__xludf.DUMMYFUNCTION("""COMPUTED_VALUE"""),-0.08999999999997499)</f>
        <v>-0.09</v>
      </c>
      <c r="C348" s="3">
        <f>IFERROR(__xludf.DUMMYFUNCTION("""COMPUTED_VALUE"""),0.09999999999999432)</f>
        <v>0.1</v>
      </c>
    </row>
    <row r="349">
      <c r="A349" s="3">
        <f>IFERROR(__xludf.DUMMYFUNCTION("""COMPUTED_VALUE"""),-0.09999999999999432)</f>
        <v>-0.1</v>
      </c>
      <c r="B349" s="3">
        <f>IFERROR(__xludf.DUMMYFUNCTION("""COMPUTED_VALUE"""),-0.10000000000002274)</f>
        <v>-0.1</v>
      </c>
      <c r="C349" s="3">
        <f>IFERROR(__xludf.DUMMYFUNCTION("""COMPUTED_VALUE"""),0.0)</f>
        <v>0</v>
      </c>
    </row>
    <row r="350">
      <c r="A350" s="3">
        <f>IFERROR(__xludf.DUMMYFUNCTION("""COMPUTED_VALUE"""),-0.19999999999998863)</f>
        <v>-0.2</v>
      </c>
      <c r="B350" s="3">
        <f>IFERROR(__xludf.DUMMYFUNCTION("""COMPUTED_VALUE"""),-0.19999999999998863)</f>
        <v>-0.2</v>
      </c>
      <c r="C350" s="3">
        <f>IFERROR(__xludf.DUMMYFUNCTION("""COMPUTED_VALUE"""),0.0)</f>
        <v>0</v>
      </c>
    </row>
    <row r="351">
      <c r="A351" s="3">
        <f>IFERROR(__xludf.DUMMYFUNCTION("""COMPUTED_VALUE"""),0.19999999999998863)</f>
        <v>0.2</v>
      </c>
      <c r="B351" s="3">
        <f>IFERROR(__xludf.DUMMYFUNCTION("""COMPUTED_VALUE"""),-0.11000000000001364)</f>
        <v>-0.11</v>
      </c>
      <c r="C351" s="3">
        <f>IFERROR(__xludf.DUMMYFUNCTION("""COMPUTED_VALUE"""),-0.09999999999999432)</f>
        <v>-0.1</v>
      </c>
    </row>
    <row r="352">
      <c r="A352" s="3">
        <f>IFERROR(__xludf.DUMMYFUNCTION("""COMPUTED_VALUE"""),0.19999999999998863)</f>
        <v>0.2</v>
      </c>
      <c r="B352" s="3">
        <f>IFERROR(__xludf.DUMMYFUNCTION("""COMPUTED_VALUE"""),0.11000000000001364)</f>
        <v>0.11</v>
      </c>
      <c r="C352" s="3">
        <f>IFERROR(__xludf.DUMMYFUNCTION("""COMPUTED_VALUE"""),-0.11000000000001364)</f>
        <v>-0.11</v>
      </c>
    </row>
    <row r="353">
      <c r="A353" s="3">
        <f>IFERROR(__xludf.DUMMYFUNCTION("""COMPUTED_VALUE"""),0.0)</f>
        <v>0</v>
      </c>
      <c r="B353" s="3">
        <f>IFERROR(__xludf.DUMMYFUNCTION("""COMPUTED_VALUE"""),-0.30000000000001137)</f>
        <v>-0.3</v>
      </c>
      <c r="C353" s="3">
        <f>IFERROR(__xludf.DUMMYFUNCTION("""COMPUTED_VALUE"""),0.0)</f>
        <v>0</v>
      </c>
    </row>
    <row r="354">
      <c r="A354" s="3">
        <f>IFERROR(__xludf.DUMMYFUNCTION("""COMPUTED_VALUE"""),0.18999999999999773)</f>
        <v>0.19</v>
      </c>
      <c r="B354" s="3">
        <f>IFERROR(__xludf.DUMMYFUNCTION("""COMPUTED_VALUE"""),0.18999999999999773)</f>
        <v>0.19</v>
      </c>
      <c r="C354" s="3">
        <f>IFERROR(__xludf.DUMMYFUNCTION("""COMPUTED_VALUE"""),0.0)</f>
        <v>0</v>
      </c>
    </row>
    <row r="355">
      <c r="A355" s="3">
        <f>IFERROR(__xludf.DUMMYFUNCTION("""COMPUTED_VALUE"""),0.0)</f>
        <v>0</v>
      </c>
      <c r="B355" s="3">
        <f>IFERROR(__xludf.DUMMYFUNCTION("""COMPUTED_VALUE"""),0.21000000000000796)</f>
        <v>0.21</v>
      </c>
      <c r="C355" s="3">
        <f>IFERROR(__xludf.DUMMYFUNCTION("""COMPUTED_VALUE"""),0.11000000000001364)</f>
        <v>0.11</v>
      </c>
    </row>
    <row r="356">
      <c r="A356" s="3">
        <f>IFERROR(__xludf.DUMMYFUNCTION("""COMPUTED_VALUE"""),-0.08999999999997499)</f>
        <v>-0.09</v>
      </c>
      <c r="B356" s="3">
        <f>IFERROR(__xludf.DUMMYFUNCTION("""COMPUTED_VALUE"""),0.09999999999999432)</f>
        <v>0.1</v>
      </c>
      <c r="C356" s="3">
        <f>IFERROR(__xludf.DUMMYFUNCTION("""COMPUTED_VALUE"""),0.0)</f>
        <v>0</v>
      </c>
    </row>
    <row r="357">
      <c r="A357" s="3">
        <f>IFERROR(__xludf.DUMMYFUNCTION("""COMPUTED_VALUE"""),-0.10000000000002274)</f>
        <v>-0.1</v>
      </c>
      <c r="B357" s="3">
        <f>IFERROR(__xludf.DUMMYFUNCTION("""COMPUTED_VALUE"""),0.0)</f>
        <v>0</v>
      </c>
      <c r="C357" s="3">
        <f>IFERROR(__xludf.DUMMYFUNCTION("""COMPUTED_VALUE"""),-0.11000000000001364)</f>
        <v>-0.11</v>
      </c>
    </row>
    <row r="358">
      <c r="A358" s="3">
        <f>IFERROR(__xludf.DUMMYFUNCTION("""COMPUTED_VALUE"""),-1.0999999999999943)</f>
        <v>-1.1</v>
      </c>
      <c r="B358" s="3">
        <f>IFERROR(__xludf.DUMMYFUNCTION("""COMPUTED_VALUE"""),0.0)</f>
        <v>0</v>
      </c>
      <c r="C358" s="3">
        <f>IFERROR(__xludf.DUMMYFUNCTION("""COMPUTED_VALUE"""),0.11000000000001364)</f>
        <v>0.11</v>
      </c>
    </row>
    <row r="359">
      <c r="A359" s="3">
        <f>IFERROR(__xludf.DUMMYFUNCTION("""COMPUTED_VALUE"""),0.4000000000000057)</f>
        <v>0.4</v>
      </c>
      <c r="B359" s="3">
        <f>IFERROR(__xludf.DUMMYFUNCTION("""COMPUTED_VALUE"""),0.0)</f>
        <v>0</v>
      </c>
      <c r="C359" s="3">
        <f>IFERROR(__xludf.DUMMYFUNCTION("""COMPUTED_VALUE"""),0.0)</f>
        <v>0</v>
      </c>
    </row>
    <row r="360">
      <c r="A360" s="3">
        <f>IFERROR(__xludf.DUMMYFUNCTION("""COMPUTED_VALUE"""),0.19999999999998863)</f>
        <v>0.2</v>
      </c>
      <c r="B360" s="3">
        <f>IFERROR(__xludf.DUMMYFUNCTION("""COMPUTED_VALUE"""),0.0)</f>
        <v>0</v>
      </c>
      <c r="C360" s="3">
        <f>IFERROR(__xludf.DUMMYFUNCTION("""COMPUTED_VALUE"""),0.19999999999998863)</f>
        <v>0.2</v>
      </c>
    </row>
    <row r="361">
      <c r="A361" s="3">
        <f>IFERROR(__xludf.DUMMYFUNCTION("""COMPUTED_VALUE"""),0.18999999999999773)</f>
        <v>0.19</v>
      </c>
      <c r="B361" s="3">
        <f>IFERROR(__xludf.DUMMYFUNCTION("""COMPUTED_VALUE"""),0.0)</f>
        <v>0</v>
      </c>
      <c r="C361" s="3">
        <f>IFERROR(__xludf.DUMMYFUNCTION("""COMPUTED_VALUE"""),0.0)</f>
        <v>0</v>
      </c>
    </row>
    <row r="362">
      <c r="A362" s="3">
        <f>IFERROR(__xludf.DUMMYFUNCTION("""COMPUTED_VALUE"""),0.11000000000001364)</f>
        <v>0.11</v>
      </c>
      <c r="B362" s="3">
        <f>IFERROR(__xludf.DUMMYFUNCTION("""COMPUTED_VALUE"""),0.0)</f>
        <v>0</v>
      </c>
      <c r="C362" s="3">
        <f>IFERROR(__xludf.DUMMYFUNCTION("""COMPUTED_VALUE"""),0.0)</f>
        <v>0</v>
      </c>
    </row>
    <row r="363">
      <c r="A363" s="3">
        <f>IFERROR(__xludf.DUMMYFUNCTION("""COMPUTED_VALUE"""),0.09999999999999432)</f>
        <v>0.1</v>
      </c>
      <c r="B363" s="3">
        <f>IFERROR(__xludf.DUMMYFUNCTION("""COMPUTED_VALUE"""),0.0)</f>
        <v>0</v>
      </c>
      <c r="C363" s="3">
        <f>IFERROR(__xludf.DUMMYFUNCTION("""COMPUTED_VALUE"""),0.0)</f>
        <v>0</v>
      </c>
    </row>
    <row r="364">
      <c r="A364" s="3">
        <f>IFERROR(__xludf.DUMMYFUNCTION("""COMPUTED_VALUE"""),0.09999999999999432)</f>
        <v>0.1</v>
      </c>
      <c r="B364" s="3">
        <f>IFERROR(__xludf.DUMMYFUNCTION("""COMPUTED_VALUE"""),0.0)</f>
        <v>0</v>
      </c>
      <c r="C364" s="3">
        <f>IFERROR(__xludf.DUMMYFUNCTION("""COMPUTED_VALUE"""),0.0)</f>
        <v>0</v>
      </c>
    </row>
    <row r="365">
      <c r="A365" s="3">
        <f>IFERROR(__xludf.DUMMYFUNCTION("""COMPUTED_VALUE"""),0.18999999999999773)</f>
        <v>0.19</v>
      </c>
      <c r="B365" s="3">
        <f>IFERROR(__xludf.DUMMYFUNCTION("""COMPUTED_VALUE"""),0.0)</f>
        <v>0</v>
      </c>
      <c r="C365" s="3">
        <f>IFERROR(__xludf.DUMMYFUNCTION("""COMPUTED_VALUE"""),0.0)</f>
        <v>0</v>
      </c>
    </row>
    <row r="366">
      <c r="A366" s="3">
        <f>IFERROR(__xludf.DUMMYFUNCTION("""COMPUTED_VALUE"""),0.0)</f>
        <v>0</v>
      </c>
      <c r="B366" s="3">
        <f>IFERROR(__xludf.DUMMYFUNCTION("""COMPUTED_VALUE"""),0.0)</f>
        <v>0</v>
      </c>
      <c r="C366" s="3">
        <f>IFERROR(__xludf.DUMMYFUNCTION("""COMPUTED_VALUE"""),0.0)</f>
        <v>0</v>
      </c>
    </row>
    <row r="367">
      <c r="A367" s="3">
        <f>IFERROR(__xludf.DUMMYFUNCTION("""COMPUTED_VALUE"""),0.0)</f>
        <v>0</v>
      </c>
      <c r="B367" s="3">
        <f>IFERROR(__xludf.DUMMYFUNCTION("""COMPUTED_VALUE"""),-0.09999999999999432)</f>
        <v>-0.1</v>
      </c>
      <c r="C367" s="3">
        <f>IFERROR(__xludf.DUMMYFUNCTION("""COMPUTED_VALUE"""),-0.09999999999999432)</f>
        <v>-0.1</v>
      </c>
    </row>
    <row r="368">
      <c r="A368" s="3">
        <f>IFERROR(__xludf.DUMMYFUNCTION("""COMPUTED_VALUE"""),0.11000000000001364)</f>
        <v>0.11</v>
      </c>
      <c r="B368" s="3">
        <f>IFERROR(__xludf.DUMMYFUNCTION("""COMPUTED_VALUE"""),0.0)</f>
        <v>0</v>
      </c>
      <c r="C368" s="3">
        <f>IFERROR(__xludf.DUMMYFUNCTION("""COMPUTED_VALUE"""),0.0)</f>
        <v>0</v>
      </c>
    </row>
    <row r="369">
      <c r="A369" s="3">
        <f>IFERROR(__xludf.DUMMYFUNCTION("""COMPUTED_VALUE"""),0.0)</f>
        <v>0</v>
      </c>
      <c r="B369" s="3">
        <f>IFERROR(__xludf.DUMMYFUNCTION("""COMPUTED_VALUE"""),0.0)</f>
        <v>0</v>
      </c>
      <c r="C369" s="3">
        <f>IFERROR(__xludf.DUMMYFUNCTION("""COMPUTED_VALUE"""),0.0)</f>
        <v>0</v>
      </c>
    </row>
    <row r="370">
      <c r="A370" s="3">
        <f>IFERROR(__xludf.DUMMYFUNCTION("""COMPUTED_VALUE"""),0.0)</f>
        <v>0</v>
      </c>
      <c r="B370" s="3">
        <f>IFERROR(__xludf.DUMMYFUNCTION("""COMPUTED_VALUE"""),-0.09999999999999432)</f>
        <v>-0.1</v>
      </c>
      <c r="C370" s="3">
        <f>IFERROR(__xludf.DUMMYFUNCTION("""COMPUTED_VALUE"""),-0.09999999999999432)</f>
        <v>-0.1</v>
      </c>
    </row>
    <row r="371">
      <c r="A371" s="3">
        <f>IFERROR(__xludf.DUMMYFUNCTION("""COMPUTED_VALUE"""),0.0)</f>
        <v>0</v>
      </c>
      <c r="B371" s="3">
        <f>IFERROR(__xludf.DUMMYFUNCTION("""COMPUTED_VALUE"""),0.0)</f>
        <v>0</v>
      </c>
      <c r="C371" s="3">
        <f>IFERROR(__xludf.DUMMYFUNCTION("""COMPUTED_VALUE"""),0.0)</f>
        <v>0</v>
      </c>
    </row>
    <row r="372">
      <c r="A372" s="3">
        <f>IFERROR(__xludf.DUMMYFUNCTION("""COMPUTED_VALUE"""),-0.11000000000001364)</f>
        <v>-0.11</v>
      </c>
      <c r="B372" s="3">
        <f>IFERROR(__xludf.DUMMYFUNCTION("""COMPUTED_VALUE"""),0.09999999999999432)</f>
        <v>0.1</v>
      </c>
      <c r="C372" s="3">
        <f>IFERROR(__xludf.DUMMYFUNCTION("""COMPUTED_VALUE"""),0.0)</f>
        <v>0</v>
      </c>
    </row>
    <row r="373">
      <c r="A373" s="3">
        <f>IFERROR(__xludf.DUMMYFUNCTION("""COMPUTED_VALUE"""),0.0)</f>
        <v>0</v>
      </c>
      <c r="B373" s="3">
        <f>IFERROR(__xludf.DUMMYFUNCTION("""COMPUTED_VALUE"""),0.20000000000001705)</f>
        <v>0.2</v>
      </c>
      <c r="C373" s="3">
        <f>IFERROR(__xludf.DUMMYFUNCTION("""COMPUTED_VALUE"""),0.0)</f>
        <v>0</v>
      </c>
    </row>
    <row r="374">
      <c r="A374" s="3">
        <f>IFERROR(__xludf.DUMMYFUNCTION("""COMPUTED_VALUE"""),-0.08999999999997499)</f>
        <v>-0.09</v>
      </c>
      <c r="B374" s="3">
        <f>IFERROR(__xludf.DUMMYFUNCTION("""COMPUTED_VALUE"""),0.0)</f>
        <v>0</v>
      </c>
      <c r="C374" s="3">
        <f>IFERROR(__xludf.DUMMYFUNCTION("""COMPUTED_VALUE"""),-0.19999999999998863)</f>
        <v>-0.2</v>
      </c>
    </row>
    <row r="375">
      <c r="A375" s="3">
        <f>IFERROR(__xludf.DUMMYFUNCTION("""COMPUTED_VALUE"""),0.0)</f>
        <v>0</v>
      </c>
      <c r="B375" s="3">
        <f>IFERROR(__xludf.DUMMYFUNCTION("""COMPUTED_VALUE"""),0.0)</f>
        <v>0</v>
      </c>
      <c r="C375" s="3">
        <f>IFERROR(__xludf.DUMMYFUNCTION("""COMPUTED_VALUE"""),-0.10000000000002274)</f>
        <v>-0.1</v>
      </c>
    </row>
    <row r="376">
      <c r="A376" s="3">
        <f>IFERROR(__xludf.DUMMYFUNCTION("""COMPUTED_VALUE"""),0.29999999999998295)</f>
        <v>0.3</v>
      </c>
      <c r="B376" s="3">
        <f>IFERROR(__xludf.DUMMYFUNCTION("""COMPUTED_VALUE"""),-0.10000000000002274)</f>
        <v>-0.1</v>
      </c>
      <c r="C376" s="3">
        <f>IFERROR(__xludf.DUMMYFUNCTION("""COMPUTED_VALUE"""),0.10000000000002274)</f>
        <v>0.1</v>
      </c>
    </row>
    <row r="377">
      <c r="A377" s="3">
        <f>IFERROR(__xludf.DUMMYFUNCTION("""COMPUTED_VALUE"""),-0.29999999999998295)</f>
        <v>-0.3</v>
      </c>
      <c r="B377" s="3">
        <f>IFERROR(__xludf.DUMMYFUNCTION("""COMPUTED_VALUE"""),0.0)</f>
        <v>0</v>
      </c>
      <c r="C377" s="3">
        <f>IFERROR(__xludf.DUMMYFUNCTION("""COMPUTED_VALUE"""),0.08999999999997499)</f>
        <v>0.09</v>
      </c>
    </row>
    <row r="378">
      <c r="A378" s="3">
        <f>IFERROR(__xludf.DUMMYFUNCTION("""COMPUTED_VALUE"""),-0.10000000000002274)</f>
        <v>-0.1</v>
      </c>
      <c r="B378" s="3">
        <f>IFERROR(__xludf.DUMMYFUNCTION("""COMPUTED_VALUE"""),0.0)</f>
        <v>0</v>
      </c>
      <c r="C378" s="3">
        <f>IFERROR(__xludf.DUMMYFUNCTION("""COMPUTED_VALUE"""),0.0)</f>
        <v>0</v>
      </c>
    </row>
    <row r="379">
      <c r="A379" s="3">
        <f>IFERROR(__xludf.DUMMYFUNCTION("""COMPUTED_VALUE"""),-0.09999999999999432)</f>
        <v>-0.1</v>
      </c>
      <c r="B379" s="3">
        <f>IFERROR(__xludf.DUMMYFUNCTION("""COMPUTED_VALUE"""),0.0)</f>
        <v>0</v>
      </c>
      <c r="C379" s="3">
        <f>IFERROR(__xludf.DUMMYFUNCTION("""COMPUTED_VALUE"""),0.5)</f>
        <v>0.5</v>
      </c>
    </row>
    <row r="380">
      <c r="A380" s="3">
        <f>IFERROR(__xludf.DUMMYFUNCTION("""COMPUTED_VALUE"""),-0.09999999999999432)</f>
        <v>-0.1</v>
      </c>
      <c r="B380" s="3">
        <f>IFERROR(__xludf.DUMMYFUNCTION("""COMPUTED_VALUE"""),0.0)</f>
        <v>0</v>
      </c>
      <c r="C380" s="3">
        <f>IFERROR(__xludf.DUMMYFUNCTION("""COMPUTED_VALUE"""),0.0)</f>
        <v>0</v>
      </c>
    </row>
    <row r="381">
      <c r="A381" s="3">
        <f>IFERROR(__xludf.DUMMYFUNCTION("""COMPUTED_VALUE"""),0.0)</f>
        <v>0</v>
      </c>
      <c r="B381" s="3">
        <f>IFERROR(__xludf.DUMMYFUNCTION("""COMPUTED_VALUE"""),0.30000000000001137)</f>
        <v>0.3</v>
      </c>
      <c r="C381" s="3">
        <f>IFERROR(__xludf.DUMMYFUNCTION("""COMPUTED_VALUE"""),0.0)</f>
        <v>0</v>
      </c>
    </row>
    <row r="382">
      <c r="A382" s="3">
        <f>IFERROR(__xludf.DUMMYFUNCTION("""COMPUTED_VALUE"""),0.5)</f>
        <v>0.5</v>
      </c>
      <c r="B382" s="3">
        <f>IFERROR(__xludf.DUMMYFUNCTION("""COMPUTED_VALUE"""),1.8899999999999864)</f>
        <v>1.89</v>
      </c>
      <c r="C382" s="3">
        <f>IFERROR(__xludf.DUMMYFUNCTION("""COMPUTED_VALUE"""),-0.5)</f>
        <v>-0.5</v>
      </c>
    </row>
    <row r="383">
      <c r="A383" s="3">
        <f>IFERROR(__xludf.DUMMYFUNCTION("""COMPUTED_VALUE"""),0.8000000000000114)</f>
        <v>0.8</v>
      </c>
      <c r="B383" s="3">
        <f>IFERROR(__xludf.DUMMYFUNCTION("""COMPUTED_VALUE"""),0.0)</f>
        <v>0</v>
      </c>
      <c r="C383" s="3">
        <f>IFERROR(__xludf.DUMMYFUNCTION("""COMPUTED_VALUE"""),0.0)</f>
        <v>0</v>
      </c>
    </row>
    <row r="384">
      <c r="A384" s="3">
        <f>IFERROR(__xludf.DUMMYFUNCTION("""COMPUTED_VALUE"""),0.39999999999997726)</f>
        <v>0.4</v>
      </c>
      <c r="B384" s="3">
        <f>IFERROR(__xludf.DUMMYFUNCTION("""COMPUTED_VALUE"""),0.21000000000000796)</f>
        <v>0.21</v>
      </c>
      <c r="C384" s="3">
        <f>IFERROR(__xludf.DUMMYFUNCTION("""COMPUTED_VALUE"""),0.0)</f>
        <v>0</v>
      </c>
    </row>
    <row r="385">
      <c r="A385" s="3">
        <f>IFERROR(__xludf.DUMMYFUNCTION("""COMPUTED_VALUE"""),1.1899999999999977)</f>
        <v>1.19</v>
      </c>
      <c r="B385" s="3">
        <f>IFERROR(__xludf.DUMMYFUNCTION("""COMPUTED_VALUE"""),0.5999999999999943)</f>
        <v>0.6</v>
      </c>
      <c r="C385" s="3">
        <f>IFERROR(__xludf.DUMMYFUNCTION("""COMPUTED_VALUE"""),0.0)</f>
        <v>0</v>
      </c>
    </row>
    <row r="386">
      <c r="A386" s="3">
        <f>IFERROR(__xludf.DUMMYFUNCTION("""COMPUTED_VALUE"""),0.8100000000000023)</f>
        <v>0.81</v>
      </c>
      <c r="B386" s="3">
        <f>IFERROR(__xludf.DUMMYFUNCTION("""COMPUTED_VALUE"""),0.6000000000000227)</f>
        <v>0.6</v>
      </c>
      <c r="C386" s="3">
        <f>IFERROR(__xludf.DUMMYFUNCTION("""COMPUTED_VALUE"""),0.11000000000001364)</f>
        <v>0.11</v>
      </c>
    </row>
    <row r="387">
      <c r="A387" s="3">
        <f>IFERROR(__xludf.DUMMYFUNCTION("""COMPUTED_VALUE"""),0.6899999999999977)</f>
        <v>0.69</v>
      </c>
      <c r="B387" s="3">
        <f>IFERROR(__xludf.DUMMYFUNCTION("""COMPUTED_VALUE"""),0.39999999999997726)</f>
        <v>0.4</v>
      </c>
      <c r="C387" s="3">
        <f>IFERROR(__xludf.DUMMYFUNCTION("""COMPUTED_VALUE"""),1.0)</f>
        <v>1</v>
      </c>
    </row>
    <row r="388">
      <c r="A388" s="3">
        <f>IFERROR(__xludf.DUMMYFUNCTION("""COMPUTED_VALUE"""),0.410000000000025)</f>
        <v>0.41</v>
      </c>
      <c r="B388" s="3">
        <f>IFERROR(__xludf.DUMMYFUNCTION("""COMPUTED_VALUE"""),0.5)</f>
        <v>0.5</v>
      </c>
      <c r="C388" s="3">
        <f>IFERROR(__xludf.DUMMYFUNCTION("""COMPUTED_VALUE"""),-0.11000000000001364)</f>
        <v>-0.11</v>
      </c>
    </row>
    <row r="389">
      <c r="A389" s="3">
        <f>IFERROR(__xludf.DUMMYFUNCTION("""COMPUTED_VALUE"""),1.5)</f>
        <v>1.5</v>
      </c>
      <c r="B389" s="3">
        <f>IFERROR(__xludf.DUMMYFUNCTION("""COMPUTED_VALUE"""),0.9000000000000057)</f>
        <v>0.9</v>
      </c>
      <c r="C389" s="3">
        <f>IFERROR(__xludf.DUMMYFUNCTION("""COMPUTED_VALUE"""),-0.8899999999999864)</f>
        <v>-0.89</v>
      </c>
    </row>
    <row r="390">
      <c r="A390" s="3">
        <f>IFERROR(__xludf.DUMMYFUNCTION("""COMPUTED_VALUE"""),0.29999999999998295)</f>
        <v>0.3</v>
      </c>
      <c r="B390" s="3">
        <f>IFERROR(__xludf.DUMMYFUNCTION("""COMPUTED_VALUE"""),0.20000000000001705)</f>
        <v>0.2</v>
      </c>
      <c r="C390" s="3">
        <f>IFERROR(__xludf.DUMMYFUNCTION("""COMPUTED_VALUE"""),0.0)</f>
        <v>0</v>
      </c>
    </row>
    <row r="391">
      <c r="A391" s="3">
        <f>IFERROR(__xludf.DUMMYFUNCTION("""COMPUTED_VALUE"""),0.5999999999999943)</f>
        <v>0.6</v>
      </c>
      <c r="B391" s="3">
        <f>IFERROR(__xludf.DUMMYFUNCTION("""COMPUTED_VALUE"""),0.8999999999999773)</f>
        <v>0.9</v>
      </c>
      <c r="C391" s="3">
        <f>IFERROR(__xludf.DUMMYFUNCTION("""COMPUTED_VALUE"""),0.0)</f>
        <v>0</v>
      </c>
    </row>
    <row r="392">
      <c r="A392" s="3">
        <f>IFERROR(__xludf.DUMMYFUNCTION("""COMPUTED_VALUE"""),0.6000000000000227)</f>
        <v>0.6</v>
      </c>
      <c r="B392" s="3">
        <f>IFERROR(__xludf.DUMMYFUNCTION("""COMPUTED_VALUE"""),0.6899999999999977)</f>
        <v>0.69</v>
      </c>
      <c r="C392" s="3">
        <f>IFERROR(__xludf.DUMMYFUNCTION("""COMPUTED_VALUE"""),0.09999999999999432)</f>
        <v>0.1</v>
      </c>
    </row>
    <row r="393">
      <c r="A393" s="3">
        <f>IFERROR(__xludf.DUMMYFUNCTION("""COMPUTED_VALUE"""),1.089999999999975)</f>
        <v>1.09</v>
      </c>
      <c r="B393" s="3">
        <f>IFERROR(__xludf.DUMMYFUNCTION("""COMPUTED_VALUE"""),0.3100000000000023)</f>
        <v>0.31</v>
      </c>
      <c r="C393" s="3">
        <f>IFERROR(__xludf.DUMMYFUNCTION("""COMPUTED_VALUE"""),0.20000000000001705)</f>
        <v>0.2</v>
      </c>
    </row>
    <row r="394">
      <c r="A394" s="3">
        <f>IFERROR(__xludf.DUMMYFUNCTION("""COMPUTED_VALUE"""),1.5)</f>
        <v>1.5</v>
      </c>
      <c r="B394" s="3">
        <f>IFERROR(__xludf.DUMMYFUNCTION("""COMPUTED_VALUE"""),1.0)</f>
        <v>1</v>
      </c>
      <c r="C394" s="3">
        <f>IFERROR(__xludf.DUMMYFUNCTION("""COMPUTED_VALUE"""),0.39999999999997726)</f>
        <v>0.4</v>
      </c>
    </row>
    <row r="395">
      <c r="A395" s="3">
        <f>IFERROR(__xludf.DUMMYFUNCTION("""COMPUTED_VALUE"""),0.410000000000025)</f>
        <v>0.41</v>
      </c>
      <c r="B395" s="3">
        <f>IFERROR(__xludf.DUMMYFUNCTION("""COMPUTED_VALUE"""),1.0)</f>
        <v>1</v>
      </c>
      <c r="C395" s="3">
        <f>IFERROR(__xludf.DUMMYFUNCTION("""COMPUTED_VALUE"""),0.5)</f>
        <v>0.5</v>
      </c>
    </row>
    <row r="396">
      <c r="A396" s="3">
        <f>IFERROR(__xludf.DUMMYFUNCTION("""COMPUTED_VALUE"""),1.089999999999975)</f>
        <v>1.09</v>
      </c>
      <c r="B396" s="3">
        <f>IFERROR(__xludf.DUMMYFUNCTION("""COMPUTED_VALUE"""),0.30000000000001137)</f>
        <v>0.3</v>
      </c>
      <c r="C396" s="3">
        <f>IFERROR(__xludf.DUMMYFUNCTION("""COMPUTED_VALUE"""),0.4000000000000057)</f>
        <v>0.4</v>
      </c>
    </row>
    <row r="397">
      <c r="A397" s="3">
        <f>IFERROR(__xludf.DUMMYFUNCTION("""COMPUTED_VALUE"""),0.3100000000000023)</f>
        <v>0.31</v>
      </c>
      <c r="B397" s="3">
        <f>IFERROR(__xludf.DUMMYFUNCTION("""COMPUTED_VALUE"""),0.5)</f>
        <v>0.5</v>
      </c>
      <c r="C397" s="3">
        <f>IFERROR(__xludf.DUMMYFUNCTION("""COMPUTED_VALUE"""),0.700000000000017)</f>
        <v>0.7</v>
      </c>
    </row>
    <row r="398">
      <c r="A398" s="3">
        <f>IFERROR(__xludf.DUMMYFUNCTION("""COMPUTED_VALUE"""),0.6899999999999977)</f>
        <v>0.69</v>
      </c>
      <c r="B398" s="3">
        <f>IFERROR(__xludf.DUMMYFUNCTION("""COMPUTED_VALUE"""),0.6999999999999886)</f>
        <v>0.7</v>
      </c>
      <c r="C398" s="3">
        <f>IFERROR(__xludf.DUMMYFUNCTION("""COMPUTED_VALUE"""),0.39999999999997726)</f>
        <v>0.4</v>
      </c>
    </row>
    <row r="399">
      <c r="A399" s="3">
        <f>IFERROR(__xludf.DUMMYFUNCTION("""COMPUTED_VALUE"""),0.710000000000008)</f>
        <v>0.71</v>
      </c>
      <c r="B399" s="3">
        <f>IFERROR(__xludf.DUMMYFUNCTION("""COMPUTED_VALUE"""),0.6000000000000227)</f>
        <v>0.6</v>
      </c>
      <c r="C399" s="3">
        <f>IFERROR(__xludf.DUMMYFUNCTION("""COMPUTED_VALUE"""),0.5)</f>
        <v>0.5</v>
      </c>
    </row>
    <row r="400">
      <c r="A400" s="3">
        <f>IFERROR(__xludf.DUMMYFUNCTION("""COMPUTED_VALUE"""),0.789999999999992)</f>
        <v>0.79</v>
      </c>
      <c r="B400" s="3">
        <f>IFERROR(__xludf.DUMMYFUNCTION("""COMPUTED_VALUE"""),0.6999999999999886)</f>
        <v>0.7</v>
      </c>
      <c r="C400" s="3">
        <f>IFERROR(__xludf.DUMMYFUNCTION("""COMPUTED_VALUE"""),0.5)</f>
        <v>0.5</v>
      </c>
    </row>
    <row r="401">
      <c r="A401" s="3">
        <f>IFERROR(__xludf.DUMMYFUNCTION("""COMPUTED_VALUE"""),2.210000000000008)</f>
        <v>2.21</v>
      </c>
      <c r="B401" s="3">
        <f>IFERROR(__xludf.DUMMYFUNCTION("""COMPUTED_VALUE"""),2.3899999999999864)</f>
        <v>2.39</v>
      </c>
      <c r="C401" s="3">
        <f>IFERROR(__xludf.DUMMYFUNCTION("""COMPUTED_VALUE"""),0.6899999999999977)</f>
        <v>0.69</v>
      </c>
    </row>
    <row r="402">
      <c r="A402" s="3">
        <f>IFERROR(__xludf.DUMMYFUNCTION("""COMPUTED_VALUE"""),0.5)</f>
        <v>0.5</v>
      </c>
      <c r="B402" s="3">
        <f>IFERROR(__xludf.DUMMYFUNCTION("""COMPUTED_VALUE"""),0.8100000000000023)</f>
        <v>0.81</v>
      </c>
      <c r="C402" s="3">
        <f>IFERROR(__xludf.DUMMYFUNCTION("""COMPUTED_VALUE"""),0.3100000000000023)</f>
        <v>0.31</v>
      </c>
    </row>
    <row r="403">
      <c r="A403" s="3">
        <f>IFERROR(__xludf.DUMMYFUNCTION("""COMPUTED_VALUE"""),0.4000000000000057)</f>
        <v>0.4</v>
      </c>
      <c r="B403" s="3">
        <f>IFERROR(__xludf.DUMMYFUNCTION("""COMPUTED_VALUE"""),0.18999999999999773)</f>
        <v>0.19</v>
      </c>
      <c r="C403" s="3">
        <f>IFERROR(__xludf.DUMMYFUNCTION("""COMPUTED_VALUE"""),0.8000000000000114)</f>
        <v>0.8</v>
      </c>
    </row>
    <row r="404">
      <c r="A404" s="3">
        <f>IFERROR(__xludf.DUMMYFUNCTION("""COMPUTED_VALUE"""),0.38999999999998636)</f>
        <v>0.39</v>
      </c>
      <c r="B404" s="3">
        <f>IFERROR(__xludf.DUMMYFUNCTION("""COMPUTED_VALUE"""),0.21000000000000796)</f>
        <v>0.21</v>
      </c>
      <c r="C404" s="3">
        <f>IFERROR(__xludf.DUMMYFUNCTION("""COMPUTED_VALUE"""),0.30000000000001137)</f>
        <v>0.3</v>
      </c>
    </row>
    <row r="405">
      <c r="A405" s="3">
        <f>IFERROR(__xludf.DUMMYFUNCTION("""COMPUTED_VALUE"""),0.5)</f>
        <v>0.5</v>
      </c>
      <c r="B405" s="3">
        <f>IFERROR(__xludf.DUMMYFUNCTION("""COMPUTED_VALUE"""),0.4000000000000057)</f>
        <v>0.4</v>
      </c>
      <c r="C405" s="3">
        <f>IFERROR(__xludf.DUMMYFUNCTION("""COMPUTED_VALUE"""),0.39999999999997726)</f>
        <v>0.4</v>
      </c>
    </row>
    <row r="406">
      <c r="A406" s="3">
        <f>IFERROR(__xludf.DUMMYFUNCTION("""COMPUTED_VALUE"""),1.3100000000000023)</f>
        <v>1.31</v>
      </c>
      <c r="B406" s="3">
        <f>IFERROR(__xludf.DUMMYFUNCTION("""COMPUTED_VALUE"""),0.38999999999998636)</f>
        <v>0.39</v>
      </c>
      <c r="C406" s="3">
        <f>IFERROR(__xludf.DUMMYFUNCTION("""COMPUTED_VALUE"""),0.6000000000000227)</f>
        <v>0.6</v>
      </c>
    </row>
    <row r="407">
      <c r="A407" s="3">
        <f>IFERROR(__xludf.DUMMYFUNCTION("""COMPUTED_VALUE"""),1.0)</f>
        <v>1</v>
      </c>
      <c r="B407" s="3">
        <f>IFERROR(__xludf.DUMMYFUNCTION("""COMPUTED_VALUE"""),0.8100000000000023)</f>
        <v>0.81</v>
      </c>
      <c r="C407" s="3">
        <f>IFERROR(__xludf.DUMMYFUNCTION("""COMPUTED_VALUE"""),0.799999999999983)</f>
        <v>0.8</v>
      </c>
    </row>
    <row r="408">
      <c r="A408" s="3">
        <f>IFERROR(__xludf.DUMMYFUNCTION("""COMPUTED_VALUE"""),1.5)</f>
        <v>1.5</v>
      </c>
      <c r="B408" s="3">
        <f>IFERROR(__xludf.DUMMYFUNCTION("""COMPUTED_VALUE"""),0.9000000000000057)</f>
        <v>0.9</v>
      </c>
      <c r="C408" s="3">
        <f>IFERROR(__xludf.DUMMYFUNCTION("""COMPUTED_VALUE"""),0.28999999999999204)</f>
        <v>0.29</v>
      </c>
    </row>
    <row r="409">
      <c r="A409" s="3">
        <f>IFERROR(__xludf.DUMMYFUNCTION("""COMPUTED_VALUE"""),0.6000000000000227)</f>
        <v>0.6</v>
      </c>
      <c r="B409" s="3">
        <f>IFERROR(__xludf.DUMMYFUNCTION("""COMPUTED_VALUE"""),1.4000000000000057)</f>
        <v>1.4</v>
      </c>
      <c r="C409" s="3">
        <f>IFERROR(__xludf.DUMMYFUNCTION("""COMPUTED_VALUE"""),1.5)</f>
        <v>1.5</v>
      </c>
    </row>
    <row r="410">
      <c r="A410" s="3">
        <f>IFERROR(__xludf.DUMMYFUNCTION("""COMPUTED_VALUE"""),0.589999999999975)</f>
        <v>0.59</v>
      </c>
      <c r="B410" s="3">
        <f>IFERROR(__xludf.DUMMYFUNCTION("""COMPUTED_VALUE"""),0.19999999999998863)</f>
        <v>0.2</v>
      </c>
      <c r="C410" s="3">
        <f>IFERROR(__xludf.DUMMYFUNCTION("""COMPUTED_VALUE"""),0.3100000000000023)</f>
        <v>0.31</v>
      </c>
    </row>
    <row r="411">
      <c r="A411" s="3">
        <f>IFERROR(__xludf.DUMMYFUNCTION("""COMPUTED_VALUE"""),0.8100000000000023)</f>
        <v>0.81</v>
      </c>
      <c r="B411" s="3">
        <f>IFERROR(__xludf.DUMMYFUNCTION("""COMPUTED_VALUE"""),0.6000000000000227)</f>
        <v>0.6</v>
      </c>
      <c r="C411" s="3">
        <f>IFERROR(__xludf.DUMMYFUNCTION("""COMPUTED_VALUE"""),0.5)</f>
        <v>0.5</v>
      </c>
    </row>
    <row r="412">
      <c r="A412" s="3">
        <f>IFERROR(__xludf.DUMMYFUNCTION("""COMPUTED_VALUE"""),2.6899999999999977)</f>
        <v>2.69</v>
      </c>
      <c r="B412" s="3">
        <f>IFERROR(__xludf.DUMMYFUNCTION("""COMPUTED_VALUE"""),0.589999999999975)</f>
        <v>0.59</v>
      </c>
      <c r="C412" s="3">
        <f>IFERROR(__xludf.DUMMYFUNCTION("""COMPUTED_VALUE"""),0.6000000000000227)</f>
        <v>0.6</v>
      </c>
    </row>
    <row r="413">
      <c r="A413" s="3">
        <f>IFERROR(__xludf.DUMMYFUNCTION("""COMPUTED_VALUE"""),0.0)</f>
        <v>0</v>
      </c>
      <c r="B413" s="3">
        <f>IFERROR(__xludf.DUMMYFUNCTION("""COMPUTED_VALUE"""),0.6100000000000136)</f>
        <v>0.61</v>
      </c>
      <c r="C413" s="3">
        <f>IFERROR(__xludf.DUMMYFUNCTION("""COMPUTED_VALUE"""),0.589999999999975)</f>
        <v>0.59</v>
      </c>
    </row>
    <row r="414">
      <c r="A414" s="3">
        <f>IFERROR(__xludf.DUMMYFUNCTION("""COMPUTED_VALUE"""),0.21000000000000796)</f>
        <v>0.21</v>
      </c>
      <c r="B414" s="3">
        <f>IFERROR(__xludf.DUMMYFUNCTION("""COMPUTED_VALUE"""),0.8000000000000114)</f>
        <v>0.8</v>
      </c>
      <c r="C414" s="3">
        <f>IFERROR(__xludf.DUMMYFUNCTION("""COMPUTED_VALUE"""),0.5)</f>
        <v>0.5</v>
      </c>
    </row>
    <row r="415">
      <c r="A415" s="3">
        <f>IFERROR(__xludf.DUMMYFUNCTION("""COMPUTED_VALUE"""),0.4000000000000057)</f>
        <v>0.4</v>
      </c>
      <c r="B415" s="3">
        <f>IFERROR(__xludf.DUMMYFUNCTION("""COMPUTED_VALUE"""),0.5)</f>
        <v>0.5</v>
      </c>
      <c r="C415" s="3">
        <f>IFERROR(__xludf.DUMMYFUNCTION("""COMPUTED_VALUE"""),0.5)</f>
        <v>0.5</v>
      </c>
    </row>
    <row r="416">
      <c r="A416" s="3">
        <f>IFERROR(__xludf.DUMMYFUNCTION("""COMPUTED_VALUE"""),0.8000000000000114)</f>
        <v>0.8</v>
      </c>
      <c r="B416" s="3">
        <f>IFERROR(__xludf.DUMMYFUNCTION("""COMPUTED_VALUE"""),0.6999999999999886)</f>
        <v>0.7</v>
      </c>
      <c r="C416" s="3">
        <f>IFERROR(__xludf.DUMMYFUNCTION("""COMPUTED_VALUE"""),1.210000000000008)</f>
        <v>1.21</v>
      </c>
    </row>
    <row r="417">
      <c r="A417" s="3">
        <f>IFERROR(__xludf.DUMMYFUNCTION("""COMPUTED_VALUE"""),2.0)</f>
        <v>2</v>
      </c>
      <c r="B417" s="3">
        <f>IFERROR(__xludf.DUMMYFUNCTION("""COMPUTED_VALUE"""),0.30000000000001137)</f>
        <v>0.3</v>
      </c>
      <c r="C417" s="3">
        <f>IFERROR(__xludf.DUMMYFUNCTION("""COMPUTED_VALUE"""),0.09999999999999432)</f>
        <v>0.1</v>
      </c>
    </row>
    <row r="418">
      <c r="A418" s="3">
        <f>IFERROR(__xludf.DUMMYFUNCTION("""COMPUTED_VALUE"""),1.0999999999999943)</f>
        <v>1.1</v>
      </c>
      <c r="B418" s="3">
        <f>IFERROR(__xludf.DUMMYFUNCTION("""COMPUTED_VALUE"""),0.5)</f>
        <v>0.5</v>
      </c>
      <c r="C418" s="3">
        <f>IFERROR(__xludf.DUMMYFUNCTION("""COMPUTED_VALUE"""),0.6899999999999977)</f>
        <v>0.69</v>
      </c>
    </row>
    <row r="419">
      <c r="A419" s="3">
        <f>IFERROR(__xludf.DUMMYFUNCTION("""COMPUTED_VALUE"""),0.09999999999999432)</f>
        <v>0.1</v>
      </c>
      <c r="B419" s="3">
        <f>IFERROR(__xludf.DUMMYFUNCTION("""COMPUTED_VALUE"""),0.589999999999975)</f>
        <v>0.59</v>
      </c>
      <c r="C419" s="3">
        <f>IFERROR(__xludf.DUMMYFUNCTION("""COMPUTED_VALUE"""),0.5)</f>
        <v>0.5</v>
      </c>
    </row>
    <row r="420">
      <c r="A420" s="3">
        <f>IFERROR(__xludf.DUMMYFUNCTION("""COMPUTED_VALUE"""),0.5999999999999943)</f>
        <v>0.6</v>
      </c>
      <c r="B420" s="3">
        <f>IFERROR(__xludf.DUMMYFUNCTION("""COMPUTED_VALUE"""),0.710000000000008)</f>
        <v>0.71</v>
      </c>
      <c r="C420" s="3">
        <f>IFERROR(__xludf.DUMMYFUNCTION("""COMPUTED_VALUE"""),0.5)</f>
        <v>0.5</v>
      </c>
    </row>
    <row r="421">
      <c r="A421" s="3">
        <f>IFERROR(__xludf.DUMMYFUNCTION("""COMPUTED_VALUE"""),0.5999999999999943)</f>
        <v>0.6</v>
      </c>
      <c r="B421" s="3">
        <f>IFERROR(__xludf.DUMMYFUNCTION("""COMPUTED_VALUE"""),1.200000000000017)</f>
        <v>1.2</v>
      </c>
      <c r="C421" s="3">
        <f>IFERROR(__xludf.DUMMYFUNCTION("""COMPUTED_VALUE"""),0.410000000000025)</f>
        <v>0.41</v>
      </c>
    </row>
    <row r="422">
      <c r="A422" s="3">
        <f>IFERROR(__xludf.DUMMYFUNCTION("""COMPUTED_VALUE"""),0.8000000000000114)</f>
        <v>0.8</v>
      </c>
      <c r="B422" s="3">
        <f>IFERROR(__xludf.DUMMYFUNCTION("""COMPUTED_VALUE"""),0.6999999999999886)</f>
        <v>0.7</v>
      </c>
      <c r="C422" s="3">
        <f>IFERROR(__xludf.DUMMYFUNCTION("""COMPUTED_VALUE"""),1.0)</f>
        <v>1</v>
      </c>
    </row>
    <row r="423">
      <c r="A423" s="3">
        <f>IFERROR(__xludf.DUMMYFUNCTION("""COMPUTED_VALUE"""),0.8000000000000114)</f>
        <v>0.8</v>
      </c>
      <c r="B423" s="3">
        <f>IFERROR(__xludf.DUMMYFUNCTION("""COMPUTED_VALUE"""),0.5999999999999943)</f>
        <v>0.6</v>
      </c>
      <c r="C423" s="3">
        <f>IFERROR(__xludf.DUMMYFUNCTION("""COMPUTED_VALUE"""),0.19999999999998863)</f>
        <v>0.2</v>
      </c>
    </row>
    <row r="424">
      <c r="A424" s="3">
        <f>IFERROR(__xludf.DUMMYFUNCTION("""COMPUTED_VALUE"""),0.5999999999999943)</f>
        <v>0.6</v>
      </c>
      <c r="B424" s="3">
        <f>IFERROR(__xludf.DUMMYFUNCTION("""COMPUTED_VALUE"""),0.8000000000000114)</f>
        <v>0.8</v>
      </c>
      <c r="C424" s="3">
        <f>IFERROR(__xludf.DUMMYFUNCTION("""COMPUTED_VALUE"""),0.5)</f>
        <v>0.5</v>
      </c>
    </row>
    <row r="425">
      <c r="A425" s="3">
        <f>IFERROR(__xludf.DUMMYFUNCTION("""COMPUTED_VALUE"""),1.0)</f>
        <v>1</v>
      </c>
      <c r="B425" s="3">
        <f>IFERROR(__xludf.DUMMYFUNCTION("""COMPUTED_VALUE"""),1.0999999999999943)</f>
        <v>1.1</v>
      </c>
      <c r="C425" s="3">
        <f>IFERROR(__xludf.DUMMYFUNCTION("""COMPUTED_VALUE"""),1.0)</f>
        <v>1</v>
      </c>
    </row>
    <row r="426">
      <c r="A426" s="3">
        <f>IFERROR(__xludf.DUMMYFUNCTION("""COMPUTED_VALUE"""),0.9000000000000057)</f>
        <v>0.9</v>
      </c>
      <c r="B426" s="3">
        <f>IFERROR(__xludf.DUMMYFUNCTION("""COMPUTED_VALUE"""),0.9000000000000057)</f>
        <v>0.9</v>
      </c>
      <c r="C426" s="3">
        <f>IFERROR(__xludf.DUMMYFUNCTION("""COMPUTED_VALUE"""),0.6999999999999886)</f>
        <v>0.7</v>
      </c>
    </row>
    <row r="427">
      <c r="A427" s="3">
        <f>IFERROR(__xludf.DUMMYFUNCTION("""COMPUTED_VALUE"""),1.3999999999999773)</f>
        <v>1.4</v>
      </c>
      <c r="B427" s="3">
        <f>IFERROR(__xludf.DUMMYFUNCTION("""COMPUTED_VALUE"""),0.9000000000000057)</f>
        <v>0.9</v>
      </c>
      <c r="C427" s="3">
        <f>IFERROR(__xludf.DUMMYFUNCTION("""COMPUTED_VALUE"""),1.6899999999999977)</f>
        <v>1.69</v>
      </c>
    </row>
    <row r="428">
      <c r="A428" s="3">
        <f>IFERROR(__xludf.DUMMYFUNCTION("""COMPUTED_VALUE"""),0.700000000000017)</f>
        <v>0.7</v>
      </c>
      <c r="B428" s="3">
        <f>IFERROR(__xludf.DUMMYFUNCTION("""COMPUTED_VALUE"""),1.0999999999999943)</f>
        <v>1.1</v>
      </c>
      <c r="C428" s="3">
        <f>IFERROR(__xludf.DUMMYFUNCTION("""COMPUTED_VALUE"""),0.3100000000000023)</f>
        <v>0.31</v>
      </c>
    </row>
    <row r="429">
      <c r="A429" s="3">
        <f>IFERROR(__xludf.DUMMYFUNCTION("""COMPUTED_VALUE"""),0.5999999999999943)</f>
        <v>0.6</v>
      </c>
      <c r="B429" s="3">
        <f>IFERROR(__xludf.DUMMYFUNCTION("""COMPUTED_VALUE"""),0.29999999999998295)</f>
        <v>0.3</v>
      </c>
      <c r="C429" s="3">
        <f>IFERROR(__xludf.DUMMYFUNCTION("""COMPUTED_VALUE"""),0.18999999999999773)</f>
        <v>0.19</v>
      </c>
    </row>
    <row r="430">
      <c r="A430" s="3">
        <f>IFERROR(__xludf.DUMMYFUNCTION("""COMPUTED_VALUE"""),0.5999999999999943)</f>
        <v>0.6</v>
      </c>
      <c r="B430" s="3">
        <f>IFERROR(__xludf.DUMMYFUNCTION("""COMPUTED_VALUE"""),0.6000000000000227)</f>
        <v>0.6</v>
      </c>
      <c r="C430" s="3">
        <f>IFERROR(__xludf.DUMMYFUNCTION("""COMPUTED_VALUE"""),0.3100000000000023)</f>
        <v>0.31</v>
      </c>
    </row>
    <row r="431">
      <c r="A431" s="3">
        <f>IFERROR(__xludf.DUMMYFUNCTION("""COMPUTED_VALUE"""),-0.6999999999999886)</f>
        <v>-0.7</v>
      </c>
      <c r="B431" s="3">
        <f>IFERROR(__xludf.DUMMYFUNCTION("""COMPUTED_VALUE"""),0.5999999999999943)</f>
        <v>0.6</v>
      </c>
      <c r="C431" s="3">
        <f>IFERROR(__xludf.DUMMYFUNCTION("""COMPUTED_VALUE"""),0.4000000000000057)</f>
        <v>0.4</v>
      </c>
    </row>
    <row r="432">
      <c r="A432" s="3">
        <f>IFERROR(__xludf.DUMMYFUNCTION("""COMPUTED_VALUE"""),0.4000000000000057)</f>
        <v>0.4</v>
      </c>
      <c r="B432" s="3">
        <f>IFERROR(__xludf.DUMMYFUNCTION("""COMPUTED_VALUE"""),0.6999999999999886)</f>
        <v>0.7</v>
      </c>
      <c r="C432" s="3">
        <f>IFERROR(__xludf.DUMMYFUNCTION("""COMPUTED_VALUE"""),0.700000000000017)</f>
        <v>0.7</v>
      </c>
    </row>
    <row r="433">
      <c r="A433" s="3">
        <f>IFERROR(__xludf.DUMMYFUNCTION("""COMPUTED_VALUE"""),0.6999999999999886)</f>
        <v>0.7</v>
      </c>
      <c r="B433" s="3">
        <f>IFERROR(__xludf.DUMMYFUNCTION("""COMPUTED_VALUE"""),0.9000000000000057)</f>
        <v>0.9</v>
      </c>
      <c r="C433" s="3">
        <f>IFERROR(__xludf.DUMMYFUNCTION("""COMPUTED_VALUE"""),1.089999999999975)</f>
        <v>1.09</v>
      </c>
    </row>
    <row r="434">
      <c r="A434" s="3">
        <f>IFERROR(__xludf.DUMMYFUNCTION("""COMPUTED_VALUE"""),0.30000000000001137)</f>
        <v>0.3</v>
      </c>
      <c r="B434" s="3">
        <f>IFERROR(__xludf.DUMMYFUNCTION("""COMPUTED_VALUE"""),0.6999999999999886)</f>
        <v>0.7</v>
      </c>
      <c r="C434" s="3">
        <f>IFERROR(__xludf.DUMMYFUNCTION("""COMPUTED_VALUE"""),0.410000000000025)</f>
        <v>0.41</v>
      </c>
    </row>
    <row r="435">
      <c r="A435" s="3">
        <f>IFERROR(__xludf.DUMMYFUNCTION("""COMPUTED_VALUE"""),-1.200000000000017)</f>
        <v>-1.2</v>
      </c>
      <c r="B435" s="3">
        <f>IFERROR(__xludf.DUMMYFUNCTION("""COMPUTED_VALUE"""),0.700000000000017)</f>
        <v>0.7</v>
      </c>
      <c r="C435" s="3">
        <f>IFERROR(__xludf.DUMMYFUNCTION("""COMPUTED_VALUE"""),0.39999999999997726)</f>
        <v>0.4</v>
      </c>
    </row>
    <row r="436">
      <c r="A436" s="3">
        <f>IFERROR(__xludf.DUMMYFUNCTION("""COMPUTED_VALUE"""),1.4000000000000057)</f>
        <v>1.4</v>
      </c>
      <c r="B436" s="3">
        <f>IFERROR(__xludf.DUMMYFUNCTION("""COMPUTED_VALUE"""),0.29999999999998295)</f>
        <v>0.3</v>
      </c>
      <c r="C436" s="3">
        <f>IFERROR(__xludf.DUMMYFUNCTION("""COMPUTED_VALUE"""),0.6000000000000227)</f>
        <v>0.6</v>
      </c>
    </row>
    <row r="437">
      <c r="A437" s="3">
        <f>IFERROR(__xludf.DUMMYFUNCTION("""COMPUTED_VALUE"""),0.0)</f>
        <v>0</v>
      </c>
      <c r="B437" s="3">
        <f>IFERROR(__xludf.DUMMYFUNCTION("""COMPUTED_VALUE"""),1.1000000000000227)</f>
        <v>1.1</v>
      </c>
      <c r="C437" s="3">
        <f>IFERROR(__xludf.DUMMYFUNCTION("""COMPUTED_VALUE"""),0.589999999999975)</f>
        <v>0.59</v>
      </c>
    </row>
    <row r="438">
      <c r="A438" s="3">
        <f>IFERROR(__xludf.DUMMYFUNCTION("""COMPUTED_VALUE"""),0.0)</f>
        <v>0</v>
      </c>
      <c r="B438" s="3">
        <f>IFERROR(__xludf.DUMMYFUNCTION("""COMPUTED_VALUE"""),0.5999999999999943)</f>
        <v>0.6</v>
      </c>
      <c r="C438" s="3">
        <f>IFERROR(__xludf.DUMMYFUNCTION("""COMPUTED_VALUE"""),0.710000000000008)</f>
        <v>0.71</v>
      </c>
    </row>
    <row r="439">
      <c r="A439" s="3">
        <f>IFERROR(__xludf.DUMMYFUNCTION("""COMPUTED_VALUE"""),0.09999999999999432)</f>
        <v>0.1</v>
      </c>
      <c r="B439" s="3">
        <f>IFERROR(__xludf.DUMMYFUNCTION("""COMPUTED_VALUE"""),0.4000000000000057)</f>
        <v>0.4</v>
      </c>
      <c r="C439" s="3">
        <f>IFERROR(__xludf.DUMMYFUNCTION("""COMPUTED_VALUE"""),0.5999999999999943)</f>
        <v>0.6</v>
      </c>
    </row>
    <row r="440">
      <c r="A440" s="3">
        <f>IFERROR(__xludf.DUMMYFUNCTION("""COMPUTED_VALUE"""),0.09999999999999432)</f>
        <v>0.1</v>
      </c>
      <c r="B440" s="3">
        <f>IFERROR(__xludf.DUMMYFUNCTION("""COMPUTED_VALUE"""),1.1999999999999886)</f>
        <v>1.2</v>
      </c>
      <c r="C440" s="3">
        <f>IFERROR(__xludf.DUMMYFUNCTION("""COMPUTED_VALUE"""),0.9000000000000057)</f>
        <v>0.9</v>
      </c>
    </row>
    <row r="441">
      <c r="A441" s="3">
        <f>IFERROR(__xludf.DUMMYFUNCTION("""COMPUTED_VALUE"""),0.30000000000001137)</f>
        <v>0.3</v>
      </c>
      <c r="B441" s="3">
        <f>IFERROR(__xludf.DUMMYFUNCTION("""COMPUTED_VALUE"""),0.5)</f>
        <v>0.5</v>
      </c>
      <c r="C441" s="3">
        <f>IFERROR(__xludf.DUMMYFUNCTION("""COMPUTED_VALUE"""),0.4000000000000057)</f>
        <v>0.4</v>
      </c>
    </row>
    <row r="442">
      <c r="A442" s="3">
        <f>IFERROR(__xludf.DUMMYFUNCTION("""COMPUTED_VALUE"""),0.5)</f>
        <v>0.5</v>
      </c>
      <c r="B442" s="3">
        <f>IFERROR(__xludf.DUMMYFUNCTION("""COMPUTED_VALUE"""),0.4000000000000057)</f>
        <v>0.4</v>
      </c>
      <c r="C442" s="3">
        <f>IFERROR(__xludf.DUMMYFUNCTION("""COMPUTED_VALUE"""),0.5999999999999943)</f>
        <v>0.6</v>
      </c>
    </row>
    <row r="443">
      <c r="A443" s="3">
        <f>IFERROR(__xludf.DUMMYFUNCTION("""COMPUTED_VALUE"""),0.8000000000000114)</f>
        <v>0.8</v>
      </c>
      <c r="B443" s="3">
        <f>IFERROR(__xludf.DUMMYFUNCTION("""COMPUTED_VALUE"""),0.9000000000000057)</f>
        <v>0.9</v>
      </c>
      <c r="C443" s="3">
        <f>IFERROR(__xludf.DUMMYFUNCTION("""COMPUTED_VALUE"""),0.5999999999999943)</f>
        <v>0.6</v>
      </c>
    </row>
    <row r="444">
      <c r="A444" s="3">
        <f>IFERROR(__xludf.DUMMYFUNCTION("""COMPUTED_VALUE"""),0.09999999999999432)</f>
        <v>0.1</v>
      </c>
      <c r="B444" s="3">
        <f>IFERROR(__xludf.DUMMYFUNCTION("""COMPUTED_VALUE"""),0.5999999999999943)</f>
        <v>0.6</v>
      </c>
      <c r="C444" s="3">
        <f>IFERROR(__xludf.DUMMYFUNCTION("""COMPUTED_VALUE"""),0.4000000000000057)</f>
        <v>0.4</v>
      </c>
    </row>
    <row r="445">
      <c r="A445" s="3">
        <f>IFERROR(__xludf.DUMMYFUNCTION("""COMPUTED_VALUE"""),0.799999999999983)</f>
        <v>0.8</v>
      </c>
      <c r="B445" s="3">
        <f>IFERROR(__xludf.DUMMYFUNCTION("""COMPUTED_VALUE"""),0.5999999999999943)</f>
        <v>0.6</v>
      </c>
      <c r="C445" s="3">
        <f>IFERROR(__xludf.DUMMYFUNCTION("""COMPUTED_VALUE"""),0.5)</f>
        <v>0.5</v>
      </c>
    </row>
    <row r="446">
      <c r="A446" s="3">
        <f>IFERROR(__xludf.DUMMYFUNCTION("""COMPUTED_VALUE"""),0.8000000000000114)</f>
        <v>0.8</v>
      </c>
      <c r="B446" s="3">
        <f>IFERROR(__xludf.DUMMYFUNCTION("""COMPUTED_VALUE"""),0.5)</f>
        <v>0.5</v>
      </c>
      <c r="C446" s="3">
        <f>IFERROR(__xludf.DUMMYFUNCTION("""COMPUTED_VALUE"""),0.5)</f>
        <v>0.5</v>
      </c>
    </row>
    <row r="447">
      <c r="A447" s="3">
        <f>IFERROR(__xludf.DUMMYFUNCTION("""COMPUTED_VALUE"""),0.8000000000000114)</f>
        <v>0.8</v>
      </c>
      <c r="B447" s="3">
        <f>IFERROR(__xludf.DUMMYFUNCTION("""COMPUTED_VALUE"""),1.1999999999999886)</f>
        <v>1.2</v>
      </c>
      <c r="C447" s="3">
        <f>IFERROR(__xludf.DUMMYFUNCTION("""COMPUTED_VALUE"""),0.5)</f>
        <v>0.5</v>
      </c>
    </row>
    <row r="448">
      <c r="A448" s="3">
        <f>IFERROR(__xludf.DUMMYFUNCTION("""COMPUTED_VALUE"""),0.799999999999983)</f>
        <v>0.8</v>
      </c>
      <c r="B448" s="3">
        <f>IFERROR(__xludf.DUMMYFUNCTION("""COMPUTED_VALUE"""),0.4000000000000057)</f>
        <v>0.4</v>
      </c>
      <c r="C448" s="3">
        <f>IFERROR(__xludf.DUMMYFUNCTION("""COMPUTED_VALUE"""),0.700000000000017)</f>
        <v>0.7</v>
      </c>
    </row>
    <row r="449">
      <c r="A449" s="3">
        <f>IFERROR(__xludf.DUMMYFUNCTION("""COMPUTED_VALUE"""),1.0999999999999943)</f>
        <v>1.1</v>
      </c>
      <c r="B449" s="3">
        <f>IFERROR(__xludf.DUMMYFUNCTION("""COMPUTED_VALUE"""),0.5)</f>
        <v>0.5</v>
      </c>
      <c r="C449" s="3">
        <f>IFERROR(__xludf.DUMMYFUNCTION("""COMPUTED_VALUE"""),0.5)</f>
        <v>0.5</v>
      </c>
    </row>
    <row r="450">
      <c r="A450" s="3">
        <f>IFERROR(__xludf.DUMMYFUNCTION("""COMPUTED_VALUE"""),0.20000000000001705)</f>
        <v>0.2</v>
      </c>
      <c r="B450" s="3">
        <f>IFERROR(__xludf.DUMMYFUNCTION("""COMPUTED_VALUE"""),0.5)</f>
        <v>0.5</v>
      </c>
      <c r="C450" s="3">
        <f>IFERROR(__xludf.DUMMYFUNCTION("""COMPUTED_VALUE"""),0.5999999999999943)</f>
        <v>0.6</v>
      </c>
    </row>
    <row r="451">
      <c r="A451" s="3">
        <f>IFERROR(__xludf.DUMMYFUNCTION("""COMPUTED_VALUE"""),0.4000000000000057)</f>
        <v>0.4</v>
      </c>
      <c r="B451" s="3">
        <f>IFERROR(__xludf.DUMMYFUNCTION("""COMPUTED_VALUE"""),0.5)</f>
        <v>0.5</v>
      </c>
      <c r="C451" s="3">
        <f>IFERROR(__xludf.DUMMYFUNCTION("""COMPUTED_VALUE"""),0.5999999999999943)</f>
        <v>0.6</v>
      </c>
    </row>
    <row r="452">
      <c r="A452" s="3">
        <f>IFERROR(__xludf.DUMMYFUNCTION("""COMPUTED_VALUE"""),0.19999999999998863)</f>
        <v>0.2</v>
      </c>
      <c r="B452" s="3">
        <f>IFERROR(__xludf.DUMMYFUNCTION("""COMPUTED_VALUE"""),0.5999999999999943)</f>
        <v>0.6</v>
      </c>
      <c r="C452" s="3">
        <f>IFERROR(__xludf.DUMMYFUNCTION("""COMPUTED_VALUE"""),0.5999999999999943)</f>
        <v>0.6</v>
      </c>
    </row>
    <row r="453">
      <c r="A453" s="3">
        <f>IFERROR(__xludf.DUMMYFUNCTION("""COMPUTED_VALUE"""),0.5)</f>
        <v>0.5</v>
      </c>
      <c r="B453" s="3">
        <f>IFERROR(__xludf.DUMMYFUNCTION("""COMPUTED_VALUE"""),0.9000000000000057)</f>
        <v>0.9</v>
      </c>
      <c r="C453" s="3">
        <f>IFERROR(__xludf.DUMMYFUNCTION("""COMPUTED_VALUE"""),0.4000000000000057)</f>
        <v>0.4</v>
      </c>
    </row>
    <row r="454">
      <c r="A454" s="3">
        <f>IFERROR(__xludf.DUMMYFUNCTION("""COMPUTED_VALUE"""),0.9000000000000057)</f>
        <v>0.9</v>
      </c>
      <c r="B454" s="3">
        <f>IFERROR(__xludf.DUMMYFUNCTION("""COMPUTED_VALUE"""),1.3000000000000114)</f>
        <v>1.3</v>
      </c>
      <c r="C454" s="3">
        <f>IFERROR(__xludf.DUMMYFUNCTION("""COMPUTED_VALUE"""),0.30000000000001137)</f>
        <v>0.3</v>
      </c>
    </row>
    <row r="455">
      <c r="A455" s="3">
        <f>IFERROR(__xludf.DUMMYFUNCTION("""COMPUTED_VALUE"""),1.4000000000000057)</f>
        <v>1.4</v>
      </c>
      <c r="B455" s="3">
        <f>IFERROR(__xludf.DUMMYFUNCTION("""COMPUTED_VALUE"""),1.0999999999999943)</f>
        <v>1.1</v>
      </c>
      <c r="C455" s="3">
        <f>IFERROR(__xludf.DUMMYFUNCTION("""COMPUTED_VALUE"""),0.6999999999999886)</f>
        <v>0.7</v>
      </c>
    </row>
    <row r="456">
      <c r="A456" s="3">
        <f>IFERROR(__xludf.DUMMYFUNCTION("""COMPUTED_VALUE"""),0.5)</f>
        <v>0.5</v>
      </c>
      <c r="B456" s="3">
        <f>IFERROR(__xludf.DUMMYFUNCTION("""COMPUTED_VALUE"""),0.19999999999998863)</f>
        <v>0.2</v>
      </c>
      <c r="C456" s="3">
        <f>IFERROR(__xludf.DUMMYFUNCTION("""COMPUTED_VALUE"""),0.30000000000001137)</f>
        <v>0.3</v>
      </c>
    </row>
    <row r="457">
      <c r="A457" s="3">
        <f>IFERROR(__xludf.DUMMYFUNCTION("""COMPUTED_VALUE"""),0.8999999999999773)</f>
        <v>0.9</v>
      </c>
      <c r="B457" s="3">
        <f>IFERROR(__xludf.DUMMYFUNCTION("""COMPUTED_VALUE"""),0.5)</f>
        <v>0.5</v>
      </c>
      <c r="C457" s="3">
        <f>IFERROR(__xludf.DUMMYFUNCTION("""COMPUTED_VALUE"""),0.5999999999999943)</f>
        <v>0.6</v>
      </c>
    </row>
    <row r="458">
      <c r="A458" s="3">
        <f>IFERROR(__xludf.DUMMYFUNCTION("""COMPUTED_VALUE"""),1.3000000000000114)</f>
        <v>1.3</v>
      </c>
      <c r="B458" s="3">
        <f>IFERROR(__xludf.DUMMYFUNCTION("""COMPUTED_VALUE"""),0.700000000000017)</f>
        <v>0.7</v>
      </c>
      <c r="C458" s="3">
        <f>IFERROR(__xludf.DUMMYFUNCTION("""COMPUTED_VALUE"""),0.799999999999983)</f>
        <v>0.8</v>
      </c>
    </row>
    <row r="459">
      <c r="A459" s="3">
        <f>IFERROR(__xludf.DUMMYFUNCTION("""COMPUTED_VALUE"""),0.9000000000000057)</f>
        <v>0.9</v>
      </c>
      <c r="B459" s="3">
        <f>IFERROR(__xludf.DUMMYFUNCTION("""COMPUTED_VALUE"""),0.799999999999983)</f>
        <v>0.8</v>
      </c>
      <c r="C459" s="3">
        <f>IFERROR(__xludf.DUMMYFUNCTION("""COMPUTED_VALUE"""),0.6000000000000227)</f>
        <v>0.6</v>
      </c>
    </row>
    <row r="460">
      <c r="A460" s="3">
        <f>IFERROR(__xludf.DUMMYFUNCTION("""COMPUTED_VALUE"""),0.9000000000000057)</f>
        <v>0.9</v>
      </c>
      <c r="B460" s="3">
        <f>IFERROR(__xludf.DUMMYFUNCTION("""COMPUTED_VALUE"""),1.0)</f>
        <v>1</v>
      </c>
      <c r="C460" s="3">
        <f>IFERROR(__xludf.DUMMYFUNCTION("""COMPUTED_VALUE"""),0.19999999999998863)</f>
        <v>0.2</v>
      </c>
    </row>
    <row r="461">
      <c r="A461" s="3">
        <f>IFERROR(__xludf.DUMMYFUNCTION("""COMPUTED_VALUE"""),0.799999999999983)</f>
        <v>0.8</v>
      </c>
      <c r="B461" s="3">
        <f>IFERROR(__xludf.DUMMYFUNCTION("""COMPUTED_VALUE"""),1.200000000000017)</f>
        <v>1.2</v>
      </c>
      <c r="C461" s="3">
        <f>IFERROR(__xludf.DUMMYFUNCTION("""COMPUTED_VALUE"""),0.4000000000000057)</f>
        <v>0.4</v>
      </c>
    </row>
    <row r="462">
      <c r="A462" s="3">
        <f>IFERROR(__xludf.DUMMYFUNCTION("""COMPUTED_VALUE"""),1.5999999999999943)</f>
        <v>1.6</v>
      </c>
      <c r="B462" s="3">
        <f>IFERROR(__xludf.DUMMYFUNCTION("""COMPUTED_VALUE"""),0.19999999999998863)</f>
        <v>0.2</v>
      </c>
      <c r="C462" s="3">
        <f>IFERROR(__xludf.DUMMYFUNCTION("""COMPUTED_VALUE"""),0.5999999999999943)</f>
        <v>0.6</v>
      </c>
    </row>
    <row r="463">
      <c r="A463" s="3">
        <f>IFERROR(__xludf.DUMMYFUNCTION("""COMPUTED_VALUE"""),0.6000000000000227)</f>
        <v>0.6</v>
      </c>
      <c r="B463" s="3">
        <f>IFERROR(__xludf.DUMMYFUNCTION("""COMPUTED_VALUE"""),0.5999999999999943)</f>
        <v>0.6</v>
      </c>
      <c r="C463" s="3">
        <f>IFERROR(__xludf.DUMMYFUNCTION("""COMPUTED_VALUE"""),0.5999999999999943)</f>
        <v>0.6</v>
      </c>
    </row>
    <row r="464">
      <c r="A464" s="3">
        <f>IFERROR(__xludf.DUMMYFUNCTION("""COMPUTED_VALUE"""),0.799999999999983)</f>
        <v>0.8</v>
      </c>
      <c r="B464" s="3">
        <f>IFERROR(__xludf.DUMMYFUNCTION("""COMPUTED_VALUE"""),0.8000000000000114)</f>
        <v>0.8</v>
      </c>
      <c r="C464" s="3">
        <f>IFERROR(__xludf.DUMMYFUNCTION("""COMPUTED_VALUE"""),0.5999999999999943)</f>
        <v>0.6</v>
      </c>
    </row>
    <row r="465">
      <c r="A465" s="3">
        <f>IFERROR(__xludf.DUMMYFUNCTION("""COMPUTED_VALUE"""),0.8000000000000114)</f>
        <v>0.8</v>
      </c>
      <c r="B465" s="3">
        <f>IFERROR(__xludf.DUMMYFUNCTION("""COMPUTED_VALUE"""),0.8000000000000114)</f>
        <v>0.8</v>
      </c>
      <c r="C465" s="3">
        <f>IFERROR(__xludf.DUMMYFUNCTION("""COMPUTED_VALUE"""),0.6000000000000227)</f>
        <v>0.6</v>
      </c>
    </row>
    <row r="466">
      <c r="A466" s="3">
        <f>IFERROR(__xludf.DUMMYFUNCTION("""COMPUTED_VALUE"""),0.9000000000000057)</f>
        <v>0.9</v>
      </c>
      <c r="B466" s="3">
        <f>IFERROR(__xludf.DUMMYFUNCTION("""COMPUTED_VALUE"""),0.799999999999983)</f>
        <v>0.8</v>
      </c>
      <c r="C466" s="3">
        <f>IFERROR(__xludf.DUMMYFUNCTION("""COMPUTED_VALUE"""),0.799999999999983)</f>
        <v>0.8</v>
      </c>
    </row>
    <row r="467">
      <c r="A467" s="3">
        <f>IFERROR(__xludf.DUMMYFUNCTION("""COMPUTED_VALUE"""),0.799999999999983)</f>
        <v>0.8</v>
      </c>
      <c r="B467" s="3">
        <f>IFERROR(__xludf.DUMMYFUNCTION("""COMPUTED_VALUE"""),0.9000000000000057)</f>
        <v>0.9</v>
      </c>
      <c r="C467" s="3">
        <f>IFERROR(__xludf.DUMMYFUNCTION("""COMPUTED_VALUE"""),0.4000000000000057)</f>
        <v>0.4</v>
      </c>
    </row>
    <row r="468">
      <c r="A468" s="3">
        <f>IFERROR(__xludf.DUMMYFUNCTION("""COMPUTED_VALUE"""),2.200000000000017)</f>
        <v>2.2</v>
      </c>
      <c r="B468" s="3">
        <f>IFERROR(__xludf.DUMMYFUNCTION("""COMPUTED_VALUE"""),0.6999999999999886)</f>
        <v>0.7</v>
      </c>
      <c r="C468" s="3">
        <f>IFERROR(__xludf.DUMMYFUNCTION("""COMPUTED_VALUE"""),0.5999999999999943)</f>
        <v>0.6</v>
      </c>
    </row>
    <row r="469">
      <c r="A469" s="3">
        <f>IFERROR(__xludf.DUMMYFUNCTION("""COMPUTED_VALUE"""),-0.20000000000001705)</f>
        <v>-0.2</v>
      </c>
      <c r="B469" s="3">
        <f>IFERROR(__xludf.DUMMYFUNCTION("""COMPUTED_VALUE"""),0.5)</f>
        <v>0.5</v>
      </c>
      <c r="C469" s="3">
        <f>IFERROR(__xludf.DUMMYFUNCTION("""COMPUTED_VALUE"""),0.5999999999999943)</f>
        <v>0.6</v>
      </c>
    </row>
    <row r="470">
      <c r="A470" s="3">
        <f>IFERROR(__xludf.DUMMYFUNCTION("""COMPUTED_VALUE"""),0.5)</f>
        <v>0.5</v>
      </c>
      <c r="B470" s="3">
        <f>IFERROR(__xludf.DUMMYFUNCTION("""COMPUTED_VALUE"""),1.4000000000000057)</f>
        <v>1.4</v>
      </c>
      <c r="C470" s="3">
        <f>IFERROR(__xludf.DUMMYFUNCTION("""COMPUTED_VALUE"""),0.5)</f>
        <v>0.5</v>
      </c>
    </row>
    <row r="471">
      <c r="A471" s="3">
        <f>IFERROR(__xludf.DUMMYFUNCTION("""COMPUTED_VALUE"""),0.5999999999999943)</f>
        <v>0.6</v>
      </c>
      <c r="B471" s="3">
        <f>IFERROR(__xludf.DUMMYFUNCTION("""COMPUTED_VALUE"""),0.5)</f>
        <v>0.5</v>
      </c>
      <c r="C471" s="3">
        <f>IFERROR(__xludf.DUMMYFUNCTION("""COMPUTED_VALUE"""),0.20000000000001705)</f>
        <v>0.2</v>
      </c>
    </row>
    <row r="472">
      <c r="A472" s="3">
        <f>IFERROR(__xludf.DUMMYFUNCTION("""COMPUTED_VALUE"""),0.6000000000000227)</f>
        <v>0.6</v>
      </c>
      <c r="B472" s="3">
        <f>IFERROR(__xludf.DUMMYFUNCTION("""COMPUTED_VALUE"""),1.4000000000000057)</f>
        <v>1.4</v>
      </c>
      <c r="C472" s="3">
        <f>IFERROR(__xludf.DUMMYFUNCTION("""COMPUTED_VALUE"""),0.4000000000000057)</f>
        <v>0.4</v>
      </c>
    </row>
    <row r="473">
      <c r="A473" s="3">
        <f>IFERROR(__xludf.DUMMYFUNCTION("""COMPUTED_VALUE"""),0.5999999999999943)</f>
        <v>0.6</v>
      </c>
      <c r="B473" s="3">
        <f>IFERROR(__xludf.DUMMYFUNCTION("""COMPUTED_VALUE"""),0.9000000000000057)</f>
        <v>0.9</v>
      </c>
      <c r="C473" s="3">
        <f>IFERROR(__xludf.DUMMYFUNCTION("""COMPUTED_VALUE"""),0.799999999999983)</f>
        <v>0.8</v>
      </c>
    </row>
    <row r="474">
      <c r="A474" s="3">
        <f>IFERROR(__xludf.DUMMYFUNCTION("""COMPUTED_VALUE"""),0.9000000000000057)</f>
        <v>0.9</v>
      </c>
      <c r="B474" s="3">
        <f>IFERROR(__xludf.DUMMYFUNCTION("""COMPUTED_VALUE"""),0.6999999999999886)</f>
        <v>0.7</v>
      </c>
      <c r="C474" s="3">
        <f>IFERROR(__xludf.DUMMYFUNCTION("""COMPUTED_VALUE"""),0.5)</f>
        <v>0.5</v>
      </c>
    </row>
    <row r="475">
      <c r="A475" s="3">
        <f>IFERROR(__xludf.DUMMYFUNCTION("""COMPUTED_VALUE"""),1.0)</f>
        <v>1</v>
      </c>
      <c r="B475" s="3">
        <f>IFERROR(__xludf.DUMMYFUNCTION("""COMPUTED_VALUE"""),0.5)</f>
        <v>0.5</v>
      </c>
      <c r="C475" s="3">
        <f>IFERROR(__xludf.DUMMYFUNCTION("""COMPUTED_VALUE"""),0.5)</f>
        <v>0.5</v>
      </c>
    </row>
    <row r="476">
      <c r="A476" s="3">
        <f>IFERROR(__xludf.DUMMYFUNCTION("""COMPUTED_VALUE"""),0.5)</f>
        <v>0.5</v>
      </c>
      <c r="B476" s="3">
        <f>IFERROR(__xludf.DUMMYFUNCTION("""COMPUTED_VALUE"""),2.5)</f>
        <v>2.5</v>
      </c>
      <c r="C476" s="3">
        <f>IFERROR(__xludf.DUMMYFUNCTION("""COMPUTED_VALUE"""),0.30000000000001137)</f>
        <v>0.3</v>
      </c>
    </row>
    <row r="477">
      <c r="A477" s="3">
        <f>IFERROR(__xludf.DUMMYFUNCTION("""COMPUTED_VALUE"""),0.5)</f>
        <v>0.5</v>
      </c>
      <c r="B477" s="3">
        <f>IFERROR(__xludf.DUMMYFUNCTION("""COMPUTED_VALUE"""),0.4000000000000057)</f>
        <v>0.4</v>
      </c>
      <c r="C477" s="3">
        <f>IFERROR(__xludf.DUMMYFUNCTION("""COMPUTED_VALUE"""),0.5)</f>
        <v>0.5</v>
      </c>
    </row>
    <row r="478">
      <c r="A478" s="3">
        <f>IFERROR(__xludf.DUMMYFUNCTION("""COMPUTED_VALUE"""),0.39999999999997726)</f>
        <v>0.4</v>
      </c>
      <c r="B478" s="3">
        <f>IFERROR(__xludf.DUMMYFUNCTION("""COMPUTED_VALUE"""),0.30000000000001137)</f>
        <v>0.3</v>
      </c>
      <c r="C478" s="3">
        <f>IFERROR(__xludf.DUMMYFUNCTION("""COMPUTED_VALUE"""),0.5)</f>
        <v>0.5</v>
      </c>
    </row>
    <row r="479">
      <c r="A479" s="3">
        <f>IFERROR(__xludf.DUMMYFUNCTION("""COMPUTED_VALUE"""),0.4000000000000057)</f>
        <v>0.4</v>
      </c>
      <c r="B479" s="3">
        <f>IFERROR(__xludf.DUMMYFUNCTION("""COMPUTED_VALUE"""),0.5)</f>
        <v>0.5</v>
      </c>
      <c r="C479" s="3">
        <f>IFERROR(__xludf.DUMMYFUNCTION("""COMPUTED_VALUE"""),0.6999999999999886)</f>
        <v>0.7</v>
      </c>
    </row>
    <row r="480">
      <c r="A480" s="3">
        <f>IFERROR(__xludf.DUMMYFUNCTION("""COMPUTED_VALUE"""),0.5999999999999943)</f>
        <v>0.6</v>
      </c>
      <c r="B480" s="3">
        <f>IFERROR(__xludf.DUMMYFUNCTION("""COMPUTED_VALUE"""),0.799999999999983)</f>
        <v>0.8</v>
      </c>
      <c r="C480" s="3">
        <f>IFERROR(__xludf.DUMMYFUNCTION("""COMPUTED_VALUE"""),0.30000000000001137)</f>
        <v>0.3</v>
      </c>
    </row>
    <row r="481">
      <c r="A481" s="3">
        <f>IFERROR(__xludf.DUMMYFUNCTION("""COMPUTED_VALUE"""),0.30000000000001137)</f>
        <v>0.3</v>
      </c>
      <c r="B481" s="3">
        <f>IFERROR(__xludf.DUMMYFUNCTION("""COMPUTED_VALUE"""),0.8000000000000114)</f>
        <v>0.8</v>
      </c>
      <c r="C481" s="3">
        <f>IFERROR(__xludf.DUMMYFUNCTION("""COMPUTED_VALUE"""),0.29999999999998295)</f>
        <v>0.3</v>
      </c>
    </row>
    <row r="482">
      <c r="A482" s="3">
        <f>IFERROR(__xludf.DUMMYFUNCTION("""COMPUTED_VALUE"""),0.5999999999999943)</f>
        <v>0.6</v>
      </c>
      <c r="B482" s="3">
        <f>IFERROR(__xludf.DUMMYFUNCTION("""COMPUTED_VALUE"""),0.799999999999983)</f>
        <v>0.8</v>
      </c>
      <c r="C482" s="3">
        <f>IFERROR(__xludf.DUMMYFUNCTION("""COMPUTED_VALUE"""),1.0)</f>
        <v>1</v>
      </c>
    </row>
    <row r="483">
      <c r="A483" s="3">
        <f>IFERROR(__xludf.DUMMYFUNCTION("""COMPUTED_VALUE"""),0.30000000000001137)</f>
        <v>0.3</v>
      </c>
      <c r="B483" s="3">
        <f>IFERROR(__xludf.DUMMYFUNCTION("""COMPUTED_VALUE"""),0.0)</f>
        <v>0</v>
      </c>
      <c r="C483" s="3">
        <f>IFERROR(__xludf.DUMMYFUNCTION("""COMPUTED_VALUE"""),0.4000000000000057)</f>
        <v>0.4</v>
      </c>
    </row>
    <row r="484">
      <c r="A484" s="3">
        <f>IFERROR(__xludf.DUMMYFUNCTION("""COMPUTED_VALUE"""),0.29999999999998295)</f>
        <v>0.3</v>
      </c>
      <c r="B484" s="3">
        <f>IFERROR(__xludf.DUMMYFUNCTION("""COMPUTED_VALUE"""),0.9000000000000057)</f>
        <v>0.9</v>
      </c>
      <c r="C484" s="3">
        <f>IFERROR(__xludf.DUMMYFUNCTION("""COMPUTED_VALUE"""),0.8000000000000114)</f>
        <v>0.8</v>
      </c>
    </row>
    <row r="485">
      <c r="A485" s="3">
        <f>IFERROR(__xludf.DUMMYFUNCTION("""COMPUTED_VALUE"""),0.0)</f>
        <v>0</v>
      </c>
      <c r="B485" s="3">
        <f>IFERROR(__xludf.DUMMYFUNCTION("""COMPUTED_VALUE"""),0.8000000000000114)</f>
        <v>0.8</v>
      </c>
      <c r="C485" s="3">
        <f>IFERROR(__xludf.DUMMYFUNCTION("""COMPUTED_VALUE"""),0.4000000000000057)</f>
        <v>0.4</v>
      </c>
    </row>
    <row r="486">
      <c r="A486" s="3">
        <f>IFERROR(__xludf.DUMMYFUNCTION("""COMPUTED_VALUE"""),0.20000000000001705)</f>
        <v>0.2</v>
      </c>
      <c r="B486" s="3">
        <f>IFERROR(__xludf.DUMMYFUNCTION("""COMPUTED_VALUE"""),0.9000000000000057)</f>
        <v>0.9</v>
      </c>
      <c r="C486" s="3">
        <f>IFERROR(__xludf.DUMMYFUNCTION("""COMPUTED_VALUE"""),0.19999999999998863)</f>
        <v>0.2</v>
      </c>
    </row>
    <row r="487">
      <c r="A487" s="3">
        <f>IFERROR(__xludf.DUMMYFUNCTION("""COMPUTED_VALUE"""),0.09999999999999432)</f>
        <v>0.1</v>
      </c>
      <c r="B487" s="3">
        <f>IFERROR(__xludf.DUMMYFUNCTION("""COMPUTED_VALUE"""),0.799999999999983)</f>
        <v>0.8</v>
      </c>
      <c r="C487" s="3">
        <f>IFERROR(__xludf.DUMMYFUNCTION("""COMPUTED_VALUE"""),0.30000000000001137)</f>
        <v>0.3</v>
      </c>
    </row>
    <row r="488">
      <c r="A488" s="3">
        <f>IFERROR(__xludf.DUMMYFUNCTION("""COMPUTED_VALUE"""),0.0)</f>
        <v>0</v>
      </c>
      <c r="B488" s="3">
        <f>IFERROR(__xludf.DUMMYFUNCTION("""COMPUTED_VALUE"""),1.0)</f>
        <v>1</v>
      </c>
      <c r="C488" s="3">
        <f>IFERROR(__xludf.DUMMYFUNCTION("""COMPUTED_VALUE"""),0.39999999999997726)</f>
        <v>0.4</v>
      </c>
    </row>
    <row r="489">
      <c r="A489" s="3">
        <f>IFERROR(__xludf.DUMMYFUNCTION("""COMPUTED_VALUE"""),-0.09999999999999432)</f>
        <v>-0.1</v>
      </c>
      <c r="B489" s="3">
        <f>IFERROR(__xludf.DUMMYFUNCTION("""COMPUTED_VALUE"""),0.30000000000001137)</f>
        <v>0.3</v>
      </c>
      <c r="C489" s="3">
        <f>IFERROR(__xludf.DUMMYFUNCTION("""COMPUTED_VALUE"""),0.6000000000000227)</f>
        <v>0.6</v>
      </c>
    </row>
    <row r="490">
      <c r="A490" s="3">
        <f>IFERROR(__xludf.DUMMYFUNCTION("""COMPUTED_VALUE"""),0.0)</f>
        <v>0</v>
      </c>
      <c r="B490" s="3">
        <f>IFERROR(__xludf.DUMMYFUNCTION("""COMPUTED_VALUE"""),0.6999999999999886)</f>
        <v>0.7</v>
      </c>
      <c r="C490" s="3">
        <f>IFERROR(__xludf.DUMMYFUNCTION("""COMPUTED_VALUE"""),0.5999999999999943)</f>
        <v>0.6</v>
      </c>
    </row>
    <row r="491">
      <c r="A491" s="3">
        <f>IFERROR(__xludf.DUMMYFUNCTION("""COMPUTED_VALUE"""),-0.30000000000001137)</f>
        <v>-0.3</v>
      </c>
      <c r="B491" s="3">
        <f>IFERROR(__xludf.DUMMYFUNCTION("""COMPUTED_VALUE"""),0.09999999999999432)</f>
        <v>0.1</v>
      </c>
      <c r="C491" s="3">
        <f>IFERROR(__xludf.DUMMYFUNCTION("""COMPUTED_VALUE"""),0.5)</f>
        <v>0.5</v>
      </c>
    </row>
    <row r="492">
      <c r="A492" s="3">
        <f>IFERROR(__xludf.DUMMYFUNCTION("""COMPUTED_VALUE"""),0.0)</f>
        <v>0</v>
      </c>
      <c r="B492" s="3">
        <f>IFERROR(__xludf.DUMMYFUNCTION("""COMPUTED_VALUE"""),0.20000000000001705)</f>
        <v>0.2</v>
      </c>
      <c r="C492" s="3">
        <f>IFERROR(__xludf.DUMMYFUNCTION("""COMPUTED_VALUE"""),0.9000000000000057)</f>
        <v>0.9</v>
      </c>
    </row>
    <row r="493">
      <c r="A493" s="3">
        <f>IFERROR(__xludf.DUMMYFUNCTION("""COMPUTED_VALUE"""),0.0)</f>
        <v>0</v>
      </c>
      <c r="B493" s="3">
        <f>IFERROR(__xludf.DUMMYFUNCTION("""COMPUTED_VALUE"""),0.09999999999999432)</f>
        <v>0.1</v>
      </c>
      <c r="C493" s="3">
        <f>IFERROR(__xludf.DUMMYFUNCTION("""COMPUTED_VALUE"""),0.8999999999999773)</f>
        <v>0.9</v>
      </c>
    </row>
    <row r="494">
      <c r="A494" s="3">
        <f>IFERROR(__xludf.DUMMYFUNCTION("""COMPUTED_VALUE"""),1.3000000000000114)</f>
        <v>1.3</v>
      </c>
      <c r="B494" s="3">
        <f>IFERROR(__xludf.DUMMYFUNCTION("""COMPUTED_VALUE"""),0.09999999999999432)</f>
        <v>0.1</v>
      </c>
      <c r="C494" s="3">
        <f>IFERROR(__xludf.DUMMYFUNCTION("""COMPUTED_VALUE"""),0.5)</f>
        <v>0.5</v>
      </c>
    </row>
    <row r="495">
      <c r="A495" s="3">
        <f>IFERROR(__xludf.DUMMYFUNCTION("""COMPUTED_VALUE"""),-1.8000000000000114)</f>
        <v>-1.8</v>
      </c>
      <c r="B495" s="3">
        <f>IFERROR(__xludf.DUMMYFUNCTION("""COMPUTED_VALUE"""),-0.09999999999999432)</f>
        <v>-0.1</v>
      </c>
      <c r="C495" s="3">
        <f>IFERROR(__xludf.DUMMYFUNCTION("""COMPUTED_VALUE"""),1.0)</f>
        <v>1</v>
      </c>
    </row>
    <row r="496">
      <c r="A496" s="3">
        <f>IFERROR(__xludf.DUMMYFUNCTION("""COMPUTED_VALUE"""),0.20000000000001705)</f>
        <v>0.2</v>
      </c>
      <c r="B496" s="3">
        <f>IFERROR(__xludf.DUMMYFUNCTION("""COMPUTED_VALUE"""),0.0)</f>
        <v>0</v>
      </c>
      <c r="C496" s="3">
        <f>IFERROR(__xludf.DUMMYFUNCTION("""COMPUTED_VALUE"""),0.10000000000002274)</f>
        <v>0.1</v>
      </c>
    </row>
    <row r="497">
      <c r="A497" s="3">
        <f>IFERROR(__xludf.DUMMYFUNCTION("""COMPUTED_VALUE"""),0.29999999999998295)</f>
        <v>0.3</v>
      </c>
      <c r="B497" s="3">
        <f>IFERROR(__xludf.DUMMYFUNCTION("""COMPUTED_VALUE"""),0.19999999999998863)</f>
        <v>0.2</v>
      </c>
      <c r="C497" s="3">
        <f>IFERROR(__xludf.DUMMYFUNCTION("""COMPUTED_VALUE"""),0.09999999999999432)</f>
        <v>0.1</v>
      </c>
    </row>
    <row r="498">
      <c r="A498" s="3">
        <f>IFERROR(__xludf.DUMMYFUNCTION("""COMPUTED_VALUE"""),0.0)</f>
        <v>0</v>
      </c>
      <c r="B498" s="3">
        <f>IFERROR(__xludf.DUMMYFUNCTION("""COMPUTED_VALUE"""),-0.09999999999999432)</f>
        <v>-0.1</v>
      </c>
      <c r="C498" s="3">
        <f>IFERROR(__xludf.DUMMYFUNCTION("""COMPUTED_VALUE"""),0.29999999999998295)</f>
        <v>0.3</v>
      </c>
    </row>
    <row r="499">
      <c r="A499" s="3">
        <f>IFERROR(__xludf.DUMMYFUNCTION("""COMPUTED_VALUE"""),0.09999999999999432)</f>
        <v>0.1</v>
      </c>
      <c r="B499" s="3">
        <f>IFERROR(__xludf.DUMMYFUNCTION("""COMPUTED_VALUE"""),-0.09999999999999432)</f>
        <v>-0.1</v>
      </c>
      <c r="C499" s="3">
        <f>IFERROR(__xludf.DUMMYFUNCTION("""COMPUTED_VALUE"""),0.5)</f>
        <v>0.5</v>
      </c>
    </row>
    <row r="500">
      <c r="A500" s="3">
        <f>IFERROR(__xludf.DUMMYFUNCTION("""COMPUTED_VALUE"""),0.0)</f>
        <v>0</v>
      </c>
      <c r="B500" s="3">
        <f>IFERROR(__xludf.DUMMYFUNCTION("""COMPUTED_VALUE"""),0.0)</f>
        <v>0</v>
      </c>
      <c r="C500" s="3">
        <f>IFERROR(__xludf.DUMMYFUNCTION("""COMPUTED_VALUE"""),0.5)</f>
        <v>0.5</v>
      </c>
    </row>
    <row r="501">
      <c r="A501" s="3">
        <f>IFERROR(__xludf.DUMMYFUNCTION("""COMPUTED_VALUE"""),-0.09999999999999432)</f>
        <v>-0.1</v>
      </c>
      <c r="B501" s="3">
        <f>IFERROR(__xludf.DUMMYFUNCTION("""COMPUTED_VALUE"""),0.0)</f>
        <v>0</v>
      </c>
      <c r="C501" s="3">
        <f>IFERROR(__xludf.DUMMYFUNCTION("""COMPUTED_VALUE"""),0.4000000000000057)</f>
        <v>0.4</v>
      </c>
    </row>
    <row r="502">
      <c r="A502" s="3">
        <f>IFERROR(__xludf.DUMMYFUNCTION("""COMPUTED_VALUE"""),-0.09999999999999432)</f>
        <v>-0.1</v>
      </c>
      <c r="B502" s="3">
        <f>IFERROR(__xludf.DUMMYFUNCTION("""COMPUTED_VALUE"""),0.0)</f>
        <v>0</v>
      </c>
      <c r="C502" s="3">
        <f>IFERROR(__xludf.DUMMYFUNCTION("""COMPUTED_VALUE"""),0.8000000000000114)</f>
        <v>0.8</v>
      </c>
    </row>
    <row r="503">
      <c r="A503" s="3">
        <f>IFERROR(__xludf.DUMMYFUNCTION("""COMPUTED_VALUE"""),0.0)</f>
        <v>0</v>
      </c>
      <c r="B503" s="3">
        <f>IFERROR(__xludf.DUMMYFUNCTION("""COMPUTED_VALUE"""),0.0)</f>
        <v>0</v>
      </c>
      <c r="C503" s="3">
        <f>IFERROR(__xludf.DUMMYFUNCTION("""COMPUTED_VALUE"""),0.19999999999998863)</f>
        <v>0.2</v>
      </c>
    </row>
    <row r="504">
      <c r="A504" s="3">
        <f>IFERROR(__xludf.DUMMYFUNCTION("""COMPUTED_VALUE"""),0.09999999999999432)</f>
        <v>0.1</v>
      </c>
      <c r="B504" s="3">
        <f>IFERROR(__xludf.DUMMYFUNCTION("""COMPUTED_VALUE"""),0.0)</f>
        <v>0</v>
      </c>
      <c r="C504" s="3">
        <f>IFERROR(__xludf.DUMMYFUNCTION("""COMPUTED_VALUE"""),0.4000000000000057)</f>
        <v>0.4</v>
      </c>
    </row>
    <row r="505">
      <c r="A505" s="3">
        <f>IFERROR(__xludf.DUMMYFUNCTION("""COMPUTED_VALUE"""),0.09999999999999432)</f>
        <v>0.1</v>
      </c>
      <c r="B505" s="3">
        <f>IFERROR(__xludf.DUMMYFUNCTION("""COMPUTED_VALUE"""),-0.19999999999998863)</f>
        <v>-0.2</v>
      </c>
      <c r="C505" s="3">
        <f>IFERROR(__xludf.DUMMYFUNCTION("""COMPUTED_VALUE"""),0.8000000000000114)</f>
        <v>0.8</v>
      </c>
    </row>
    <row r="506">
      <c r="A506" s="3">
        <f>IFERROR(__xludf.DUMMYFUNCTION("""COMPUTED_VALUE"""),0.0)</f>
        <v>0</v>
      </c>
      <c r="B506" s="3">
        <f>IFERROR(__xludf.DUMMYFUNCTION("""COMPUTED_VALUE"""),0.0)</f>
        <v>0</v>
      </c>
      <c r="C506" s="3">
        <f>IFERROR(__xludf.DUMMYFUNCTION("""COMPUTED_VALUE"""),0.5999999999999943)</f>
        <v>0.6</v>
      </c>
    </row>
    <row r="507">
      <c r="A507" s="3">
        <f>IFERROR(__xludf.DUMMYFUNCTION("""COMPUTED_VALUE"""),-0.09999999999999432)</f>
        <v>-0.1</v>
      </c>
      <c r="B507" s="3">
        <f>IFERROR(__xludf.DUMMYFUNCTION("""COMPUTED_VALUE"""),0.0)</f>
        <v>0</v>
      </c>
      <c r="C507" s="3">
        <f>IFERROR(__xludf.DUMMYFUNCTION("""COMPUTED_VALUE"""),0.5)</f>
        <v>0.5</v>
      </c>
    </row>
    <row r="508">
      <c r="A508" s="3">
        <f>IFERROR(__xludf.DUMMYFUNCTION("""COMPUTED_VALUE"""),-1.299999999999983)</f>
        <v>-1.3</v>
      </c>
      <c r="B508" s="3">
        <f>IFERROR(__xludf.DUMMYFUNCTION("""COMPUTED_VALUE"""),0.0)</f>
        <v>0</v>
      </c>
      <c r="C508" s="3">
        <f>IFERROR(__xludf.DUMMYFUNCTION("""COMPUTED_VALUE"""),0.799999999999983)</f>
        <v>0.8</v>
      </c>
    </row>
    <row r="509">
      <c r="A509" s="3">
        <f>IFERROR(__xludf.DUMMYFUNCTION("""COMPUTED_VALUE"""),0.5)</f>
        <v>0.5</v>
      </c>
      <c r="B509" s="3">
        <f>IFERROR(__xludf.DUMMYFUNCTION("""COMPUTED_VALUE"""),-0.10000000000002274)</f>
        <v>-0.1</v>
      </c>
      <c r="C509" s="3">
        <f>IFERROR(__xludf.DUMMYFUNCTION("""COMPUTED_VALUE"""),0.10000000000002274)</f>
        <v>0.1</v>
      </c>
    </row>
    <row r="510">
      <c r="A510" s="3">
        <f>IFERROR(__xludf.DUMMYFUNCTION("""COMPUTED_VALUE"""),0.5)</f>
        <v>0.5</v>
      </c>
      <c r="B510" s="3">
        <f>IFERROR(__xludf.DUMMYFUNCTION("""COMPUTED_VALUE"""),0.0)</f>
        <v>0</v>
      </c>
      <c r="C510" s="3">
        <f>IFERROR(__xludf.DUMMYFUNCTION("""COMPUTED_VALUE"""),0.29999999999998295)</f>
        <v>0.3</v>
      </c>
    </row>
    <row r="511">
      <c r="A511" s="3">
        <f>IFERROR(__xludf.DUMMYFUNCTION("""COMPUTED_VALUE"""),0.39999999999997726)</f>
        <v>0.4</v>
      </c>
      <c r="B511" s="3">
        <f>IFERROR(__xludf.DUMMYFUNCTION("""COMPUTED_VALUE"""),0.0)</f>
        <v>0</v>
      </c>
      <c r="C511" s="3">
        <f>IFERROR(__xludf.DUMMYFUNCTION("""COMPUTED_VALUE"""),0.4000000000000057)</f>
        <v>0.4</v>
      </c>
    </row>
    <row r="512">
      <c r="A512" s="3">
        <f>IFERROR(__xludf.DUMMYFUNCTION("""COMPUTED_VALUE"""),0.0)</f>
        <v>0</v>
      </c>
      <c r="B512" s="3">
        <f>IFERROR(__xludf.DUMMYFUNCTION("""COMPUTED_VALUE"""),0.0)</f>
        <v>0</v>
      </c>
      <c r="C512" s="3">
        <f>IFERROR(__xludf.DUMMYFUNCTION("""COMPUTED_VALUE"""),0.4000000000000057)</f>
        <v>0.4</v>
      </c>
    </row>
    <row r="513">
      <c r="A513" s="3">
        <f>IFERROR(__xludf.DUMMYFUNCTION("""COMPUTED_VALUE"""),0.0)</f>
        <v>0</v>
      </c>
      <c r="B513" s="3">
        <f>IFERROR(__xludf.DUMMYFUNCTION("""COMPUTED_VALUE"""),-0.29999999999998295)</f>
        <v>-0.3</v>
      </c>
      <c r="C513" s="3">
        <f>IFERROR(__xludf.DUMMYFUNCTION("""COMPUTED_VALUE"""),0.6999999999999886)</f>
        <v>0.7</v>
      </c>
    </row>
    <row r="514">
      <c r="A514" s="3">
        <f>IFERROR(__xludf.DUMMYFUNCTION("""COMPUTED_VALUE"""),-0.09999999999999432)</f>
        <v>-0.1</v>
      </c>
      <c r="B514" s="3">
        <f>IFERROR(__xludf.DUMMYFUNCTION("""COMPUTED_VALUE"""),0.09999999999999432)</f>
        <v>0.1</v>
      </c>
      <c r="C514" s="3">
        <f>IFERROR(__xludf.DUMMYFUNCTION("""COMPUTED_VALUE"""),1.0)</f>
        <v>1</v>
      </c>
    </row>
    <row r="515">
      <c r="A515" s="3">
        <f>IFERROR(__xludf.DUMMYFUNCTION("""COMPUTED_VALUE"""),0.0)</f>
        <v>0</v>
      </c>
      <c r="B515" s="3">
        <f>IFERROR(__xludf.DUMMYFUNCTION("""COMPUTED_VALUE"""),0.19999999999998863)</f>
        <v>0.2</v>
      </c>
      <c r="C515" s="3">
        <f>IFERROR(__xludf.DUMMYFUNCTION("""COMPUTED_VALUE"""),1.3000000000000114)</f>
        <v>1.3</v>
      </c>
    </row>
    <row r="516">
      <c r="A516" s="3">
        <f>IFERROR(__xludf.DUMMYFUNCTION("""COMPUTED_VALUE"""),0.0)</f>
        <v>0</v>
      </c>
      <c r="B516" s="3">
        <f>IFERROR(__xludf.DUMMYFUNCTION("""COMPUTED_VALUE"""),0.10000000000002274)</f>
        <v>0.1</v>
      </c>
      <c r="C516" s="3">
        <f>IFERROR(__xludf.DUMMYFUNCTION("""COMPUTED_VALUE"""),-0.20000000000001705)</f>
        <v>-0.2</v>
      </c>
    </row>
    <row r="517">
      <c r="A517" s="3">
        <f>IFERROR(__xludf.DUMMYFUNCTION("""COMPUTED_VALUE"""),0.09999999999999432)</f>
        <v>0.1</v>
      </c>
      <c r="B517" s="3">
        <f>IFERROR(__xludf.DUMMYFUNCTION("""COMPUTED_VALUE"""),-0.20000000000001705)</f>
        <v>-0.2</v>
      </c>
      <c r="C517" s="3">
        <f>IFERROR(__xludf.DUMMYFUNCTION("""COMPUTED_VALUE"""),0.10000000000002274)</f>
        <v>0.1</v>
      </c>
    </row>
    <row r="518">
      <c r="A518" s="3">
        <f>IFERROR(__xludf.DUMMYFUNCTION("""COMPUTED_VALUE"""),-0.09999999999999432)</f>
        <v>-0.1</v>
      </c>
      <c r="B518" s="3">
        <f>IFERROR(__xludf.DUMMYFUNCTION("""COMPUTED_VALUE"""),-0.09999999999999432)</f>
        <v>-0.1</v>
      </c>
      <c r="C518" s="3">
        <f>IFERROR(__xludf.DUMMYFUNCTION("""COMPUTED_VALUE"""),0.19999999999998863)</f>
        <v>0.2</v>
      </c>
    </row>
    <row r="519">
      <c r="A519" s="3">
        <f>IFERROR(__xludf.DUMMYFUNCTION("""COMPUTED_VALUE"""),-0.09999999999999432)</f>
        <v>-0.1</v>
      </c>
      <c r="B519" s="3">
        <f>IFERROR(__xludf.DUMMYFUNCTION("""COMPUTED_VALUE"""),0.09999999999999432)</f>
        <v>0.1</v>
      </c>
      <c r="C519" s="3">
        <f>IFERROR(__xludf.DUMMYFUNCTION("""COMPUTED_VALUE"""),0.30000000000001137)</f>
        <v>0.3</v>
      </c>
    </row>
    <row r="520">
      <c r="A520" s="3">
        <f>IFERROR(__xludf.DUMMYFUNCTION("""COMPUTED_VALUE"""),0.09999999999999432)</f>
        <v>0.1</v>
      </c>
      <c r="B520" s="3">
        <f>IFERROR(__xludf.DUMMYFUNCTION("""COMPUTED_VALUE"""),-0.09999999999999432)</f>
        <v>-0.1</v>
      </c>
      <c r="C520" s="3">
        <f>IFERROR(__xludf.DUMMYFUNCTION("""COMPUTED_VALUE"""),0.799999999999983)</f>
        <v>0.8</v>
      </c>
    </row>
    <row r="521">
      <c r="A521" s="3">
        <f>IFERROR(__xludf.DUMMYFUNCTION("""COMPUTED_VALUE"""),0.09999999999999432)</f>
        <v>0.1</v>
      </c>
      <c r="B521" s="3">
        <f>IFERROR(__xludf.DUMMYFUNCTION("""COMPUTED_VALUE"""),0.09999999999999432)</f>
        <v>0.1</v>
      </c>
      <c r="C521" s="3">
        <f>IFERROR(__xludf.DUMMYFUNCTION("""COMPUTED_VALUE"""),0.4000000000000057)</f>
        <v>0.4</v>
      </c>
    </row>
    <row r="522">
      <c r="A522" s="3">
        <f>IFERROR(__xludf.DUMMYFUNCTION("""COMPUTED_VALUE"""),0.0)</f>
        <v>0</v>
      </c>
      <c r="B522" s="3">
        <f>IFERROR(__xludf.DUMMYFUNCTION("""COMPUTED_VALUE"""),0.20000000000001705)</f>
        <v>0.2</v>
      </c>
      <c r="C522" s="3">
        <f>IFERROR(__xludf.DUMMYFUNCTION("""COMPUTED_VALUE"""),0.09999999999999432)</f>
        <v>0.1</v>
      </c>
    </row>
    <row r="523">
      <c r="A523" s="3">
        <f>IFERROR(__xludf.DUMMYFUNCTION("""COMPUTED_VALUE"""),-0.09999999999999432)</f>
        <v>-0.1</v>
      </c>
      <c r="B523" s="3">
        <f>IFERROR(__xludf.DUMMYFUNCTION("""COMPUTED_VALUE"""),-0.10000000000002274)</f>
        <v>-0.1</v>
      </c>
      <c r="C523" s="3">
        <f>IFERROR(__xludf.DUMMYFUNCTION("""COMPUTED_VALUE"""),0.0)</f>
        <v>0</v>
      </c>
    </row>
    <row r="524">
      <c r="A524" s="3">
        <f>IFERROR(__xludf.DUMMYFUNCTION("""COMPUTED_VALUE"""),0.20000000000001705)</f>
        <v>0.2</v>
      </c>
      <c r="B524" s="3">
        <f>IFERROR(__xludf.DUMMYFUNCTION("""COMPUTED_VALUE"""),0.0)</f>
        <v>0</v>
      </c>
      <c r="C524" s="3">
        <f>IFERROR(__xludf.DUMMYFUNCTION("""COMPUTED_VALUE"""),0.0)</f>
        <v>0</v>
      </c>
    </row>
    <row r="525">
      <c r="A525" s="3">
        <f>IFERROR(__xludf.DUMMYFUNCTION("""COMPUTED_VALUE"""),0.19999999999998863)</f>
        <v>0.2</v>
      </c>
      <c r="B525" s="3">
        <f>IFERROR(__xludf.DUMMYFUNCTION("""COMPUTED_VALUE"""),-0.09999999999999432)</f>
        <v>-0.1</v>
      </c>
      <c r="C525" s="3">
        <f>IFERROR(__xludf.DUMMYFUNCTION("""COMPUTED_VALUE"""),0.0)</f>
        <v>0</v>
      </c>
    </row>
    <row r="526">
      <c r="A526" s="3">
        <f>IFERROR(__xludf.DUMMYFUNCTION("""COMPUTED_VALUE"""),0.0)</f>
        <v>0</v>
      </c>
      <c r="B526" s="3">
        <f>IFERROR(__xludf.DUMMYFUNCTION("""COMPUTED_VALUE"""),0.09999999999999432)</f>
        <v>0.1</v>
      </c>
      <c r="C526" s="3">
        <f>IFERROR(__xludf.DUMMYFUNCTION("""COMPUTED_VALUE"""),0.0)</f>
        <v>0</v>
      </c>
    </row>
    <row r="527">
      <c r="A527" s="3">
        <f>IFERROR(__xludf.DUMMYFUNCTION("""COMPUTED_VALUE"""),-0.09999999999999432)</f>
        <v>-0.1</v>
      </c>
      <c r="B527" s="3">
        <f>IFERROR(__xludf.DUMMYFUNCTION("""COMPUTED_VALUE"""),0.10000000000002274)</f>
        <v>0.1</v>
      </c>
      <c r="C527" s="3">
        <f>IFERROR(__xludf.DUMMYFUNCTION("""COMPUTED_VALUE"""),0.0)</f>
        <v>0</v>
      </c>
    </row>
    <row r="528">
      <c r="A528" s="3">
        <f>IFERROR(__xludf.DUMMYFUNCTION("""COMPUTED_VALUE"""),0.09999999999999432)</f>
        <v>0.1</v>
      </c>
      <c r="B528" s="3">
        <f>IFERROR(__xludf.DUMMYFUNCTION("""COMPUTED_VALUE"""),-0.10000000000002274)</f>
        <v>-0.1</v>
      </c>
      <c r="C528" s="3">
        <f>IFERROR(__xludf.DUMMYFUNCTION("""COMPUTED_VALUE"""),0.0)</f>
        <v>0</v>
      </c>
    </row>
    <row r="529">
      <c r="A529" s="3">
        <f>IFERROR(__xludf.DUMMYFUNCTION("""COMPUTED_VALUE"""),-0.09999999999999432)</f>
        <v>-0.1</v>
      </c>
      <c r="B529" s="3">
        <f>IFERROR(__xludf.DUMMYFUNCTION("""COMPUTED_VALUE"""),0.0)</f>
        <v>0</v>
      </c>
      <c r="C529" s="3">
        <f>IFERROR(__xludf.DUMMYFUNCTION("""COMPUTED_VALUE"""),0.0)</f>
        <v>0</v>
      </c>
    </row>
    <row r="530">
      <c r="A530" s="3">
        <f>IFERROR(__xludf.DUMMYFUNCTION("""COMPUTED_VALUE"""),-0.09999999999999432)</f>
        <v>-0.1</v>
      </c>
      <c r="B530" s="3">
        <f>IFERROR(__xludf.DUMMYFUNCTION("""COMPUTED_VALUE"""),-0.09999999999999432)</f>
        <v>-0.1</v>
      </c>
      <c r="C530" s="3">
        <f>IFERROR(__xludf.DUMMYFUNCTION("""COMPUTED_VALUE"""),-0.5999999999999943)</f>
        <v>-0.6</v>
      </c>
    </row>
    <row r="531">
      <c r="A531" s="3">
        <f>IFERROR(__xludf.DUMMYFUNCTION("""COMPUTED_VALUE"""),0.0)</f>
        <v>0</v>
      </c>
      <c r="B531" s="3">
        <f>IFERROR(__xludf.DUMMYFUNCTION("""COMPUTED_VALUE"""),0.0)</f>
        <v>0</v>
      </c>
      <c r="C531" s="3">
        <f>IFERROR(__xludf.DUMMYFUNCTION("""COMPUTED_VALUE"""),0.0)</f>
        <v>0</v>
      </c>
    </row>
    <row r="532">
      <c r="A532" s="3">
        <f>IFERROR(__xludf.DUMMYFUNCTION("""COMPUTED_VALUE"""),-0.10000000000002274)</f>
        <v>-0.1</v>
      </c>
      <c r="B532" s="3">
        <f>IFERROR(__xludf.DUMMYFUNCTION("""COMPUTED_VALUE"""),0.0)</f>
        <v>0</v>
      </c>
      <c r="C532" s="3">
        <f>IFERROR(__xludf.DUMMYFUNCTION("""COMPUTED_VALUE"""),0.30000000000001137)</f>
        <v>0.3</v>
      </c>
    </row>
    <row r="533">
      <c r="A533" s="3">
        <f>IFERROR(__xludf.DUMMYFUNCTION("""COMPUTED_VALUE"""),0.0)</f>
        <v>0</v>
      </c>
      <c r="B533" s="3">
        <f>IFERROR(__xludf.DUMMYFUNCTION("""COMPUTED_VALUE"""),-0.09999999999999432)</f>
        <v>-0.1</v>
      </c>
      <c r="C533" s="3">
        <f>IFERROR(__xludf.DUMMYFUNCTION("""COMPUTED_VALUE"""),0.29999999999998295)</f>
        <v>0.3</v>
      </c>
    </row>
    <row r="534">
      <c r="A534" s="3">
        <f>IFERROR(__xludf.DUMMYFUNCTION("""COMPUTED_VALUE"""),0.0)</f>
        <v>0</v>
      </c>
      <c r="B534" s="3">
        <f>IFERROR(__xludf.DUMMYFUNCTION("""COMPUTED_VALUE"""),-0.30000000000001137)</f>
        <v>-0.3</v>
      </c>
      <c r="C534" s="3">
        <f>IFERROR(__xludf.DUMMYFUNCTION("""COMPUTED_VALUE"""),-0.09999999999999432)</f>
        <v>-0.1</v>
      </c>
    </row>
    <row r="535">
      <c r="A535" s="3">
        <f>IFERROR(__xludf.DUMMYFUNCTION("""COMPUTED_VALUE"""),-0.09999999999999432)</f>
        <v>-0.1</v>
      </c>
      <c r="B535" s="3">
        <f>IFERROR(__xludf.DUMMYFUNCTION("""COMPUTED_VALUE"""),0.10000000000002274)</f>
        <v>0.1</v>
      </c>
      <c r="C535" s="3">
        <f>IFERROR(__xludf.DUMMYFUNCTION("""COMPUTED_VALUE"""),-0.09999999999999432)</f>
        <v>-0.1</v>
      </c>
    </row>
    <row r="536">
      <c r="A536" s="3">
        <f>IFERROR(__xludf.DUMMYFUNCTION("""COMPUTED_VALUE"""),-0.29999999999998295)</f>
        <v>-0.3</v>
      </c>
      <c r="B536" s="3">
        <f>IFERROR(__xludf.DUMMYFUNCTION("""COMPUTED_VALUE"""),0.0)</f>
        <v>0</v>
      </c>
      <c r="C536" s="3">
        <f>IFERROR(__xludf.DUMMYFUNCTION("""COMPUTED_VALUE"""),0.29999999999998295)</f>
        <v>0.3</v>
      </c>
    </row>
    <row r="537">
      <c r="A537" s="3">
        <f>IFERROR(__xludf.DUMMYFUNCTION("""COMPUTED_VALUE"""),0.19999999999998863)</f>
        <v>0.2</v>
      </c>
      <c r="B537" s="3">
        <f>IFERROR(__xludf.DUMMYFUNCTION("""COMPUTED_VALUE"""),0.09999999999999432)</f>
        <v>0.1</v>
      </c>
      <c r="C537" s="3">
        <f>IFERROR(__xludf.DUMMYFUNCTION("""COMPUTED_VALUE"""),0.10000000000002274)</f>
        <v>0.1</v>
      </c>
    </row>
    <row r="538">
      <c r="A538" s="3">
        <f>IFERROR(__xludf.DUMMYFUNCTION("""COMPUTED_VALUE"""),0.19999999999998863)</f>
        <v>0.2</v>
      </c>
      <c r="B538" s="3">
        <f>IFERROR(__xludf.DUMMYFUNCTION("""COMPUTED_VALUE"""),0.09999999999999432)</f>
        <v>0.1</v>
      </c>
      <c r="C538" s="3">
        <f>IFERROR(__xludf.DUMMYFUNCTION("""COMPUTED_VALUE"""),0.0)</f>
        <v>0</v>
      </c>
    </row>
    <row r="539">
      <c r="A539" s="3">
        <f>IFERROR(__xludf.DUMMYFUNCTION("""COMPUTED_VALUE"""),0.0)</f>
        <v>0</v>
      </c>
      <c r="B539" s="3">
        <f>IFERROR(__xludf.DUMMYFUNCTION("""COMPUTED_VALUE"""),-0.09999999999999432)</f>
        <v>-0.1</v>
      </c>
      <c r="C539" s="3">
        <f>IFERROR(__xludf.DUMMYFUNCTION("""COMPUTED_VALUE"""),0.0)</f>
        <v>0</v>
      </c>
    </row>
    <row r="540">
      <c r="A540" s="3">
        <f>IFERROR(__xludf.DUMMYFUNCTION("""COMPUTED_VALUE"""),-0.09999999999999432)</f>
        <v>-0.1</v>
      </c>
      <c r="B540" s="3">
        <f>IFERROR(__xludf.DUMMYFUNCTION("""COMPUTED_VALUE"""),0.0)</f>
        <v>0</v>
      </c>
      <c r="C540" s="3">
        <f>IFERROR(__xludf.DUMMYFUNCTION("""COMPUTED_VALUE"""),0.0)</f>
        <v>0</v>
      </c>
    </row>
    <row r="541">
      <c r="A541" s="3">
        <f>IFERROR(__xludf.DUMMYFUNCTION("""COMPUTED_VALUE"""),0.0)</f>
        <v>0</v>
      </c>
      <c r="B541" s="3">
        <f>IFERROR(__xludf.DUMMYFUNCTION("""COMPUTED_VALUE"""),0.0)</f>
        <v>0</v>
      </c>
      <c r="C541" s="3">
        <f>IFERROR(__xludf.DUMMYFUNCTION("""COMPUTED_VALUE"""),-0.10000000000002274)</f>
        <v>-0.1</v>
      </c>
    </row>
    <row r="542">
      <c r="A542" s="3">
        <f>IFERROR(__xludf.DUMMYFUNCTION("""COMPUTED_VALUE"""),0.0)</f>
        <v>0</v>
      </c>
      <c r="B542" s="3">
        <f>IFERROR(__xludf.DUMMYFUNCTION("""COMPUTED_VALUE"""),0.0)</f>
        <v>0</v>
      </c>
      <c r="C542" s="3">
        <f>IFERROR(__xludf.DUMMYFUNCTION("""COMPUTED_VALUE"""),-0.39999999999997726)</f>
        <v>-0.4</v>
      </c>
    </row>
    <row r="543">
      <c r="A543" s="3">
        <f>IFERROR(__xludf.DUMMYFUNCTION("""COMPUTED_VALUE"""),0.0)</f>
        <v>0</v>
      </c>
      <c r="B543" s="3">
        <f>IFERROR(__xludf.DUMMYFUNCTION("""COMPUTED_VALUE"""),0.0)</f>
        <v>0</v>
      </c>
      <c r="C543" s="3">
        <f>IFERROR(__xludf.DUMMYFUNCTION("""COMPUTED_VALUE"""),0.0)</f>
        <v>0</v>
      </c>
    </row>
    <row r="544">
      <c r="A544" s="3">
        <f>IFERROR(__xludf.DUMMYFUNCTION("""COMPUTED_VALUE"""),0.0)</f>
        <v>0</v>
      </c>
      <c r="B544" s="3">
        <f>IFERROR(__xludf.DUMMYFUNCTION("""COMPUTED_VALUE"""),0.09999999999999432)</f>
        <v>0.1</v>
      </c>
      <c r="C544" s="3">
        <f>IFERROR(__xludf.DUMMYFUNCTION("""COMPUTED_VALUE"""),0.19999999999998863)</f>
        <v>0.2</v>
      </c>
    </row>
    <row r="545">
      <c r="A545" s="3">
        <f>IFERROR(__xludf.DUMMYFUNCTION("""COMPUTED_VALUE"""),0.09999999999999432)</f>
        <v>0.1</v>
      </c>
      <c r="B545" s="3">
        <f>IFERROR(__xludf.DUMMYFUNCTION("""COMPUTED_VALUE"""),-0.09999999999999432)</f>
        <v>-0.1</v>
      </c>
      <c r="C545" s="3">
        <f>IFERROR(__xludf.DUMMYFUNCTION("""COMPUTED_VALUE"""),0.09999999999999432)</f>
        <v>0.1</v>
      </c>
    </row>
    <row r="546">
      <c r="A546" s="3">
        <f>IFERROR(__xludf.DUMMYFUNCTION("""COMPUTED_VALUE"""),0.0)</f>
        <v>0</v>
      </c>
      <c r="B546" s="3">
        <f>IFERROR(__xludf.DUMMYFUNCTION("""COMPUTED_VALUE"""),0.09999999999999432)</f>
        <v>0.1</v>
      </c>
      <c r="C546" s="3">
        <f>IFERROR(__xludf.DUMMYFUNCTION("""COMPUTED_VALUE"""),0.0)</f>
        <v>0</v>
      </c>
    </row>
    <row r="547">
      <c r="A547" s="3">
        <f>IFERROR(__xludf.DUMMYFUNCTION("""COMPUTED_VALUE"""),-0.09999999999999432)</f>
        <v>-0.1</v>
      </c>
      <c r="B547" s="3">
        <f>IFERROR(__xludf.DUMMYFUNCTION("""COMPUTED_VALUE"""),0.0)</f>
        <v>0</v>
      </c>
      <c r="C547" s="3">
        <f>IFERROR(__xludf.DUMMYFUNCTION("""COMPUTED_VALUE"""),-0.09999999999999432)</f>
        <v>-0.1</v>
      </c>
    </row>
    <row r="548">
      <c r="A548" s="3">
        <f>IFERROR(__xludf.DUMMYFUNCTION("""COMPUTED_VALUE"""),0.09999999999999432)</f>
        <v>0.1</v>
      </c>
      <c r="B548" s="3">
        <f>IFERROR(__xludf.DUMMYFUNCTION("""COMPUTED_VALUE"""),-0.09999999999999432)</f>
        <v>-0.1</v>
      </c>
      <c r="C548" s="3">
        <f>IFERROR(__xludf.DUMMYFUNCTION("""COMPUTED_VALUE"""),0.0)</f>
        <v>0</v>
      </c>
    </row>
    <row r="549">
      <c r="A549" s="3">
        <f>IFERROR(__xludf.DUMMYFUNCTION("""COMPUTED_VALUE"""),-0.09999999999999432)</f>
        <v>-0.1</v>
      </c>
      <c r="B549" s="3">
        <f>IFERROR(__xludf.DUMMYFUNCTION("""COMPUTED_VALUE"""),0.0)</f>
        <v>0</v>
      </c>
      <c r="C549" s="3">
        <f>IFERROR(__xludf.DUMMYFUNCTION("""COMPUTED_VALUE"""),0.0)</f>
        <v>0</v>
      </c>
    </row>
    <row r="550">
      <c r="A550" s="3">
        <f>IFERROR(__xludf.DUMMYFUNCTION("""COMPUTED_VALUE"""),-0.4000000000000057)</f>
        <v>-0.4</v>
      </c>
      <c r="B550" s="3">
        <f>IFERROR(__xludf.DUMMYFUNCTION("""COMPUTED_VALUE"""),-0.09999999999999432)</f>
        <v>-0.1</v>
      </c>
      <c r="C550" s="3">
        <f>IFERROR(__xludf.DUMMYFUNCTION("""COMPUTED_VALUE"""),0.0)</f>
        <v>0</v>
      </c>
    </row>
    <row r="551">
      <c r="A551" s="3">
        <f>IFERROR(__xludf.DUMMYFUNCTION("""COMPUTED_VALUE"""),0.30000000000001137)</f>
        <v>0.3</v>
      </c>
      <c r="B551" s="3">
        <f>IFERROR(__xludf.DUMMYFUNCTION("""COMPUTED_VALUE"""),0.0)</f>
        <v>0</v>
      </c>
      <c r="C551" s="3">
        <f>IFERROR(__xludf.DUMMYFUNCTION("""COMPUTED_VALUE"""),0.0)</f>
        <v>0</v>
      </c>
    </row>
    <row r="552">
      <c r="A552" s="3">
        <f>IFERROR(__xludf.DUMMYFUNCTION("""COMPUTED_VALUE"""),0.0)</f>
        <v>0</v>
      </c>
      <c r="B552" s="3">
        <f>IFERROR(__xludf.DUMMYFUNCTION("""COMPUTED_VALUE"""),0.19999999999998863)</f>
        <v>0.2</v>
      </c>
      <c r="C552" s="3">
        <f>IFERROR(__xludf.DUMMYFUNCTION("""COMPUTED_VALUE"""),0.0)</f>
        <v>0</v>
      </c>
    </row>
    <row r="553">
      <c r="A553" s="3">
        <f>IFERROR(__xludf.DUMMYFUNCTION("""COMPUTED_VALUE"""),-0.09999999999999432)</f>
        <v>-0.1</v>
      </c>
      <c r="B553" s="3">
        <f>IFERROR(__xludf.DUMMYFUNCTION("""COMPUTED_VALUE"""),0.09999999999999432)</f>
        <v>0.1</v>
      </c>
      <c r="C553" s="3">
        <f>IFERROR(__xludf.DUMMYFUNCTION("""COMPUTED_VALUE"""),0.0)</f>
        <v>0</v>
      </c>
    </row>
    <row r="554">
      <c r="A554" s="3">
        <f>IFERROR(__xludf.DUMMYFUNCTION("""COMPUTED_VALUE"""),0.19999999999998863)</f>
        <v>0.2</v>
      </c>
      <c r="B554" s="3">
        <f>IFERROR(__xludf.DUMMYFUNCTION("""COMPUTED_VALUE"""),0.09999999999999432)</f>
        <v>0.1</v>
      </c>
      <c r="C554" s="3">
        <f>IFERROR(__xludf.DUMMYFUNCTION("""COMPUTED_VALUE"""),-0.09999999999999432)</f>
        <v>-0.1</v>
      </c>
    </row>
    <row r="555">
      <c r="A555" s="3">
        <f>IFERROR(__xludf.DUMMYFUNCTION("""COMPUTED_VALUE"""),0.0)</f>
        <v>0</v>
      </c>
      <c r="B555" s="3">
        <f>IFERROR(__xludf.DUMMYFUNCTION("""COMPUTED_VALUE"""),0.10000000000002274)</f>
        <v>0.1</v>
      </c>
      <c r="C555" s="3">
        <f>IFERROR(__xludf.DUMMYFUNCTION("""COMPUTED_VALUE"""),0.0)</f>
        <v>0</v>
      </c>
    </row>
    <row r="556">
      <c r="A556" s="3">
        <f>IFERROR(__xludf.DUMMYFUNCTION("""COMPUTED_VALUE"""),0.09999999999999432)</f>
        <v>0.1</v>
      </c>
      <c r="B556" s="3">
        <f>IFERROR(__xludf.DUMMYFUNCTION("""COMPUTED_VALUE"""),0.0)</f>
        <v>0</v>
      </c>
      <c r="C556" s="3">
        <f>IFERROR(__xludf.DUMMYFUNCTION("""COMPUTED_VALUE"""),0.0)</f>
        <v>0</v>
      </c>
    </row>
    <row r="557">
      <c r="A557" s="3">
        <f>IFERROR(__xludf.DUMMYFUNCTION("""COMPUTED_VALUE"""),-1.0)</f>
        <v>-1</v>
      </c>
      <c r="B557" s="3">
        <f>IFERROR(__xludf.DUMMYFUNCTION("""COMPUTED_VALUE"""),-0.10000000000002274)</f>
        <v>-0.1</v>
      </c>
      <c r="C557" s="3">
        <f>IFERROR(__xludf.DUMMYFUNCTION("""COMPUTED_VALUE"""),0.09999999999999432)</f>
        <v>0.1</v>
      </c>
    </row>
    <row r="558">
      <c r="A558" s="3">
        <f>IFERROR(__xludf.DUMMYFUNCTION("""COMPUTED_VALUE"""),0.30000000000001137)</f>
        <v>0.3</v>
      </c>
      <c r="B558" s="3">
        <f>IFERROR(__xludf.DUMMYFUNCTION("""COMPUTED_VALUE"""),0.0)</f>
        <v>0</v>
      </c>
      <c r="C558" s="3">
        <f>IFERROR(__xludf.DUMMYFUNCTION("""COMPUTED_VALUE"""),0.0)</f>
        <v>0</v>
      </c>
    </row>
    <row r="559">
      <c r="A559" s="3">
        <f>IFERROR(__xludf.DUMMYFUNCTION("""COMPUTED_VALUE"""),0.30000000000001137)</f>
        <v>0.3</v>
      </c>
      <c r="B559" s="3">
        <f>IFERROR(__xludf.DUMMYFUNCTION("""COMPUTED_VALUE"""),0.0)</f>
        <v>0</v>
      </c>
      <c r="C559" s="3">
        <f>IFERROR(__xludf.DUMMYFUNCTION("""COMPUTED_VALUE"""),0.09999999999999432)</f>
        <v>0.1</v>
      </c>
    </row>
    <row r="560">
      <c r="A560" s="3">
        <f>IFERROR(__xludf.DUMMYFUNCTION("""COMPUTED_VALUE"""),0.09999999999999432)</f>
        <v>0.1</v>
      </c>
      <c r="B560" s="3">
        <f>IFERROR(__xludf.DUMMYFUNCTION("""COMPUTED_VALUE"""),0.0)</f>
        <v>0</v>
      </c>
      <c r="C560" s="3">
        <f>IFERROR(__xludf.DUMMYFUNCTION("""COMPUTED_VALUE"""),0.09999999999999432)</f>
        <v>0.1</v>
      </c>
    </row>
    <row r="561">
      <c r="A561" s="3">
        <f>IFERROR(__xludf.DUMMYFUNCTION("""COMPUTED_VALUE"""),-0.09999999999999432)</f>
        <v>-0.1</v>
      </c>
      <c r="B561" s="3">
        <f>IFERROR(__xludf.DUMMYFUNCTION("""COMPUTED_VALUE"""),-0.5)</f>
        <v>-0.5</v>
      </c>
      <c r="C561" s="3">
        <f>IFERROR(__xludf.DUMMYFUNCTION("""COMPUTED_VALUE"""),-0.09999999999999432)</f>
        <v>-0.1</v>
      </c>
    </row>
    <row r="562">
      <c r="A562" s="3">
        <f>IFERROR(__xludf.DUMMYFUNCTION("""COMPUTED_VALUE"""),0.19999999999998863)</f>
        <v>0.2</v>
      </c>
      <c r="B562" s="3">
        <f>IFERROR(__xludf.DUMMYFUNCTION("""COMPUTED_VALUE"""),0.0)</f>
        <v>0</v>
      </c>
      <c r="C562" s="3">
        <f>IFERROR(__xludf.DUMMYFUNCTION("""COMPUTED_VALUE"""),0.0)</f>
        <v>0</v>
      </c>
    </row>
    <row r="563">
      <c r="A563" s="3">
        <f>IFERROR(__xludf.DUMMYFUNCTION("""COMPUTED_VALUE"""),0.19999999999998863)</f>
        <v>0.2</v>
      </c>
      <c r="B563" s="3">
        <f>IFERROR(__xludf.DUMMYFUNCTION("""COMPUTED_VALUE"""),0.20000000000001705)</f>
        <v>0.2</v>
      </c>
      <c r="C563" s="3">
        <f>IFERROR(__xludf.DUMMYFUNCTION("""COMPUTED_VALUE"""),-0.09999999999999432)</f>
        <v>-0.1</v>
      </c>
    </row>
    <row r="564">
      <c r="A564" s="3">
        <f>IFERROR(__xludf.DUMMYFUNCTION("""COMPUTED_VALUE"""),0.10000000000002274)</f>
        <v>0.1</v>
      </c>
      <c r="B564" s="3">
        <f>IFERROR(__xludf.DUMMYFUNCTION("""COMPUTED_VALUE"""),0.09999999999999432)</f>
        <v>0.1</v>
      </c>
      <c r="C564" s="3">
        <f>IFERROR(__xludf.DUMMYFUNCTION("""COMPUTED_VALUE"""),0.0)</f>
        <v>0</v>
      </c>
    </row>
    <row r="565">
      <c r="A565" s="3">
        <f>IFERROR(__xludf.DUMMYFUNCTION("""COMPUTED_VALUE"""),0.0)</f>
        <v>0</v>
      </c>
      <c r="B565" s="3">
        <f>IFERROR(__xludf.DUMMYFUNCTION("""COMPUTED_VALUE"""),0.0)</f>
        <v>0</v>
      </c>
      <c r="C565" s="3">
        <f>IFERROR(__xludf.DUMMYFUNCTION("""COMPUTED_VALUE"""),0.0)</f>
        <v>0</v>
      </c>
    </row>
    <row r="566">
      <c r="A566" s="3">
        <f>IFERROR(__xludf.DUMMYFUNCTION("""COMPUTED_VALUE"""),0.0)</f>
        <v>0</v>
      </c>
      <c r="B566" s="3">
        <f>IFERROR(__xludf.DUMMYFUNCTION("""COMPUTED_VALUE"""),0.0)</f>
        <v>0</v>
      </c>
      <c r="C566" s="3">
        <f>IFERROR(__xludf.DUMMYFUNCTION("""COMPUTED_VALUE"""),0.09999999999999432)</f>
        <v>0.1</v>
      </c>
    </row>
    <row r="567">
      <c r="A567" s="3">
        <f>IFERROR(__xludf.DUMMYFUNCTION("""COMPUTED_VALUE"""),0.0)</f>
        <v>0</v>
      </c>
      <c r="B567" s="3">
        <f>IFERROR(__xludf.DUMMYFUNCTION("""COMPUTED_VALUE"""),-0.19999999999998863)</f>
        <v>-0.2</v>
      </c>
      <c r="C567" s="3">
        <f>IFERROR(__xludf.DUMMYFUNCTION("""COMPUTED_VALUE"""),0.0)</f>
        <v>0</v>
      </c>
    </row>
    <row r="568">
      <c r="A568" s="3">
        <f>IFERROR(__xludf.DUMMYFUNCTION("""COMPUTED_VALUE"""),-0.10000000000002274)</f>
        <v>-0.1</v>
      </c>
      <c r="B568" s="3">
        <f>IFERROR(__xludf.DUMMYFUNCTION("""COMPUTED_VALUE"""),0.0)</f>
        <v>0</v>
      </c>
      <c r="C568" s="3">
        <f>IFERROR(__xludf.DUMMYFUNCTION("""COMPUTED_VALUE"""),-0.09999999999999432)</f>
        <v>-0.1</v>
      </c>
    </row>
    <row r="569">
      <c r="A569" s="3">
        <f>IFERROR(__xludf.DUMMYFUNCTION("""COMPUTED_VALUE"""),-0.19999999999998863)</f>
        <v>-0.2</v>
      </c>
      <c r="B569" s="3">
        <f>IFERROR(__xludf.DUMMYFUNCTION("""COMPUTED_VALUE"""),0.09999999999999432)</f>
        <v>0.1</v>
      </c>
      <c r="C569" s="3">
        <f>IFERROR(__xludf.DUMMYFUNCTION("""COMPUTED_VALUE"""),-0.09999999999999432)</f>
        <v>-0.1</v>
      </c>
    </row>
    <row r="570">
      <c r="A570" s="3">
        <f>IFERROR(__xludf.DUMMYFUNCTION("""COMPUTED_VALUE"""),0.09999999999999432)</f>
        <v>0.1</v>
      </c>
      <c r="B570" s="3">
        <f>IFERROR(__xludf.DUMMYFUNCTION("""COMPUTED_VALUE"""),0.09999999999999432)</f>
        <v>0.1</v>
      </c>
      <c r="C570" s="3">
        <f>IFERROR(__xludf.DUMMYFUNCTION("""COMPUTED_VALUE"""),0.0)</f>
        <v>0</v>
      </c>
    </row>
    <row r="571">
      <c r="A571" s="3">
        <f>IFERROR(__xludf.DUMMYFUNCTION("""COMPUTED_VALUE"""),-0.09999999999999432)</f>
        <v>-0.1</v>
      </c>
      <c r="B571" s="3">
        <f>IFERROR(__xludf.DUMMYFUNCTION("""COMPUTED_VALUE"""),0.0)</f>
        <v>0</v>
      </c>
      <c r="C571" s="3">
        <f>IFERROR(__xludf.DUMMYFUNCTION("""COMPUTED_VALUE"""),0.0)</f>
        <v>0</v>
      </c>
    </row>
    <row r="572">
      <c r="A572" s="3">
        <f>IFERROR(__xludf.DUMMYFUNCTION("""COMPUTED_VALUE"""),0.09999999999999432)</f>
        <v>0.1</v>
      </c>
      <c r="B572" s="3">
        <f>IFERROR(__xludf.DUMMYFUNCTION("""COMPUTED_VALUE"""),0.09999999999999432)</f>
        <v>0.1</v>
      </c>
      <c r="C572" s="3">
        <f>IFERROR(__xludf.DUMMYFUNCTION("""COMPUTED_VALUE"""),0.0)</f>
        <v>0</v>
      </c>
    </row>
    <row r="573">
      <c r="A573" s="3">
        <f>IFERROR(__xludf.DUMMYFUNCTION("""COMPUTED_VALUE"""),-0.09999999999999432)</f>
        <v>-0.1</v>
      </c>
      <c r="B573" s="3">
        <f>IFERROR(__xludf.DUMMYFUNCTION("""COMPUTED_VALUE"""),-0.09999999999999432)</f>
        <v>-0.1</v>
      </c>
      <c r="C573" s="3">
        <f>IFERROR(__xludf.DUMMYFUNCTION("""COMPUTED_VALUE"""),-0.30000000000001137)</f>
        <v>-0.3</v>
      </c>
    </row>
    <row r="574">
      <c r="A574" s="3">
        <f>IFERROR(__xludf.DUMMYFUNCTION("""COMPUTED_VALUE"""),0.0)</f>
        <v>0</v>
      </c>
      <c r="B574" s="3">
        <f>IFERROR(__xludf.DUMMYFUNCTION("""COMPUTED_VALUE"""),-0.09999999999999432)</f>
        <v>-0.1</v>
      </c>
      <c r="C574" s="3">
        <f>IFERROR(__xludf.DUMMYFUNCTION("""COMPUTED_VALUE"""),0.09999999999999432)</f>
        <v>0.1</v>
      </c>
    </row>
    <row r="575">
      <c r="A575" s="3">
        <f>IFERROR(__xludf.DUMMYFUNCTION("""COMPUTED_VALUE"""),-0.19999999999998863)</f>
        <v>-0.2</v>
      </c>
      <c r="B575" s="3">
        <f>IFERROR(__xludf.DUMMYFUNCTION("""COMPUTED_VALUE"""),0.0)</f>
        <v>0</v>
      </c>
      <c r="C575" s="3">
        <f>IFERROR(__xludf.DUMMYFUNCTION("""COMPUTED_VALUE"""),0.20000000000001705)</f>
        <v>0.2</v>
      </c>
    </row>
    <row r="576">
      <c r="A576" s="3">
        <f>IFERROR(__xludf.DUMMYFUNCTION("""COMPUTED_VALUE"""),0.09999999999999432)</f>
        <v>0.1</v>
      </c>
      <c r="B576" s="3">
        <f>IFERROR(__xludf.DUMMYFUNCTION("""COMPUTED_VALUE"""),0.09999999999999432)</f>
        <v>0.1</v>
      </c>
      <c r="C576" s="3">
        <f>IFERROR(__xludf.DUMMYFUNCTION("""COMPUTED_VALUE"""),-0.09999999999999432)</f>
        <v>-0.1</v>
      </c>
    </row>
    <row r="577">
      <c r="A577" s="3">
        <f>IFERROR(__xludf.DUMMYFUNCTION("""COMPUTED_VALUE"""),0.09999999999999432)</f>
        <v>0.1</v>
      </c>
      <c r="B577" s="3">
        <f>IFERROR(__xludf.DUMMYFUNCTION("""COMPUTED_VALUE"""),0.0)</f>
        <v>0</v>
      </c>
      <c r="C577" s="3">
        <f>IFERROR(__xludf.DUMMYFUNCTION("""COMPUTED_VALUE"""),0.09999999999999432)</f>
        <v>0.1</v>
      </c>
    </row>
    <row r="578">
      <c r="A578" s="3">
        <f>IFERROR(__xludf.DUMMYFUNCTION("""COMPUTED_VALUE"""),0.0)</f>
        <v>0</v>
      </c>
      <c r="B578" s="3">
        <f>IFERROR(__xludf.DUMMYFUNCTION("""COMPUTED_VALUE"""),0.0)</f>
        <v>0</v>
      </c>
      <c r="C578" s="3">
        <f>IFERROR(__xludf.DUMMYFUNCTION("""COMPUTED_VALUE"""),0.09999999999999432)</f>
        <v>0.1</v>
      </c>
    </row>
    <row r="579">
      <c r="A579" s="3">
        <f>IFERROR(__xludf.DUMMYFUNCTION("""COMPUTED_VALUE"""),0.09999999999999432)</f>
        <v>0.1</v>
      </c>
      <c r="B579" s="3">
        <f>IFERROR(__xludf.DUMMYFUNCTION("""COMPUTED_VALUE"""),0.0)</f>
        <v>0</v>
      </c>
      <c r="C579" s="3">
        <f>IFERROR(__xludf.DUMMYFUNCTION("""COMPUTED_VALUE"""),0.0)</f>
        <v>0</v>
      </c>
    </row>
    <row r="580">
      <c r="A580" s="3">
        <f>IFERROR(__xludf.DUMMYFUNCTION("""COMPUTED_VALUE"""),0.0)</f>
        <v>0</v>
      </c>
      <c r="B580" s="3">
        <f>IFERROR(__xludf.DUMMYFUNCTION("""COMPUTED_VALUE"""),0.09999999999999432)</f>
        <v>0.1</v>
      </c>
      <c r="C580" s="3">
        <f>IFERROR(__xludf.DUMMYFUNCTION("""COMPUTED_VALUE"""),0.0)</f>
        <v>0</v>
      </c>
    </row>
    <row r="581">
      <c r="A581" s="3">
        <f>IFERROR(__xludf.DUMMYFUNCTION("""COMPUTED_VALUE"""),0.0)</f>
        <v>0</v>
      </c>
      <c r="B581" s="3">
        <f>IFERROR(__xludf.DUMMYFUNCTION("""COMPUTED_VALUE"""),-0.09999999999999432)</f>
        <v>-0.1</v>
      </c>
      <c r="C581" s="3">
        <f>IFERROR(__xludf.DUMMYFUNCTION("""COMPUTED_VALUE"""),-0.09999999999999432)</f>
        <v>-0.1</v>
      </c>
    </row>
    <row r="582">
      <c r="A582" s="3">
        <f>IFERROR(__xludf.DUMMYFUNCTION("""COMPUTED_VALUE"""),-0.799999999999983)</f>
        <v>-0.8</v>
      </c>
      <c r="B582" s="3">
        <f>IFERROR(__xludf.DUMMYFUNCTION("""COMPUTED_VALUE"""),0.0)</f>
        <v>0</v>
      </c>
      <c r="C582" s="3">
        <f>IFERROR(__xludf.DUMMYFUNCTION("""COMPUTED_VALUE"""),0.0)</f>
        <v>0</v>
      </c>
    </row>
    <row r="583">
      <c r="A583" s="3">
        <f>IFERROR(__xludf.DUMMYFUNCTION("""COMPUTED_VALUE"""),0.29999999999998295)</f>
        <v>0.3</v>
      </c>
      <c r="B583" s="3">
        <f>IFERROR(__xludf.DUMMYFUNCTION("""COMPUTED_VALUE"""),0.0)</f>
        <v>0</v>
      </c>
      <c r="C583" s="3">
        <f>IFERROR(__xludf.DUMMYFUNCTION("""COMPUTED_VALUE"""),0.0)</f>
        <v>0</v>
      </c>
    </row>
    <row r="584">
      <c r="A584" s="3">
        <f>IFERROR(__xludf.DUMMYFUNCTION("""COMPUTED_VALUE"""),0.20000000000001705)</f>
        <v>0.2</v>
      </c>
      <c r="B584" s="3">
        <f>IFERROR(__xludf.DUMMYFUNCTION("""COMPUTED_VALUE"""),0.0)</f>
        <v>0</v>
      </c>
      <c r="C584" s="3">
        <f>IFERROR(__xludf.DUMMYFUNCTION("""COMPUTED_VALUE"""),-0.09999999999999432)</f>
        <v>-0.1</v>
      </c>
    </row>
    <row r="585">
      <c r="A585" s="3">
        <f>IFERROR(__xludf.DUMMYFUNCTION("""COMPUTED_VALUE"""),0.0)</f>
        <v>0</v>
      </c>
      <c r="B585" s="3">
        <f>IFERROR(__xludf.DUMMYFUNCTION("""COMPUTED_VALUE"""),0.0)</f>
        <v>0</v>
      </c>
      <c r="C585" s="3">
        <f>IFERROR(__xludf.DUMMYFUNCTION("""COMPUTED_VALUE"""),0.0)</f>
        <v>0</v>
      </c>
    </row>
    <row r="586">
      <c r="A586" s="3">
        <f>IFERROR(__xludf.DUMMYFUNCTION("""COMPUTED_VALUE"""),0.09999999999999432)</f>
        <v>0.1</v>
      </c>
      <c r="B586" s="3">
        <f>IFERROR(__xludf.DUMMYFUNCTION("""COMPUTED_VALUE"""),-0.09999999999999432)</f>
        <v>-0.1</v>
      </c>
      <c r="C586" s="3">
        <f>IFERROR(__xludf.DUMMYFUNCTION("""COMPUTED_VALUE"""),0.0)</f>
        <v>0</v>
      </c>
    </row>
    <row r="587">
      <c r="A587" s="3">
        <f>IFERROR(__xludf.DUMMYFUNCTION("""COMPUTED_VALUE"""),0.0)</f>
        <v>0</v>
      </c>
      <c r="B587" s="3">
        <f>IFERROR(__xludf.DUMMYFUNCTION("""COMPUTED_VALUE"""),0.0)</f>
        <v>0</v>
      </c>
      <c r="C587" s="3">
        <f>IFERROR(__xludf.DUMMYFUNCTION("""COMPUTED_VALUE"""),0.09999999999999432)</f>
        <v>0.1</v>
      </c>
    </row>
    <row r="588">
      <c r="A588" s="3">
        <f>IFERROR(__xludf.DUMMYFUNCTION("""COMPUTED_VALUE"""),-0.5)</f>
        <v>-0.5</v>
      </c>
      <c r="B588" s="3">
        <f>IFERROR(__xludf.DUMMYFUNCTION("""COMPUTED_VALUE"""),0.0)</f>
        <v>0</v>
      </c>
      <c r="C588" s="3">
        <f>IFERROR(__xludf.DUMMYFUNCTION("""COMPUTED_VALUE"""),-0.09999999999999432)</f>
        <v>-0.1</v>
      </c>
    </row>
    <row r="589">
      <c r="A589" s="3">
        <f>IFERROR(__xludf.DUMMYFUNCTION("""COMPUTED_VALUE"""),0.4000000000000057)</f>
        <v>0.4</v>
      </c>
      <c r="B589" s="3">
        <f>IFERROR(__xludf.DUMMYFUNCTION("""COMPUTED_VALUE"""),0.0)</f>
        <v>0</v>
      </c>
      <c r="C589" s="3">
        <f>IFERROR(__xludf.DUMMYFUNCTION("""COMPUTED_VALUE"""),0.0)</f>
        <v>0</v>
      </c>
    </row>
    <row r="590">
      <c r="A590" s="3">
        <f>IFERROR(__xludf.DUMMYFUNCTION("""COMPUTED_VALUE"""),0.09999999999999432)</f>
        <v>0.1</v>
      </c>
      <c r="B590" s="3">
        <f>IFERROR(__xludf.DUMMYFUNCTION("""COMPUTED_VALUE"""),0.0)</f>
        <v>0</v>
      </c>
      <c r="C590" s="3">
        <f>IFERROR(__xludf.DUMMYFUNCTION("""COMPUTED_VALUE"""),0.0)</f>
        <v>0</v>
      </c>
    </row>
    <row r="591">
      <c r="A591" s="3">
        <f>IFERROR(__xludf.DUMMYFUNCTION("""COMPUTED_VALUE"""),0.0)</f>
        <v>0</v>
      </c>
      <c r="B591" s="3">
        <f>IFERROR(__xludf.DUMMYFUNCTION("""COMPUTED_VALUE"""),0.09999999999999432)</f>
        <v>0.1</v>
      </c>
      <c r="C591" s="3">
        <f>IFERROR(__xludf.DUMMYFUNCTION("""COMPUTED_VALUE"""),0.0)</f>
        <v>0</v>
      </c>
    </row>
    <row r="592">
      <c r="A592" s="3">
        <f>IFERROR(__xludf.DUMMYFUNCTION("""COMPUTED_VALUE"""),-0.09999999999999432)</f>
        <v>-0.1</v>
      </c>
      <c r="B592" s="3">
        <f>IFERROR(__xludf.DUMMYFUNCTION("""COMPUTED_VALUE"""),0.09999999999999432)</f>
        <v>0.1</v>
      </c>
      <c r="C592" s="3">
        <f>IFERROR(__xludf.DUMMYFUNCTION("""COMPUTED_VALUE"""),0.09999999999999432)</f>
        <v>0.1</v>
      </c>
    </row>
    <row r="593">
      <c r="A593" s="3">
        <f>IFERROR(__xludf.DUMMYFUNCTION("""COMPUTED_VALUE"""),0.09999999999999432)</f>
        <v>0.1</v>
      </c>
      <c r="B593" s="3">
        <f>IFERROR(__xludf.DUMMYFUNCTION("""COMPUTED_VALUE"""),-0.09999999999999432)</f>
        <v>-0.1</v>
      </c>
      <c r="C593" s="3">
        <f>IFERROR(__xludf.DUMMYFUNCTION("""COMPUTED_VALUE"""),0.0)</f>
        <v>0</v>
      </c>
    </row>
    <row r="594">
      <c r="A594" s="3">
        <f>IFERROR(__xludf.DUMMYFUNCTION("""COMPUTED_VALUE"""),0.19999999999998863)</f>
        <v>0.2</v>
      </c>
      <c r="B594" s="3">
        <f>IFERROR(__xludf.DUMMYFUNCTION("""COMPUTED_VALUE"""),0.0)</f>
        <v>0</v>
      </c>
      <c r="C594" s="3">
        <f>IFERROR(__xludf.DUMMYFUNCTION("""COMPUTED_VALUE"""),0.0)</f>
        <v>0</v>
      </c>
    </row>
    <row r="595">
      <c r="A595" s="3">
        <f>IFERROR(__xludf.DUMMYFUNCTION("""COMPUTED_VALUE"""),-0.4000000000000057)</f>
        <v>-0.4</v>
      </c>
      <c r="B595" s="3">
        <f>IFERROR(__xludf.DUMMYFUNCTION("""COMPUTED_VALUE"""),0.0)</f>
        <v>0</v>
      </c>
      <c r="C595" s="3">
        <f>IFERROR(__xludf.DUMMYFUNCTION("""COMPUTED_VALUE"""),0.0)</f>
        <v>0</v>
      </c>
    </row>
    <row r="596">
      <c r="A596" s="3">
        <f>IFERROR(__xludf.DUMMYFUNCTION("""COMPUTED_VALUE"""),0.30000000000001137)</f>
        <v>0.3</v>
      </c>
      <c r="B596" s="3">
        <f>IFERROR(__xludf.DUMMYFUNCTION("""COMPUTED_VALUE"""),-0.09999999999999432)</f>
        <v>-0.1</v>
      </c>
      <c r="C596" s="3">
        <f>IFERROR(__xludf.DUMMYFUNCTION("""COMPUTED_VALUE"""),0.09999999999999432)</f>
        <v>0.1</v>
      </c>
    </row>
    <row r="597">
      <c r="A597" s="3">
        <f>IFERROR(__xludf.DUMMYFUNCTION("""COMPUTED_VALUE"""),0.6999999999999886)</f>
        <v>0.7</v>
      </c>
      <c r="B597" s="3">
        <f>IFERROR(__xludf.DUMMYFUNCTION("""COMPUTED_VALUE"""),0.0)</f>
        <v>0</v>
      </c>
      <c r="C597" s="3">
        <f>IFERROR(__xludf.DUMMYFUNCTION("""COMPUTED_VALUE"""),-0.09999999999999432)</f>
        <v>-0.1</v>
      </c>
    </row>
    <row r="598">
      <c r="A598" s="3">
        <f>IFERROR(__xludf.DUMMYFUNCTION("""COMPUTED_VALUE"""),-0.09999999999999432)</f>
        <v>-0.1</v>
      </c>
      <c r="B598" s="3">
        <f>IFERROR(__xludf.DUMMYFUNCTION("""COMPUTED_VALUE"""),0.0)</f>
        <v>0</v>
      </c>
      <c r="C598" s="3">
        <f>IFERROR(__xludf.DUMMYFUNCTION("""COMPUTED_VALUE"""),0.09999999999999432)</f>
        <v>0.1</v>
      </c>
    </row>
    <row r="599">
      <c r="A599" s="3">
        <f>IFERROR(__xludf.DUMMYFUNCTION("""COMPUTED_VALUE"""),-0.09999999999999432)</f>
        <v>-0.1</v>
      </c>
      <c r="B599" s="3">
        <f>IFERROR(__xludf.DUMMYFUNCTION("""COMPUTED_VALUE"""),0.0)</f>
        <v>0</v>
      </c>
      <c r="C599" s="3">
        <f>IFERROR(__xludf.DUMMYFUNCTION("""COMPUTED_VALUE"""),-0.09999999999999432)</f>
        <v>-0.1</v>
      </c>
    </row>
    <row r="600">
      <c r="A600" s="3">
        <f>IFERROR(__xludf.DUMMYFUNCTION("""COMPUTED_VALUE"""),-0.19999999999998863)</f>
        <v>-0.2</v>
      </c>
      <c r="B600" s="3">
        <f>IFERROR(__xludf.DUMMYFUNCTION("""COMPUTED_VALUE"""),0.4000000000000057)</f>
        <v>0.4</v>
      </c>
      <c r="C600" s="3">
        <f>IFERROR(__xludf.DUMMYFUNCTION("""COMPUTED_VALUE"""),0.0)</f>
        <v>0</v>
      </c>
    </row>
    <row r="601">
      <c r="A601" s="3">
        <f>IFERROR(__xludf.DUMMYFUNCTION("""COMPUTED_VALUE"""),-0.10000000000002274)</f>
        <v>-0.1</v>
      </c>
      <c r="B601" s="3">
        <f>IFERROR(__xludf.DUMMYFUNCTION("""COMPUTED_VALUE"""),-0.10000000000002274)</f>
        <v>-0.1</v>
      </c>
      <c r="C601" s="3">
        <f>IFERROR(__xludf.DUMMYFUNCTION("""COMPUTED_VALUE"""),0.0)</f>
        <v>0</v>
      </c>
    </row>
    <row r="602">
      <c r="A602" s="3">
        <f>IFERROR(__xludf.DUMMYFUNCTION("""COMPUTED_VALUE"""),-0.09999999999999432)</f>
        <v>-0.1</v>
      </c>
      <c r="B602" s="3">
        <f>IFERROR(__xludf.DUMMYFUNCTION("""COMPUTED_VALUE"""),-0.09999999999999432)</f>
        <v>-0.1</v>
      </c>
      <c r="C602" s="3">
        <f>IFERROR(__xludf.DUMMYFUNCTION("""COMPUTED_VALUE"""),0.09999999999999432)</f>
        <v>0.1</v>
      </c>
    </row>
    <row r="603">
      <c r="A603" s="3">
        <f>IFERROR(__xludf.DUMMYFUNCTION("""COMPUTED_VALUE"""),0.0)</f>
        <v>0</v>
      </c>
      <c r="B603" s="3">
        <f>IFERROR(__xludf.DUMMYFUNCTION("""COMPUTED_VALUE"""),0.0)</f>
        <v>0</v>
      </c>
      <c r="C603" s="3">
        <f>IFERROR(__xludf.DUMMYFUNCTION("""COMPUTED_VALUE"""),0.0)</f>
        <v>0</v>
      </c>
    </row>
    <row r="604">
      <c r="A604" s="3">
        <f>IFERROR(__xludf.DUMMYFUNCTION("""COMPUTED_VALUE"""),-0.09999999999999432)</f>
        <v>-0.1</v>
      </c>
      <c r="B604" s="3">
        <f>IFERROR(__xludf.DUMMYFUNCTION("""COMPUTED_VALUE"""),-0.09999999999999432)</f>
        <v>-0.1</v>
      </c>
      <c r="C604" s="3">
        <f>IFERROR(__xludf.DUMMYFUNCTION("""COMPUTED_VALUE"""),-0.09999999999999432)</f>
        <v>-0.1</v>
      </c>
    </row>
    <row r="605">
      <c r="A605" s="3">
        <f>IFERROR(__xludf.DUMMYFUNCTION("""COMPUTED_VALUE"""),0.09999999999999432)</f>
        <v>0.1</v>
      </c>
      <c r="B605" s="3">
        <f>IFERROR(__xludf.DUMMYFUNCTION("""COMPUTED_VALUE"""),-0.09999999999999432)</f>
        <v>-0.1</v>
      </c>
      <c r="C605" s="3">
        <f>IFERROR(__xludf.DUMMYFUNCTION("""COMPUTED_VALUE"""),0.0)</f>
        <v>0</v>
      </c>
    </row>
    <row r="606">
      <c r="A606" s="3">
        <f>IFERROR(__xludf.DUMMYFUNCTION("""COMPUTED_VALUE"""),0.0)</f>
        <v>0</v>
      </c>
      <c r="B606" s="3">
        <f>IFERROR(__xludf.DUMMYFUNCTION("""COMPUTED_VALUE"""),0.09999999999999432)</f>
        <v>0.1</v>
      </c>
      <c r="C606" s="3">
        <f>IFERROR(__xludf.DUMMYFUNCTION("""COMPUTED_VALUE"""),0.0)</f>
        <v>0</v>
      </c>
    </row>
    <row r="607">
      <c r="A607" s="3">
        <f>IFERROR(__xludf.DUMMYFUNCTION("""COMPUTED_VALUE"""),-0.09999999999999432)</f>
        <v>-0.1</v>
      </c>
      <c r="B607" s="3">
        <f>IFERROR(__xludf.DUMMYFUNCTION("""COMPUTED_VALUE"""),0.09999999999999432)</f>
        <v>0.1</v>
      </c>
      <c r="C607" s="3">
        <f>IFERROR(__xludf.DUMMYFUNCTION("""COMPUTED_VALUE"""),0.0)</f>
        <v>0</v>
      </c>
    </row>
    <row r="608">
      <c r="A608" s="3">
        <f>IFERROR(__xludf.DUMMYFUNCTION("""COMPUTED_VALUE"""),-0.09999999999999432)</f>
        <v>-0.1</v>
      </c>
      <c r="B608" s="3">
        <f>IFERROR(__xludf.DUMMYFUNCTION("""COMPUTED_VALUE"""),0.09999999999999432)</f>
        <v>0.1</v>
      </c>
      <c r="C608" s="3">
        <f>IFERROR(__xludf.DUMMYFUNCTION("""COMPUTED_VALUE"""),0.0)</f>
        <v>0</v>
      </c>
    </row>
    <row r="609">
      <c r="A609" s="3">
        <f>IFERROR(__xludf.DUMMYFUNCTION("""COMPUTED_VALUE"""),0.19999999999998863)</f>
        <v>0.2</v>
      </c>
      <c r="B609" s="3">
        <f>IFERROR(__xludf.DUMMYFUNCTION("""COMPUTED_VALUE"""),0.10000000000002274)</f>
        <v>0.1</v>
      </c>
      <c r="C609" s="3">
        <f>IFERROR(__xludf.DUMMYFUNCTION("""COMPUTED_VALUE"""),0.0)</f>
        <v>0</v>
      </c>
    </row>
    <row r="610">
      <c r="A610" s="3">
        <f>IFERROR(__xludf.DUMMYFUNCTION("""COMPUTED_VALUE"""),0.0)</f>
        <v>0</v>
      </c>
      <c r="B610" s="3">
        <f>IFERROR(__xludf.DUMMYFUNCTION("""COMPUTED_VALUE"""),0.5999999999999943)</f>
        <v>0.6</v>
      </c>
      <c r="C610" s="3">
        <f>IFERROR(__xludf.DUMMYFUNCTION("""COMPUTED_VALUE"""),-0.09999999999999432)</f>
        <v>-0.1</v>
      </c>
    </row>
    <row r="611">
      <c r="A611" s="3">
        <f>IFERROR(__xludf.DUMMYFUNCTION("""COMPUTED_VALUE"""),0.700000000000017)</f>
        <v>0.7</v>
      </c>
      <c r="B611" s="3">
        <f>IFERROR(__xludf.DUMMYFUNCTION("""COMPUTED_VALUE"""),0.5999999999999943)</f>
        <v>0.6</v>
      </c>
      <c r="C611" s="3">
        <f>IFERROR(__xludf.DUMMYFUNCTION("""COMPUTED_VALUE"""),0.0)</f>
        <v>0</v>
      </c>
    </row>
    <row r="612">
      <c r="A612" s="3">
        <f>IFERROR(__xludf.DUMMYFUNCTION("""COMPUTED_VALUE"""),-0.10000000000002274)</f>
        <v>-0.1</v>
      </c>
      <c r="B612" s="3">
        <f>IFERROR(__xludf.DUMMYFUNCTION("""COMPUTED_VALUE"""),1.9000000000000057)</f>
        <v>1.9</v>
      </c>
      <c r="C612" s="3">
        <f>IFERROR(__xludf.DUMMYFUNCTION("""COMPUTED_VALUE"""),0.0)</f>
        <v>0</v>
      </c>
    </row>
    <row r="613">
      <c r="A613" s="3">
        <f>IFERROR(__xludf.DUMMYFUNCTION("""COMPUTED_VALUE"""),0.5)</f>
        <v>0.5</v>
      </c>
      <c r="B613" s="3">
        <f>IFERROR(__xludf.DUMMYFUNCTION("""COMPUTED_VALUE"""),0.29999999999998295)</f>
        <v>0.3</v>
      </c>
      <c r="C613" s="3">
        <f>IFERROR(__xludf.DUMMYFUNCTION("""COMPUTED_VALUE"""),0.0)</f>
        <v>0</v>
      </c>
    </row>
    <row r="614">
      <c r="A614" s="3">
        <f>IFERROR(__xludf.DUMMYFUNCTION("""COMPUTED_VALUE"""),0.5)</f>
        <v>0.5</v>
      </c>
      <c r="B614" s="3">
        <f>IFERROR(__xludf.DUMMYFUNCTION("""COMPUTED_VALUE"""),0.30000000000001137)</f>
        <v>0.3</v>
      </c>
      <c r="C614" s="3">
        <f>IFERROR(__xludf.DUMMYFUNCTION("""COMPUTED_VALUE"""),-0.10000000000002274)</f>
        <v>-0.1</v>
      </c>
    </row>
    <row r="615">
      <c r="A615" s="3">
        <f>IFERROR(__xludf.DUMMYFUNCTION("""COMPUTED_VALUE"""),0.9000000000000057)</f>
        <v>0.9</v>
      </c>
      <c r="B615" s="3">
        <f>IFERROR(__xludf.DUMMYFUNCTION("""COMPUTED_VALUE"""),0.6999999999999886)</f>
        <v>0.7</v>
      </c>
      <c r="C615" s="3">
        <f>IFERROR(__xludf.DUMMYFUNCTION("""COMPUTED_VALUE"""),0.10000000000002274)</f>
        <v>0.1</v>
      </c>
    </row>
    <row r="616">
      <c r="A616" s="3">
        <f>IFERROR(__xludf.DUMMYFUNCTION("""COMPUTED_VALUE"""),4.200000000000017)</f>
        <v>4.2</v>
      </c>
      <c r="B616" s="3">
        <f>IFERROR(__xludf.DUMMYFUNCTION("""COMPUTED_VALUE"""),0.6000000000000227)</f>
        <v>0.6</v>
      </c>
      <c r="C616" s="3">
        <f>IFERROR(__xludf.DUMMYFUNCTION("""COMPUTED_VALUE"""),0.09999999999999432)</f>
        <v>0.1</v>
      </c>
    </row>
    <row r="617">
      <c r="A617" s="3">
        <f>IFERROR(__xludf.DUMMYFUNCTION("""COMPUTED_VALUE"""),-0.700000000000017)</f>
        <v>-0.7</v>
      </c>
      <c r="B617" s="3">
        <f>IFERROR(__xludf.DUMMYFUNCTION("""COMPUTED_VALUE"""),0.799999999999983)</f>
        <v>0.8</v>
      </c>
      <c r="C617" s="3">
        <f>IFERROR(__xludf.DUMMYFUNCTION("""COMPUTED_VALUE"""),0.0)</f>
        <v>0</v>
      </c>
    </row>
    <row r="618">
      <c r="A618" s="3">
        <f>IFERROR(__xludf.DUMMYFUNCTION("""COMPUTED_VALUE"""),0.30000000000001137)</f>
        <v>0.3</v>
      </c>
      <c r="B618" s="3">
        <f>IFERROR(__xludf.DUMMYFUNCTION("""COMPUTED_VALUE"""),0.20000000000001705)</f>
        <v>0.2</v>
      </c>
      <c r="C618" s="3">
        <f>IFERROR(__xludf.DUMMYFUNCTION("""COMPUTED_VALUE"""),0.0)</f>
        <v>0</v>
      </c>
    </row>
    <row r="619">
      <c r="A619" s="3">
        <f>IFERROR(__xludf.DUMMYFUNCTION("""COMPUTED_VALUE"""),0.799999999999983)</f>
        <v>0.8</v>
      </c>
      <c r="B619" s="3">
        <f>IFERROR(__xludf.DUMMYFUNCTION("""COMPUTED_VALUE"""),0.799999999999983)</f>
        <v>0.8</v>
      </c>
      <c r="C619" s="3">
        <f>IFERROR(__xludf.DUMMYFUNCTION("""COMPUTED_VALUE"""),0.0)</f>
        <v>0</v>
      </c>
    </row>
    <row r="620">
      <c r="A620" s="3">
        <f>IFERROR(__xludf.DUMMYFUNCTION("""COMPUTED_VALUE"""),0.9000000000000057)</f>
        <v>0.9</v>
      </c>
      <c r="B620" s="3">
        <f>IFERROR(__xludf.DUMMYFUNCTION("""COMPUTED_VALUE"""),0.4000000000000057)</f>
        <v>0.4</v>
      </c>
      <c r="C620" s="3">
        <f>IFERROR(__xludf.DUMMYFUNCTION("""COMPUTED_VALUE"""),0.0)</f>
        <v>0</v>
      </c>
    </row>
    <row r="621">
      <c r="A621" s="3">
        <f>IFERROR(__xludf.DUMMYFUNCTION("""COMPUTED_VALUE"""),2.4000000000000057)</f>
        <v>2.4</v>
      </c>
      <c r="B621" s="3">
        <f>IFERROR(__xludf.DUMMYFUNCTION("""COMPUTED_VALUE"""),0.6999999999999886)</f>
        <v>0.7</v>
      </c>
      <c r="C621" s="3">
        <f>IFERROR(__xludf.DUMMYFUNCTION("""COMPUTED_VALUE"""),-0.09999999999999432)</f>
        <v>-0.1</v>
      </c>
    </row>
    <row r="622">
      <c r="A622" s="3">
        <f>IFERROR(__xludf.DUMMYFUNCTION("""COMPUTED_VALUE"""),0.09999999999999432)</f>
        <v>0.1</v>
      </c>
      <c r="B622" s="3">
        <f>IFERROR(__xludf.DUMMYFUNCTION("""COMPUTED_VALUE"""),0.8000000000000114)</f>
        <v>0.8</v>
      </c>
      <c r="C622" s="3">
        <f>IFERROR(__xludf.DUMMYFUNCTION("""COMPUTED_VALUE"""),0.0)</f>
        <v>0</v>
      </c>
    </row>
    <row r="623">
      <c r="A623" s="3">
        <f>IFERROR(__xludf.DUMMYFUNCTION("""COMPUTED_VALUE"""),1.0999999999999943)</f>
        <v>1.1</v>
      </c>
      <c r="B623" s="3">
        <f>IFERROR(__xludf.DUMMYFUNCTION("""COMPUTED_VALUE"""),0.5)</f>
        <v>0.5</v>
      </c>
      <c r="C623" s="3">
        <f>IFERROR(__xludf.DUMMYFUNCTION("""COMPUTED_VALUE"""),0.0)</f>
        <v>0</v>
      </c>
    </row>
    <row r="624">
      <c r="A624" s="3">
        <f>IFERROR(__xludf.DUMMYFUNCTION("""COMPUTED_VALUE"""),1.200000000000017)</f>
        <v>1.2</v>
      </c>
      <c r="B624" s="3">
        <f>IFERROR(__xludf.DUMMYFUNCTION("""COMPUTED_VALUE"""),0.5)</f>
        <v>0.5</v>
      </c>
      <c r="C624" s="3">
        <f>IFERROR(__xludf.DUMMYFUNCTION("""COMPUTED_VALUE"""),0.0)</f>
        <v>0</v>
      </c>
    </row>
    <row r="625">
      <c r="A625" s="3">
        <f>IFERROR(__xludf.DUMMYFUNCTION("""COMPUTED_VALUE"""),0.5999999999999943)</f>
        <v>0.6</v>
      </c>
      <c r="B625" s="3">
        <f>IFERROR(__xludf.DUMMYFUNCTION("""COMPUTED_VALUE"""),0.4000000000000057)</f>
        <v>0.4</v>
      </c>
      <c r="C625" s="3">
        <f>IFERROR(__xludf.DUMMYFUNCTION("""COMPUTED_VALUE"""),0.0)</f>
        <v>0</v>
      </c>
    </row>
    <row r="626">
      <c r="A626" s="3">
        <f>IFERROR(__xludf.DUMMYFUNCTION("""COMPUTED_VALUE"""),0.8000000000000114)</f>
        <v>0.8</v>
      </c>
      <c r="B626" s="3">
        <f>IFERROR(__xludf.DUMMYFUNCTION("""COMPUTED_VALUE"""),0.5)</f>
        <v>0.5</v>
      </c>
      <c r="C626" s="3">
        <f>IFERROR(__xludf.DUMMYFUNCTION("""COMPUTED_VALUE"""),0.0)</f>
        <v>0</v>
      </c>
    </row>
    <row r="627">
      <c r="A627" s="3">
        <f>IFERROR(__xludf.DUMMYFUNCTION("""COMPUTED_VALUE"""),0.799999999999983)</f>
        <v>0.8</v>
      </c>
      <c r="B627" s="3">
        <f>IFERROR(__xludf.DUMMYFUNCTION("""COMPUTED_VALUE"""),1.9000000000000057)</f>
        <v>1.9</v>
      </c>
      <c r="C627" s="3">
        <f>IFERROR(__xludf.DUMMYFUNCTION("""COMPUTED_VALUE"""),0.0)</f>
        <v>0</v>
      </c>
    </row>
    <row r="628">
      <c r="A628" s="3">
        <f>IFERROR(__xludf.DUMMYFUNCTION("""COMPUTED_VALUE"""),0.700000000000017)</f>
        <v>0.7</v>
      </c>
      <c r="B628" s="3">
        <f>IFERROR(__xludf.DUMMYFUNCTION("""COMPUTED_VALUE"""),1.6999999999999886)</f>
        <v>1.7</v>
      </c>
      <c r="C628" s="3">
        <f>IFERROR(__xludf.DUMMYFUNCTION("""COMPUTED_VALUE"""),0.0)</f>
        <v>0</v>
      </c>
    </row>
    <row r="629">
      <c r="A629" s="3">
        <f>IFERROR(__xludf.DUMMYFUNCTION("""COMPUTED_VALUE"""),0.8999999999999773)</f>
        <v>0.9</v>
      </c>
      <c r="B629" s="3">
        <f>IFERROR(__xludf.DUMMYFUNCTION("""COMPUTED_VALUE"""),0.30000000000001137)</f>
        <v>0.3</v>
      </c>
      <c r="C629" s="3">
        <f>IFERROR(__xludf.DUMMYFUNCTION("""COMPUTED_VALUE"""),0.0)</f>
        <v>0</v>
      </c>
    </row>
    <row r="630">
      <c r="A630" s="3">
        <f>IFERROR(__xludf.DUMMYFUNCTION("""COMPUTED_VALUE"""),1.4000000000000057)</f>
        <v>1.4</v>
      </c>
      <c r="B630" s="3">
        <f>IFERROR(__xludf.DUMMYFUNCTION("""COMPUTED_VALUE"""),0.39999999999997726)</f>
        <v>0.4</v>
      </c>
      <c r="C630" s="3">
        <f>IFERROR(__xludf.DUMMYFUNCTION("""COMPUTED_VALUE"""),0.0)</f>
        <v>0</v>
      </c>
    </row>
    <row r="631">
      <c r="A631" s="3">
        <f>IFERROR(__xludf.DUMMYFUNCTION("""COMPUTED_VALUE"""),1.0)</f>
        <v>1</v>
      </c>
      <c r="B631" s="3">
        <f>IFERROR(__xludf.DUMMYFUNCTION("""COMPUTED_VALUE"""),0.5)</f>
        <v>0.5</v>
      </c>
      <c r="C631" s="3">
        <f>IFERROR(__xludf.DUMMYFUNCTION("""COMPUTED_VALUE"""),0.0)</f>
        <v>0</v>
      </c>
    </row>
    <row r="632">
      <c r="A632" s="3">
        <f>IFERROR(__xludf.DUMMYFUNCTION("""COMPUTED_VALUE"""),0.5999999999999943)</f>
        <v>0.6</v>
      </c>
      <c r="B632" s="3">
        <f>IFERROR(__xludf.DUMMYFUNCTION("""COMPUTED_VALUE"""),3.0)</f>
        <v>3</v>
      </c>
      <c r="C632" s="3">
        <f>IFERROR(__xludf.DUMMYFUNCTION("""COMPUTED_VALUE"""),0.0)</f>
        <v>0</v>
      </c>
    </row>
    <row r="633">
      <c r="A633" s="3">
        <f>IFERROR(__xludf.DUMMYFUNCTION("""COMPUTED_VALUE"""),1.0)</f>
        <v>1</v>
      </c>
      <c r="B633" s="3">
        <f>IFERROR(__xludf.DUMMYFUNCTION("""COMPUTED_VALUE"""),0.700000000000017)</f>
        <v>0.7</v>
      </c>
      <c r="C633" s="3">
        <f>IFERROR(__xludf.DUMMYFUNCTION("""COMPUTED_VALUE"""),0.0)</f>
        <v>0</v>
      </c>
    </row>
    <row r="634">
      <c r="A634" s="3">
        <f>IFERROR(__xludf.DUMMYFUNCTION("""COMPUTED_VALUE"""),1.3000000000000114)</f>
        <v>1.3</v>
      </c>
      <c r="B634" s="3">
        <f>IFERROR(__xludf.DUMMYFUNCTION("""COMPUTED_VALUE"""),0.19999999999998863)</f>
        <v>0.2</v>
      </c>
      <c r="C634" s="3">
        <f>IFERROR(__xludf.DUMMYFUNCTION("""COMPUTED_VALUE"""),0.09999999999999432)</f>
        <v>0.1</v>
      </c>
    </row>
    <row r="635">
      <c r="A635" s="3">
        <f>IFERROR(__xludf.DUMMYFUNCTION("""COMPUTED_VALUE"""),1.0)</f>
        <v>1</v>
      </c>
      <c r="B635" s="3">
        <f>IFERROR(__xludf.DUMMYFUNCTION("""COMPUTED_VALUE"""),-0.19999999999998863)</f>
        <v>-0.2</v>
      </c>
      <c r="C635" s="3">
        <f>IFERROR(__xludf.DUMMYFUNCTION("""COMPUTED_VALUE"""),0.0)</f>
        <v>0</v>
      </c>
    </row>
    <row r="636">
      <c r="A636" s="3">
        <f>IFERROR(__xludf.DUMMYFUNCTION("""COMPUTED_VALUE"""),1.1999999999999886)</f>
        <v>1.2</v>
      </c>
      <c r="B636" s="3">
        <f>IFERROR(__xludf.DUMMYFUNCTION("""COMPUTED_VALUE"""),1.6999999999999886)</f>
        <v>1.7</v>
      </c>
      <c r="C636" s="3">
        <f>IFERROR(__xludf.DUMMYFUNCTION("""COMPUTED_VALUE"""),0.0)</f>
        <v>0</v>
      </c>
    </row>
    <row r="637">
      <c r="A637" s="3">
        <f>IFERROR(__xludf.DUMMYFUNCTION("""COMPUTED_VALUE"""),0.4000000000000057)</f>
        <v>0.4</v>
      </c>
      <c r="B637" s="3">
        <f>IFERROR(__xludf.DUMMYFUNCTION("""COMPUTED_VALUE"""),0.30000000000001137)</f>
        <v>0.3</v>
      </c>
      <c r="C637" s="3">
        <f>IFERROR(__xludf.DUMMYFUNCTION("""COMPUTED_VALUE"""),-0.09999999999999432)</f>
        <v>-0.1</v>
      </c>
    </row>
    <row r="638">
      <c r="A638" s="3">
        <f>IFERROR(__xludf.DUMMYFUNCTION("""COMPUTED_VALUE"""),1.0999999999999943)</f>
        <v>1.1</v>
      </c>
      <c r="B638" s="3">
        <f>IFERROR(__xludf.DUMMYFUNCTION("""COMPUTED_VALUE"""),0.6999999999999886)</f>
        <v>0.7</v>
      </c>
      <c r="C638" s="3">
        <f>IFERROR(__xludf.DUMMYFUNCTION("""COMPUTED_VALUE"""),0.09999999999999432)</f>
        <v>0.1</v>
      </c>
    </row>
    <row r="639">
      <c r="A639" s="3">
        <f>IFERROR(__xludf.DUMMYFUNCTION("""COMPUTED_VALUE"""),1.0)</f>
        <v>1</v>
      </c>
      <c r="B639" s="3">
        <f>IFERROR(__xludf.DUMMYFUNCTION("""COMPUTED_VALUE"""),0.9000000000000057)</f>
        <v>0.9</v>
      </c>
      <c r="C639" s="3">
        <f>IFERROR(__xludf.DUMMYFUNCTION("""COMPUTED_VALUE"""),0.0)</f>
        <v>0</v>
      </c>
    </row>
    <row r="640">
      <c r="A640" s="3">
        <f>IFERROR(__xludf.DUMMYFUNCTION("""COMPUTED_VALUE"""),1.0)</f>
        <v>1</v>
      </c>
      <c r="B640" s="3">
        <f>IFERROR(__xludf.DUMMYFUNCTION("""COMPUTED_VALUE"""),0.9000000000000057)</f>
        <v>0.9</v>
      </c>
      <c r="C640" s="3">
        <f>IFERROR(__xludf.DUMMYFUNCTION("""COMPUTED_VALUE"""),0.0)</f>
        <v>0</v>
      </c>
    </row>
    <row r="641">
      <c r="A641" s="3">
        <f>IFERROR(__xludf.DUMMYFUNCTION("""COMPUTED_VALUE"""),1.200000000000017)</f>
        <v>1.2</v>
      </c>
      <c r="B641" s="3">
        <f>IFERROR(__xludf.DUMMYFUNCTION("""COMPUTED_VALUE"""),0.799999999999983)</f>
        <v>0.8</v>
      </c>
      <c r="C641" s="3">
        <f>IFERROR(__xludf.DUMMYFUNCTION("""COMPUTED_VALUE"""),0.0)</f>
        <v>0</v>
      </c>
    </row>
    <row r="642">
      <c r="A642" s="3">
        <f>IFERROR(__xludf.DUMMYFUNCTION("""COMPUTED_VALUE"""),0.9000000000000057)</f>
        <v>0.9</v>
      </c>
      <c r="B642" s="3">
        <f>IFERROR(__xludf.DUMMYFUNCTION("""COMPUTED_VALUE"""),1.1000000000000227)</f>
        <v>1.1</v>
      </c>
      <c r="C642" s="3">
        <f>IFERROR(__xludf.DUMMYFUNCTION("""COMPUTED_VALUE"""),-0.09999999999999432)</f>
        <v>-0.1</v>
      </c>
    </row>
    <row r="643">
      <c r="A643" s="3">
        <f>IFERROR(__xludf.DUMMYFUNCTION("""COMPUTED_VALUE"""),1.5999999999999943)</f>
        <v>1.6</v>
      </c>
      <c r="B643" s="3">
        <f>IFERROR(__xludf.DUMMYFUNCTION("""COMPUTED_VALUE"""),0.8999999999999773)</f>
        <v>0.9</v>
      </c>
      <c r="C643" s="3">
        <f>IFERROR(__xludf.DUMMYFUNCTION("""COMPUTED_VALUE"""),-0.10000000000002274)</f>
        <v>-0.1</v>
      </c>
    </row>
    <row r="644">
      <c r="A644" s="3">
        <f>IFERROR(__xludf.DUMMYFUNCTION("""COMPUTED_VALUE"""),0.799999999999983)</f>
        <v>0.8</v>
      </c>
      <c r="B644" s="3">
        <f>IFERROR(__xludf.DUMMYFUNCTION("""COMPUTED_VALUE"""),0.4000000000000057)</f>
        <v>0.4</v>
      </c>
      <c r="C644" s="3">
        <f>IFERROR(__xludf.DUMMYFUNCTION("""COMPUTED_VALUE"""),0.0)</f>
        <v>0</v>
      </c>
    </row>
    <row r="645">
      <c r="A645" s="3">
        <f>IFERROR(__xludf.DUMMYFUNCTION("""COMPUTED_VALUE"""),0.9000000000000057)</f>
        <v>0.9</v>
      </c>
      <c r="B645" s="3">
        <f>IFERROR(__xludf.DUMMYFUNCTION("""COMPUTED_VALUE"""),0.8000000000000114)</f>
        <v>0.8</v>
      </c>
      <c r="C645" s="3">
        <f>IFERROR(__xludf.DUMMYFUNCTION("""COMPUTED_VALUE"""),0.10000000000002274)</f>
        <v>0.1</v>
      </c>
    </row>
    <row r="646">
      <c r="A646" s="3">
        <f>IFERROR(__xludf.DUMMYFUNCTION("""COMPUTED_VALUE"""),0.700000000000017)</f>
        <v>0.7</v>
      </c>
      <c r="B646" s="3">
        <f>IFERROR(__xludf.DUMMYFUNCTION("""COMPUTED_VALUE"""),0.6999999999999886)</f>
        <v>0.7</v>
      </c>
      <c r="C646" s="3">
        <f>IFERROR(__xludf.DUMMYFUNCTION("""COMPUTED_VALUE"""),0.0)</f>
        <v>0</v>
      </c>
    </row>
    <row r="647">
      <c r="A647" s="3">
        <f>IFERROR(__xludf.DUMMYFUNCTION("""COMPUTED_VALUE"""),0.799999999999983)</f>
        <v>0.8</v>
      </c>
      <c r="B647" s="3">
        <f>IFERROR(__xludf.DUMMYFUNCTION("""COMPUTED_VALUE"""),2.8000000000000114)</f>
        <v>2.8</v>
      </c>
      <c r="C647" s="3">
        <f>IFERROR(__xludf.DUMMYFUNCTION("""COMPUTED_VALUE"""),0.0)</f>
        <v>0</v>
      </c>
    </row>
    <row r="648">
      <c r="A648" s="3">
        <f>IFERROR(__xludf.DUMMYFUNCTION("""COMPUTED_VALUE"""),0.9000000000000057)</f>
        <v>0.9</v>
      </c>
      <c r="B648" s="3">
        <f>IFERROR(__xludf.DUMMYFUNCTION("""COMPUTED_VALUE"""),0.09999999999999432)</f>
        <v>0.1</v>
      </c>
      <c r="C648" s="3">
        <f>IFERROR(__xludf.DUMMYFUNCTION("""COMPUTED_VALUE"""),0.09999999999999432)</f>
        <v>0.1</v>
      </c>
    </row>
    <row r="649">
      <c r="A649" s="3">
        <f>IFERROR(__xludf.DUMMYFUNCTION("""COMPUTED_VALUE"""),1.3000000000000114)</f>
        <v>1.3</v>
      </c>
      <c r="B649" s="3">
        <f>IFERROR(__xludf.DUMMYFUNCTION("""COMPUTED_VALUE"""),0.5)</f>
        <v>0.5</v>
      </c>
      <c r="C649" s="3">
        <f>IFERROR(__xludf.DUMMYFUNCTION("""COMPUTED_VALUE"""),-0.09999999999999432)</f>
        <v>-0.1</v>
      </c>
    </row>
    <row r="650">
      <c r="A650" s="3">
        <f>IFERROR(__xludf.DUMMYFUNCTION("""COMPUTED_VALUE"""),0.29999999999998295)</f>
        <v>0.3</v>
      </c>
      <c r="B650" s="3">
        <f>IFERROR(__xludf.DUMMYFUNCTION("""COMPUTED_VALUE"""),0.5999999999999943)</f>
        <v>0.6</v>
      </c>
      <c r="C650" s="3">
        <f>IFERROR(__xludf.DUMMYFUNCTION("""COMPUTED_VALUE"""),-0.10000000000002274)</f>
        <v>-0.1</v>
      </c>
    </row>
    <row r="651">
      <c r="A651" s="3">
        <f>IFERROR(__xludf.DUMMYFUNCTION("""COMPUTED_VALUE"""),0.9000000000000057)</f>
        <v>0.9</v>
      </c>
      <c r="B651" s="3">
        <f>IFERROR(__xludf.DUMMYFUNCTION("""COMPUTED_VALUE"""),0.5999999999999943)</f>
        <v>0.6</v>
      </c>
      <c r="C651" s="3">
        <f>IFERROR(__xludf.DUMMYFUNCTION("""COMPUTED_VALUE"""),0.10000000000002274)</f>
        <v>0.1</v>
      </c>
    </row>
    <row r="652">
      <c r="A652" s="3">
        <f>IFERROR(__xludf.DUMMYFUNCTION("""COMPUTED_VALUE"""),1.4000000000000057)</f>
        <v>1.4</v>
      </c>
      <c r="B652" s="3">
        <f>IFERROR(__xludf.DUMMYFUNCTION("""COMPUTED_VALUE"""),0.9000000000000057)</f>
        <v>0.9</v>
      </c>
      <c r="C652" s="3">
        <f>IFERROR(__xludf.DUMMYFUNCTION("""COMPUTED_VALUE"""),0.0)</f>
        <v>0</v>
      </c>
    </row>
    <row r="653">
      <c r="A653" s="3">
        <f>IFERROR(__xludf.DUMMYFUNCTION("""COMPUTED_VALUE"""),0.9000000000000057)</f>
        <v>0.9</v>
      </c>
      <c r="B653" s="3">
        <f>IFERROR(__xludf.DUMMYFUNCTION("""COMPUTED_VALUE"""),3.5)</f>
        <v>3.5</v>
      </c>
      <c r="C653" s="3">
        <f>IFERROR(__xludf.DUMMYFUNCTION("""COMPUTED_VALUE"""),-0.10000000000002274)</f>
        <v>-0.1</v>
      </c>
    </row>
    <row r="654">
      <c r="A654" s="3">
        <f>IFERROR(__xludf.DUMMYFUNCTION("""COMPUTED_VALUE"""),1.0999999999999943)</f>
        <v>1.1</v>
      </c>
      <c r="B654" s="3">
        <f>IFERROR(__xludf.DUMMYFUNCTION("""COMPUTED_VALUE"""),-0.9000000000000057)</f>
        <v>-0.9</v>
      </c>
      <c r="C654" s="3">
        <f>IFERROR(__xludf.DUMMYFUNCTION("""COMPUTED_VALUE"""),-0.19999999999998863)</f>
        <v>-0.2</v>
      </c>
    </row>
    <row r="655">
      <c r="A655" s="3">
        <f>IFERROR(__xludf.DUMMYFUNCTION("""COMPUTED_VALUE"""),0.799999999999983)</f>
        <v>0.8</v>
      </c>
      <c r="B655" s="3">
        <f>IFERROR(__xludf.DUMMYFUNCTION("""COMPUTED_VALUE"""),0.30000000000001137)</f>
        <v>0.3</v>
      </c>
      <c r="C655" s="3">
        <f>IFERROR(__xludf.DUMMYFUNCTION("""COMPUTED_VALUE"""),-0.09999999999999432)</f>
        <v>-0.1</v>
      </c>
    </row>
    <row r="656">
      <c r="A656" s="3">
        <f>IFERROR(__xludf.DUMMYFUNCTION("""COMPUTED_VALUE"""),0.5)</f>
        <v>0.5</v>
      </c>
      <c r="B656" s="3">
        <f>IFERROR(__xludf.DUMMYFUNCTION("""COMPUTED_VALUE"""),0.19999999999998863)</f>
        <v>0.2</v>
      </c>
      <c r="C656" s="3">
        <f>IFERROR(__xludf.DUMMYFUNCTION("""COMPUTED_VALUE"""),0.19999999999998863)</f>
        <v>0.2</v>
      </c>
    </row>
    <row r="657">
      <c r="A657" s="3">
        <f>IFERROR(__xludf.DUMMYFUNCTION("""COMPUTED_VALUE"""),1.5)</f>
        <v>1.5</v>
      </c>
      <c r="B657" s="3">
        <f>IFERROR(__xludf.DUMMYFUNCTION("""COMPUTED_VALUE"""),0.5)</f>
        <v>0.5</v>
      </c>
      <c r="C657" s="3">
        <f>IFERROR(__xludf.DUMMYFUNCTION("""COMPUTED_VALUE"""),0.20000000000001705)</f>
        <v>0.2</v>
      </c>
    </row>
    <row r="658">
      <c r="A658" s="3">
        <f>IFERROR(__xludf.DUMMYFUNCTION("""COMPUTED_VALUE"""),1.200000000000017)</f>
        <v>1.2</v>
      </c>
      <c r="B658" s="3">
        <f>IFERROR(__xludf.DUMMYFUNCTION("""COMPUTED_VALUE"""),0.700000000000017)</f>
        <v>0.7</v>
      </c>
      <c r="C658" s="3">
        <f>IFERROR(__xludf.DUMMYFUNCTION("""COMPUTED_VALUE"""),0.0)</f>
        <v>0</v>
      </c>
    </row>
    <row r="659">
      <c r="A659" s="3">
        <f>IFERROR(__xludf.DUMMYFUNCTION("""COMPUTED_VALUE"""),1.0)</f>
        <v>1</v>
      </c>
      <c r="B659" s="3">
        <f>IFERROR(__xludf.DUMMYFUNCTION("""COMPUTED_VALUE"""),0.799999999999983)</f>
        <v>0.8</v>
      </c>
      <c r="C659" s="3">
        <f>IFERROR(__xludf.DUMMYFUNCTION("""COMPUTED_VALUE"""),-0.10000000000002274)</f>
        <v>-0.1</v>
      </c>
    </row>
    <row r="660">
      <c r="A660" s="3">
        <f>IFERROR(__xludf.DUMMYFUNCTION("""COMPUTED_VALUE"""),0.5)</f>
        <v>0.5</v>
      </c>
      <c r="B660" s="3">
        <f>IFERROR(__xludf.DUMMYFUNCTION("""COMPUTED_VALUE"""),0.9000000000000341)</f>
        <v>0.9</v>
      </c>
      <c r="C660" s="3">
        <f>IFERROR(__xludf.DUMMYFUNCTION("""COMPUTED_VALUE"""),-0.09999999999999432)</f>
        <v>-0.1</v>
      </c>
    </row>
    <row r="661">
      <c r="A661" s="3">
        <f>IFERROR(__xludf.DUMMYFUNCTION("""COMPUTED_VALUE"""),0.799999999999983)</f>
        <v>0.8</v>
      </c>
      <c r="B661" s="3">
        <f>IFERROR(__xludf.DUMMYFUNCTION("""COMPUTED_VALUE"""),1.599999999999966)</f>
        <v>1.6</v>
      </c>
      <c r="C661" s="3">
        <f>IFERROR(__xludf.DUMMYFUNCTION("""COMPUTED_VALUE"""),0.0)</f>
        <v>0</v>
      </c>
    </row>
    <row r="662">
      <c r="A662" s="3">
        <f>IFERROR(__xludf.DUMMYFUNCTION("""COMPUTED_VALUE"""),2.400000000000034)</f>
        <v>2.4</v>
      </c>
      <c r="B662" s="3">
        <f>IFERROR(__xludf.DUMMYFUNCTION("""COMPUTED_VALUE"""),0.30000000000001137)</f>
        <v>0.3</v>
      </c>
      <c r="C662" s="3">
        <f>IFERROR(__xludf.DUMMYFUNCTION("""COMPUTED_VALUE"""),0.0)</f>
        <v>0</v>
      </c>
    </row>
    <row r="663">
      <c r="A663" s="3">
        <f>IFERROR(__xludf.DUMMYFUNCTION("""COMPUTED_VALUE"""),2.5)</f>
        <v>2.5</v>
      </c>
      <c r="B663" s="3">
        <f>IFERROR(__xludf.DUMMYFUNCTION("""COMPUTED_VALUE"""),0.6999999999999886)</f>
        <v>0.7</v>
      </c>
      <c r="C663" s="3">
        <f>IFERROR(__xludf.DUMMYFUNCTION("""COMPUTED_VALUE"""),-0.09999999999999432)</f>
        <v>-0.1</v>
      </c>
    </row>
    <row r="664">
      <c r="A664" s="3">
        <f>IFERROR(__xludf.DUMMYFUNCTION("""COMPUTED_VALUE"""),-0.9000000000000341)</f>
        <v>-0.9</v>
      </c>
      <c r="B664" s="3">
        <f>IFERROR(__xludf.DUMMYFUNCTION("""COMPUTED_VALUE"""),0.6999999999999886)</f>
        <v>0.7</v>
      </c>
      <c r="C664" s="3">
        <f>IFERROR(__xludf.DUMMYFUNCTION("""COMPUTED_VALUE"""),0.0)</f>
        <v>0</v>
      </c>
    </row>
    <row r="665">
      <c r="A665" s="3">
        <f>IFERROR(__xludf.DUMMYFUNCTION("""COMPUTED_VALUE"""),0.19999999999998863)</f>
        <v>0.2</v>
      </c>
      <c r="B665" s="3">
        <f>IFERROR(__xludf.DUMMYFUNCTION("""COMPUTED_VALUE"""),0.8000000000000114)</f>
        <v>0.8</v>
      </c>
      <c r="C665" s="3">
        <f>IFERROR(__xludf.DUMMYFUNCTION("""COMPUTED_VALUE"""),0.0)</f>
        <v>0</v>
      </c>
    </row>
    <row r="666">
      <c r="A666" s="3">
        <f>IFERROR(__xludf.DUMMYFUNCTION("""COMPUTED_VALUE"""),1.5)</f>
        <v>1.5</v>
      </c>
      <c r="B666" s="3">
        <f>IFERROR(__xludf.DUMMYFUNCTION("""COMPUTED_VALUE"""),1.0)</f>
        <v>1</v>
      </c>
      <c r="C666" s="3">
        <f>IFERROR(__xludf.DUMMYFUNCTION("""COMPUTED_VALUE"""),0.09999999999999432)</f>
        <v>0.1</v>
      </c>
    </row>
    <row r="667">
      <c r="A667" s="3">
        <f>IFERROR(__xludf.DUMMYFUNCTION("""COMPUTED_VALUE"""),1.1000000000000227)</f>
        <v>1.1</v>
      </c>
      <c r="B667" s="3">
        <f>IFERROR(__xludf.DUMMYFUNCTION("""COMPUTED_VALUE"""),0.9000000000000341)</f>
        <v>0.9</v>
      </c>
      <c r="C667" s="3">
        <f>IFERROR(__xludf.DUMMYFUNCTION("""COMPUTED_VALUE"""),0.09999999999999432)</f>
        <v>0.1</v>
      </c>
    </row>
    <row r="668">
      <c r="A668" s="3">
        <f>IFERROR(__xludf.DUMMYFUNCTION("""COMPUTED_VALUE"""),0.19999999999998863)</f>
        <v>0.2</v>
      </c>
      <c r="B668" s="3">
        <f>IFERROR(__xludf.DUMMYFUNCTION("""COMPUTED_VALUE"""),0.5)</f>
        <v>0.5</v>
      </c>
      <c r="C668" s="3">
        <f>IFERROR(__xludf.DUMMYFUNCTION("""COMPUTED_VALUE"""),0.10000000000002274)</f>
        <v>0.1</v>
      </c>
    </row>
    <row r="669">
      <c r="A669" s="3">
        <f>IFERROR(__xludf.DUMMYFUNCTION("""COMPUTED_VALUE"""),0.5900000000000318)</f>
        <v>0.59</v>
      </c>
      <c r="B669" s="3">
        <f>IFERROR(__xludf.DUMMYFUNCTION("""COMPUTED_VALUE"""),1.599999999999966)</f>
        <v>1.6</v>
      </c>
      <c r="C669" s="3">
        <f>IFERROR(__xludf.DUMMYFUNCTION("""COMPUTED_VALUE"""),0.0)</f>
        <v>0</v>
      </c>
    </row>
    <row r="670">
      <c r="A670" s="3">
        <f>IFERROR(__xludf.DUMMYFUNCTION("""COMPUTED_VALUE"""),0.9099999999999682)</f>
        <v>0.91</v>
      </c>
      <c r="B670" s="3">
        <f>IFERROR(__xludf.DUMMYFUNCTION("""COMPUTED_VALUE"""),0.5)</f>
        <v>0.5</v>
      </c>
      <c r="C670" s="3">
        <f>IFERROR(__xludf.DUMMYFUNCTION("""COMPUTED_VALUE"""),0.0)</f>
        <v>0</v>
      </c>
    </row>
    <row r="671">
      <c r="A671" s="3">
        <f>IFERROR(__xludf.DUMMYFUNCTION("""COMPUTED_VALUE"""),0.8000000000000114)</f>
        <v>0.8</v>
      </c>
      <c r="B671" s="3">
        <f>IFERROR(__xludf.DUMMYFUNCTION("""COMPUTED_VALUE"""),0.5900000000000318)</f>
        <v>0.59</v>
      </c>
      <c r="C671" s="3">
        <f>IFERROR(__xludf.DUMMYFUNCTION("""COMPUTED_VALUE"""),4.699999999999989)</f>
        <v>4.7</v>
      </c>
    </row>
    <row r="672">
      <c r="A672" s="3">
        <f>IFERROR(__xludf.DUMMYFUNCTION("""COMPUTED_VALUE"""),0.6999999999999886)</f>
        <v>0.7</v>
      </c>
      <c r="B672" s="3">
        <f>IFERROR(__xludf.DUMMYFUNCTION("""COMPUTED_VALUE"""),0.9099999999999682)</f>
        <v>0.91</v>
      </c>
      <c r="C672" s="3">
        <f>IFERROR(__xludf.DUMMYFUNCTION("""COMPUTED_VALUE"""),-1.0999999999999943)</f>
        <v>-1.1</v>
      </c>
    </row>
    <row r="673">
      <c r="A673" s="3">
        <f>IFERROR(__xludf.DUMMYFUNCTION("""COMPUTED_VALUE"""),0.9000000000000341)</f>
        <v>0.9</v>
      </c>
      <c r="B673" s="3">
        <f>IFERROR(__xludf.DUMMYFUNCTION("""COMPUTED_VALUE"""),0.8000000000000114)</f>
        <v>0.8</v>
      </c>
      <c r="C673" s="3">
        <f>IFERROR(__xludf.DUMMYFUNCTION("""COMPUTED_VALUE"""),-1.0)</f>
        <v>-1</v>
      </c>
    </row>
    <row r="674">
      <c r="A674" s="3">
        <f>IFERROR(__xludf.DUMMYFUNCTION("""COMPUTED_VALUE"""),2.599999999999966)</f>
        <v>2.6</v>
      </c>
      <c r="B674" s="3">
        <f>IFERROR(__xludf.DUMMYFUNCTION("""COMPUTED_VALUE"""),0.7900000000000205)</f>
        <v>0.79</v>
      </c>
      <c r="C674" s="3">
        <f>IFERROR(__xludf.DUMMYFUNCTION("""COMPUTED_VALUE"""),-2.0999999999999943)</f>
        <v>-2.1</v>
      </c>
    </row>
    <row r="675">
      <c r="A675" s="3">
        <f>IFERROR(__xludf.DUMMYFUNCTION("""COMPUTED_VALUE"""),0.09000000000003183)</f>
        <v>0.09</v>
      </c>
      <c r="B675" s="3">
        <f>IFERROR(__xludf.DUMMYFUNCTION("""COMPUTED_VALUE"""),0.8100000000000023)</f>
        <v>0.81</v>
      </c>
      <c r="C675" s="3">
        <f>IFERROR(__xludf.DUMMYFUNCTION("""COMPUTED_VALUE"""),-0.700000000000017)</f>
        <v>-0.7</v>
      </c>
    </row>
    <row r="676">
      <c r="A676" s="3">
        <f>IFERROR(__xludf.DUMMYFUNCTION("""COMPUTED_VALUE"""),0.0)</f>
        <v>0</v>
      </c>
      <c r="B676" s="3">
        <f>IFERROR(__xludf.DUMMYFUNCTION("""COMPUTED_VALUE"""),0.5)</f>
        <v>0.5</v>
      </c>
      <c r="C676" s="3">
        <f>IFERROR(__xludf.DUMMYFUNCTION("""COMPUTED_VALUE"""),1.0999999999999943)</f>
        <v>1.1</v>
      </c>
    </row>
    <row r="677">
      <c r="A677" s="3">
        <f>IFERROR(__xludf.DUMMYFUNCTION("""COMPUTED_VALUE"""),0.7099999999999795)</f>
        <v>0.71</v>
      </c>
      <c r="B677" s="3">
        <f>IFERROR(__xludf.DUMMYFUNCTION("""COMPUTED_VALUE"""),5.0)</f>
        <v>5</v>
      </c>
      <c r="C677" s="3">
        <f>IFERROR(__xludf.DUMMYFUNCTION("""COMPUTED_VALUE"""),0.30000000000001137)</f>
        <v>0.3</v>
      </c>
    </row>
    <row r="678">
      <c r="A678" s="3">
        <f>IFERROR(__xludf.DUMMYFUNCTION("""COMPUTED_VALUE"""),0.5)</f>
        <v>0.5</v>
      </c>
      <c r="B678" s="3">
        <f>IFERROR(__xludf.DUMMYFUNCTION("""COMPUTED_VALUE"""),-1.1000000000000227)</f>
        <v>-1.1</v>
      </c>
      <c r="C678" s="3">
        <f>IFERROR(__xludf.DUMMYFUNCTION("""COMPUTED_VALUE"""),0.4000000000000057)</f>
        <v>0.4</v>
      </c>
    </row>
    <row r="679">
      <c r="A679" s="3">
        <f>IFERROR(__xludf.DUMMYFUNCTION("""COMPUTED_VALUE"""),0.19999999999998863)</f>
        <v>0.2</v>
      </c>
      <c r="B679" s="3">
        <f>IFERROR(__xludf.DUMMYFUNCTION("""COMPUTED_VALUE"""),0.39999999999997726)</f>
        <v>0.4</v>
      </c>
      <c r="C679" s="3">
        <f>IFERROR(__xludf.DUMMYFUNCTION("""COMPUTED_VALUE"""),0.5999999999999943)</f>
        <v>0.6</v>
      </c>
    </row>
    <row r="680">
      <c r="A680" s="3">
        <f>IFERROR(__xludf.DUMMYFUNCTION("""COMPUTED_VALUE"""),0.19999999999998863)</f>
        <v>0.2</v>
      </c>
      <c r="B680" s="3">
        <f>IFERROR(__xludf.DUMMYFUNCTION("""COMPUTED_VALUE"""),0.10000000000002274)</f>
        <v>0.1</v>
      </c>
      <c r="C680" s="3">
        <f>IFERROR(__xludf.DUMMYFUNCTION("""COMPUTED_VALUE"""),0.4000000000000057)</f>
        <v>0.4</v>
      </c>
    </row>
    <row r="681">
      <c r="A681" s="3">
        <f>IFERROR(__xludf.DUMMYFUNCTION("""COMPUTED_VALUE"""),0.0)</f>
        <v>0</v>
      </c>
      <c r="B681" s="3">
        <f>IFERROR(__xludf.DUMMYFUNCTION("""COMPUTED_VALUE"""),0.39999999999997726)</f>
        <v>0.4</v>
      </c>
      <c r="C681" s="3">
        <f>IFERROR(__xludf.DUMMYFUNCTION("""COMPUTED_VALUE"""),0.5999999999999943)</f>
        <v>0.6</v>
      </c>
    </row>
    <row r="682">
      <c r="A682" s="3">
        <f>IFERROR(__xludf.DUMMYFUNCTION("""COMPUTED_VALUE"""),0.0)</f>
        <v>0</v>
      </c>
      <c r="B682" s="3">
        <f>IFERROR(__xludf.DUMMYFUNCTION("""COMPUTED_VALUE"""),0.7000000000000455)</f>
        <v>0.7</v>
      </c>
      <c r="C682" s="3">
        <f>IFERROR(__xludf.DUMMYFUNCTION("""COMPUTED_VALUE"""),1.0)</f>
        <v>1</v>
      </c>
    </row>
    <row r="683">
      <c r="A683" s="3">
        <f>IFERROR(__xludf.DUMMYFUNCTION("""COMPUTED_VALUE"""),0.0)</f>
        <v>0</v>
      </c>
      <c r="B683" s="3">
        <f>IFERROR(__xludf.DUMMYFUNCTION("""COMPUTED_VALUE"""),0.5999999999999659)</f>
        <v>0.6</v>
      </c>
      <c r="C683" s="3">
        <f>IFERROR(__xludf.DUMMYFUNCTION("""COMPUTED_VALUE"""),-0.9000000000000057)</f>
        <v>-0.9</v>
      </c>
    </row>
    <row r="684">
      <c r="A684" s="3">
        <f>IFERROR(__xludf.DUMMYFUNCTION("""COMPUTED_VALUE"""),-0.19999999999998863)</f>
        <v>-0.2</v>
      </c>
      <c r="B684" s="3">
        <f>IFERROR(__xludf.DUMMYFUNCTION("""COMPUTED_VALUE"""),1.0900000000000318)</f>
        <v>1.09</v>
      </c>
      <c r="C684" s="3">
        <f>IFERROR(__xludf.DUMMYFUNCTION("""COMPUTED_VALUE"""),2.0999999999999943)</f>
        <v>2.1</v>
      </c>
    </row>
    <row r="685">
      <c r="A685" s="3">
        <f>IFERROR(__xludf.DUMMYFUNCTION("""COMPUTED_VALUE"""),0.5)</f>
        <v>0.5</v>
      </c>
      <c r="B685" s="3">
        <f>IFERROR(__xludf.DUMMYFUNCTION("""COMPUTED_VALUE"""),0.40999999999996817)</f>
        <v>0.41</v>
      </c>
      <c r="C685" s="3">
        <f>IFERROR(__xludf.DUMMYFUNCTION("""COMPUTED_VALUE"""),0.10000000000002274)</f>
        <v>0.1</v>
      </c>
    </row>
    <row r="686">
      <c r="A686" s="3">
        <f>IFERROR(__xludf.DUMMYFUNCTION("""COMPUTED_VALUE"""),0.30000000000001137)</f>
        <v>0.3</v>
      </c>
      <c r="B686" s="3">
        <f>IFERROR(__xludf.DUMMYFUNCTION("""COMPUTED_VALUE"""),0.9000000000000341)</f>
        <v>0.9</v>
      </c>
      <c r="C686" s="3">
        <f>IFERROR(__xludf.DUMMYFUNCTION("""COMPUTED_VALUE"""),0.799999999999983)</f>
        <v>0.8</v>
      </c>
    </row>
    <row r="687">
      <c r="A687" s="3">
        <f>IFERROR(__xludf.DUMMYFUNCTION("""COMPUTED_VALUE"""),1.0)</f>
        <v>1</v>
      </c>
      <c r="B687" s="3">
        <f>IFERROR(__xludf.DUMMYFUNCTION("""COMPUTED_VALUE"""),-0.20000000000004547)</f>
        <v>-0.2</v>
      </c>
      <c r="C687" s="3">
        <f>IFERROR(__xludf.DUMMYFUNCTION("""COMPUTED_VALUE"""),2.0)</f>
        <v>2</v>
      </c>
    </row>
    <row r="688">
      <c r="A688" s="3">
        <f>IFERROR(__xludf.DUMMYFUNCTION("""COMPUTED_VALUE"""),0.8999999999999773)</f>
        <v>0.9</v>
      </c>
      <c r="B688" s="3">
        <f>IFERROR(__xludf.DUMMYFUNCTION("""COMPUTED_VALUE"""),-0.1099999999999568)</f>
        <v>-0.11</v>
      </c>
      <c r="C688" s="3">
        <f>IFERROR(__xludf.DUMMYFUNCTION("""COMPUTED_VALUE"""),0.4000000000000057)</f>
        <v>0.4</v>
      </c>
    </row>
    <row r="689">
      <c r="A689" s="3">
        <f>IFERROR(__xludf.DUMMYFUNCTION("""COMPUTED_VALUE"""),0.6000000000000227)</f>
        <v>0.6</v>
      </c>
      <c r="B689" s="3">
        <f>IFERROR(__xludf.DUMMYFUNCTION("""COMPUTED_VALUE"""),0.0)</f>
        <v>0</v>
      </c>
      <c r="C689" s="3">
        <f>IFERROR(__xludf.DUMMYFUNCTION("""COMPUTED_VALUE"""),0.19999999999998863)</f>
        <v>0.2</v>
      </c>
    </row>
    <row r="690">
      <c r="A690" s="3">
        <f>IFERROR(__xludf.DUMMYFUNCTION("""COMPUTED_VALUE"""),1.2900000000000205)</f>
        <v>1.29</v>
      </c>
      <c r="B690" s="3">
        <f>IFERROR(__xludf.DUMMYFUNCTION("""COMPUTED_VALUE"""),0.1099999999999568)</f>
        <v>0.11</v>
      </c>
      <c r="C690" s="3">
        <f>IFERROR(__xludf.DUMMYFUNCTION("""COMPUTED_VALUE"""),0.30000000000001137)</f>
        <v>0.3</v>
      </c>
    </row>
    <row r="691">
      <c r="A691" s="3">
        <f>IFERROR(__xludf.DUMMYFUNCTION("""COMPUTED_VALUE"""),0.20999999999997954)</f>
        <v>0.21</v>
      </c>
      <c r="B691" s="3">
        <f>IFERROR(__xludf.DUMMYFUNCTION("""COMPUTED_VALUE"""),-0.1099999999999568)</f>
        <v>-0.11</v>
      </c>
      <c r="C691" s="3">
        <f>IFERROR(__xludf.DUMMYFUNCTION("""COMPUTED_VALUE"""),0.4000000000000057)</f>
        <v>0.4</v>
      </c>
    </row>
    <row r="692">
      <c r="A692" s="3">
        <f>IFERROR(__xludf.DUMMYFUNCTION("""COMPUTED_VALUE"""),0.39999999999997726)</f>
        <v>0.4</v>
      </c>
      <c r="B692" s="3">
        <f>IFERROR(__xludf.DUMMYFUNCTION("""COMPUTED_VALUE"""),-0.09000000000003183)</f>
        <v>-0.09</v>
      </c>
      <c r="C692" s="3">
        <f>IFERROR(__xludf.DUMMYFUNCTION("""COMPUTED_VALUE"""),0.4000000000000057)</f>
        <v>0.4</v>
      </c>
    </row>
    <row r="693">
      <c r="A693" s="3">
        <f>IFERROR(__xludf.DUMMYFUNCTION("""COMPUTED_VALUE"""),0.30000000000001137)</f>
        <v>0.3</v>
      </c>
      <c r="B693" s="3">
        <f>IFERROR(__xludf.DUMMYFUNCTION("""COMPUTED_VALUE"""),0.0)</f>
        <v>0</v>
      </c>
      <c r="C693" s="3">
        <f>IFERROR(__xludf.DUMMYFUNCTION("""COMPUTED_VALUE"""),0.799999999999983)</f>
        <v>0.8</v>
      </c>
    </row>
    <row r="694">
      <c r="A694" s="3">
        <f>IFERROR(__xludf.DUMMYFUNCTION("""COMPUTED_VALUE"""),0.19999999999998863)</f>
        <v>0.2</v>
      </c>
      <c r="B694" s="3">
        <f>IFERROR(__xludf.DUMMYFUNCTION("""COMPUTED_VALUE"""),-0.30000000000001137)</f>
        <v>-0.3</v>
      </c>
      <c r="C694" s="3">
        <f>IFERROR(__xludf.DUMMYFUNCTION("""COMPUTED_VALUE"""),0.8000000000000114)</f>
        <v>0.8</v>
      </c>
    </row>
    <row r="695">
      <c r="A695" s="3">
        <f>IFERROR(__xludf.DUMMYFUNCTION("""COMPUTED_VALUE"""),0.0)</f>
        <v>0</v>
      </c>
      <c r="B695" s="3">
        <f>IFERROR(__xludf.DUMMYFUNCTION("""COMPUTED_VALUE"""),0.10000000000002274)</f>
        <v>0.1</v>
      </c>
      <c r="C695" s="3">
        <f>IFERROR(__xludf.DUMMYFUNCTION("""COMPUTED_VALUE"""),0.5)</f>
        <v>0.5</v>
      </c>
    </row>
    <row r="696">
      <c r="A696" s="3">
        <f>IFERROR(__xludf.DUMMYFUNCTION("""COMPUTED_VALUE"""),0.0)</f>
        <v>0</v>
      </c>
      <c r="B696" s="3">
        <f>IFERROR(__xludf.DUMMYFUNCTION("""COMPUTED_VALUE"""),0.0)</f>
        <v>0</v>
      </c>
      <c r="C696" s="3">
        <f>IFERROR(__xludf.DUMMYFUNCTION("""COMPUTED_VALUE"""),0.6999999999999886)</f>
        <v>0.7</v>
      </c>
    </row>
    <row r="697">
      <c r="A697" s="3">
        <f>IFERROR(__xludf.DUMMYFUNCTION("""COMPUTED_VALUE"""),-0.8999999999999773)</f>
        <v>-0.9</v>
      </c>
      <c r="B697" s="3">
        <f>IFERROR(__xludf.DUMMYFUNCTION("""COMPUTED_VALUE"""),0.19999999999998863)</f>
        <v>0.2</v>
      </c>
      <c r="C697" s="3">
        <f>IFERROR(__xludf.DUMMYFUNCTION("""COMPUTED_VALUE"""),0.5999999999999943)</f>
        <v>0.6</v>
      </c>
    </row>
    <row r="698">
      <c r="A698" s="3">
        <f>IFERROR(__xludf.DUMMYFUNCTION("""COMPUTED_VALUE"""),0.29000000000002046)</f>
        <v>0.29</v>
      </c>
      <c r="B698" s="3">
        <f>IFERROR(__xludf.DUMMYFUNCTION("""COMPUTED_VALUE"""),0.0)</f>
        <v>0</v>
      </c>
      <c r="C698" s="3">
        <f>IFERROR(__xludf.DUMMYFUNCTION("""COMPUTED_VALUE"""),0.700000000000017)</f>
        <v>0.7</v>
      </c>
    </row>
    <row r="699">
      <c r="A699" s="3">
        <f>IFERROR(__xludf.DUMMYFUNCTION("""COMPUTED_VALUE"""),0.40999999999996817)</f>
        <v>0.41</v>
      </c>
      <c r="B699" s="3">
        <f>IFERROR(__xludf.DUMMYFUNCTION("""COMPUTED_VALUE"""),0.0)</f>
        <v>0</v>
      </c>
      <c r="C699" s="3">
        <f>IFERROR(__xludf.DUMMYFUNCTION("""COMPUTED_VALUE"""),0.6999999999999886)</f>
        <v>0.7</v>
      </c>
    </row>
    <row r="700">
      <c r="A700" s="3">
        <f>IFERROR(__xludf.DUMMYFUNCTION("""COMPUTED_VALUE"""),0.19999999999998863)</f>
        <v>0.2</v>
      </c>
      <c r="B700" s="3">
        <f>IFERROR(__xludf.DUMMYFUNCTION("""COMPUTED_VALUE"""),0.30000000000001137)</f>
        <v>0.3</v>
      </c>
      <c r="C700" s="3">
        <f>IFERROR(__xludf.DUMMYFUNCTION("""COMPUTED_VALUE"""),0.5999999999999943)</f>
        <v>0.6</v>
      </c>
    </row>
    <row r="701">
      <c r="A701" s="3">
        <f>IFERROR(__xludf.DUMMYFUNCTION("""COMPUTED_VALUE"""),-0.1099999999999568)</f>
        <v>-0.11</v>
      </c>
      <c r="B701" s="3">
        <f>IFERROR(__xludf.DUMMYFUNCTION("""COMPUTED_VALUE"""),-0.5)</f>
        <v>-0.5</v>
      </c>
      <c r="C701" s="3">
        <f>IFERROR(__xludf.DUMMYFUNCTION("""COMPUTED_VALUE"""),0.700000000000017)</f>
        <v>0.7</v>
      </c>
    </row>
    <row r="702">
      <c r="A702" s="3">
        <f>IFERROR(__xludf.DUMMYFUNCTION("""COMPUTED_VALUE"""),0.0)</f>
        <v>0</v>
      </c>
      <c r="B702" s="3">
        <f>IFERROR(__xludf.DUMMYFUNCTION("""COMPUTED_VALUE"""),-0.10000000000002274)</f>
        <v>-0.1</v>
      </c>
      <c r="C702" s="3">
        <f>IFERROR(__xludf.DUMMYFUNCTION("""COMPUTED_VALUE"""),0.29999999999998295)</f>
        <v>0.3</v>
      </c>
    </row>
    <row r="703">
      <c r="A703" s="3">
        <f>IFERROR(__xludf.DUMMYFUNCTION("""COMPUTED_VALUE"""),-0.09000000000003183)</f>
        <v>-0.09</v>
      </c>
      <c r="B703" s="3">
        <f>IFERROR(__xludf.DUMMYFUNCTION("""COMPUTED_VALUE"""),0.10000000000002274)</f>
        <v>0.1</v>
      </c>
      <c r="C703" s="3">
        <f>IFERROR(__xludf.DUMMYFUNCTION("""COMPUTED_VALUE"""),0.6000000000000227)</f>
        <v>0.6</v>
      </c>
    </row>
    <row r="704">
      <c r="A704" s="3">
        <f>IFERROR(__xludf.DUMMYFUNCTION("""COMPUTED_VALUE"""),-0.0999999999999659)</f>
        <v>-0.1</v>
      </c>
      <c r="B704" s="3">
        <f>IFERROR(__xludf.DUMMYFUNCTION("""COMPUTED_VALUE"""),0.10000000000002274)</f>
        <v>0.1</v>
      </c>
      <c r="C704" s="3">
        <f>IFERROR(__xludf.DUMMYFUNCTION("""COMPUTED_VALUE"""),0.5999999999999943)</f>
        <v>0.6</v>
      </c>
    </row>
    <row r="705">
      <c r="A705" s="3">
        <f>IFERROR(__xludf.DUMMYFUNCTION("""COMPUTED_VALUE"""),-0.10000000000002274)</f>
        <v>-0.1</v>
      </c>
      <c r="B705" s="3">
        <f>IFERROR(__xludf.DUMMYFUNCTION("""COMPUTED_VALUE"""),0.0)</f>
        <v>0</v>
      </c>
      <c r="C705" s="3">
        <f>IFERROR(__xludf.DUMMYFUNCTION("""COMPUTED_VALUE"""),0.5999999999999943)</f>
        <v>0.6</v>
      </c>
    </row>
    <row r="706">
      <c r="A706" s="3">
        <f>IFERROR(__xludf.DUMMYFUNCTION("""COMPUTED_VALUE"""),0.19999999999998863)</f>
        <v>0.2</v>
      </c>
      <c r="B706" s="3">
        <f>IFERROR(__xludf.DUMMYFUNCTION("""COMPUTED_VALUE"""),0.0)</f>
        <v>0</v>
      </c>
      <c r="C706" s="3">
        <f>IFERROR(__xludf.DUMMYFUNCTION("""COMPUTED_VALUE"""),1.0)</f>
        <v>1</v>
      </c>
    </row>
    <row r="707">
      <c r="A707" s="3">
        <f>IFERROR(__xludf.DUMMYFUNCTION("""COMPUTED_VALUE"""),0.19999999999998863)</f>
        <v>0.2</v>
      </c>
      <c r="B707" s="3">
        <f>IFERROR(__xludf.DUMMYFUNCTION("""COMPUTED_VALUE"""),0.0)</f>
        <v>0</v>
      </c>
      <c r="C707" s="3">
        <f>IFERROR(__xludf.DUMMYFUNCTION("""COMPUTED_VALUE"""),0.5999999999999943)</f>
        <v>0.6</v>
      </c>
    </row>
    <row r="708">
      <c r="A708" s="3">
        <f>IFERROR(__xludf.DUMMYFUNCTION("""COMPUTED_VALUE"""),0.0)</f>
        <v>0</v>
      </c>
      <c r="B708" s="3">
        <f>IFERROR(__xludf.DUMMYFUNCTION("""COMPUTED_VALUE"""),0.0)</f>
        <v>0</v>
      </c>
      <c r="C708" s="3">
        <f>IFERROR(__xludf.DUMMYFUNCTION("""COMPUTED_VALUE"""),0.30000000000001137)</f>
        <v>0.3</v>
      </c>
    </row>
    <row r="709">
      <c r="A709" s="3">
        <f>IFERROR(__xludf.DUMMYFUNCTION("""COMPUTED_VALUE"""),-0.19999999999998863)</f>
        <v>-0.2</v>
      </c>
      <c r="B709" s="3">
        <f>IFERROR(__xludf.DUMMYFUNCTION("""COMPUTED_VALUE"""),0.0)</f>
        <v>0</v>
      </c>
      <c r="C709" s="3">
        <f>IFERROR(__xludf.DUMMYFUNCTION("""COMPUTED_VALUE"""),0.4000000000000057)</f>
        <v>0.4</v>
      </c>
    </row>
    <row r="710">
      <c r="A710" s="3">
        <f>IFERROR(__xludf.DUMMYFUNCTION("""COMPUTED_VALUE"""),0.5)</f>
        <v>0.5</v>
      </c>
      <c r="B710" s="3">
        <f>IFERROR(__xludf.DUMMYFUNCTION("""COMPUTED_VALUE"""),0.0)</f>
        <v>0</v>
      </c>
      <c r="C710" s="3">
        <f>IFERROR(__xludf.DUMMYFUNCTION("""COMPUTED_VALUE"""),0.5)</f>
        <v>0.5</v>
      </c>
    </row>
    <row r="711">
      <c r="A711" s="3">
        <f>IFERROR(__xludf.DUMMYFUNCTION("""COMPUTED_VALUE"""),-0.40999999999996817)</f>
        <v>-0.41</v>
      </c>
      <c r="B711" s="3">
        <f>IFERROR(__xludf.DUMMYFUNCTION("""COMPUTED_VALUE"""),0.0)</f>
        <v>0</v>
      </c>
      <c r="C711" s="3">
        <f>IFERROR(__xludf.DUMMYFUNCTION("""COMPUTED_VALUE"""),0.6999999999999886)</f>
        <v>0.7</v>
      </c>
    </row>
    <row r="712">
      <c r="A712" s="3">
        <f>IFERROR(__xludf.DUMMYFUNCTION("""COMPUTED_VALUE"""),0.0)</f>
        <v>0</v>
      </c>
      <c r="B712" s="3">
        <f>IFERROR(__xludf.DUMMYFUNCTION("""COMPUTED_VALUE"""),0.0)</f>
        <v>0</v>
      </c>
      <c r="C712" s="3">
        <f>IFERROR(__xludf.DUMMYFUNCTION("""COMPUTED_VALUE"""),0.6999999999999886)</f>
        <v>0.7</v>
      </c>
    </row>
    <row r="713">
      <c r="A713" s="3">
        <f>IFERROR(__xludf.DUMMYFUNCTION("""COMPUTED_VALUE"""),0.20999999999997954)</f>
        <v>0.21</v>
      </c>
      <c r="B713" s="3">
        <f>IFERROR(__xludf.DUMMYFUNCTION("""COMPUTED_VALUE"""),-0.3100000000000023)</f>
        <v>-0.31</v>
      </c>
      <c r="C713" s="3">
        <f>IFERROR(__xludf.DUMMYFUNCTION("""COMPUTED_VALUE"""),0.5)</f>
        <v>0.5</v>
      </c>
    </row>
    <row r="714">
      <c r="A714" s="3">
        <f>IFERROR(__xludf.DUMMYFUNCTION("""COMPUTED_VALUE"""),0.0)</f>
        <v>0</v>
      </c>
      <c r="B714" s="3">
        <f>IFERROR(__xludf.DUMMYFUNCTION("""COMPUTED_VALUE"""),0.1099999999999568)</f>
        <v>0.11</v>
      </c>
      <c r="C714" s="3">
        <f>IFERROR(__xludf.DUMMYFUNCTION("""COMPUTED_VALUE"""),0.8000000000000114)</f>
        <v>0.8</v>
      </c>
    </row>
    <row r="715">
      <c r="A715" s="3">
        <f>IFERROR(__xludf.DUMMYFUNCTION("""COMPUTED_VALUE"""),0.0)</f>
        <v>0</v>
      </c>
      <c r="B715" s="3">
        <f>IFERROR(__xludf.DUMMYFUNCTION("""COMPUTED_VALUE"""),0.0)</f>
        <v>0</v>
      </c>
      <c r="C715" s="3">
        <f>IFERROR(__xludf.DUMMYFUNCTION("""COMPUTED_VALUE"""),0.30000000000001137)</f>
        <v>0.3</v>
      </c>
    </row>
    <row r="716">
      <c r="A716" s="3">
        <f>IFERROR(__xludf.DUMMYFUNCTION("""COMPUTED_VALUE"""),0.0)</f>
        <v>0</v>
      </c>
      <c r="B716" s="3">
        <f>IFERROR(__xludf.DUMMYFUNCTION("""COMPUTED_VALUE"""),0.10000000000002274)</f>
        <v>0.1</v>
      </c>
      <c r="C716" s="3">
        <f>IFERROR(__xludf.DUMMYFUNCTION("""COMPUTED_VALUE"""),0.39999999999997726)</f>
        <v>0.4</v>
      </c>
    </row>
    <row r="717">
      <c r="A717" s="3">
        <f>IFERROR(__xludf.DUMMYFUNCTION("""COMPUTED_VALUE"""),-0.10000000000002274)</f>
        <v>-0.1</v>
      </c>
      <c r="B717" s="3">
        <f>IFERROR(__xludf.DUMMYFUNCTION("""COMPUTED_VALUE"""),0.0)</f>
        <v>0</v>
      </c>
      <c r="C717" s="3">
        <f>IFERROR(__xludf.DUMMYFUNCTION("""COMPUTED_VALUE"""),0.700000000000017)</f>
        <v>0.7</v>
      </c>
    </row>
    <row r="718">
      <c r="A718" s="3">
        <f>IFERROR(__xludf.DUMMYFUNCTION("""COMPUTED_VALUE"""),0.0)</f>
        <v>0</v>
      </c>
      <c r="B718" s="3">
        <f>IFERROR(__xludf.DUMMYFUNCTION("""COMPUTED_VALUE"""),0.0)</f>
        <v>0</v>
      </c>
      <c r="C718" s="3">
        <f>IFERROR(__xludf.DUMMYFUNCTION("""COMPUTED_VALUE"""),0.799999999999983)</f>
        <v>0.8</v>
      </c>
    </row>
    <row r="719">
      <c r="A719" s="3">
        <f>IFERROR(__xludf.DUMMYFUNCTION("""COMPUTED_VALUE"""),0.10000000000002274)</f>
        <v>0.1</v>
      </c>
      <c r="B719" s="3">
        <f>IFERROR(__xludf.DUMMYFUNCTION("""COMPUTED_VALUE"""),-0.10000000000002274)</f>
        <v>-0.1</v>
      </c>
      <c r="C719" s="3">
        <f>IFERROR(__xludf.DUMMYFUNCTION("""COMPUTED_VALUE"""),0.6000000000000227)</f>
        <v>0.6</v>
      </c>
    </row>
    <row r="720">
      <c r="A720" s="3">
        <f>IFERROR(__xludf.DUMMYFUNCTION("""COMPUTED_VALUE"""),0.0)</f>
        <v>0</v>
      </c>
      <c r="B720" s="3">
        <f>IFERROR(__xludf.DUMMYFUNCTION("""COMPUTED_VALUE"""),-0.1099999999999568)</f>
        <v>-0.11</v>
      </c>
      <c r="C720" s="3">
        <f>IFERROR(__xludf.DUMMYFUNCTION("""COMPUTED_VALUE"""),1.299999999999983)</f>
        <v>1.3</v>
      </c>
    </row>
    <row r="721">
      <c r="A721" s="3">
        <f>IFERROR(__xludf.DUMMYFUNCTION("""COMPUTED_VALUE"""),-0.10000000000002274)</f>
        <v>-0.1</v>
      </c>
      <c r="B721" s="3">
        <f>IFERROR(__xludf.DUMMYFUNCTION("""COMPUTED_VALUE"""),-0.09000000000003183)</f>
        <v>-0.09</v>
      </c>
      <c r="C721" s="3">
        <f>IFERROR(__xludf.DUMMYFUNCTION("""COMPUTED_VALUE"""),0.30000000000001137)</f>
        <v>0.3</v>
      </c>
    </row>
    <row r="722">
      <c r="A722" s="3">
        <f>IFERROR(__xludf.DUMMYFUNCTION("""COMPUTED_VALUE"""),0.30000000000001137)</f>
        <v>0.3</v>
      </c>
      <c r="B722" s="3">
        <f>IFERROR(__xludf.DUMMYFUNCTION("""COMPUTED_VALUE"""),0.19999999999998863)</f>
        <v>0.2</v>
      </c>
      <c r="C722" s="3">
        <f>IFERROR(__xludf.DUMMYFUNCTION("""COMPUTED_VALUE"""),0.29999999999998295)</f>
        <v>0.3</v>
      </c>
    </row>
    <row r="723">
      <c r="A723" s="3">
        <f>IFERROR(__xludf.DUMMYFUNCTION("""COMPUTED_VALUE"""),0.0)</f>
        <v>0</v>
      </c>
      <c r="B723" s="3">
        <f>IFERROR(__xludf.DUMMYFUNCTION("""COMPUTED_VALUE"""),0.10000000000002274)</f>
        <v>0.1</v>
      </c>
      <c r="C723" s="3">
        <f>IFERROR(__xludf.DUMMYFUNCTION("""COMPUTED_VALUE"""),0.5)</f>
        <v>0.5</v>
      </c>
    </row>
    <row r="724">
      <c r="A724" s="3">
        <f>IFERROR(__xludf.DUMMYFUNCTION("""COMPUTED_VALUE"""),0.09000000000003183)</f>
        <v>0.09</v>
      </c>
      <c r="B724" s="3">
        <f>IFERROR(__xludf.DUMMYFUNCTION("""COMPUTED_VALUE"""),0.0)</f>
        <v>0</v>
      </c>
      <c r="C724" s="3">
        <f>IFERROR(__xludf.DUMMYFUNCTION("""COMPUTED_VALUE"""),0.6000000000000227)</f>
        <v>0.6</v>
      </c>
    </row>
    <row r="725">
      <c r="A725" s="3">
        <f>IFERROR(__xludf.DUMMYFUNCTION("""COMPUTED_VALUE"""),-0.09000000000003183)</f>
        <v>-0.09</v>
      </c>
      <c r="B725" s="3">
        <f>IFERROR(__xludf.DUMMYFUNCTION("""COMPUTED_VALUE"""),-0.10000000000002274)</f>
        <v>-0.1</v>
      </c>
      <c r="C725" s="3">
        <f>IFERROR(__xludf.DUMMYFUNCTION("""COMPUTED_VALUE"""),1.0)</f>
        <v>1</v>
      </c>
    </row>
    <row r="726">
      <c r="A726" s="3">
        <f>IFERROR(__xludf.DUMMYFUNCTION("""COMPUTED_VALUE"""),0.09000000000003183)</f>
        <v>0.09</v>
      </c>
      <c r="B726" s="3">
        <f>IFERROR(__xludf.DUMMYFUNCTION("""COMPUTED_VALUE"""),-0.1099999999999568)</f>
        <v>-0.11</v>
      </c>
      <c r="C726" s="3">
        <f>IFERROR(__xludf.DUMMYFUNCTION("""COMPUTED_VALUE"""),0.799999999999983)</f>
        <v>0.8</v>
      </c>
    </row>
    <row r="727">
      <c r="A727" s="3">
        <f>IFERROR(__xludf.DUMMYFUNCTION("""COMPUTED_VALUE"""),-0.18999999999999773)</f>
        <v>-0.19</v>
      </c>
      <c r="B727" s="3">
        <f>IFERROR(__xludf.DUMMYFUNCTION("""COMPUTED_VALUE"""),-0.09000000000003183)</f>
        <v>-0.09</v>
      </c>
      <c r="C727" s="3">
        <f>IFERROR(__xludf.DUMMYFUNCTION("""COMPUTED_VALUE"""),0.9000000000000057)</f>
        <v>0.9</v>
      </c>
    </row>
    <row r="728">
      <c r="A728" s="3">
        <f>IFERROR(__xludf.DUMMYFUNCTION("""COMPUTED_VALUE"""),0.0)</f>
        <v>0</v>
      </c>
      <c r="B728" s="3">
        <f>IFERROR(__xludf.DUMMYFUNCTION("""COMPUTED_VALUE"""),0.09000000000003183)</f>
        <v>0.09</v>
      </c>
      <c r="C728" s="3">
        <f>IFERROR(__xludf.DUMMYFUNCTION("""COMPUTED_VALUE"""),0.09999999999999432)</f>
        <v>0.1</v>
      </c>
    </row>
    <row r="729">
      <c r="A729" s="3">
        <f>IFERROR(__xludf.DUMMYFUNCTION("""COMPUTED_VALUE"""),0.0)</f>
        <v>0</v>
      </c>
      <c r="B729" s="3">
        <f>IFERROR(__xludf.DUMMYFUNCTION("""COMPUTED_VALUE"""),0.0)</f>
        <v>0</v>
      </c>
      <c r="C729" s="3">
        <f>IFERROR(__xludf.DUMMYFUNCTION("""COMPUTED_VALUE"""),0.5)</f>
        <v>0.5</v>
      </c>
    </row>
    <row r="730">
      <c r="A730" s="3">
        <f>IFERROR(__xludf.DUMMYFUNCTION("""COMPUTED_VALUE"""),-0.20000000000004547)</f>
        <v>-0.2</v>
      </c>
      <c r="B730" s="3">
        <f>IFERROR(__xludf.DUMMYFUNCTION("""COMPUTED_VALUE"""),-0.09000000000003183)</f>
        <v>-0.09</v>
      </c>
      <c r="C730" s="3">
        <f>IFERROR(__xludf.DUMMYFUNCTION("""COMPUTED_VALUE"""),0.4000000000000057)</f>
        <v>0.4</v>
      </c>
    </row>
    <row r="731">
      <c r="A731" s="3">
        <f>IFERROR(__xludf.DUMMYFUNCTION("""COMPUTED_VALUE"""),0.10000000000002274)</f>
        <v>0.1</v>
      </c>
      <c r="B731" s="3">
        <f>IFERROR(__xludf.DUMMYFUNCTION("""COMPUTED_VALUE"""),0.0)</f>
        <v>0</v>
      </c>
      <c r="C731" s="3">
        <f>IFERROR(__xludf.DUMMYFUNCTION("""COMPUTED_VALUE"""),0.5999999999999943)</f>
        <v>0.6</v>
      </c>
    </row>
    <row r="732">
      <c r="A732" s="3">
        <f>IFERROR(__xludf.DUMMYFUNCTION("""COMPUTED_VALUE"""),0.5)</f>
        <v>0.5</v>
      </c>
      <c r="B732" s="3">
        <f>IFERROR(__xludf.DUMMYFUNCTION("""COMPUTED_VALUE"""),0.09000000000003183)</f>
        <v>0.09</v>
      </c>
      <c r="C732" s="3">
        <f>IFERROR(__xludf.DUMMYFUNCTION("""COMPUTED_VALUE"""),0.4000000000000057)</f>
        <v>0.4</v>
      </c>
    </row>
    <row r="733">
      <c r="A733" s="3">
        <f>IFERROR(__xludf.DUMMYFUNCTION("""COMPUTED_VALUE"""),-0.30000000000001137)</f>
        <v>-0.3</v>
      </c>
      <c r="B733" s="3">
        <f>IFERROR(__xludf.DUMMYFUNCTION("""COMPUTED_VALUE"""),-0.5900000000000318)</f>
        <v>-0.59</v>
      </c>
      <c r="C733" s="3">
        <f>IFERROR(__xludf.DUMMYFUNCTION("""COMPUTED_VALUE"""),0.5999999999999943)</f>
        <v>0.6</v>
      </c>
    </row>
    <row r="734">
      <c r="A734" s="3">
        <f>IFERROR(__xludf.DUMMYFUNCTION("""COMPUTED_VALUE"""),0.0)</f>
        <v>0</v>
      </c>
      <c r="B734" s="3">
        <f>IFERROR(__xludf.DUMMYFUNCTION("""COMPUTED_VALUE"""),0.30000000000001137)</f>
        <v>0.3</v>
      </c>
      <c r="C734" s="3">
        <f>IFERROR(__xludf.DUMMYFUNCTION("""COMPUTED_VALUE"""),0.9000000000000057)</f>
        <v>0.9</v>
      </c>
    </row>
    <row r="735">
      <c r="A735" s="3">
        <f>IFERROR(__xludf.DUMMYFUNCTION("""COMPUTED_VALUE"""),-0.0999999999999659)</f>
        <v>-0.1</v>
      </c>
      <c r="B735" s="3">
        <f>IFERROR(__xludf.DUMMYFUNCTION("""COMPUTED_VALUE"""),0.10000000000002274)</f>
        <v>0.1</v>
      </c>
      <c r="C735" s="3">
        <f>IFERROR(__xludf.DUMMYFUNCTION("""COMPUTED_VALUE"""),0.5)</f>
        <v>0.5</v>
      </c>
    </row>
    <row r="736">
      <c r="A736" s="3">
        <f>IFERROR(__xludf.DUMMYFUNCTION("""COMPUTED_VALUE"""),0.0)</f>
        <v>0</v>
      </c>
      <c r="B736" s="3">
        <f>IFERROR(__xludf.DUMMYFUNCTION("""COMPUTED_VALUE"""),0.0)</f>
        <v>0</v>
      </c>
      <c r="C736" s="3">
        <f>IFERROR(__xludf.DUMMYFUNCTION("""COMPUTED_VALUE"""),0.8000000000000114)</f>
        <v>0.8</v>
      </c>
    </row>
    <row r="737">
      <c r="A737" s="3">
        <f>IFERROR(__xludf.DUMMYFUNCTION("""COMPUTED_VALUE"""),0.0999999999999659)</f>
        <v>0.1</v>
      </c>
      <c r="B737" s="3">
        <f>IFERROR(__xludf.DUMMYFUNCTION("""COMPUTED_VALUE"""),0.0999999999999659)</f>
        <v>0.1</v>
      </c>
      <c r="C737" s="3">
        <f>IFERROR(__xludf.DUMMYFUNCTION("""COMPUTED_VALUE"""),0.5999999999999943)</f>
        <v>0.6</v>
      </c>
    </row>
    <row r="738">
      <c r="A738" s="3">
        <f>IFERROR(__xludf.DUMMYFUNCTION("""COMPUTED_VALUE"""),0.0)</f>
        <v>0</v>
      </c>
      <c r="B738" s="3">
        <f>IFERROR(__xludf.DUMMYFUNCTION("""COMPUTED_VALUE"""),0.09000000000003183)</f>
        <v>0.09</v>
      </c>
      <c r="C738" s="3">
        <f>IFERROR(__xludf.DUMMYFUNCTION("""COMPUTED_VALUE"""),0.5999999999999943)</f>
        <v>0.6</v>
      </c>
    </row>
    <row r="739">
      <c r="A739" s="3">
        <f>IFERROR(__xludf.DUMMYFUNCTION("""COMPUTED_VALUE"""),-0.0999999999999659)</f>
        <v>-0.1</v>
      </c>
      <c r="B739" s="3">
        <f>IFERROR(__xludf.DUMMYFUNCTION("""COMPUTED_VALUE"""),-0.09000000000003183)</f>
        <v>-0.09</v>
      </c>
      <c r="C739" s="3">
        <f>IFERROR(__xludf.DUMMYFUNCTION("""COMPUTED_VALUE"""),0.5999999999999943)</f>
        <v>0.6</v>
      </c>
    </row>
    <row r="740">
      <c r="A740" s="3">
        <f>IFERROR(__xludf.DUMMYFUNCTION("""COMPUTED_VALUE"""),0.0)</f>
        <v>0</v>
      </c>
      <c r="B740" s="3">
        <f>IFERROR(__xludf.DUMMYFUNCTION("""COMPUTED_VALUE"""),-0.19999999999998863)</f>
        <v>-0.2</v>
      </c>
      <c r="C740" s="3">
        <f>IFERROR(__xludf.DUMMYFUNCTION("""COMPUTED_VALUE"""),1.5999999999999943)</f>
        <v>1.6</v>
      </c>
    </row>
    <row r="741">
      <c r="A741" s="3">
        <f>IFERROR(__xludf.DUMMYFUNCTION("""COMPUTED_VALUE"""),0.0)</f>
        <v>0</v>
      </c>
      <c r="B741" s="3">
        <f>IFERROR(__xludf.DUMMYFUNCTION("""COMPUTED_VALUE"""),0.10000000000002274)</f>
        <v>0.1</v>
      </c>
      <c r="C741" s="3">
        <f>IFERROR(__xludf.DUMMYFUNCTION("""COMPUTED_VALUE"""),1.6000000000000227)</f>
        <v>1.6</v>
      </c>
    </row>
    <row r="742">
      <c r="A742" s="3">
        <f>IFERROR(__xludf.DUMMYFUNCTION("""COMPUTED_VALUE"""),-0.10000000000002274)</f>
        <v>-0.1</v>
      </c>
      <c r="B742" s="3">
        <f>IFERROR(__xludf.DUMMYFUNCTION("""COMPUTED_VALUE"""),0.0999999999999659)</f>
        <v>0.1</v>
      </c>
      <c r="C742" s="3">
        <f>IFERROR(__xludf.DUMMYFUNCTION("""COMPUTED_VALUE"""),-0.10000000000002274)</f>
        <v>-0.1</v>
      </c>
    </row>
    <row r="743">
      <c r="A743" s="3">
        <f>IFERROR(__xludf.DUMMYFUNCTION("""COMPUTED_VALUE"""),0.0)</f>
        <v>0</v>
      </c>
      <c r="B743" s="3">
        <f>IFERROR(__xludf.DUMMYFUNCTION("""COMPUTED_VALUE"""),0.19999999999998863)</f>
        <v>0.2</v>
      </c>
      <c r="C743" s="3">
        <f>IFERROR(__xludf.DUMMYFUNCTION("""COMPUTED_VALUE"""),0.20000000000001705)</f>
        <v>0.2</v>
      </c>
    </row>
    <row r="744">
      <c r="A744" s="3">
        <f>IFERROR(__xludf.DUMMYFUNCTION("""COMPUTED_VALUE"""),0.0)</f>
        <v>0</v>
      </c>
      <c r="B744" s="3">
        <f>IFERROR(__xludf.DUMMYFUNCTION("""COMPUTED_VALUE"""),0.0)</f>
        <v>0</v>
      </c>
      <c r="C744" s="3">
        <f>IFERROR(__xludf.DUMMYFUNCTION("""COMPUTED_VALUE"""),0.5)</f>
        <v>0.5</v>
      </c>
    </row>
    <row r="745">
      <c r="A745" s="3">
        <f>IFERROR(__xludf.DUMMYFUNCTION("""COMPUTED_VALUE"""),-0.39999999999997726)</f>
        <v>-0.4</v>
      </c>
      <c r="B745" s="3">
        <f>IFERROR(__xludf.DUMMYFUNCTION("""COMPUTED_VALUE"""),0.0)</f>
        <v>0</v>
      </c>
      <c r="C745" s="3">
        <f>IFERROR(__xludf.DUMMYFUNCTION("""COMPUTED_VALUE"""),0.4000000000000057)</f>
        <v>0.4</v>
      </c>
    </row>
    <row r="746">
      <c r="A746" s="3">
        <f>IFERROR(__xludf.DUMMYFUNCTION("""COMPUTED_VALUE"""),0.0999999999999659)</f>
        <v>0.1</v>
      </c>
      <c r="B746" s="3">
        <f>IFERROR(__xludf.DUMMYFUNCTION("""COMPUTED_VALUE"""),0.0)</f>
        <v>0</v>
      </c>
      <c r="C746" s="3">
        <f>IFERROR(__xludf.DUMMYFUNCTION("""COMPUTED_VALUE"""),0.6999999999999886)</f>
        <v>0.7</v>
      </c>
    </row>
    <row r="747">
      <c r="A747" s="3">
        <f>IFERROR(__xludf.DUMMYFUNCTION("""COMPUTED_VALUE"""),0.09000000000003183)</f>
        <v>0.09</v>
      </c>
      <c r="B747" s="3">
        <f>IFERROR(__xludf.DUMMYFUNCTION("""COMPUTED_VALUE"""),-0.19999999999998863)</f>
        <v>-0.2</v>
      </c>
      <c r="C747" s="3">
        <f>IFERROR(__xludf.DUMMYFUNCTION("""COMPUTED_VALUE"""),0.5)</f>
        <v>0.5</v>
      </c>
    </row>
    <row r="748">
      <c r="A748" s="3">
        <f>IFERROR(__xludf.DUMMYFUNCTION("""COMPUTED_VALUE"""),0.1099999999999568)</f>
        <v>0.11</v>
      </c>
      <c r="B748" s="3">
        <f>IFERROR(__xludf.DUMMYFUNCTION("""COMPUTED_VALUE"""),0.0)</f>
        <v>0</v>
      </c>
      <c r="C748" s="3">
        <f>IFERROR(__xludf.DUMMYFUNCTION("""COMPUTED_VALUE"""),0.9000000000000057)</f>
        <v>0.9</v>
      </c>
    </row>
    <row r="749">
      <c r="A749" s="3">
        <f>IFERROR(__xludf.DUMMYFUNCTION("""COMPUTED_VALUE"""),0.0)</f>
        <v>0</v>
      </c>
      <c r="B749" s="3">
        <f>IFERROR(__xludf.DUMMYFUNCTION("""COMPUTED_VALUE"""),0.0)</f>
        <v>0</v>
      </c>
      <c r="C749" s="3">
        <f>IFERROR(__xludf.DUMMYFUNCTION("""COMPUTED_VALUE"""),0.4000000000000057)</f>
        <v>0.4</v>
      </c>
    </row>
    <row r="750">
      <c r="A750" s="3">
        <f>IFERROR(__xludf.DUMMYFUNCTION("""COMPUTED_VALUE"""),-0.1099999999999568)</f>
        <v>-0.11</v>
      </c>
      <c r="B750" s="3">
        <f>IFERROR(__xludf.DUMMYFUNCTION("""COMPUTED_VALUE"""),0.0)</f>
        <v>0</v>
      </c>
      <c r="C750" s="3">
        <f>IFERROR(__xludf.DUMMYFUNCTION("""COMPUTED_VALUE"""),0.799999999999983)</f>
        <v>0.8</v>
      </c>
    </row>
    <row r="751">
      <c r="A751" s="3">
        <f>IFERROR(__xludf.DUMMYFUNCTION("""COMPUTED_VALUE"""),0.0)</f>
        <v>0</v>
      </c>
      <c r="B751" s="3">
        <f>IFERROR(__xludf.DUMMYFUNCTION("""COMPUTED_VALUE"""),0.0)</f>
        <v>0</v>
      </c>
      <c r="C751" s="3">
        <f>IFERROR(__xludf.DUMMYFUNCTION("""COMPUTED_VALUE"""),0.700000000000017)</f>
        <v>0.7</v>
      </c>
    </row>
    <row r="752">
      <c r="A752" s="3">
        <f>IFERROR(__xludf.DUMMYFUNCTION("""COMPUTED_VALUE"""),0.20999999999997954)</f>
        <v>0.21</v>
      </c>
      <c r="B752" s="3">
        <f>IFERROR(__xludf.DUMMYFUNCTION("""COMPUTED_VALUE"""),0.0)</f>
        <v>0</v>
      </c>
      <c r="C752" s="3">
        <f>IFERROR(__xludf.DUMMYFUNCTION("""COMPUTED_VALUE"""),0.6999999999999886)</f>
        <v>0.7</v>
      </c>
    </row>
    <row r="753">
      <c r="A753" s="3">
        <f>IFERROR(__xludf.DUMMYFUNCTION("""COMPUTED_VALUE"""),0.10000000000002274)</f>
        <v>0.1</v>
      </c>
      <c r="B753" s="3">
        <f>IFERROR(__xludf.DUMMYFUNCTION("""COMPUTED_VALUE"""),0.09000000000003183)</f>
        <v>0.09</v>
      </c>
      <c r="C753" s="3">
        <f>IFERROR(__xludf.DUMMYFUNCTION("""COMPUTED_VALUE"""),0.6999999999999886)</f>
        <v>0.7</v>
      </c>
    </row>
    <row r="754">
      <c r="A754" s="3">
        <f>IFERROR(__xludf.DUMMYFUNCTION("""COMPUTED_VALUE"""),0.0)</f>
        <v>0</v>
      </c>
      <c r="B754" s="3">
        <f>IFERROR(__xludf.DUMMYFUNCTION("""COMPUTED_VALUE"""),0.1099999999999568)</f>
        <v>0.11</v>
      </c>
      <c r="C754" s="3">
        <f>IFERROR(__xludf.DUMMYFUNCTION("""COMPUTED_VALUE"""),1.1000000000000227)</f>
        <v>1.1</v>
      </c>
    </row>
    <row r="755">
      <c r="A755" s="3">
        <f>IFERROR(__xludf.DUMMYFUNCTION("""COMPUTED_VALUE"""),-0.10000000000002274)</f>
        <v>-0.1</v>
      </c>
      <c r="B755" s="3">
        <f>IFERROR(__xludf.DUMMYFUNCTION("""COMPUTED_VALUE"""),0.10000000000002274)</f>
        <v>0.1</v>
      </c>
      <c r="C755" s="3">
        <f>IFERROR(__xludf.DUMMYFUNCTION("""COMPUTED_VALUE"""),0.6999999999999886)</f>
        <v>0.7</v>
      </c>
    </row>
    <row r="756">
      <c r="A756" s="3">
        <f>IFERROR(__xludf.DUMMYFUNCTION("""COMPUTED_VALUE"""),-0.10000000000002274)</f>
        <v>-0.1</v>
      </c>
      <c r="B756" s="3">
        <f>IFERROR(__xludf.DUMMYFUNCTION("""COMPUTED_VALUE"""),0.0)</f>
        <v>0</v>
      </c>
      <c r="C756" s="3">
        <f>IFERROR(__xludf.DUMMYFUNCTION("""COMPUTED_VALUE"""),0.30000000000001137)</f>
        <v>0.3</v>
      </c>
    </row>
    <row r="757">
      <c r="A757" s="3">
        <f>IFERROR(__xludf.DUMMYFUNCTION("""COMPUTED_VALUE"""),-0.1099999999999568)</f>
        <v>-0.11</v>
      </c>
      <c r="B757" s="3">
        <f>IFERROR(__xludf.DUMMYFUNCTION("""COMPUTED_VALUE"""),-0.10000000000002274)</f>
        <v>-0.1</v>
      </c>
      <c r="C757" s="3">
        <f>IFERROR(__xludf.DUMMYFUNCTION("""COMPUTED_VALUE"""),0.9900000000000091)</f>
        <v>0.99</v>
      </c>
    </row>
    <row r="758">
      <c r="A758" s="3">
        <f>IFERROR(__xludf.DUMMYFUNCTION("""COMPUTED_VALUE"""),0.0)</f>
        <v>0</v>
      </c>
      <c r="B758" s="3">
        <f>IFERROR(__xludf.DUMMYFUNCTION("""COMPUTED_VALUE"""),0.0)</f>
        <v>0</v>
      </c>
      <c r="C758" s="3">
        <f>IFERROR(__xludf.DUMMYFUNCTION("""COMPUTED_VALUE"""),0.6099999999999568)</f>
        <v>0.61</v>
      </c>
    </row>
    <row r="759">
      <c r="A759" s="3">
        <f>IFERROR(__xludf.DUMMYFUNCTION("""COMPUTED_VALUE"""),0.1099999999999568)</f>
        <v>0.11</v>
      </c>
      <c r="B759" s="3">
        <f>IFERROR(__xludf.DUMMYFUNCTION("""COMPUTED_VALUE"""),0.10000000000002274)</f>
        <v>0.1</v>
      </c>
      <c r="C759" s="3">
        <f>IFERROR(__xludf.DUMMYFUNCTION("""COMPUTED_VALUE"""),0.6000000000000227)</f>
        <v>0.6</v>
      </c>
    </row>
    <row r="760">
      <c r="A760" s="3">
        <f>IFERROR(__xludf.DUMMYFUNCTION("""COMPUTED_VALUE"""),0.0)</f>
        <v>0</v>
      </c>
      <c r="B760" s="3">
        <f>IFERROR(__xludf.DUMMYFUNCTION("""COMPUTED_VALUE"""),0.0)</f>
        <v>0</v>
      </c>
      <c r="C760" s="3">
        <f>IFERROR(__xludf.DUMMYFUNCTION("""COMPUTED_VALUE"""),0.5)</f>
        <v>0.5</v>
      </c>
    </row>
    <row r="761">
      <c r="A761" s="3">
        <f>IFERROR(__xludf.DUMMYFUNCTION("""COMPUTED_VALUE"""),0.0)</f>
        <v>0</v>
      </c>
      <c r="B761" s="3">
        <f>IFERROR(__xludf.DUMMYFUNCTION("""COMPUTED_VALUE"""),-0.10000000000002274)</f>
        <v>-0.1</v>
      </c>
      <c r="C761" s="3">
        <f>IFERROR(__xludf.DUMMYFUNCTION("""COMPUTED_VALUE"""),0.6999999999999886)</f>
        <v>0.7</v>
      </c>
    </row>
    <row r="762">
      <c r="A762" s="3">
        <f>IFERROR(__xludf.DUMMYFUNCTION("""COMPUTED_VALUE"""),0.0)</f>
        <v>0</v>
      </c>
      <c r="B762" s="3">
        <f>IFERROR(__xludf.DUMMYFUNCTION("""COMPUTED_VALUE"""),-0.1099999999999568)</f>
        <v>-0.11</v>
      </c>
      <c r="C762" s="3">
        <f>IFERROR(__xludf.DUMMYFUNCTION("""COMPUTED_VALUE"""),0.4000000000000341)</f>
        <v>0.4</v>
      </c>
    </row>
    <row r="763">
      <c r="A763" s="3">
        <f>IFERROR(__xludf.DUMMYFUNCTION("""COMPUTED_VALUE"""),0.0)</f>
        <v>0</v>
      </c>
      <c r="B763" s="3">
        <f>IFERROR(__xludf.DUMMYFUNCTION("""COMPUTED_VALUE"""),-0.09000000000003183)</f>
        <v>-0.09</v>
      </c>
      <c r="C763" s="3">
        <f>IFERROR(__xludf.DUMMYFUNCTION("""COMPUTED_VALUE"""),0.8999999999999773)</f>
        <v>0.9</v>
      </c>
    </row>
    <row r="764">
      <c r="A764" s="3">
        <f>IFERROR(__xludf.DUMMYFUNCTION("""COMPUTED_VALUE"""),0.0)</f>
        <v>0</v>
      </c>
      <c r="B764" s="3">
        <f>IFERROR(__xludf.DUMMYFUNCTION("""COMPUTED_VALUE"""),0.09000000000003183)</f>
        <v>0.09</v>
      </c>
      <c r="C764" s="3">
        <f>IFERROR(__xludf.DUMMYFUNCTION("""COMPUTED_VALUE"""),0.39999999999997726)</f>
        <v>0.4</v>
      </c>
    </row>
    <row r="765">
      <c r="A765" s="3">
        <f>IFERROR(__xludf.DUMMYFUNCTION("""COMPUTED_VALUE"""),0.0)</f>
        <v>0</v>
      </c>
      <c r="B765" s="3">
        <f>IFERROR(__xludf.DUMMYFUNCTION("""COMPUTED_VALUE"""),0.1099999999999568)</f>
        <v>0.11</v>
      </c>
      <c r="C765" s="3">
        <f>IFERROR(__xludf.DUMMYFUNCTION("""COMPUTED_VALUE"""),0.7000000000000455)</f>
        <v>0.7</v>
      </c>
    </row>
    <row r="766">
      <c r="A766" s="3">
        <f>IFERROR(__xludf.DUMMYFUNCTION("""COMPUTED_VALUE"""),-0.1099999999999568)</f>
        <v>-0.11</v>
      </c>
      <c r="B766" s="3">
        <f>IFERROR(__xludf.DUMMYFUNCTION("""COMPUTED_VALUE"""),0.0)</f>
        <v>0</v>
      </c>
      <c r="C766" s="3">
        <f>IFERROR(__xludf.DUMMYFUNCTION("""COMPUTED_VALUE"""),1.2999999999999545)</f>
        <v>1.3</v>
      </c>
    </row>
    <row r="767">
      <c r="A767" s="3">
        <f>IFERROR(__xludf.DUMMYFUNCTION("""COMPUTED_VALUE"""),0.0)</f>
        <v>0</v>
      </c>
      <c r="B767" s="3">
        <f>IFERROR(__xludf.DUMMYFUNCTION("""COMPUTED_VALUE"""),0.0)</f>
        <v>0</v>
      </c>
      <c r="C767" s="3">
        <f>IFERROR(__xludf.DUMMYFUNCTION("""COMPUTED_VALUE"""),0.5)</f>
        <v>0.5</v>
      </c>
    </row>
    <row r="768">
      <c r="A768" s="3">
        <f>IFERROR(__xludf.DUMMYFUNCTION("""COMPUTED_VALUE"""),0.1099999999999568)</f>
        <v>0.11</v>
      </c>
      <c r="B768" s="3">
        <f>IFERROR(__xludf.DUMMYFUNCTION("""COMPUTED_VALUE"""),0.0)</f>
        <v>0</v>
      </c>
      <c r="C768" s="3">
        <f>IFERROR(__xludf.DUMMYFUNCTION("""COMPUTED_VALUE"""),0.6000000000000227)</f>
        <v>0.6</v>
      </c>
    </row>
    <row r="769">
      <c r="A769" s="3">
        <f>IFERROR(__xludf.DUMMYFUNCTION("""COMPUTED_VALUE"""),0.10000000000002274)</f>
        <v>0.1</v>
      </c>
      <c r="B769" s="3">
        <f>IFERROR(__xludf.DUMMYFUNCTION("""COMPUTED_VALUE"""),0.0)</f>
        <v>0</v>
      </c>
      <c r="C769" s="3">
        <f>IFERROR(__xludf.DUMMYFUNCTION("""COMPUTED_VALUE"""),0.6999999999999886)</f>
        <v>0.7</v>
      </c>
    </row>
    <row r="770">
      <c r="A770" s="3">
        <f>IFERROR(__xludf.DUMMYFUNCTION("""COMPUTED_VALUE"""),0.0)</f>
        <v>0</v>
      </c>
      <c r="B770" s="3">
        <f>IFERROR(__xludf.DUMMYFUNCTION("""COMPUTED_VALUE"""),0.0)</f>
        <v>0</v>
      </c>
      <c r="C770" s="3">
        <f>IFERROR(__xludf.DUMMYFUNCTION("""COMPUTED_VALUE"""),0.6999999999999886)</f>
        <v>0.7</v>
      </c>
    </row>
    <row r="771">
      <c r="A771" s="3">
        <f>IFERROR(__xludf.DUMMYFUNCTION("""COMPUTED_VALUE"""),-0.10000000000002274)</f>
        <v>-0.1</v>
      </c>
      <c r="B771" s="3">
        <f>IFERROR(__xludf.DUMMYFUNCTION("""COMPUTED_VALUE"""),0.0)</f>
        <v>0</v>
      </c>
      <c r="C771" s="3">
        <f>IFERROR(__xludf.DUMMYFUNCTION("""COMPUTED_VALUE"""),0.8000000000000114)</f>
        <v>0.8</v>
      </c>
    </row>
    <row r="772">
      <c r="A772" s="3">
        <f>IFERROR(__xludf.DUMMYFUNCTION("""COMPUTED_VALUE"""),0.20000000000004547)</f>
        <v>0.2</v>
      </c>
      <c r="B772" s="3">
        <f>IFERROR(__xludf.DUMMYFUNCTION("""COMPUTED_VALUE"""),0.0)</f>
        <v>0</v>
      </c>
      <c r="C772" s="3">
        <f>IFERROR(__xludf.DUMMYFUNCTION("""COMPUTED_VALUE"""),0.6999999999999886)</f>
        <v>0.7</v>
      </c>
    </row>
    <row r="773">
      <c r="A773" s="3">
        <f>IFERROR(__xludf.DUMMYFUNCTION("""COMPUTED_VALUE"""),0.0)</f>
        <v>0</v>
      </c>
      <c r="B773" s="3">
        <f>IFERROR(__xludf.DUMMYFUNCTION("""COMPUTED_VALUE"""),-0.1099999999999568)</f>
        <v>-0.11</v>
      </c>
      <c r="C773" s="3">
        <f>IFERROR(__xludf.DUMMYFUNCTION("""COMPUTED_VALUE"""),1.8000000000000114)</f>
        <v>1.8</v>
      </c>
    </row>
    <row r="774">
      <c r="A774" s="3">
        <f>IFERROR(__xludf.DUMMYFUNCTION("""COMPUTED_VALUE"""),-0.10000000000002274)</f>
        <v>-0.1</v>
      </c>
      <c r="B774" s="3">
        <f>IFERROR(__xludf.DUMMYFUNCTION("""COMPUTED_VALUE"""),0.0)</f>
        <v>0</v>
      </c>
      <c r="C774" s="3">
        <f>IFERROR(__xludf.DUMMYFUNCTION("""COMPUTED_VALUE"""),0.19999999999998863)</f>
        <v>0.2</v>
      </c>
    </row>
    <row r="775">
      <c r="A775" s="3">
        <f>IFERROR(__xludf.DUMMYFUNCTION("""COMPUTED_VALUE"""),-0.30000000000001137)</f>
        <v>-0.3</v>
      </c>
      <c r="B775" s="3">
        <f>IFERROR(__xludf.DUMMYFUNCTION("""COMPUTED_VALUE"""),-0.29000000000002046)</f>
        <v>-0.29</v>
      </c>
      <c r="C775" s="3">
        <f>IFERROR(__xludf.DUMMYFUNCTION("""COMPUTED_VALUE"""),1.1000000000000227)</f>
        <v>1.1</v>
      </c>
    </row>
    <row r="776">
      <c r="A776" s="3">
        <f>IFERROR(__xludf.DUMMYFUNCTION("""COMPUTED_VALUE"""),0.0)</f>
        <v>0</v>
      </c>
      <c r="B776" s="3">
        <f>IFERROR(__xludf.DUMMYFUNCTION("""COMPUTED_VALUE"""),-0.10000000000002274)</f>
        <v>-0.1</v>
      </c>
      <c r="C776" s="3">
        <f>IFERROR(__xludf.DUMMYFUNCTION("""COMPUTED_VALUE"""),0.7900000000000205)</f>
        <v>0.79</v>
      </c>
    </row>
    <row r="777">
      <c r="A777" s="3">
        <f>IFERROR(__xludf.DUMMYFUNCTION("""COMPUTED_VALUE"""),0.09000000000003183)</f>
        <v>0.09</v>
      </c>
      <c r="B777" s="3">
        <f>IFERROR(__xludf.DUMMYFUNCTION("""COMPUTED_VALUE"""),0.10000000000002274)</f>
        <v>0.1</v>
      </c>
      <c r="C777" s="3">
        <f>IFERROR(__xludf.DUMMYFUNCTION("""COMPUTED_VALUE"""),0.9099999999999682)</f>
        <v>0.91</v>
      </c>
    </row>
    <row r="778">
      <c r="A778" s="3">
        <f>IFERROR(__xludf.DUMMYFUNCTION("""COMPUTED_VALUE"""),0.1099999999999568)</f>
        <v>0.11</v>
      </c>
      <c r="B778" s="3">
        <f>IFERROR(__xludf.DUMMYFUNCTION("""COMPUTED_VALUE"""),0.10000000000002274)</f>
        <v>0.1</v>
      </c>
      <c r="C778" s="3">
        <f>IFERROR(__xludf.DUMMYFUNCTION("""COMPUTED_VALUE"""),0.8000000000000114)</f>
        <v>0.8</v>
      </c>
    </row>
    <row r="779">
      <c r="A779" s="3">
        <f>IFERROR(__xludf.DUMMYFUNCTION("""COMPUTED_VALUE"""),0.0)</f>
        <v>0</v>
      </c>
      <c r="B779" s="3">
        <f>IFERROR(__xludf.DUMMYFUNCTION("""COMPUTED_VALUE"""),0.0999999999999659)</f>
        <v>0.1</v>
      </c>
      <c r="C779" s="3">
        <f>IFERROR(__xludf.DUMMYFUNCTION("""COMPUTED_VALUE"""),0.6000000000000227)</f>
        <v>0.6</v>
      </c>
    </row>
    <row r="780">
      <c r="A780" s="3">
        <f>IFERROR(__xludf.DUMMYFUNCTION("""COMPUTED_VALUE"""),-0.1099999999999568)</f>
        <v>-0.11</v>
      </c>
      <c r="B780" s="3">
        <f>IFERROR(__xludf.DUMMYFUNCTION("""COMPUTED_VALUE"""),0.09000000000003183)</f>
        <v>0.09</v>
      </c>
      <c r="C780" s="3">
        <f>IFERROR(__xludf.DUMMYFUNCTION("""COMPUTED_VALUE"""),0.7999999999999545)</f>
        <v>0.8</v>
      </c>
    </row>
    <row r="781">
      <c r="A781" s="3">
        <f>IFERROR(__xludf.DUMMYFUNCTION("""COMPUTED_VALUE"""),0.0)</f>
        <v>0</v>
      </c>
      <c r="B781" s="3">
        <f>IFERROR(__xludf.DUMMYFUNCTION("""COMPUTED_VALUE"""),0.0)</f>
        <v>0</v>
      </c>
      <c r="C781" s="3">
        <f>IFERROR(__xludf.DUMMYFUNCTION("""COMPUTED_VALUE"""),2.0)</f>
        <v>2</v>
      </c>
    </row>
    <row r="782">
      <c r="A782" s="3">
        <f>IFERROR(__xludf.DUMMYFUNCTION("""COMPUTED_VALUE"""),-0.09000000000003183)</f>
        <v>-0.09</v>
      </c>
      <c r="B782" s="3">
        <f>IFERROR(__xludf.DUMMYFUNCTION("""COMPUTED_VALUE"""),-0.18999999999999773)</f>
        <v>-0.19</v>
      </c>
      <c r="C782" s="3">
        <f>IFERROR(__xludf.DUMMYFUNCTION("""COMPUTED_VALUE"""),0.10000000000002274)</f>
        <v>0.1</v>
      </c>
    </row>
    <row r="783">
      <c r="A783" s="3">
        <f>IFERROR(__xludf.DUMMYFUNCTION("""COMPUTED_VALUE"""),0.0)</f>
        <v>0</v>
      </c>
      <c r="B783" s="3">
        <f>IFERROR(__xludf.DUMMYFUNCTION("""COMPUTED_VALUE"""),0.0999999999999659)</f>
        <v>0.1</v>
      </c>
      <c r="C783" s="3">
        <f>IFERROR(__xludf.DUMMYFUNCTION("""COMPUTED_VALUE"""),0.6999999999999886)</f>
        <v>0.7</v>
      </c>
    </row>
    <row r="784">
      <c r="A784" s="3">
        <f>IFERROR(__xludf.DUMMYFUNCTION("""COMPUTED_VALUE"""),0.0)</f>
        <v>0</v>
      </c>
      <c r="B784" s="3">
        <f>IFERROR(__xludf.DUMMYFUNCTION("""COMPUTED_VALUE"""),0.0)</f>
        <v>0</v>
      </c>
      <c r="C784" s="3">
        <f>IFERROR(__xludf.DUMMYFUNCTION("""COMPUTED_VALUE"""),0.5)</f>
        <v>0.5</v>
      </c>
    </row>
    <row r="785">
      <c r="A785" s="3">
        <f>IFERROR(__xludf.DUMMYFUNCTION("""COMPUTED_VALUE"""),-0.0999999999999659)</f>
        <v>-0.1</v>
      </c>
      <c r="B785" s="3">
        <f>IFERROR(__xludf.DUMMYFUNCTION("""COMPUTED_VALUE"""),0.0)</f>
        <v>0</v>
      </c>
      <c r="C785" s="3">
        <f>IFERROR(__xludf.DUMMYFUNCTION("""COMPUTED_VALUE"""),0.5)</f>
        <v>0.5</v>
      </c>
    </row>
    <row r="786">
      <c r="A786" s="3">
        <f>IFERROR(__xludf.DUMMYFUNCTION("""COMPUTED_VALUE"""),0.0999999999999659)</f>
        <v>0.1</v>
      </c>
      <c r="B786" s="3">
        <f>IFERROR(__xludf.DUMMYFUNCTION("""COMPUTED_VALUE"""),0.0)</f>
        <v>0</v>
      </c>
      <c r="C786" s="3">
        <f>IFERROR(__xludf.DUMMYFUNCTION("""COMPUTED_VALUE"""),0.5)</f>
        <v>0.5</v>
      </c>
    </row>
    <row r="787">
      <c r="A787" s="3">
        <f>IFERROR(__xludf.DUMMYFUNCTION("""COMPUTED_VALUE"""),0.09000000000003183)</f>
        <v>0.09</v>
      </c>
      <c r="B787" s="3">
        <f>IFERROR(__xludf.DUMMYFUNCTION("""COMPUTED_VALUE"""),0.09000000000003183)</f>
        <v>0.09</v>
      </c>
      <c r="C787" s="3">
        <f>IFERROR(__xludf.DUMMYFUNCTION("""COMPUTED_VALUE"""),1.0900000000000318)</f>
        <v>1.09</v>
      </c>
    </row>
    <row r="788">
      <c r="A788" s="3">
        <f>IFERROR(__xludf.DUMMYFUNCTION("""COMPUTED_VALUE"""),0.0)</f>
        <v>0</v>
      </c>
      <c r="B788" s="3">
        <f>IFERROR(__xludf.DUMMYFUNCTION("""COMPUTED_VALUE"""),0.0)</f>
        <v>0</v>
      </c>
      <c r="C788" s="3">
        <f>IFERROR(__xludf.DUMMYFUNCTION("""COMPUTED_VALUE"""),3.109999999999957)</f>
        <v>3.11</v>
      </c>
    </row>
    <row r="789">
      <c r="A789" s="3">
        <f>IFERROR(__xludf.DUMMYFUNCTION("""COMPUTED_VALUE"""),0.1099999999999568)</f>
        <v>0.11</v>
      </c>
      <c r="B789" s="3">
        <f>IFERROR(__xludf.DUMMYFUNCTION("""COMPUTED_VALUE"""),0.1099999999999568)</f>
        <v>0.11</v>
      </c>
      <c r="C789" s="3">
        <f>IFERROR(__xludf.DUMMYFUNCTION("""COMPUTED_VALUE"""),0.0)</f>
        <v>0</v>
      </c>
    </row>
    <row r="790">
      <c r="A790" s="3">
        <f>IFERROR(__xludf.DUMMYFUNCTION("""COMPUTED_VALUE"""),0.0)</f>
        <v>0</v>
      </c>
      <c r="B790" s="3">
        <f>IFERROR(__xludf.DUMMYFUNCTION("""COMPUTED_VALUE"""),0.0)</f>
        <v>0</v>
      </c>
      <c r="C790" s="3">
        <f>IFERROR(__xludf.DUMMYFUNCTION("""COMPUTED_VALUE"""),0.7000000000000455)</f>
        <v>0.7</v>
      </c>
    </row>
    <row r="791">
      <c r="A791" s="3">
        <f>IFERROR(__xludf.DUMMYFUNCTION("""COMPUTED_VALUE"""),0.30000000000001137)</f>
        <v>0.3</v>
      </c>
      <c r="B791" s="3">
        <f>IFERROR(__xludf.DUMMYFUNCTION("""COMPUTED_VALUE"""),0.0)</f>
        <v>0</v>
      </c>
      <c r="C791" s="3">
        <f>IFERROR(__xludf.DUMMYFUNCTION("""COMPUTED_VALUE"""),0.8999999999999773)</f>
        <v>0.9</v>
      </c>
    </row>
    <row r="792">
      <c r="A792" s="3">
        <f>IFERROR(__xludf.DUMMYFUNCTION("""COMPUTED_VALUE"""),-0.19999999999998863)</f>
        <v>-0.2</v>
      </c>
      <c r="B792" s="3">
        <f>IFERROR(__xludf.DUMMYFUNCTION("""COMPUTED_VALUE"""),0.0)</f>
        <v>0</v>
      </c>
      <c r="C792" s="3">
        <f>IFERROR(__xludf.DUMMYFUNCTION("""COMPUTED_VALUE"""),2.5)</f>
        <v>2.5</v>
      </c>
    </row>
    <row r="793">
      <c r="A793" s="3">
        <f>IFERROR(__xludf.DUMMYFUNCTION("""COMPUTED_VALUE"""),-0.10000000000002274)</f>
        <v>-0.1</v>
      </c>
      <c r="B793" s="3">
        <f>IFERROR(__xludf.DUMMYFUNCTION("""COMPUTED_VALUE"""),0.0)</f>
        <v>0</v>
      </c>
      <c r="C793" s="3">
        <f>IFERROR(__xludf.DUMMYFUNCTION("""COMPUTED_VALUE"""),-0.5)</f>
        <v>-0.5</v>
      </c>
    </row>
    <row r="794">
      <c r="A794" s="3">
        <f>IFERROR(__xludf.DUMMYFUNCTION("""COMPUTED_VALUE"""),-0.19999999999998863)</f>
        <v>-0.2</v>
      </c>
      <c r="B794" s="3">
        <f>IFERROR(__xludf.DUMMYFUNCTION("""COMPUTED_VALUE"""),-0.19999999999998863)</f>
        <v>-0.2</v>
      </c>
      <c r="C794" s="3">
        <f>IFERROR(__xludf.DUMMYFUNCTION("""COMPUTED_VALUE"""),0.10000000000002274)</f>
        <v>0.1</v>
      </c>
    </row>
    <row r="795">
      <c r="A795" s="3">
        <f>IFERROR(__xludf.DUMMYFUNCTION("""COMPUTED_VALUE"""),0.0)</f>
        <v>0</v>
      </c>
      <c r="B795" s="3">
        <f>IFERROR(__xludf.DUMMYFUNCTION("""COMPUTED_VALUE"""),0.0)</f>
        <v>0</v>
      </c>
      <c r="C795" s="3">
        <f>IFERROR(__xludf.DUMMYFUNCTION("""COMPUTED_VALUE"""),0.18999999999999773)</f>
        <v>0.19</v>
      </c>
    </row>
    <row r="796">
      <c r="A796" s="3">
        <f>IFERROR(__xludf.DUMMYFUNCTION("""COMPUTED_VALUE"""),-0.0999999999999659)</f>
        <v>-0.1</v>
      </c>
      <c r="B796" s="3">
        <f>IFERROR(__xludf.DUMMYFUNCTION("""COMPUTED_VALUE"""),0.0)</f>
        <v>0</v>
      </c>
      <c r="C796" s="3">
        <f>IFERROR(__xludf.DUMMYFUNCTION("""COMPUTED_VALUE"""),0.0)</f>
        <v>0</v>
      </c>
    </row>
    <row r="797">
      <c r="A797" s="3">
        <f>IFERROR(__xludf.DUMMYFUNCTION("""COMPUTED_VALUE"""),0.18999999999999773)</f>
        <v>0.19</v>
      </c>
      <c r="B797" s="3">
        <f>IFERROR(__xludf.DUMMYFUNCTION("""COMPUTED_VALUE"""),0.0)</f>
        <v>0</v>
      </c>
      <c r="C797" s="3">
        <f>IFERROR(__xludf.DUMMYFUNCTION("""COMPUTED_VALUE"""),0.20999999999997954)</f>
        <v>0.21</v>
      </c>
    </row>
    <row r="798">
      <c r="A798" s="3">
        <f>IFERROR(__xludf.DUMMYFUNCTION("""COMPUTED_VALUE"""),1.0)</f>
        <v>1</v>
      </c>
      <c r="B798" s="3">
        <f>IFERROR(__xludf.DUMMYFUNCTION("""COMPUTED_VALUE"""),0.09000000000003183)</f>
        <v>0.09</v>
      </c>
      <c r="C798" s="3">
        <f>IFERROR(__xludf.DUMMYFUNCTION("""COMPUTED_VALUE"""),0.10000000000002274)</f>
        <v>0.1</v>
      </c>
    </row>
    <row r="799">
      <c r="A799" s="3">
        <f>IFERROR(__xludf.DUMMYFUNCTION("""COMPUTED_VALUE"""),-0.3900000000000432)</f>
        <v>-0.39</v>
      </c>
      <c r="B799" s="3">
        <f>IFERROR(__xludf.DUMMYFUNCTION("""COMPUTED_VALUE"""),0.1099999999999568)</f>
        <v>0.11</v>
      </c>
      <c r="C799" s="3">
        <f>IFERROR(__xludf.DUMMYFUNCTION("""COMPUTED_VALUE"""),0.0)</f>
        <v>0</v>
      </c>
    </row>
    <row r="800">
      <c r="A800" s="3">
        <f>IFERROR(__xludf.DUMMYFUNCTION("""COMPUTED_VALUE"""),-0.6099999999999568)</f>
        <v>-0.61</v>
      </c>
      <c r="B800" s="3">
        <f>IFERROR(__xludf.DUMMYFUNCTION("""COMPUTED_VALUE"""),0.0)</f>
        <v>0</v>
      </c>
      <c r="C800" s="3">
        <f>IFERROR(__xludf.DUMMYFUNCTION("""COMPUTED_VALUE"""),0.0999999999999659)</f>
        <v>0.1</v>
      </c>
    </row>
    <row r="801">
      <c r="A801" s="3">
        <f>IFERROR(__xludf.DUMMYFUNCTION("""COMPUTED_VALUE"""),-0.09000000000003183)</f>
        <v>-0.09</v>
      </c>
      <c r="B801" s="3">
        <f>IFERROR(__xludf.DUMMYFUNCTION("""COMPUTED_VALUE"""),-0.39999999999997726)</f>
        <v>-0.4</v>
      </c>
      <c r="C801" s="3">
        <f>IFERROR(__xludf.DUMMYFUNCTION("""COMPUTED_VALUE"""),0.09000000000003183)</f>
        <v>0.09</v>
      </c>
    </row>
    <row r="802">
      <c r="A802" s="3">
        <f>IFERROR(__xludf.DUMMYFUNCTION("""COMPUTED_VALUE"""),-0.0999999999999659)</f>
        <v>-0.1</v>
      </c>
      <c r="B802" s="3">
        <f>IFERROR(__xludf.DUMMYFUNCTION("""COMPUTED_VALUE"""),0.10000000000002274)</f>
        <v>0.1</v>
      </c>
      <c r="C802" s="3">
        <f>IFERROR(__xludf.DUMMYFUNCTION("""COMPUTED_VALUE"""),0.1099999999999568)</f>
        <v>0.11</v>
      </c>
    </row>
    <row r="803">
      <c r="A803" s="3">
        <f>IFERROR(__xludf.DUMMYFUNCTION("""COMPUTED_VALUE"""),0.0)</f>
        <v>0</v>
      </c>
      <c r="B803" s="3">
        <f>IFERROR(__xludf.DUMMYFUNCTION("""COMPUTED_VALUE"""),0.0999999999999659)</f>
        <v>0.1</v>
      </c>
      <c r="C803" s="3">
        <f>IFERROR(__xludf.DUMMYFUNCTION("""COMPUTED_VALUE"""),0.0)</f>
        <v>0</v>
      </c>
    </row>
    <row r="804">
      <c r="A804" s="3">
        <f>IFERROR(__xludf.DUMMYFUNCTION("""COMPUTED_VALUE"""),0.0999999999999659)</f>
        <v>0.1</v>
      </c>
      <c r="B804" s="3">
        <f>IFERROR(__xludf.DUMMYFUNCTION("""COMPUTED_VALUE"""),0.0)</f>
        <v>0</v>
      </c>
      <c r="C804" s="3">
        <f>IFERROR(__xludf.DUMMYFUNCTION("""COMPUTED_VALUE"""),-0.1099999999999568)</f>
        <v>-0.11</v>
      </c>
    </row>
    <row r="805">
      <c r="A805" s="3">
        <f>IFERROR(__xludf.DUMMYFUNCTION("""COMPUTED_VALUE"""),0.0)</f>
        <v>0</v>
      </c>
      <c r="B805" s="3">
        <f>IFERROR(__xludf.DUMMYFUNCTION("""COMPUTED_VALUE"""),0.0)</f>
        <v>0</v>
      </c>
      <c r="C805" s="3">
        <f>IFERROR(__xludf.DUMMYFUNCTION("""COMPUTED_VALUE"""),-0.09000000000003183)</f>
        <v>-0.09</v>
      </c>
    </row>
    <row r="806">
      <c r="A806" s="3">
        <f>IFERROR(__xludf.DUMMYFUNCTION("""COMPUTED_VALUE"""),0.09000000000003183)</f>
        <v>0.09</v>
      </c>
      <c r="B806" s="3">
        <f>IFERROR(__xludf.DUMMYFUNCTION("""COMPUTED_VALUE"""),0.0)</f>
        <v>0</v>
      </c>
      <c r="C806" s="3">
        <f>IFERROR(__xludf.DUMMYFUNCTION("""COMPUTED_VALUE"""),0.0)</f>
        <v>0</v>
      </c>
    </row>
    <row r="807">
      <c r="A807" s="3">
        <f>IFERROR(__xludf.DUMMYFUNCTION("""COMPUTED_VALUE"""),-0.09000000000003183)</f>
        <v>-0.09</v>
      </c>
      <c r="B807" s="3">
        <f>IFERROR(__xludf.DUMMYFUNCTION("""COMPUTED_VALUE"""),0.0)</f>
        <v>0</v>
      </c>
      <c r="C807" s="3">
        <f>IFERROR(__xludf.DUMMYFUNCTION("""COMPUTED_VALUE"""),0.0)</f>
        <v>0</v>
      </c>
    </row>
    <row r="808">
      <c r="A808" s="3">
        <f>IFERROR(__xludf.DUMMYFUNCTION("""COMPUTED_VALUE"""),0.09000000000003183)</f>
        <v>0.09</v>
      </c>
      <c r="B808" s="3">
        <f>IFERROR(__xludf.DUMMYFUNCTION("""COMPUTED_VALUE"""),-0.19999999999998863)</f>
        <v>-0.2</v>
      </c>
      <c r="C808" s="3">
        <f>IFERROR(__xludf.DUMMYFUNCTION("""COMPUTED_VALUE"""),0.0)</f>
        <v>0</v>
      </c>
    </row>
    <row r="809">
      <c r="A809" s="3">
        <f>IFERROR(__xludf.DUMMYFUNCTION("""COMPUTED_VALUE"""),-0.09000000000003183)</f>
        <v>-0.09</v>
      </c>
      <c r="B809" s="3">
        <f>IFERROR(__xludf.DUMMYFUNCTION("""COMPUTED_VALUE"""),0.0)</f>
        <v>0</v>
      </c>
      <c r="C809" s="3">
        <f>IFERROR(__xludf.DUMMYFUNCTION("""COMPUTED_VALUE"""),-0.0999999999999659)</f>
        <v>-0.1</v>
      </c>
    </row>
    <row r="810">
      <c r="A810" s="3">
        <f>IFERROR(__xludf.DUMMYFUNCTION("""COMPUTED_VALUE"""),0.0)</f>
        <v>0</v>
      </c>
      <c r="B810" s="3">
        <f>IFERROR(__xludf.DUMMYFUNCTION("""COMPUTED_VALUE"""),0.19999999999998863)</f>
        <v>0.2</v>
      </c>
      <c r="C810" s="3">
        <f>IFERROR(__xludf.DUMMYFUNCTION("""COMPUTED_VALUE"""),0.0)</f>
        <v>0</v>
      </c>
    </row>
    <row r="811">
      <c r="A811" s="3">
        <f>IFERROR(__xludf.DUMMYFUNCTION("""COMPUTED_VALUE"""),0.0)</f>
        <v>0</v>
      </c>
      <c r="B811" s="3">
        <f>IFERROR(__xludf.DUMMYFUNCTION("""COMPUTED_VALUE"""),0.0)</f>
        <v>0</v>
      </c>
      <c r="C811" s="3">
        <f>IFERROR(__xludf.DUMMYFUNCTION("""COMPUTED_VALUE"""),0.0)</f>
        <v>0</v>
      </c>
    </row>
    <row r="812">
      <c r="A812" s="3">
        <f>IFERROR(__xludf.DUMMYFUNCTION("""COMPUTED_VALUE"""),-0.30000000000001137)</f>
        <v>-0.3</v>
      </c>
      <c r="B812" s="3">
        <f>IFERROR(__xludf.DUMMYFUNCTION("""COMPUTED_VALUE"""),0.0)</f>
        <v>0</v>
      </c>
      <c r="C812" s="3">
        <f>IFERROR(__xludf.DUMMYFUNCTION("""COMPUTED_VALUE"""),0.0)</f>
        <v>0</v>
      </c>
    </row>
    <row r="813">
      <c r="A813" s="3">
        <f>IFERROR(__xludf.DUMMYFUNCTION("""COMPUTED_VALUE"""),0.3900000000000432)</f>
        <v>0.39</v>
      </c>
      <c r="B813" s="3">
        <f>IFERROR(__xludf.DUMMYFUNCTION("""COMPUTED_VALUE"""),0.09000000000003183)</f>
        <v>0.09</v>
      </c>
      <c r="C813" s="3">
        <f>IFERROR(__xludf.DUMMYFUNCTION("""COMPUTED_VALUE"""),0.0)</f>
        <v>0</v>
      </c>
    </row>
    <row r="814">
      <c r="A814" s="3">
        <f>IFERROR(__xludf.DUMMYFUNCTION("""COMPUTED_VALUE"""),0.1099999999999568)</f>
        <v>0.11</v>
      </c>
      <c r="B814" s="3">
        <f>IFERROR(__xludf.DUMMYFUNCTION("""COMPUTED_VALUE"""),0.0)</f>
        <v>0</v>
      </c>
      <c r="C814" s="3">
        <f>IFERROR(__xludf.DUMMYFUNCTION("""COMPUTED_VALUE"""),0.0)</f>
        <v>0</v>
      </c>
    </row>
    <row r="815">
      <c r="A815" s="3">
        <f>IFERROR(__xludf.DUMMYFUNCTION("""COMPUTED_VALUE"""),0.0)</f>
        <v>0</v>
      </c>
      <c r="B815" s="3">
        <f>IFERROR(__xludf.DUMMYFUNCTION("""COMPUTED_VALUE"""),0.0)</f>
        <v>0</v>
      </c>
      <c r="C815" s="3">
        <f>IFERROR(__xludf.DUMMYFUNCTION("""COMPUTED_VALUE"""),-0.10000000000002274)</f>
        <v>-0.1</v>
      </c>
    </row>
    <row r="816">
      <c r="A816" s="3">
        <f>IFERROR(__xludf.DUMMYFUNCTION("""COMPUTED_VALUE"""),-0.1099999999999568)</f>
        <v>-0.11</v>
      </c>
      <c r="B816" s="3">
        <f>IFERROR(__xludf.DUMMYFUNCTION("""COMPUTED_VALUE"""),-0.09000000000003183)</f>
        <v>-0.09</v>
      </c>
      <c r="C816" s="3">
        <f>IFERROR(__xludf.DUMMYFUNCTION("""COMPUTED_VALUE"""),0.0)</f>
        <v>0</v>
      </c>
    </row>
    <row r="817">
      <c r="A817" s="3">
        <f>IFERROR(__xludf.DUMMYFUNCTION("""COMPUTED_VALUE"""),0.0)</f>
        <v>0</v>
      </c>
      <c r="B817" s="3">
        <f>IFERROR(__xludf.DUMMYFUNCTION("""COMPUTED_VALUE"""),0.0)</f>
        <v>0</v>
      </c>
      <c r="C817" s="3">
        <f>IFERROR(__xludf.DUMMYFUNCTION("""COMPUTED_VALUE"""),0.0)</f>
        <v>0</v>
      </c>
    </row>
    <row r="818">
      <c r="A818" s="3">
        <f>IFERROR(__xludf.DUMMYFUNCTION("""COMPUTED_VALUE"""),-0.09000000000003183)</f>
        <v>-0.09</v>
      </c>
      <c r="B818" s="3">
        <f>IFERROR(__xludf.DUMMYFUNCTION("""COMPUTED_VALUE"""),0.0)</f>
        <v>0</v>
      </c>
      <c r="C818" s="3">
        <f>IFERROR(__xludf.DUMMYFUNCTION("""COMPUTED_VALUE"""),-0.10000000000002274)</f>
        <v>-0.1</v>
      </c>
    </row>
    <row r="819">
      <c r="A819" s="3">
        <f>IFERROR(__xludf.DUMMYFUNCTION("""COMPUTED_VALUE"""),-0.8000000000000114)</f>
        <v>-0.8</v>
      </c>
      <c r="B819" s="3">
        <f>IFERROR(__xludf.DUMMYFUNCTION("""COMPUTED_VALUE"""),-0.8000000000000114)</f>
        <v>-0.8</v>
      </c>
      <c r="C819" s="3">
        <f>IFERROR(__xludf.DUMMYFUNCTION("""COMPUTED_VALUE"""),0.0)</f>
        <v>0</v>
      </c>
    </row>
    <row r="820">
      <c r="A820" s="3">
        <f>IFERROR(__xludf.DUMMYFUNCTION("""COMPUTED_VALUE"""),0.30000000000001137)</f>
        <v>0.3</v>
      </c>
      <c r="B820" s="3">
        <f>IFERROR(__xludf.DUMMYFUNCTION("""COMPUTED_VALUE"""),0.8000000000000114)</f>
        <v>0.8</v>
      </c>
      <c r="C820" s="3">
        <f>IFERROR(__xludf.DUMMYFUNCTION("""COMPUTED_VALUE"""),0.0)</f>
        <v>0</v>
      </c>
    </row>
    <row r="821">
      <c r="A821" s="3">
        <f>IFERROR(__xludf.DUMMYFUNCTION("""COMPUTED_VALUE"""),0.19999999999998863)</f>
        <v>0.2</v>
      </c>
      <c r="B821" s="3">
        <f>IFERROR(__xludf.DUMMYFUNCTION("""COMPUTED_VALUE"""),0.0)</f>
        <v>0</v>
      </c>
      <c r="C821" s="3">
        <f>IFERROR(__xludf.DUMMYFUNCTION("""COMPUTED_VALUE"""),0.10000000000002274)</f>
        <v>0.1</v>
      </c>
    </row>
    <row r="822">
      <c r="A822" s="3">
        <f>IFERROR(__xludf.DUMMYFUNCTION("""COMPUTED_VALUE"""),0.10000000000002274)</f>
        <v>0.1</v>
      </c>
      <c r="B822" s="3">
        <f>IFERROR(__xludf.DUMMYFUNCTION("""COMPUTED_VALUE"""),0.09000000000003183)</f>
        <v>0.09</v>
      </c>
      <c r="C822" s="3">
        <f>IFERROR(__xludf.DUMMYFUNCTION("""COMPUTED_VALUE"""),0.10000000000002274)</f>
        <v>0.1</v>
      </c>
    </row>
    <row r="823">
      <c r="A823" s="3">
        <f>IFERROR(__xludf.DUMMYFUNCTION("""COMPUTED_VALUE"""),0.10000000000002274)</f>
        <v>0.1</v>
      </c>
      <c r="B823" s="3">
        <f>IFERROR(__xludf.DUMMYFUNCTION("""COMPUTED_VALUE"""),0.0)</f>
        <v>0</v>
      </c>
      <c r="C823" s="3">
        <f>IFERROR(__xludf.DUMMYFUNCTION("""COMPUTED_VALUE"""),0.0999999999999659)</f>
        <v>0.1</v>
      </c>
    </row>
    <row r="824">
      <c r="A824" s="3">
        <f>IFERROR(__xludf.DUMMYFUNCTION("""COMPUTED_VALUE"""),0.0999999999999659)</f>
        <v>0.1</v>
      </c>
      <c r="B824" s="3">
        <f>IFERROR(__xludf.DUMMYFUNCTION("""COMPUTED_VALUE"""),-0.09000000000003183)</f>
        <v>-0.09</v>
      </c>
      <c r="C824" s="3">
        <f>IFERROR(__xludf.DUMMYFUNCTION("""COMPUTED_VALUE"""),0.0)</f>
        <v>0</v>
      </c>
    </row>
    <row r="825">
      <c r="A825" s="3">
        <f>IFERROR(__xludf.DUMMYFUNCTION("""COMPUTED_VALUE"""),-0.30000000000001137)</f>
        <v>-0.3</v>
      </c>
      <c r="B825" s="3">
        <f>IFERROR(__xludf.DUMMYFUNCTION("""COMPUTED_VALUE"""),0.0)</f>
        <v>0</v>
      </c>
      <c r="C825" s="3">
        <f>IFERROR(__xludf.DUMMYFUNCTION("""COMPUTED_VALUE"""),0.0)</f>
        <v>0</v>
      </c>
    </row>
    <row r="826">
      <c r="A826" s="3">
        <f>IFERROR(__xludf.DUMMYFUNCTION("""COMPUTED_VALUE"""),1.0)</f>
        <v>1</v>
      </c>
      <c r="B826" s="3">
        <f>IFERROR(__xludf.DUMMYFUNCTION("""COMPUTED_VALUE"""),0.0)</f>
        <v>0</v>
      </c>
      <c r="C826" s="3">
        <f>IFERROR(__xludf.DUMMYFUNCTION("""COMPUTED_VALUE"""),0.0)</f>
        <v>0</v>
      </c>
    </row>
    <row r="827">
      <c r="A827" s="3">
        <f>IFERROR(__xludf.DUMMYFUNCTION("""COMPUTED_VALUE"""),2.0)</f>
        <v>2</v>
      </c>
      <c r="B827" s="3">
        <f>IFERROR(__xludf.DUMMYFUNCTION("""COMPUTED_VALUE"""),-0.19999999999998863)</f>
        <v>-0.2</v>
      </c>
      <c r="C827" s="3">
        <f>IFERROR(__xludf.DUMMYFUNCTION("""COMPUTED_VALUE"""),0.0)</f>
        <v>0</v>
      </c>
    </row>
    <row r="828">
      <c r="A828" s="3">
        <f>IFERROR(__xludf.DUMMYFUNCTION("""COMPUTED_VALUE"""),1.3900000000000432)</f>
        <v>1.39</v>
      </c>
      <c r="B828" s="3">
        <f>IFERROR(__xludf.DUMMYFUNCTION("""COMPUTED_VALUE"""),0.10000000000002274)</f>
        <v>0.1</v>
      </c>
      <c r="C828" s="3">
        <f>IFERROR(__xludf.DUMMYFUNCTION("""COMPUTED_VALUE"""),0.0)</f>
        <v>0</v>
      </c>
    </row>
    <row r="829">
      <c r="A829" s="3">
        <f>IFERROR(__xludf.DUMMYFUNCTION("""COMPUTED_VALUE"""),1.2099999999999795)</f>
        <v>1.21</v>
      </c>
      <c r="B829" s="3">
        <f>IFERROR(__xludf.DUMMYFUNCTION("""COMPUTED_VALUE"""),0.0999999999999659)</f>
        <v>0.1</v>
      </c>
      <c r="C829" s="3">
        <f>IFERROR(__xludf.DUMMYFUNCTION("""COMPUTED_VALUE"""),0.0)</f>
        <v>0</v>
      </c>
    </row>
    <row r="830">
      <c r="A830" s="3">
        <f>IFERROR(__xludf.DUMMYFUNCTION("""COMPUTED_VALUE"""),1.2900000000000205)</f>
        <v>1.29</v>
      </c>
      <c r="B830" s="3">
        <f>IFERROR(__xludf.DUMMYFUNCTION("""COMPUTED_VALUE"""),0.0)</f>
        <v>0</v>
      </c>
      <c r="C830" s="3">
        <f>IFERROR(__xludf.DUMMYFUNCTION("""COMPUTED_VALUE"""),0.0)</f>
        <v>0</v>
      </c>
    </row>
    <row r="831">
      <c r="A831" s="3">
        <f>IFERROR(__xludf.DUMMYFUNCTION("""COMPUTED_VALUE"""),1.1099999999999568)</f>
        <v>1.11</v>
      </c>
      <c r="B831" s="3">
        <f>IFERROR(__xludf.DUMMYFUNCTION("""COMPUTED_VALUE"""),-0.0999999999999659)</f>
        <v>-0.1</v>
      </c>
      <c r="C831" s="3">
        <f>IFERROR(__xludf.DUMMYFUNCTION("""COMPUTED_VALUE"""),-0.0999999999999659)</f>
        <v>-0.1</v>
      </c>
    </row>
    <row r="832">
      <c r="A832" s="3">
        <f>IFERROR(__xludf.DUMMYFUNCTION("""COMPUTED_VALUE"""),4.600000000000023)</f>
        <v>4.6</v>
      </c>
      <c r="B832" s="3">
        <f>IFERROR(__xludf.DUMMYFUNCTION("""COMPUTED_VALUE"""),0.0)</f>
        <v>0</v>
      </c>
      <c r="C832" s="3">
        <f>IFERROR(__xludf.DUMMYFUNCTION("""COMPUTED_VALUE"""),0.0)</f>
        <v>0</v>
      </c>
    </row>
    <row r="833">
      <c r="A833" s="3">
        <f>IFERROR(__xludf.DUMMYFUNCTION("""COMPUTED_VALUE"""),-0.39999999999997726)</f>
        <v>-0.4</v>
      </c>
      <c r="B833" s="3">
        <f>IFERROR(__xludf.DUMMYFUNCTION("""COMPUTED_VALUE"""),-0.10000000000002274)</f>
        <v>-0.1</v>
      </c>
      <c r="C833" s="3">
        <f>IFERROR(__xludf.DUMMYFUNCTION("""COMPUTED_VALUE"""),0.0)</f>
        <v>0</v>
      </c>
    </row>
    <row r="834">
      <c r="A834" s="3">
        <f>IFERROR(__xludf.DUMMYFUNCTION("""COMPUTED_VALUE"""),0.39999999999997726)</f>
        <v>0.4</v>
      </c>
      <c r="B834" s="3">
        <f>IFERROR(__xludf.DUMMYFUNCTION("""COMPUTED_VALUE"""),-0.10000000000002274)</f>
        <v>-0.1</v>
      </c>
      <c r="C834" s="3">
        <f>IFERROR(__xludf.DUMMYFUNCTION("""COMPUTED_VALUE"""),0.0)</f>
        <v>0</v>
      </c>
    </row>
    <row r="835">
      <c r="A835" s="3">
        <f>IFERROR(__xludf.DUMMYFUNCTION("""COMPUTED_VALUE"""),1.0)</f>
        <v>1</v>
      </c>
      <c r="B835" s="3">
        <f>IFERROR(__xludf.DUMMYFUNCTION("""COMPUTED_VALUE"""),0.0)</f>
        <v>0</v>
      </c>
      <c r="C835" s="3">
        <f>IFERROR(__xludf.DUMMYFUNCTION("""COMPUTED_VALUE"""),0.0)</f>
        <v>0</v>
      </c>
    </row>
    <row r="836">
      <c r="A836" s="3">
        <f>IFERROR(__xludf.DUMMYFUNCTION("""COMPUTED_VALUE"""),2.0)</f>
        <v>2</v>
      </c>
      <c r="B836" s="3">
        <f>IFERROR(__xludf.DUMMYFUNCTION("""COMPUTED_VALUE"""),0.0)</f>
        <v>0</v>
      </c>
      <c r="C836" s="3">
        <f>IFERROR(__xludf.DUMMYFUNCTION("""COMPUTED_VALUE"""),0.0)</f>
        <v>0</v>
      </c>
    </row>
    <row r="837">
      <c r="A837" s="3">
        <f>IFERROR(__xludf.DUMMYFUNCTION("""COMPUTED_VALUE"""),0.6000000000000227)</f>
        <v>0.6</v>
      </c>
      <c r="B837" s="3">
        <f>IFERROR(__xludf.DUMMYFUNCTION("""COMPUTED_VALUE"""),0.0)</f>
        <v>0</v>
      </c>
      <c r="C837" s="3">
        <f>IFERROR(__xludf.DUMMYFUNCTION("""COMPUTED_VALUE"""),0.0)</f>
        <v>0</v>
      </c>
    </row>
    <row r="838">
      <c r="A838" s="3">
        <f>IFERROR(__xludf.DUMMYFUNCTION("""COMPUTED_VALUE"""),4.099999999999966)</f>
        <v>4.1</v>
      </c>
      <c r="B838" s="3">
        <f>IFERROR(__xludf.DUMMYFUNCTION("""COMPUTED_VALUE"""),-0.1099999999999568)</f>
        <v>-0.11</v>
      </c>
      <c r="C838" s="3">
        <f>IFERROR(__xludf.DUMMYFUNCTION("""COMPUTED_VALUE"""),0.0)</f>
        <v>0</v>
      </c>
    </row>
    <row r="839">
      <c r="A839" s="3">
        <f>IFERROR(__xludf.DUMMYFUNCTION("""COMPUTED_VALUE"""),1.1999999999999886)</f>
        <v>1.2</v>
      </c>
      <c r="B839" s="3">
        <f>IFERROR(__xludf.DUMMYFUNCTION("""COMPUTED_VALUE"""),0.3100000000000023)</f>
        <v>0.31</v>
      </c>
      <c r="C839" s="3">
        <f>IFERROR(__xludf.DUMMYFUNCTION("""COMPUTED_VALUE"""),0.0)</f>
        <v>0</v>
      </c>
    </row>
    <row r="840">
      <c r="A840" s="3">
        <f>IFERROR(__xludf.DUMMYFUNCTION("""COMPUTED_VALUE"""),4.2000000000000455)</f>
        <v>4.2</v>
      </c>
      <c r="B840" s="3">
        <f>IFERROR(__xludf.DUMMYFUNCTION("""COMPUTED_VALUE"""),1.2999999999999545)</f>
        <v>1.3</v>
      </c>
      <c r="C840" s="3">
        <f>IFERROR(__xludf.DUMMYFUNCTION("""COMPUTED_VALUE"""),0.0)</f>
        <v>0</v>
      </c>
    </row>
    <row r="841">
      <c r="A841" s="3">
        <f>IFERROR(__xludf.DUMMYFUNCTION("""COMPUTED_VALUE"""),-2.400000000000034)</f>
        <v>-2.4</v>
      </c>
      <c r="B841" s="3">
        <f>IFERROR(__xludf.DUMMYFUNCTION("""COMPUTED_VALUE"""),1.2000000000000455)</f>
        <v>1.2</v>
      </c>
      <c r="C841" s="3">
        <f>IFERROR(__xludf.DUMMYFUNCTION("""COMPUTED_VALUE"""),0.0999999999999659)</f>
        <v>0.1</v>
      </c>
    </row>
    <row r="842">
      <c r="A842" s="3">
        <f>IFERROR(__xludf.DUMMYFUNCTION("""COMPUTED_VALUE"""),0.5900000000000318)</f>
        <v>0.59</v>
      </c>
      <c r="B842" s="3">
        <f>IFERROR(__xludf.DUMMYFUNCTION("""COMPUTED_VALUE"""),1.099999999999966)</f>
        <v>1.1</v>
      </c>
      <c r="C842" s="3">
        <f>IFERROR(__xludf.DUMMYFUNCTION("""COMPUTED_VALUE"""),0.0)</f>
        <v>0</v>
      </c>
    </row>
    <row r="843">
      <c r="A843" s="3">
        <f>IFERROR(__xludf.DUMMYFUNCTION("""COMPUTED_VALUE"""),0.9099999999999682)</f>
        <v>0.91</v>
      </c>
      <c r="B843" s="3">
        <f>IFERROR(__xludf.DUMMYFUNCTION("""COMPUTED_VALUE"""),1.0)</f>
        <v>1</v>
      </c>
      <c r="C843" s="3">
        <f>IFERROR(__xludf.DUMMYFUNCTION("""COMPUTED_VALUE"""),-0.0999999999999659)</f>
        <v>-0.1</v>
      </c>
    </row>
    <row r="844">
      <c r="A844" s="3">
        <f>IFERROR(__xludf.DUMMYFUNCTION("""COMPUTED_VALUE"""),1.1999999999999886)</f>
        <v>1.2</v>
      </c>
      <c r="B844" s="3">
        <f>IFERROR(__xludf.DUMMYFUNCTION("""COMPUTED_VALUE"""),2.0)</f>
        <v>2</v>
      </c>
      <c r="C844" s="3">
        <f>IFERROR(__xludf.DUMMYFUNCTION("""COMPUTED_VALUE"""),0.0)</f>
        <v>0</v>
      </c>
    </row>
    <row r="845">
      <c r="A845" s="3">
        <f>IFERROR(__xludf.DUMMYFUNCTION("""COMPUTED_VALUE"""),1.1000000000000227)</f>
        <v>1.1</v>
      </c>
      <c r="B845" s="3">
        <f>IFERROR(__xludf.DUMMYFUNCTION("""COMPUTED_VALUE"""),2.3000000000000114)</f>
        <v>2.3</v>
      </c>
      <c r="C845" s="3">
        <f>IFERROR(__xludf.DUMMYFUNCTION("""COMPUTED_VALUE"""),0.0)</f>
        <v>0</v>
      </c>
    </row>
    <row r="846">
      <c r="A846" s="3">
        <f>IFERROR(__xludf.DUMMYFUNCTION("""COMPUTED_VALUE"""),1.1000000000000227)</f>
        <v>1.1</v>
      </c>
      <c r="B846" s="3">
        <f>IFERROR(__xludf.DUMMYFUNCTION("""COMPUTED_VALUE"""),-0.5)</f>
        <v>-0.5</v>
      </c>
      <c r="C846" s="3">
        <f>IFERROR(__xludf.DUMMYFUNCTION("""COMPUTED_VALUE"""),0.0)</f>
        <v>0</v>
      </c>
    </row>
    <row r="847">
      <c r="A847" s="3">
        <f>IFERROR(__xludf.DUMMYFUNCTION("""COMPUTED_VALUE"""),1.7999999999999545)</f>
        <v>1.8</v>
      </c>
      <c r="B847" s="3">
        <f>IFERROR(__xludf.DUMMYFUNCTION("""COMPUTED_VALUE"""),0.19999999999998863)</f>
        <v>0.2</v>
      </c>
      <c r="C847" s="3">
        <f>IFERROR(__xludf.DUMMYFUNCTION("""COMPUTED_VALUE"""),0.0999999999999659)</f>
        <v>0.1</v>
      </c>
    </row>
    <row r="848">
      <c r="A848" s="3">
        <f>IFERROR(__xludf.DUMMYFUNCTION("""COMPUTED_VALUE"""),5.300000000000011)</f>
        <v>5.3</v>
      </c>
      <c r="B848" s="3">
        <f>IFERROR(__xludf.DUMMYFUNCTION("""COMPUTED_VALUE"""),0.19999999999998863)</f>
        <v>0.2</v>
      </c>
      <c r="C848" s="3">
        <f>IFERROR(__xludf.DUMMYFUNCTION("""COMPUTED_VALUE"""),0.09000000000003183)</f>
        <v>0.09</v>
      </c>
    </row>
    <row r="849">
      <c r="A849" s="3">
        <f>IFERROR(__xludf.DUMMYFUNCTION("""COMPUTED_VALUE"""),-2.099999999999966)</f>
        <v>-2.1</v>
      </c>
      <c r="B849" s="3">
        <f>IFERROR(__xludf.DUMMYFUNCTION("""COMPUTED_VALUE"""),2.8000000000000114)</f>
        <v>2.8</v>
      </c>
      <c r="C849" s="3">
        <f>IFERROR(__xludf.DUMMYFUNCTION("""COMPUTED_VALUE"""),0.0)</f>
        <v>0</v>
      </c>
    </row>
    <row r="850">
      <c r="A850" s="3">
        <f>IFERROR(__xludf.DUMMYFUNCTION("""COMPUTED_VALUE"""),0.6899999999999977)</f>
        <v>0.69</v>
      </c>
      <c r="B850" s="3">
        <f>IFERROR(__xludf.DUMMYFUNCTION("""COMPUTED_VALUE"""),0.6999999999999886)</f>
        <v>0.7</v>
      </c>
      <c r="C850" s="3">
        <f>IFERROR(__xludf.DUMMYFUNCTION("""COMPUTED_VALUE"""),0.0)</f>
        <v>0</v>
      </c>
    </row>
    <row r="851">
      <c r="A851" s="3">
        <f>IFERROR(__xludf.DUMMYFUNCTION("""COMPUTED_VALUE"""),5.109999999999957)</f>
        <v>5.11</v>
      </c>
      <c r="B851" s="3">
        <f>IFERROR(__xludf.DUMMYFUNCTION("""COMPUTED_VALUE"""),0.6000000000000227)</f>
        <v>0.6</v>
      </c>
      <c r="C851" s="3">
        <f>IFERROR(__xludf.DUMMYFUNCTION("""COMPUTED_VALUE"""),-0.09000000000003183)</f>
        <v>-0.09</v>
      </c>
    </row>
    <row r="852">
      <c r="A852" s="3">
        <f>IFERROR(__xludf.DUMMYFUNCTION("""COMPUTED_VALUE"""),-1.6099999999999568)</f>
        <v>-1.61</v>
      </c>
      <c r="B852" s="3">
        <f>IFERROR(__xludf.DUMMYFUNCTION("""COMPUTED_VALUE"""),0.8999999999999773)</f>
        <v>0.9</v>
      </c>
      <c r="C852" s="3">
        <f>IFERROR(__xludf.DUMMYFUNCTION("""COMPUTED_VALUE"""),0.0)</f>
        <v>0</v>
      </c>
    </row>
    <row r="853">
      <c r="A853" s="3">
        <f>IFERROR(__xludf.DUMMYFUNCTION("""COMPUTED_VALUE"""),0.1099999999999568)</f>
        <v>0.11</v>
      </c>
      <c r="B853" s="3">
        <f>IFERROR(__xludf.DUMMYFUNCTION("""COMPUTED_VALUE"""),1.1000000000000227)</f>
        <v>1.1</v>
      </c>
      <c r="C853" s="3">
        <f>IFERROR(__xludf.DUMMYFUNCTION("""COMPUTED_VALUE"""),0.0)</f>
        <v>0</v>
      </c>
    </row>
    <row r="854">
      <c r="A854" s="3">
        <f>IFERROR(__xludf.DUMMYFUNCTION("""COMPUTED_VALUE"""),0.30000000000001137)</f>
        <v>0.3</v>
      </c>
      <c r="B854" s="3">
        <f>IFERROR(__xludf.DUMMYFUNCTION("""COMPUTED_VALUE"""),1.1999999999999886)</f>
        <v>1.2</v>
      </c>
      <c r="C854" s="3">
        <f>IFERROR(__xludf.DUMMYFUNCTION("""COMPUTED_VALUE"""),-0.0999999999999659)</f>
        <v>-0.1</v>
      </c>
    </row>
    <row r="855">
      <c r="A855" s="3">
        <f>IFERROR(__xludf.DUMMYFUNCTION("""COMPUTED_VALUE"""),0.4000000000000341)</f>
        <v>0.4</v>
      </c>
      <c r="B855" s="3">
        <f>IFERROR(__xludf.DUMMYFUNCTION("""COMPUTED_VALUE"""),3.090000000000032)</f>
        <v>3.09</v>
      </c>
      <c r="C855" s="3">
        <f>IFERROR(__xludf.DUMMYFUNCTION("""COMPUTED_VALUE"""),0.0)</f>
        <v>0</v>
      </c>
    </row>
    <row r="856">
      <c r="A856" s="3">
        <f>IFERROR(__xludf.DUMMYFUNCTION("""COMPUTED_VALUE"""),0.6899999999999977)</f>
        <v>0.69</v>
      </c>
      <c r="B856" s="3">
        <f>IFERROR(__xludf.DUMMYFUNCTION("""COMPUTED_VALUE"""),1.0)</f>
        <v>1</v>
      </c>
      <c r="C856" s="3">
        <f>IFERROR(__xludf.DUMMYFUNCTION("""COMPUTED_VALUE"""),-0.10000000000002274)</f>
        <v>-0.1</v>
      </c>
    </row>
    <row r="857">
      <c r="A857" s="3">
        <f>IFERROR(__xludf.DUMMYFUNCTION("""COMPUTED_VALUE"""),1.4099999999999682)</f>
        <v>1.41</v>
      </c>
      <c r="B857" s="3">
        <f>IFERROR(__xludf.DUMMYFUNCTION("""COMPUTED_VALUE"""),0.1099999999999568)</f>
        <v>0.11</v>
      </c>
      <c r="C857" s="3">
        <f>IFERROR(__xludf.DUMMYFUNCTION("""COMPUTED_VALUE"""),0.0)</f>
        <v>0</v>
      </c>
    </row>
    <row r="858">
      <c r="A858" s="3">
        <f>IFERROR(__xludf.DUMMYFUNCTION("""COMPUTED_VALUE"""),0.9000000000000341)</f>
        <v>0.9</v>
      </c>
      <c r="B858" s="3">
        <f>IFERROR(__xludf.DUMMYFUNCTION("""COMPUTED_VALUE"""),2.6000000000000227)</f>
        <v>2.6</v>
      </c>
      <c r="C858" s="3">
        <f>IFERROR(__xludf.DUMMYFUNCTION("""COMPUTED_VALUE"""),0.0)</f>
        <v>0</v>
      </c>
    </row>
    <row r="859">
      <c r="A859" s="3">
        <f>IFERROR(__xludf.DUMMYFUNCTION("""COMPUTED_VALUE"""),1.3999999999999773)</f>
        <v>1.4</v>
      </c>
      <c r="B859" s="3">
        <f>IFERROR(__xludf.DUMMYFUNCTION("""COMPUTED_VALUE"""),1.1000000000000227)</f>
        <v>1.1</v>
      </c>
      <c r="C859" s="3">
        <f>IFERROR(__xludf.DUMMYFUNCTION("""COMPUTED_VALUE"""),0.0)</f>
        <v>0</v>
      </c>
    </row>
    <row r="860">
      <c r="A860" s="3">
        <f>IFERROR(__xludf.DUMMYFUNCTION("""COMPUTED_VALUE"""),0.39999999999997726)</f>
        <v>0.4</v>
      </c>
      <c r="B860" s="3">
        <f>IFERROR(__xludf.DUMMYFUNCTION("""COMPUTED_VALUE"""),2.1899999999999977)</f>
        <v>2.19</v>
      </c>
      <c r="C860" s="3">
        <f>IFERROR(__xludf.DUMMYFUNCTION("""COMPUTED_VALUE"""),0.0)</f>
        <v>0</v>
      </c>
    </row>
    <row r="861">
      <c r="A861" s="3">
        <f>IFERROR(__xludf.DUMMYFUNCTION("""COMPUTED_VALUE"""),0.7000000000000455)</f>
        <v>0.7</v>
      </c>
      <c r="B861" s="3">
        <f>IFERROR(__xludf.DUMMYFUNCTION("""COMPUTED_VALUE"""),0.3100000000000023)</f>
        <v>0.31</v>
      </c>
      <c r="C861" s="3">
        <f>IFERROR(__xludf.DUMMYFUNCTION("""COMPUTED_VALUE"""),0.10000000000002274)</f>
        <v>0.1</v>
      </c>
    </row>
    <row r="862">
      <c r="A862" s="3">
        <f>IFERROR(__xludf.DUMMYFUNCTION("""COMPUTED_VALUE"""),0.7999999999999545)</f>
        <v>0.8</v>
      </c>
      <c r="B862" s="3">
        <f>IFERROR(__xludf.DUMMYFUNCTION("""COMPUTED_VALUE"""),0.2999999999999545)</f>
        <v>0.3</v>
      </c>
      <c r="C862" s="3">
        <f>IFERROR(__xludf.DUMMYFUNCTION("""COMPUTED_VALUE"""),-0.10000000000002274)</f>
        <v>-0.1</v>
      </c>
    </row>
    <row r="863">
      <c r="A863" s="3">
        <f>IFERROR(__xludf.DUMMYFUNCTION("""COMPUTED_VALUE"""),0.5)</f>
        <v>0.5</v>
      </c>
      <c r="B863" s="3">
        <f>IFERROR(__xludf.DUMMYFUNCTION("""COMPUTED_VALUE"""),2.390000000000043)</f>
        <v>2.39</v>
      </c>
      <c r="C863" s="3">
        <f>IFERROR(__xludf.DUMMYFUNCTION("""COMPUTED_VALUE"""),0.10000000000002274)</f>
        <v>0.1</v>
      </c>
    </row>
    <row r="864">
      <c r="A864" s="3">
        <f>IFERROR(__xludf.DUMMYFUNCTION("""COMPUTED_VALUE"""),0.8000000000000114)</f>
        <v>0.8</v>
      </c>
      <c r="B864" s="3">
        <f>IFERROR(__xludf.DUMMYFUNCTION("""COMPUTED_VALUE"""),1.9099999999999682)</f>
        <v>1.91</v>
      </c>
      <c r="C864" s="3">
        <f>IFERROR(__xludf.DUMMYFUNCTION("""COMPUTED_VALUE"""),0.0)</f>
        <v>0</v>
      </c>
    </row>
    <row r="865">
      <c r="A865" s="3">
        <f>IFERROR(__xludf.DUMMYFUNCTION("""COMPUTED_VALUE"""),1.8000000000000114)</f>
        <v>1.8</v>
      </c>
      <c r="B865" s="3">
        <f>IFERROR(__xludf.DUMMYFUNCTION("""COMPUTED_VALUE"""),1.5900000000000318)</f>
        <v>1.59</v>
      </c>
      <c r="C865" s="3">
        <f>IFERROR(__xludf.DUMMYFUNCTION("""COMPUTED_VALUE"""),0.0)</f>
        <v>0</v>
      </c>
    </row>
    <row r="866">
      <c r="A866" s="3">
        <f>IFERROR(__xludf.DUMMYFUNCTION("""COMPUTED_VALUE"""),1.0)</f>
        <v>1</v>
      </c>
      <c r="B866" s="3">
        <f>IFERROR(__xludf.DUMMYFUNCTION("""COMPUTED_VALUE"""),-0.29000000000002046)</f>
        <v>-0.29</v>
      </c>
      <c r="C866" s="3">
        <f>IFERROR(__xludf.DUMMYFUNCTION("""COMPUTED_VALUE"""),0.0)</f>
        <v>0</v>
      </c>
    </row>
    <row r="867">
      <c r="A867" s="3">
        <f>IFERROR(__xludf.DUMMYFUNCTION("""COMPUTED_VALUE"""),0.10000000000002274)</f>
        <v>0.1</v>
      </c>
      <c r="B867" s="3">
        <f>IFERROR(__xludf.DUMMYFUNCTION("""COMPUTED_VALUE"""),0.39999999999997726)</f>
        <v>0.4</v>
      </c>
      <c r="C867" s="3">
        <f>IFERROR(__xludf.DUMMYFUNCTION("""COMPUTED_VALUE"""),0.0)</f>
        <v>0</v>
      </c>
    </row>
    <row r="868">
      <c r="A868" s="3">
        <f>IFERROR(__xludf.DUMMYFUNCTION("""COMPUTED_VALUE"""),0.18999999999999773)</f>
        <v>0.19</v>
      </c>
      <c r="B868" s="3">
        <f>IFERROR(__xludf.DUMMYFUNCTION("""COMPUTED_VALUE"""),0.6000000000000227)</f>
        <v>0.6</v>
      </c>
      <c r="C868" s="3">
        <f>IFERROR(__xludf.DUMMYFUNCTION("""COMPUTED_VALUE"""),-0.20000000000004547)</f>
        <v>-0.2</v>
      </c>
    </row>
    <row r="869">
      <c r="A869" s="3">
        <f>IFERROR(__xludf.DUMMYFUNCTION("""COMPUTED_VALUE"""),0.40999999999996817)</f>
        <v>0.41</v>
      </c>
      <c r="B869" s="3">
        <f>IFERROR(__xludf.DUMMYFUNCTION("""COMPUTED_VALUE"""),4.100000000000023)</f>
        <v>4.1</v>
      </c>
      <c r="C869" s="3">
        <f>IFERROR(__xludf.DUMMYFUNCTION("""COMPUTED_VALUE"""),0.0)</f>
        <v>0</v>
      </c>
    </row>
    <row r="870">
      <c r="A870" s="3">
        <f>IFERROR(__xludf.DUMMYFUNCTION("""COMPUTED_VALUE"""),0.8000000000000114)</f>
        <v>0.8</v>
      </c>
      <c r="B870" s="3">
        <f>IFERROR(__xludf.DUMMYFUNCTION("""COMPUTED_VALUE"""),1.3999999999999773)</f>
        <v>1.4</v>
      </c>
      <c r="C870" s="3">
        <f>IFERROR(__xludf.DUMMYFUNCTION("""COMPUTED_VALUE"""),0.10000000000002274)</f>
        <v>0.1</v>
      </c>
    </row>
    <row r="871">
      <c r="A871" s="3">
        <f>IFERROR(__xludf.DUMMYFUNCTION("""COMPUTED_VALUE"""),0.6000000000000227)</f>
        <v>0.6</v>
      </c>
      <c r="B871" s="3">
        <f>IFERROR(__xludf.DUMMYFUNCTION("""COMPUTED_VALUE"""),0.0)</f>
        <v>0</v>
      </c>
      <c r="C871" s="3">
        <f>IFERROR(__xludf.DUMMYFUNCTION("""COMPUTED_VALUE"""),0.10000000000002274)</f>
        <v>0.1</v>
      </c>
    </row>
    <row r="872">
      <c r="A872" s="3">
        <f>IFERROR(__xludf.DUMMYFUNCTION("""COMPUTED_VALUE"""),0.7999999999999545)</f>
        <v>0.8</v>
      </c>
      <c r="B872" s="3">
        <f>IFERROR(__xludf.DUMMYFUNCTION("""COMPUTED_VALUE"""),0.29000000000002046)</f>
        <v>0.29</v>
      </c>
      <c r="C872" s="3">
        <f>IFERROR(__xludf.DUMMYFUNCTION("""COMPUTED_VALUE"""),-0.10000000000002274)</f>
        <v>-0.1</v>
      </c>
    </row>
    <row r="873">
      <c r="A873" s="3">
        <f>IFERROR(__xludf.DUMMYFUNCTION("""COMPUTED_VALUE"""),0.30000000000001137)</f>
        <v>0.3</v>
      </c>
      <c r="B873" s="3">
        <f>IFERROR(__xludf.DUMMYFUNCTION("""COMPUTED_VALUE"""),0.6099999999999568)</f>
        <v>0.61</v>
      </c>
      <c r="C873" s="3">
        <f>IFERROR(__xludf.DUMMYFUNCTION("""COMPUTED_VALUE"""),-0.10000000000002274)</f>
        <v>-0.1</v>
      </c>
    </row>
    <row r="874">
      <c r="A874" s="3">
        <f>IFERROR(__xludf.DUMMYFUNCTION("""COMPUTED_VALUE"""),0.4000000000000341)</f>
        <v>0.4</v>
      </c>
      <c r="B874" s="3">
        <f>IFERROR(__xludf.DUMMYFUNCTION("""COMPUTED_VALUE"""),3.390000000000043)</f>
        <v>3.39</v>
      </c>
      <c r="C874" s="3">
        <f>IFERROR(__xludf.DUMMYFUNCTION("""COMPUTED_VALUE"""),0.0)</f>
        <v>0</v>
      </c>
    </row>
    <row r="875">
      <c r="A875" s="3">
        <f>IFERROR(__xludf.DUMMYFUNCTION("""COMPUTED_VALUE"""),0.2999999999999545)</f>
        <v>0.3</v>
      </c>
      <c r="B875" s="3">
        <f>IFERROR(__xludf.DUMMYFUNCTION("""COMPUTED_VALUE"""),0.20999999999997954)</f>
        <v>0.21</v>
      </c>
      <c r="C875" s="3">
        <f>IFERROR(__xludf.DUMMYFUNCTION("""COMPUTED_VALUE"""),0.20000000000004547)</f>
        <v>0.2</v>
      </c>
    </row>
    <row r="876">
      <c r="A876" s="3">
        <f>IFERROR(__xludf.DUMMYFUNCTION("""COMPUTED_VALUE"""),0.0)</f>
        <v>0</v>
      </c>
      <c r="B876" s="3">
        <f>IFERROR(__xludf.DUMMYFUNCTION("""COMPUTED_VALUE"""),0.39999999999997726)</f>
        <v>0.4</v>
      </c>
      <c r="C876" s="3">
        <f>IFERROR(__xludf.DUMMYFUNCTION("""COMPUTED_VALUE"""),0.0)</f>
        <v>0</v>
      </c>
    </row>
    <row r="877">
      <c r="A877" s="3">
        <f>IFERROR(__xludf.DUMMYFUNCTION("""COMPUTED_VALUE"""),0.20000000000004547)</f>
        <v>0.2</v>
      </c>
      <c r="B877" s="3">
        <f>IFERROR(__xludf.DUMMYFUNCTION("""COMPUTED_VALUE"""),1.3000000000000114)</f>
        <v>1.3</v>
      </c>
      <c r="C877" s="3">
        <f>IFERROR(__xludf.DUMMYFUNCTION("""COMPUTED_VALUE"""),0.0999999999999659)</f>
        <v>0.1</v>
      </c>
    </row>
    <row r="878">
      <c r="A878" s="3">
        <f>IFERROR(__xludf.DUMMYFUNCTION("""COMPUTED_VALUE"""),0.0)</f>
        <v>0</v>
      </c>
      <c r="B878" s="3">
        <f>IFERROR(__xludf.DUMMYFUNCTION("""COMPUTED_VALUE"""),1.0)</f>
        <v>1</v>
      </c>
      <c r="C878" s="3">
        <f>IFERROR(__xludf.DUMMYFUNCTION("""COMPUTED_VALUE"""),0.0)</f>
        <v>0</v>
      </c>
    </row>
    <row r="879">
      <c r="A879" s="3">
        <f>IFERROR(__xludf.DUMMYFUNCTION("""COMPUTED_VALUE"""),0.0)</f>
        <v>0</v>
      </c>
      <c r="B879" s="3">
        <f>IFERROR(__xludf.DUMMYFUNCTION("""COMPUTED_VALUE"""),1.1999999999999886)</f>
        <v>1.2</v>
      </c>
      <c r="C879" s="3">
        <f>IFERROR(__xludf.DUMMYFUNCTION("""COMPUTED_VALUE"""),0.0)</f>
        <v>0</v>
      </c>
    </row>
    <row r="880">
      <c r="A880" s="3">
        <f>IFERROR(__xludf.DUMMYFUNCTION("""COMPUTED_VALUE"""),-0.3100000000000023)</f>
        <v>-0.31</v>
      </c>
      <c r="B880" s="3">
        <f>IFERROR(__xludf.DUMMYFUNCTION("""COMPUTED_VALUE"""),1.1000000000000227)</f>
        <v>1.1</v>
      </c>
      <c r="C880" s="3">
        <f>IFERROR(__xludf.DUMMYFUNCTION("""COMPUTED_VALUE"""),0.0)</f>
        <v>0</v>
      </c>
    </row>
    <row r="881">
      <c r="A881" s="3">
        <f>IFERROR(__xludf.DUMMYFUNCTION("""COMPUTED_VALUE"""),0.6099999999999568)</f>
        <v>0.61</v>
      </c>
      <c r="B881" s="3">
        <f>IFERROR(__xludf.DUMMYFUNCTION("""COMPUTED_VALUE"""),3.8999999999999773)</f>
        <v>3.9</v>
      </c>
      <c r="C881" s="3">
        <f>IFERROR(__xludf.DUMMYFUNCTION("""COMPUTED_VALUE"""),0.0)</f>
        <v>0</v>
      </c>
    </row>
    <row r="882">
      <c r="A882" s="3">
        <f>IFERROR(__xludf.DUMMYFUNCTION("""COMPUTED_VALUE"""),0.5)</f>
        <v>0.5</v>
      </c>
      <c r="B882" s="3">
        <f>IFERROR(__xludf.DUMMYFUNCTION("""COMPUTED_VALUE"""),1.0)</f>
        <v>1</v>
      </c>
      <c r="C882" s="3">
        <f>IFERROR(__xludf.DUMMYFUNCTION("""COMPUTED_VALUE"""),-0.0999999999999659)</f>
        <v>-0.1</v>
      </c>
    </row>
    <row r="883">
      <c r="A883" s="3">
        <f>IFERROR(__xludf.DUMMYFUNCTION("""COMPUTED_VALUE"""),0.5)</f>
        <v>0.5</v>
      </c>
      <c r="B883" s="3">
        <f>IFERROR(__xludf.DUMMYFUNCTION("""COMPUTED_VALUE"""),0.20000000000004547)</f>
        <v>0.2</v>
      </c>
      <c r="C883" s="3">
        <f>IFERROR(__xludf.DUMMYFUNCTION("""COMPUTED_VALUE"""),0.0999999999999659)</f>
        <v>0.1</v>
      </c>
    </row>
    <row r="884">
      <c r="A884" s="3">
        <f>IFERROR(__xludf.DUMMYFUNCTION("""COMPUTED_VALUE"""),1.0)</f>
        <v>1</v>
      </c>
      <c r="B884" s="3">
        <f>IFERROR(__xludf.DUMMYFUNCTION("""COMPUTED_VALUE"""),0.19999999999998863)</f>
        <v>0.2</v>
      </c>
      <c r="C884" s="3">
        <f>IFERROR(__xludf.DUMMYFUNCTION("""COMPUTED_VALUE"""),0.0)</f>
        <v>0</v>
      </c>
    </row>
    <row r="885">
      <c r="A885" s="3">
        <f>IFERROR(__xludf.DUMMYFUNCTION("""COMPUTED_VALUE"""),0.8000000000000114)</f>
        <v>0.8</v>
      </c>
      <c r="B885" s="3">
        <f>IFERROR(__xludf.DUMMYFUNCTION("""COMPUTED_VALUE"""),0.8000000000000114)</f>
        <v>0.8</v>
      </c>
      <c r="C885" s="3">
        <f>IFERROR(__xludf.DUMMYFUNCTION("""COMPUTED_VALUE"""),0.0)</f>
        <v>0</v>
      </c>
    </row>
    <row r="886">
      <c r="A886" s="3">
        <f>IFERROR(__xludf.DUMMYFUNCTION("""COMPUTED_VALUE"""),0.5)</f>
        <v>0.5</v>
      </c>
      <c r="B886" s="3">
        <f>IFERROR(__xludf.DUMMYFUNCTION("""COMPUTED_VALUE"""),3.599999999999966)</f>
        <v>3.6</v>
      </c>
      <c r="C886" s="3">
        <f>IFERROR(__xludf.DUMMYFUNCTION("""COMPUTED_VALUE"""),-0.0999999999999659)</f>
        <v>-0.1</v>
      </c>
    </row>
    <row r="887">
      <c r="A887" s="3">
        <f>IFERROR(__xludf.DUMMYFUNCTION("""COMPUTED_VALUE"""),0.19999999999998863)</f>
        <v>0.2</v>
      </c>
      <c r="B887" s="3">
        <f>IFERROR(__xludf.DUMMYFUNCTION("""COMPUTED_VALUE"""),0.10000000000002274)</f>
        <v>0.1</v>
      </c>
      <c r="C887" s="3">
        <f>IFERROR(__xludf.DUMMYFUNCTION("""COMPUTED_VALUE"""),0.0)</f>
        <v>0</v>
      </c>
    </row>
    <row r="888">
      <c r="A888" s="3">
        <f>IFERROR(__xludf.DUMMYFUNCTION("""COMPUTED_VALUE"""),0.6000000000000227)</f>
        <v>0.6</v>
      </c>
      <c r="B888" s="3">
        <f>IFERROR(__xludf.DUMMYFUNCTION("""COMPUTED_VALUE"""),0.5)</f>
        <v>0.5</v>
      </c>
      <c r="C888" s="3">
        <f>IFERROR(__xludf.DUMMYFUNCTION("""COMPUTED_VALUE"""),0.0)</f>
        <v>0</v>
      </c>
    </row>
    <row r="889">
      <c r="A889" s="3">
        <f>IFERROR(__xludf.DUMMYFUNCTION("""COMPUTED_VALUE"""),0.8000000000000114)</f>
        <v>0.8</v>
      </c>
      <c r="B889" s="3">
        <f>IFERROR(__xludf.DUMMYFUNCTION("""COMPUTED_VALUE"""),0.8999999999999773)</f>
        <v>0.9</v>
      </c>
      <c r="C889" s="3">
        <f>IFERROR(__xludf.DUMMYFUNCTION("""COMPUTED_VALUE"""),0.0999999999999659)</f>
        <v>0.1</v>
      </c>
    </row>
    <row r="890">
      <c r="A890" s="3">
        <f>IFERROR(__xludf.DUMMYFUNCTION("""COMPUTED_VALUE"""),0.30000000000001137)</f>
        <v>0.3</v>
      </c>
      <c r="B890" s="3">
        <f>IFERROR(__xludf.DUMMYFUNCTION("""COMPUTED_VALUE"""),1.0)</f>
        <v>1</v>
      </c>
      <c r="C890" s="3">
        <f>IFERROR(__xludf.DUMMYFUNCTION("""COMPUTED_VALUE"""),0.0)</f>
        <v>0</v>
      </c>
    </row>
    <row r="891">
      <c r="A891" s="3">
        <f>IFERROR(__xludf.DUMMYFUNCTION("""COMPUTED_VALUE"""),0.6999999999999886)</f>
        <v>0.7</v>
      </c>
      <c r="B891" s="3">
        <f>IFERROR(__xludf.DUMMYFUNCTION("""COMPUTED_VALUE"""),1.3000000000000114)</f>
        <v>1.3</v>
      </c>
      <c r="C891" s="3">
        <f>IFERROR(__xludf.DUMMYFUNCTION("""COMPUTED_VALUE"""),0.0)</f>
        <v>0</v>
      </c>
    </row>
    <row r="892">
      <c r="A892" s="3">
        <f>IFERROR(__xludf.DUMMYFUNCTION("""COMPUTED_VALUE"""),0.5)</f>
        <v>0.5</v>
      </c>
      <c r="B892" s="3">
        <f>IFERROR(__xludf.DUMMYFUNCTION("""COMPUTED_VALUE"""),1.3000000000000114)</f>
        <v>1.3</v>
      </c>
      <c r="C892" s="3">
        <f>IFERROR(__xludf.DUMMYFUNCTION("""COMPUTED_VALUE"""),0.0)</f>
        <v>0</v>
      </c>
    </row>
    <row r="893">
      <c r="A893" s="3">
        <f>IFERROR(__xludf.DUMMYFUNCTION("""COMPUTED_VALUE"""),-0.10000000000002274)</f>
        <v>-0.1</v>
      </c>
      <c r="B893" s="3">
        <f>IFERROR(__xludf.DUMMYFUNCTION("""COMPUTED_VALUE"""),5.0)</f>
        <v>5</v>
      </c>
      <c r="C893" s="3">
        <f>IFERROR(__xludf.DUMMYFUNCTION("""COMPUTED_VALUE"""),0.0)</f>
        <v>0</v>
      </c>
    </row>
    <row r="894">
      <c r="A894" s="3">
        <f>IFERROR(__xludf.DUMMYFUNCTION("""COMPUTED_VALUE"""),0.19999999999998863)</f>
        <v>0.2</v>
      </c>
      <c r="B894" s="3">
        <f>IFERROR(__xludf.DUMMYFUNCTION("""COMPUTED_VALUE"""),-0.5)</f>
        <v>-0.5</v>
      </c>
      <c r="C894" s="3">
        <f>IFERROR(__xludf.DUMMYFUNCTION("""COMPUTED_VALUE"""),0.0)</f>
        <v>0</v>
      </c>
    </row>
    <row r="895">
      <c r="A895" s="3">
        <f>IFERROR(__xludf.DUMMYFUNCTION("""COMPUTED_VALUE"""),0.7000000000000455)</f>
        <v>0.7</v>
      </c>
      <c r="B895" s="3">
        <f>IFERROR(__xludf.DUMMYFUNCTION("""COMPUTED_VALUE"""),0.19999999999998863)</f>
        <v>0.2</v>
      </c>
      <c r="C895" s="3">
        <f>IFERROR(__xludf.DUMMYFUNCTION("""COMPUTED_VALUE"""),-0.0999999999999659)</f>
        <v>-0.1</v>
      </c>
    </row>
    <row r="896">
      <c r="A896" s="3">
        <f>IFERROR(__xludf.DUMMYFUNCTION("""COMPUTED_VALUE"""),1.6999999999999886)</f>
        <v>1.7</v>
      </c>
      <c r="B896" s="3">
        <f>IFERROR(__xludf.DUMMYFUNCTION("""COMPUTED_VALUE"""),0.0)</f>
        <v>0</v>
      </c>
      <c r="C896" s="3">
        <f>IFERROR(__xludf.DUMMYFUNCTION("""COMPUTED_VALUE"""),0.0)</f>
        <v>0</v>
      </c>
    </row>
    <row r="897">
      <c r="A897" s="3">
        <f>IFERROR(__xludf.DUMMYFUNCTION("""COMPUTED_VALUE"""),1.3000000000000114)</f>
        <v>1.3</v>
      </c>
      <c r="B897" s="3">
        <f>IFERROR(__xludf.DUMMYFUNCTION("""COMPUTED_VALUE"""),-0.10000000000002274)</f>
        <v>-0.1</v>
      </c>
      <c r="C897" s="3">
        <f>IFERROR(__xludf.DUMMYFUNCTION("""COMPUTED_VALUE"""),0.0)</f>
        <v>0</v>
      </c>
    </row>
    <row r="898">
      <c r="A898" s="3">
        <f>IFERROR(__xludf.DUMMYFUNCTION("""COMPUTED_VALUE"""),0.39999999999997726)</f>
        <v>0.4</v>
      </c>
      <c r="B898" s="3">
        <f>IFERROR(__xludf.DUMMYFUNCTION("""COMPUTED_VALUE"""),0.10000000000002274)</f>
        <v>0.1</v>
      </c>
      <c r="C898" s="3">
        <f>IFERROR(__xludf.DUMMYFUNCTION("""COMPUTED_VALUE"""),0.0)</f>
        <v>0</v>
      </c>
    </row>
    <row r="899">
      <c r="A899" s="3">
        <f>IFERROR(__xludf.DUMMYFUNCTION("""COMPUTED_VALUE"""),0.10000000000002274)</f>
        <v>0.1</v>
      </c>
      <c r="B899" s="3">
        <f>IFERROR(__xludf.DUMMYFUNCTION("""COMPUTED_VALUE"""),0.0)</f>
        <v>0</v>
      </c>
      <c r="C899" s="3">
        <f>IFERROR(__xludf.DUMMYFUNCTION("""COMPUTED_VALUE"""),0.0)</f>
        <v>0</v>
      </c>
    </row>
    <row r="900">
      <c r="A900" s="3">
        <f>IFERROR(__xludf.DUMMYFUNCTION("""COMPUTED_VALUE"""),0.0999999999999659)</f>
        <v>0.1</v>
      </c>
      <c r="B900" s="3">
        <f>IFERROR(__xludf.DUMMYFUNCTION("""COMPUTED_VALUE"""),-0.10000000000002274)</f>
        <v>-0.1</v>
      </c>
      <c r="C900" s="3">
        <f>IFERROR(__xludf.DUMMYFUNCTION("""COMPUTED_VALUE"""),0.0)</f>
        <v>0</v>
      </c>
    </row>
    <row r="901">
      <c r="A901" s="3">
        <f>IFERROR(__xludf.DUMMYFUNCTION("""COMPUTED_VALUE"""),0.10000000000002274)</f>
        <v>0.1</v>
      </c>
      <c r="B901" s="3">
        <f>IFERROR(__xludf.DUMMYFUNCTION("""COMPUTED_VALUE"""),0.0)</f>
        <v>0</v>
      </c>
      <c r="C901" s="3">
        <f>IFERROR(__xludf.DUMMYFUNCTION("""COMPUTED_VALUE"""),0.0)</f>
        <v>0</v>
      </c>
    </row>
    <row r="902">
      <c r="A902" s="3">
        <f>IFERROR(__xludf.DUMMYFUNCTION("""COMPUTED_VALUE"""),-0.10000000000002274)</f>
        <v>-0.1</v>
      </c>
      <c r="B902" s="3">
        <f>IFERROR(__xludf.DUMMYFUNCTION("""COMPUTED_VALUE"""),0.10000000000002274)</f>
        <v>0.1</v>
      </c>
      <c r="C902" s="3">
        <f>IFERROR(__xludf.DUMMYFUNCTION("""COMPUTED_VALUE"""),0.0)</f>
        <v>0</v>
      </c>
    </row>
    <row r="903">
      <c r="A903" s="3">
        <f>IFERROR(__xludf.DUMMYFUNCTION("""COMPUTED_VALUE"""),0.0)</f>
        <v>0</v>
      </c>
      <c r="B903" s="3">
        <f>IFERROR(__xludf.DUMMYFUNCTION("""COMPUTED_VALUE"""),0.0)</f>
        <v>0</v>
      </c>
      <c r="C903" s="3">
        <f>IFERROR(__xludf.DUMMYFUNCTION("""COMPUTED_VALUE"""),0.0)</f>
        <v>0</v>
      </c>
    </row>
    <row r="904">
      <c r="A904" s="3">
        <f>IFERROR(__xludf.DUMMYFUNCTION("""COMPUTED_VALUE"""),0.0)</f>
        <v>0</v>
      </c>
      <c r="B904" s="3">
        <f>IFERROR(__xludf.DUMMYFUNCTION("""COMPUTED_VALUE"""),0.0)</f>
        <v>0</v>
      </c>
      <c r="C904" s="3">
        <f>IFERROR(__xludf.DUMMYFUNCTION("""COMPUTED_VALUE"""),0.0)</f>
        <v>0</v>
      </c>
    </row>
    <row r="905">
      <c r="A905" s="3">
        <f>IFERROR(__xludf.DUMMYFUNCTION("""COMPUTED_VALUE"""),0.0)</f>
        <v>0</v>
      </c>
      <c r="B905" s="3">
        <f>IFERROR(__xludf.DUMMYFUNCTION("""COMPUTED_VALUE"""),-0.10000000000002274)</f>
        <v>-0.1</v>
      </c>
      <c r="C905" s="3">
        <f>IFERROR(__xludf.DUMMYFUNCTION("""COMPUTED_VALUE"""),0.0)</f>
        <v>0</v>
      </c>
    </row>
    <row r="906">
      <c r="A906" s="3">
        <f>IFERROR(__xludf.DUMMYFUNCTION("""COMPUTED_VALUE"""),0.4000000000000341)</f>
        <v>0.4</v>
      </c>
      <c r="B906" s="3">
        <f>IFERROR(__xludf.DUMMYFUNCTION("""COMPUTED_VALUE"""),0.0)</f>
        <v>0</v>
      </c>
      <c r="C906" s="3">
        <f>IFERROR(__xludf.DUMMYFUNCTION("""COMPUTED_VALUE"""),-0.10000000000002274)</f>
        <v>-0.1</v>
      </c>
    </row>
    <row r="907">
      <c r="A907" s="3">
        <f>IFERROR(__xludf.DUMMYFUNCTION("""COMPUTED_VALUE"""),0.39999999999997726)</f>
        <v>0.4</v>
      </c>
      <c r="B907" s="3">
        <f>IFERROR(__xludf.DUMMYFUNCTION("""COMPUTED_VALUE"""),0.9000000000000341)</f>
        <v>0.9</v>
      </c>
      <c r="C907" s="3">
        <f>IFERROR(__xludf.DUMMYFUNCTION("""COMPUTED_VALUE"""),0.0)</f>
        <v>0</v>
      </c>
    </row>
    <row r="908">
      <c r="A908" s="3">
        <f>IFERROR(__xludf.DUMMYFUNCTION("""COMPUTED_VALUE"""),0.19999999999998863)</f>
        <v>0.2</v>
      </c>
      <c r="B908" s="3">
        <f>IFERROR(__xludf.DUMMYFUNCTION("""COMPUTED_VALUE"""),-0.19999999999998863)</f>
        <v>-0.2</v>
      </c>
      <c r="C908" s="3">
        <f>IFERROR(__xludf.DUMMYFUNCTION("""COMPUTED_VALUE"""),0.0)</f>
        <v>0</v>
      </c>
    </row>
    <row r="909">
      <c r="A909" s="3">
        <f>IFERROR(__xludf.DUMMYFUNCTION("""COMPUTED_VALUE"""),0.19999999999998863)</f>
        <v>0.2</v>
      </c>
      <c r="B909" s="3">
        <f>IFERROR(__xludf.DUMMYFUNCTION("""COMPUTED_VALUE"""),-0.30000000000001137)</f>
        <v>-0.3</v>
      </c>
      <c r="C909" s="3">
        <f>IFERROR(__xludf.DUMMYFUNCTION("""COMPUTED_VALUE"""),0.0)</f>
        <v>0</v>
      </c>
    </row>
    <row r="910">
      <c r="A910" s="3">
        <f>IFERROR(__xludf.DUMMYFUNCTION("""COMPUTED_VALUE"""),0.20000000000004547)</f>
        <v>0.2</v>
      </c>
      <c r="B910" s="3">
        <f>IFERROR(__xludf.DUMMYFUNCTION("""COMPUTED_VALUE"""),-0.30000000000001137)</f>
        <v>-0.3</v>
      </c>
      <c r="C910" s="3">
        <f>IFERROR(__xludf.DUMMYFUNCTION("""COMPUTED_VALUE"""),0.0)</f>
        <v>0</v>
      </c>
    </row>
    <row r="911">
      <c r="A911" s="3">
        <f>IFERROR(__xludf.DUMMYFUNCTION("""COMPUTED_VALUE"""),0.19999999999998863)</f>
        <v>0.2</v>
      </c>
      <c r="B911" s="3">
        <f>IFERROR(__xludf.DUMMYFUNCTION("""COMPUTED_VALUE"""),-0.10000000000002274)</f>
        <v>-0.1</v>
      </c>
      <c r="C911" s="3">
        <f>IFERROR(__xludf.DUMMYFUNCTION("""COMPUTED_VALUE"""),0.0)</f>
        <v>0</v>
      </c>
    </row>
    <row r="912">
      <c r="A912" s="3">
        <f>IFERROR(__xludf.DUMMYFUNCTION("""COMPUTED_VALUE"""),0.0)</f>
        <v>0</v>
      </c>
      <c r="B912" s="3">
        <f>IFERROR(__xludf.DUMMYFUNCTION("""COMPUTED_VALUE"""),-0.0999999999999659)</f>
        <v>-0.1</v>
      </c>
      <c r="C912" s="3">
        <f>IFERROR(__xludf.DUMMYFUNCTION("""COMPUTED_VALUE"""),0.0)</f>
        <v>0</v>
      </c>
    </row>
    <row r="913">
      <c r="A913" s="3">
        <f>IFERROR(__xludf.DUMMYFUNCTION("""COMPUTED_VALUE"""),0.0)</f>
        <v>0</v>
      </c>
      <c r="B913" s="3">
        <f>IFERROR(__xludf.DUMMYFUNCTION("""COMPUTED_VALUE"""),-0.10000000000002274)</f>
        <v>-0.1</v>
      </c>
      <c r="C913" s="3">
        <f>IFERROR(__xludf.DUMMYFUNCTION("""COMPUTED_VALUE"""),-0.20999999999997954)</f>
        <v>-0.21</v>
      </c>
    </row>
    <row r="914">
      <c r="A914" s="3">
        <f>IFERROR(__xludf.DUMMYFUNCTION("""COMPUTED_VALUE"""),0.0)</f>
        <v>0</v>
      </c>
      <c r="B914" s="3">
        <f>IFERROR(__xludf.DUMMYFUNCTION("""COMPUTED_VALUE"""),0.6000000000000227)</f>
        <v>0.6</v>
      </c>
      <c r="C914" s="3">
        <f>IFERROR(__xludf.DUMMYFUNCTION("""COMPUTED_VALUE"""),0.0)</f>
        <v>0</v>
      </c>
    </row>
    <row r="915">
      <c r="A915" s="3">
        <f>IFERROR(__xludf.DUMMYFUNCTION("""COMPUTED_VALUE"""),0.0)</f>
        <v>0</v>
      </c>
      <c r="B915" s="3">
        <f>IFERROR(__xludf.DUMMYFUNCTION("""COMPUTED_VALUE"""),-0.6000000000000227)</f>
        <v>-0.6</v>
      </c>
      <c r="C915" s="3">
        <f>IFERROR(__xludf.DUMMYFUNCTION("""COMPUTED_VALUE"""),0.0)</f>
        <v>0</v>
      </c>
    </row>
    <row r="916">
      <c r="A916" s="3">
        <f>IFERROR(__xludf.DUMMYFUNCTION("""COMPUTED_VALUE"""),-0.4000000000000341)</f>
        <v>-0.4</v>
      </c>
      <c r="B916" s="3">
        <f>IFERROR(__xludf.DUMMYFUNCTION("""COMPUTED_VALUE"""),-0.0999999999999659)</f>
        <v>-0.1</v>
      </c>
      <c r="C916" s="3">
        <f>IFERROR(__xludf.DUMMYFUNCTION("""COMPUTED_VALUE"""),0.0)</f>
        <v>0</v>
      </c>
    </row>
    <row r="917">
      <c r="A917" s="3">
        <f>IFERROR(__xludf.DUMMYFUNCTION("""COMPUTED_VALUE"""),-0.0999999999999659)</f>
        <v>-0.1</v>
      </c>
      <c r="B917" s="3">
        <f>IFERROR(__xludf.DUMMYFUNCTION("""COMPUTED_VALUE"""),0.0)</f>
        <v>0</v>
      </c>
      <c r="C917" s="3">
        <f>IFERROR(__xludf.DUMMYFUNCTION("""COMPUTED_VALUE"""),0.0)</f>
        <v>0</v>
      </c>
    </row>
    <row r="918">
      <c r="A918" s="3">
        <f>IFERROR(__xludf.DUMMYFUNCTION("""COMPUTED_VALUE"""),0.0999999999999659)</f>
        <v>0.1</v>
      </c>
      <c r="B918" s="3">
        <f>IFERROR(__xludf.DUMMYFUNCTION("""COMPUTED_VALUE"""),0.0999999999999659)</f>
        <v>0.1</v>
      </c>
      <c r="C918" s="3">
        <f>IFERROR(__xludf.DUMMYFUNCTION("""COMPUTED_VALUE"""),0.0)</f>
        <v>0</v>
      </c>
    </row>
    <row r="919">
      <c r="A919" s="3">
        <f>IFERROR(__xludf.DUMMYFUNCTION("""COMPUTED_VALUE"""),0.0)</f>
        <v>0</v>
      </c>
      <c r="B919" s="3">
        <f>IFERROR(__xludf.DUMMYFUNCTION("""COMPUTED_VALUE"""),0.0)</f>
        <v>0</v>
      </c>
      <c r="C919" s="3">
        <f>IFERROR(__xludf.DUMMYFUNCTION("""COMPUTED_VALUE"""),0.1099999999999568)</f>
        <v>0.11</v>
      </c>
    </row>
    <row r="920">
      <c r="A920" s="3">
        <f>IFERROR(__xludf.DUMMYFUNCTION("""COMPUTED_VALUE"""),0.0)</f>
        <v>0</v>
      </c>
      <c r="B920" s="3">
        <f>IFERROR(__xludf.DUMMYFUNCTION("""COMPUTED_VALUE"""),0.10000000000002274)</f>
        <v>0.1</v>
      </c>
      <c r="C920" s="3">
        <f>IFERROR(__xludf.DUMMYFUNCTION("""COMPUTED_VALUE"""),0.10000000000002274)</f>
        <v>0.1</v>
      </c>
    </row>
    <row r="921">
      <c r="A921" s="3">
        <f>IFERROR(__xludf.DUMMYFUNCTION("""COMPUTED_VALUE"""),0.10000000000002274)</f>
        <v>0.1</v>
      </c>
      <c r="B921" s="3">
        <f>IFERROR(__xludf.DUMMYFUNCTION("""COMPUTED_VALUE"""),-0.4000000000000341)</f>
        <v>-0.4</v>
      </c>
      <c r="C921" s="3">
        <f>IFERROR(__xludf.DUMMYFUNCTION("""COMPUTED_VALUE"""),0.0)</f>
        <v>0</v>
      </c>
    </row>
    <row r="922">
      <c r="A922" s="3">
        <f>IFERROR(__xludf.DUMMYFUNCTION("""COMPUTED_VALUE"""),-0.10000000000002274)</f>
        <v>-0.1</v>
      </c>
      <c r="B922" s="3">
        <f>IFERROR(__xludf.DUMMYFUNCTION("""COMPUTED_VALUE"""),0.10000000000002274)</f>
        <v>0.1</v>
      </c>
      <c r="C922" s="3">
        <f>IFERROR(__xludf.DUMMYFUNCTION("""COMPUTED_VALUE"""),-0.10000000000002274)</f>
        <v>-0.1</v>
      </c>
    </row>
    <row r="923">
      <c r="A923" s="3">
        <f>IFERROR(__xludf.DUMMYFUNCTION("""COMPUTED_VALUE"""),-0.39999999999997726)</f>
        <v>-0.4</v>
      </c>
      <c r="B923" s="3">
        <f>IFERROR(__xludf.DUMMYFUNCTION("""COMPUTED_VALUE"""),0.19999999999998863)</f>
        <v>0.2</v>
      </c>
      <c r="C923" s="3">
        <f>IFERROR(__xludf.DUMMYFUNCTION("""COMPUTED_VALUE"""),0.0)</f>
        <v>0</v>
      </c>
    </row>
    <row r="924">
      <c r="A924" s="3">
        <f>IFERROR(__xludf.DUMMYFUNCTION("""COMPUTED_VALUE"""),0.19999999999998863)</f>
        <v>0.2</v>
      </c>
      <c r="B924" s="3">
        <f>IFERROR(__xludf.DUMMYFUNCTION("""COMPUTED_VALUE"""),0.0)</f>
        <v>0</v>
      </c>
      <c r="C924" s="3">
        <f>IFERROR(__xludf.DUMMYFUNCTION("""COMPUTED_VALUE"""),0.10000000000002274)</f>
        <v>0.1</v>
      </c>
    </row>
    <row r="925">
      <c r="A925" s="3">
        <f>IFERROR(__xludf.DUMMYFUNCTION("""COMPUTED_VALUE"""),0.19999999999998863)</f>
        <v>0.2</v>
      </c>
      <c r="B925" s="3">
        <f>IFERROR(__xludf.DUMMYFUNCTION("""COMPUTED_VALUE"""),0.0)</f>
        <v>0</v>
      </c>
      <c r="C925" s="3">
        <f>IFERROR(__xludf.DUMMYFUNCTION("""COMPUTED_VALUE"""),-0.10000000000002274)</f>
        <v>-0.1</v>
      </c>
    </row>
    <row r="926">
      <c r="A926" s="3">
        <f>IFERROR(__xludf.DUMMYFUNCTION("""COMPUTED_VALUE"""),0.0)</f>
        <v>0</v>
      </c>
      <c r="B926" s="3">
        <f>IFERROR(__xludf.DUMMYFUNCTION("""COMPUTED_VALUE"""),0.10000000000002274)</f>
        <v>0.1</v>
      </c>
      <c r="C926" s="3">
        <f>IFERROR(__xludf.DUMMYFUNCTION("""COMPUTED_VALUE"""),0.0)</f>
        <v>0</v>
      </c>
    </row>
    <row r="927">
      <c r="A927" s="3">
        <f>IFERROR(__xludf.DUMMYFUNCTION("""COMPUTED_VALUE"""),0.10000000000002274)</f>
        <v>0.1</v>
      </c>
      <c r="B927" s="3">
        <f>IFERROR(__xludf.DUMMYFUNCTION("""COMPUTED_VALUE"""),-0.10000000000002274)</f>
        <v>-0.1</v>
      </c>
      <c r="C927" s="3">
        <f>IFERROR(__xludf.DUMMYFUNCTION("""COMPUTED_VALUE"""),0.10000000000002274)</f>
        <v>0.1</v>
      </c>
    </row>
    <row r="928">
      <c r="A928" s="3">
        <f>IFERROR(__xludf.DUMMYFUNCTION("""COMPUTED_VALUE"""),0.0)</f>
        <v>0</v>
      </c>
      <c r="B928" s="3">
        <f>IFERROR(__xludf.DUMMYFUNCTION("""COMPUTED_VALUE"""),0.0)</f>
        <v>0</v>
      </c>
      <c r="C928" s="3">
        <f>IFERROR(__xludf.DUMMYFUNCTION("""COMPUTED_VALUE"""),0.10000000000002274)</f>
        <v>0.1</v>
      </c>
    </row>
    <row r="929">
      <c r="A929" s="3">
        <f>IFERROR(__xludf.DUMMYFUNCTION("""COMPUTED_VALUE"""),-0.19999999999998863)</f>
        <v>-0.2</v>
      </c>
      <c r="B929" s="3">
        <f>IFERROR(__xludf.DUMMYFUNCTION("""COMPUTED_VALUE"""),0.0)</f>
        <v>0</v>
      </c>
      <c r="C929" s="3">
        <f>IFERROR(__xludf.DUMMYFUNCTION("""COMPUTED_VALUE"""),0.0)</f>
        <v>0</v>
      </c>
    </row>
    <row r="930">
      <c r="A930" s="3">
        <f>IFERROR(__xludf.DUMMYFUNCTION("""COMPUTED_VALUE"""),-0.10000000000002274)</f>
        <v>-0.1</v>
      </c>
      <c r="B930" s="3">
        <f>IFERROR(__xludf.DUMMYFUNCTION("""COMPUTED_VALUE"""),0.0)</f>
        <v>0</v>
      </c>
      <c r="C930" s="3">
        <f>IFERROR(__xludf.DUMMYFUNCTION("""COMPUTED_VALUE"""),0.0)</f>
        <v>0</v>
      </c>
    </row>
    <row r="931">
      <c r="A931" s="3">
        <f>IFERROR(__xludf.DUMMYFUNCTION("""COMPUTED_VALUE"""),0.19999999999998863)</f>
        <v>0.2</v>
      </c>
      <c r="B931" s="3">
        <f>IFERROR(__xludf.DUMMYFUNCTION("""COMPUTED_VALUE"""),0.10000000000002274)</f>
        <v>0.1</v>
      </c>
      <c r="C931" s="3">
        <f>IFERROR(__xludf.DUMMYFUNCTION("""COMPUTED_VALUE"""),0.0999999999999659)</f>
        <v>0.1</v>
      </c>
    </row>
    <row r="932">
      <c r="A932" s="3">
        <f>IFERROR(__xludf.DUMMYFUNCTION("""COMPUTED_VALUE"""),0.0)</f>
        <v>0</v>
      </c>
      <c r="B932" s="3">
        <f>IFERROR(__xludf.DUMMYFUNCTION("""COMPUTED_VALUE"""),0.0)</f>
        <v>0</v>
      </c>
      <c r="C932" s="3">
        <f>IFERROR(__xludf.DUMMYFUNCTION("""COMPUTED_VALUE"""),0.0)</f>
        <v>0</v>
      </c>
    </row>
    <row r="933">
      <c r="A933" s="3">
        <f>IFERROR(__xludf.DUMMYFUNCTION("""COMPUTED_VALUE"""),0.0)</f>
        <v>0</v>
      </c>
      <c r="B933" s="3">
        <f>IFERROR(__xludf.DUMMYFUNCTION("""COMPUTED_VALUE"""),0.0)</f>
        <v>0</v>
      </c>
      <c r="C933" s="3">
        <f>IFERROR(__xludf.DUMMYFUNCTION("""COMPUTED_VALUE"""),0.0)</f>
        <v>0</v>
      </c>
    </row>
    <row r="934">
      <c r="A934" s="3">
        <f>IFERROR(__xludf.DUMMYFUNCTION("""COMPUTED_VALUE"""),0.0)</f>
        <v>0</v>
      </c>
      <c r="B934" s="3">
        <f>IFERROR(__xludf.DUMMYFUNCTION("""COMPUTED_VALUE"""),0.0)</f>
        <v>0</v>
      </c>
      <c r="C934" s="3">
        <f>IFERROR(__xludf.DUMMYFUNCTION("""COMPUTED_VALUE"""),0.0)</f>
        <v>0</v>
      </c>
    </row>
    <row r="935">
      <c r="A935" s="3">
        <f>IFERROR(__xludf.DUMMYFUNCTION("""COMPUTED_VALUE"""),0.0)</f>
        <v>0</v>
      </c>
      <c r="B935" s="3">
        <f>IFERROR(__xludf.DUMMYFUNCTION("""COMPUTED_VALUE"""),0.0999999999999659)</f>
        <v>0.1</v>
      </c>
      <c r="C935" s="3">
        <f>IFERROR(__xludf.DUMMYFUNCTION("""COMPUTED_VALUE"""),0.0)</f>
        <v>0</v>
      </c>
    </row>
    <row r="936">
      <c r="A936" s="3">
        <f>IFERROR(__xludf.DUMMYFUNCTION("""COMPUTED_VALUE"""),0.10000000000002274)</f>
        <v>0.1</v>
      </c>
      <c r="B936" s="3">
        <f>IFERROR(__xludf.DUMMYFUNCTION("""COMPUTED_VALUE"""),-0.0999999999999659)</f>
        <v>-0.1</v>
      </c>
      <c r="C936" s="3">
        <f>IFERROR(__xludf.DUMMYFUNCTION("""COMPUTED_VALUE"""),0.0)</f>
        <v>0</v>
      </c>
    </row>
    <row r="937">
      <c r="A937" s="3">
        <f>IFERROR(__xludf.DUMMYFUNCTION("""COMPUTED_VALUE"""),-0.10000000000002274)</f>
        <v>-0.1</v>
      </c>
      <c r="B937" s="3">
        <f>IFERROR(__xludf.DUMMYFUNCTION("""COMPUTED_VALUE"""),0.0)</f>
        <v>0</v>
      </c>
      <c r="C937" s="3">
        <f>IFERROR(__xludf.DUMMYFUNCTION("""COMPUTED_VALUE"""),0.0)</f>
        <v>0</v>
      </c>
    </row>
    <row r="938">
      <c r="A938" s="3">
        <f>IFERROR(__xludf.DUMMYFUNCTION("""COMPUTED_VALUE"""),0.0)</f>
        <v>0</v>
      </c>
      <c r="B938" s="3">
        <f>IFERROR(__xludf.DUMMYFUNCTION("""COMPUTED_VALUE"""),0.0)</f>
        <v>0</v>
      </c>
      <c r="C938" s="3">
        <f>IFERROR(__xludf.DUMMYFUNCTION("""COMPUTED_VALUE"""),-0.0999999999999659)</f>
        <v>-0.1</v>
      </c>
    </row>
    <row r="939">
      <c r="A939" s="3">
        <f>IFERROR(__xludf.DUMMYFUNCTION("""COMPUTED_VALUE"""),0.10000000000002274)</f>
        <v>0.1</v>
      </c>
      <c r="B939" s="3">
        <f>IFERROR(__xludf.DUMMYFUNCTION("""COMPUTED_VALUE"""),0.0)</f>
        <v>0</v>
      </c>
      <c r="C939" s="3">
        <f>IFERROR(__xludf.DUMMYFUNCTION("""COMPUTED_VALUE"""),0.0)</f>
        <v>0</v>
      </c>
    </row>
    <row r="940">
      <c r="A940" s="3">
        <f>IFERROR(__xludf.DUMMYFUNCTION("""COMPUTED_VALUE"""),0.0)</f>
        <v>0</v>
      </c>
      <c r="B940" s="3">
        <f>IFERROR(__xludf.DUMMYFUNCTION("""COMPUTED_VALUE"""),0.0)</f>
        <v>0</v>
      </c>
      <c r="C940" s="3">
        <f>IFERROR(__xludf.DUMMYFUNCTION("""COMPUTED_VALUE"""),0.0)</f>
        <v>0</v>
      </c>
    </row>
    <row r="941">
      <c r="A941" s="3">
        <f>IFERROR(__xludf.DUMMYFUNCTION("""COMPUTED_VALUE"""),-0.10000000000002274)</f>
        <v>-0.1</v>
      </c>
      <c r="B941" s="3">
        <f>IFERROR(__xludf.DUMMYFUNCTION("""COMPUTED_VALUE"""),-0.10000000000002274)</f>
        <v>-0.1</v>
      </c>
      <c r="C941" s="3">
        <f>IFERROR(__xludf.DUMMYFUNCTION("""COMPUTED_VALUE"""),-0.10000000000002274)</f>
        <v>-0.1</v>
      </c>
    </row>
    <row r="942">
      <c r="A942" s="3">
        <f>IFERROR(__xludf.DUMMYFUNCTION("""COMPUTED_VALUE"""),0.10000000000002274)</f>
        <v>0.1</v>
      </c>
      <c r="B942" s="3">
        <f>IFERROR(__xludf.DUMMYFUNCTION("""COMPUTED_VALUE"""),-0.0999999999999659)</f>
        <v>-0.1</v>
      </c>
      <c r="C942" s="3">
        <f>IFERROR(__xludf.DUMMYFUNCTION("""COMPUTED_VALUE"""),0.0)</f>
        <v>0</v>
      </c>
    </row>
    <row r="943">
      <c r="A943" s="3">
        <f>IFERROR(__xludf.DUMMYFUNCTION("""COMPUTED_VALUE"""),-0.19999999999998863)</f>
        <v>-0.2</v>
      </c>
      <c r="B943" s="3">
        <f>IFERROR(__xludf.DUMMYFUNCTION("""COMPUTED_VALUE"""),0.0)</f>
        <v>0</v>
      </c>
      <c r="C943" s="3">
        <f>IFERROR(__xludf.DUMMYFUNCTION("""COMPUTED_VALUE"""),0.0)</f>
        <v>0</v>
      </c>
    </row>
    <row r="944">
      <c r="A944" s="3">
        <f>IFERROR(__xludf.DUMMYFUNCTION("""COMPUTED_VALUE"""),0.0)</f>
        <v>0</v>
      </c>
      <c r="B944" s="3">
        <f>IFERROR(__xludf.DUMMYFUNCTION("""COMPUTED_VALUE"""),-0.4000000000000341)</f>
        <v>-0.4</v>
      </c>
      <c r="C944" s="3">
        <f>IFERROR(__xludf.DUMMYFUNCTION("""COMPUTED_VALUE"""),0.0)</f>
        <v>0</v>
      </c>
    </row>
    <row r="945">
      <c r="A945" s="3">
        <f>IFERROR(__xludf.DUMMYFUNCTION("""COMPUTED_VALUE"""),0.0999999999999659)</f>
        <v>0.1</v>
      </c>
      <c r="B945" s="3">
        <f>IFERROR(__xludf.DUMMYFUNCTION("""COMPUTED_VALUE"""),0.19999999999998863)</f>
        <v>0.2</v>
      </c>
      <c r="C945" s="3">
        <f>IFERROR(__xludf.DUMMYFUNCTION("""COMPUTED_VALUE"""),0.0)</f>
        <v>0</v>
      </c>
    </row>
    <row r="946">
      <c r="A946" s="3">
        <f>IFERROR(__xludf.DUMMYFUNCTION("""COMPUTED_VALUE"""),0.10000000000002274)</f>
        <v>0.1</v>
      </c>
      <c r="B946" s="3">
        <f>IFERROR(__xludf.DUMMYFUNCTION("""COMPUTED_VALUE"""),0.20000000000004547)</f>
        <v>0.2</v>
      </c>
      <c r="C946" s="3">
        <f>IFERROR(__xludf.DUMMYFUNCTION("""COMPUTED_VALUE"""),0.0)</f>
        <v>0</v>
      </c>
    </row>
    <row r="947">
      <c r="A947" s="3">
        <f>IFERROR(__xludf.DUMMYFUNCTION("""COMPUTED_VALUE"""),0.0)</f>
        <v>0</v>
      </c>
      <c r="B947" s="3">
        <f>IFERROR(__xludf.DUMMYFUNCTION("""COMPUTED_VALUE"""),0.0)</f>
        <v>0</v>
      </c>
      <c r="C947" s="3">
        <f>IFERROR(__xludf.DUMMYFUNCTION("""COMPUTED_VALUE"""),0.0)</f>
        <v>0</v>
      </c>
    </row>
    <row r="948">
      <c r="A948" s="3">
        <f>IFERROR(__xludf.DUMMYFUNCTION("""COMPUTED_VALUE"""),0.10000000000002274)</f>
        <v>0.1</v>
      </c>
      <c r="B948" s="3">
        <f>IFERROR(__xludf.DUMMYFUNCTION("""COMPUTED_VALUE"""),0.19999999999998863)</f>
        <v>0.2</v>
      </c>
      <c r="C948" s="3">
        <f>IFERROR(__xludf.DUMMYFUNCTION("""COMPUTED_VALUE"""),0.0)</f>
        <v>0</v>
      </c>
    </row>
    <row r="949">
      <c r="A949" s="3">
        <f>IFERROR(__xludf.DUMMYFUNCTION("""COMPUTED_VALUE"""),-0.10000000000002274)</f>
        <v>-0.1</v>
      </c>
      <c r="B949" s="3">
        <f>IFERROR(__xludf.DUMMYFUNCTION("""COMPUTED_VALUE"""),0.0)</f>
        <v>0</v>
      </c>
      <c r="C949" s="3">
        <f>IFERROR(__xludf.DUMMYFUNCTION("""COMPUTED_VALUE"""),0.0)</f>
        <v>0</v>
      </c>
    </row>
    <row r="950">
      <c r="A950" s="3">
        <f>IFERROR(__xludf.DUMMYFUNCTION("""COMPUTED_VALUE"""),0.19999999999998863)</f>
        <v>0.2</v>
      </c>
      <c r="B950" s="3">
        <f>IFERROR(__xludf.DUMMYFUNCTION("""COMPUTED_VALUE"""),-0.9000000000000341)</f>
        <v>-0.9</v>
      </c>
      <c r="C950" s="3">
        <f>IFERROR(__xludf.DUMMYFUNCTION("""COMPUTED_VALUE"""),0.0)</f>
        <v>0</v>
      </c>
    </row>
    <row r="951">
      <c r="A951" s="3">
        <f>IFERROR(__xludf.DUMMYFUNCTION("""COMPUTED_VALUE"""),0.0)</f>
        <v>0</v>
      </c>
      <c r="B951" s="3">
        <f>IFERROR(__xludf.DUMMYFUNCTION("""COMPUTED_VALUE"""),0.30000000000001137)</f>
        <v>0.3</v>
      </c>
      <c r="C951" s="3">
        <f>IFERROR(__xludf.DUMMYFUNCTION("""COMPUTED_VALUE"""),0.0)</f>
        <v>0</v>
      </c>
    </row>
    <row r="952">
      <c r="A952" s="3">
        <f>IFERROR(__xludf.DUMMYFUNCTION("""COMPUTED_VALUE"""),-0.0999999999999659)</f>
        <v>-0.1</v>
      </c>
      <c r="B952" s="3">
        <f>IFERROR(__xludf.DUMMYFUNCTION("""COMPUTED_VALUE"""),0.30000000000001137)</f>
        <v>0.3</v>
      </c>
      <c r="C952" s="3">
        <f>IFERROR(__xludf.DUMMYFUNCTION("""COMPUTED_VALUE"""),0.0)</f>
        <v>0</v>
      </c>
    </row>
    <row r="953">
      <c r="A953" s="3">
        <f>IFERROR(__xludf.DUMMYFUNCTION("""COMPUTED_VALUE"""),0.0)</f>
        <v>0</v>
      </c>
      <c r="B953" s="3">
        <f>IFERROR(__xludf.DUMMYFUNCTION("""COMPUTED_VALUE"""),0.10000000000002274)</f>
        <v>0.1</v>
      </c>
      <c r="C953" s="3">
        <f>IFERROR(__xludf.DUMMYFUNCTION("""COMPUTED_VALUE"""),-0.10000000000002274)</f>
        <v>-0.1</v>
      </c>
    </row>
    <row r="954">
      <c r="A954" s="3">
        <f>IFERROR(__xludf.DUMMYFUNCTION("""COMPUTED_VALUE"""),0.0)</f>
        <v>0</v>
      </c>
      <c r="B954" s="3">
        <f>IFERROR(__xludf.DUMMYFUNCTION("""COMPUTED_VALUE"""),0.19999999999998863)</f>
        <v>0.2</v>
      </c>
      <c r="C954" s="3">
        <f>IFERROR(__xludf.DUMMYFUNCTION("""COMPUTED_VALUE"""),0.0)</f>
        <v>0</v>
      </c>
    </row>
    <row r="955">
      <c r="A955" s="3">
        <f>IFERROR(__xludf.DUMMYFUNCTION("""COMPUTED_VALUE"""),0.0)</f>
        <v>0</v>
      </c>
      <c r="B955" s="3">
        <f>IFERROR(__xludf.DUMMYFUNCTION("""COMPUTED_VALUE"""),-0.10000000000002274)</f>
        <v>-0.1</v>
      </c>
      <c r="C955" s="3">
        <f>IFERROR(__xludf.DUMMYFUNCTION("""COMPUTED_VALUE"""),0.0)</f>
        <v>0</v>
      </c>
    </row>
    <row r="956">
      <c r="A956" s="3">
        <f>IFERROR(__xludf.DUMMYFUNCTION("""COMPUTED_VALUE"""),0.0)</f>
        <v>0</v>
      </c>
      <c r="B956" s="3">
        <f>IFERROR(__xludf.DUMMYFUNCTION("""COMPUTED_VALUE"""),0.0)</f>
        <v>0</v>
      </c>
      <c r="C956" s="3">
        <f>IFERROR(__xludf.DUMMYFUNCTION("""COMPUTED_VALUE"""),0.0)</f>
        <v>0</v>
      </c>
    </row>
    <row r="957">
      <c r="A957" s="3">
        <f>IFERROR(__xludf.DUMMYFUNCTION("""COMPUTED_VALUE"""),0.0)</f>
        <v>0</v>
      </c>
      <c r="B957" s="3">
        <f>IFERROR(__xludf.DUMMYFUNCTION("""COMPUTED_VALUE"""),-0.19999999999998863)</f>
        <v>-0.2</v>
      </c>
      <c r="C957" s="3">
        <f>IFERROR(__xludf.DUMMYFUNCTION("""COMPUTED_VALUE"""),0.0)</f>
        <v>0</v>
      </c>
    </row>
    <row r="958">
      <c r="A958" s="3">
        <f>IFERROR(__xludf.DUMMYFUNCTION("""COMPUTED_VALUE"""),0.0)</f>
        <v>0</v>
      </c>
      <c r="B958" s="3">
        <f>IFERROR(__xludf.DUMMYFUNCTION("""COMPUTED_VALUE"""),0.0)</f>
        <v>0</v>
      </c>
      <c r="C958" s="3">
        <f>IFERROR(__xludf.DUMMYFUNCTION("""COMPUTED_VALUE"""),-0.1099999999999568)</f>
        <v>-0.11</v>
      </c>
    </row>
    <row r="959">
      <c r="A959" s="3">
        <f>IFERROR(__xludf.DUMMYFUNCTION("""COMPUTED_VALUE"""),0.0)</f>
        <v>0</v>
      </c>
      <c r="B959" s="3">
        <f>IFERROR(__xludf.DUMMYFUNCTION("""COMPUTED_VALUE"""),-0.30000000000001137)</f>
        <v>-0.3</v>
      </c>
      <c r="C959" s="3">
        <f>IFERROR(__xludf.DUMMYFUNCTION("""COMPUTED_VALUE"""),0.0)</f>
        <v>0</v>
      </c>
    </row>
    <row r="960">
      <c r="A960" s="3">
        <f>IFERROR(__xludf.DUMMYFUNCTION("""COMPUTED_VALUE"""),0.0)</f>
        <v>0</v>
      </c>
      <c r="B960" s="3">
        <f>IFERROR(__xludf.DUMMYFUNCTION("""COMPUTED_VALUE"""),0.0)</f>
        <v>0</v>
      </c>
      <c r="C960" s="3">
        <f>IFERROR(__xludf.DUMMYFUNCTION("""COMPUTED_VALUE"""),0.1099999999999568)</f>
        <v>0.11</v>
      </c>
    </row>
    <row r="961">
      <c r="A961" s="3">
        <f>IFERROR(__xludf.DUMMYFUNCTION("""COMPUTED_VALUE"""),0.0)</f>
        <v>0</v>
      </c>
      <c r="B961" s="3">
        <f>IFERROR(__xludf.DUMMYFUNCTION("""COMPUTED_VALUE"""),0.0)</f>
        <v>0</v>
      </c>
      <c r="C961" s="3">
        <f>IFERROR(__xludf.DUMMYFUNCTION("""COMPUTED_VALUE"""),0.10000000000002274)</f>
        <v>0.1</v>
      </c>
    </row>
    <row r="962">
      <c r="A962" s="3">
        <f>IFERROR(__xludf.DUMMYFUNCTION("""COMPUTED_VALUE"""),0.0)</f>
        <v>0</v>
      </c>
      <c r="B962" s="3">
        <f>IFERROR(__xludf.DUMMYFUNCTION("""COMPUTED_VALUE"""),0.30000000000001137)</f>
        <v>0.3</v>
      </c>
      <c r="C962" s="3">
        <f>IFERROR(__xludf.DUMMYFUNCTION("""COMPUTED_VALUE"""),0.0)</f>
        <v>0</v>
      </c>
    </row>
    <row r="963">
      <c r="A963" s="3">
        <f>IFERROR(__xludf.DUMMYFUNCTION("""COMPUTED_VALUE"""),-0.10000000000002274)</f>
        <v>-0.1</v>
      </c>
      <c r="B963" s="3">
        <f>IFERROR(__xludf.DUMMYFUNCTION("""COMPUTED_VALUE"""),0.10000000000002274)</f>
        <v>0.1</v>
      </c>
      <c r="C963" s="3">
        <f>IFERROR(__xludf.DUMMYFUNCTION("""COMPUTED_VALUE"""),-0.10000000000002274)</f>
        <v>-0.1</v>
      </c>
    </row>
    <row r="964">
      <c r="A964" s="3">
        <f>IFERROR(__xludf.DUMMYFUNCTION("""COMPUTED_VALUE"""),0.0)</f>
        <v>0</v>
      </c>
      <c r="B964" s="3">
        <f>IFERROR(__xludf.DUMMYFUNCTION("""COMPUTED_VALUE"""),0.0)</f>
        <v>0</v>
      </c>
      <c r="C964" s="3">
        <f>IFERROR(__xludf.DUMMYFUNCTION("""COMPUTED_VALUE"""),0.0)</f>
        <v>0</v>
      </c>
    </row>
    <row r="965">
      <c r="A965" s="3">
        <f>IFERROR(__xludf.DUMMYFUNCTION("""COMPUTED_VALUE"""),0.0)</f>
        <v>0</v>
      </c>
      <c r="B965" s="3">
        <f>IFERROR(__xludf.DUMMYFUNCTION("""COMPUTED_VALUE"""),-0.10000000000002274)</f>
        <v>-0.1</v>
      </c>
      <c r="C965" s="3">
        <f>IFERROR(__xludf.DUMMYFUNCTION("""COMPUTED_VALUE"""),-0.19999999999998863)</f>
        <v>-0.2</v>
      </c>
    </row>
    <row r="966">
      <c r="A966" s="3">
        <f>IFERROR(__xludf.DUMMYFUNCTION("""COMPUTED_VALUE"""),0.0)</f>
        <v>0</v>
      </c>
      <c r="B966" s="3">
        <f>IFERROR(__xludf.DUMMYFUNCTION("""COMPUTED_VALUE"""),0.0)</f>
        <v>0</v>
      </c>
      <c r="C966" s="3">
        <f>IFERROR(__xludf.DUMMYFUNCTION("""COMPUTED_VALUE"""),0.19999999999998863)</f>
        <v>0.2</v>
      </c>
    </row>
    <row r="967">
      <c r="A967" s="3">
        <f>IFERROR(__xludf.DUMMYFUNCTION("""COMPUTED_VALUE"""),0.10000000000002274)</f>
        <v>0.1</v>
      </c>
      <c r="B967" s="3">
        <f>IFERROR(__xludf.DUMMYFUNCTION("""COMPUTED_VALUE"""),-0.10000000000002274)</f>
        <v>-0.1</v>
      </c>
      <c r="C967" s="3">
        <f>IFERROR(__xludf.DUMMYFUNCTION("""COMPUTED_VALUE"""),0.10000000000002274)</f>
        <v>0.1</v>
      </c>
    </row>
    <row r="968">
      <c r="A968" s="3">
        <f>IFERROR(__xludf.DUMMYFUNCTION("""COMPUTED_VALUE"""),0.0999999999999659)</f>
        <v>0.1</v>
      </c>
      <c r="B968" s="3">
        <f>IFERROR(__xludf.DUMMYFUNCTION("""COMPUTED_VALUE"""),0.0)</f>
        <v>0</v>
      </c>
      <c r="C968" s="3">
        <f>IFERROR(__xludf.DUMMYFUNCTION("""COMPUTED_VALUE"""),0.10000000000002274)</f>
        <v>0.1</v>
      </c>
    </row>
    <row r="969">
      <c r="A969" s="3">
        <f>IFERROR(__xludf.DUMMYFUNCTION("""COMPUTED_VALUE"""),0.0)</f>
        <v>0</v>
      </c>
      <c r="B969" s="3">
        <f>IFERROR(__xludf.DUMMYFUNCTION("""COMPUTED_VALUE"""),-0.19999999999998863)</f>
        <v>-0.2</v>
      </c>
      <c r="C969" s="3">
        <f>IFERROR(__xludf.DUMMYFUNCTION("""COMPUTED_VALUE"""),-0.10000000000002274)</f>
        <v>-0.1</v>
      </c>
    </row>
    <row r="970">
      <c r="A970" s="3">
        <f>IFERROR(__xludf.DUMMYFUNCTION("""COMPUTED_VALUE"""),0.0)</f>
        <v>0</v>
      </c>
      <c r="B970" s="3">
        <f>IFERROR(__xludf.DUMMYFUNCTION("""COMPUTED_VALUE"""),0.0)</f>
        <v>0</v>
      </c>
      <c r="C970" s="3">
        <f>IFERROR(__xludf.DUMMYFUNCTION("""COMPUTED_VALUE"""),0.0)</f>
        <v>0</v>
      </c>
    </row>
    <row r="971">
      <c r="A971" s="3">
        <f>IFERROR(__xludf.DUMMYFUNCTION("""COMPUTED_VALUE"""),0.0)</f>
        <v>0</v>
      </c>
      <c r="B971" s="3">
        <f>IFERROR(__xludf.DUMMYFUNCTION("""COMPUTED_VALUE"""),0.0)</f>
        <v>0</v>
      </c>
      <c r="C971" s="3">
        <f>IFERROR(__xludf.DUMMYFUNCTION("""COMPUTED_VALUE"""),-0.10000000000002274)</f>
        <v>-0.1</v>
      </c>
    </row>
    <row r="972">
      <c r="A972" s="3">
        <f>IFERROR(__xludf.DUMMYFUNCTION("""COMPUTED_VALUE"""),0.0)</f>
        <v>0</v>
      </c>
      <c r="B972" s="3">
        <f>IFERROR(__xludf.DUMMYFUNCTION("""COMPUTED_VALUE"""),0.0)</f>
        <v>0</v>
      </c>
      <c r="C972" s="3">
        <f>IFERROR(__xludf.DUMMYFUNCTION("""COMPUTED_VALUE"""),0.0)</f>
        <v>0</v>
      </c>
    </row>
    <row r="973">
      <c r="A973" s="3">
        <f>IFERROR(__xludf.DUMMYFUNCTION("""COMPUTED_VALUE"""),0.0)</f>
        <v>0</v>
      </c>
      <c r="B973" s="3">
        <f>IFERROR(__xludf.DUMMYFUNCTION("""COMPUTED_VALUE"""),0.10000000000002274)</f>
        <v>0.1</v>
      </c>
      <c r="C973" s="3">
        <f>IFERROR(__xludf.DUMMYFUNCTION("""COMPUTED_VALUE"""),0.0)</f>
        <v>0</v>
      </c>
    </row>
    <row r="974">
      <c r="A974" s="3">
        <f>IFERROR(__xludf.DUMMYFUNCTION("""COMPUTED_VALUE"""),-0.0999999999999659)</f>
        <v>-0.1</v>
      </c>
      <c r="B974" s="3">
        <f>IFERROR(__xludf.DUMMYFUNCTION("""COMPUTED_VALUE"""),0.0999999999999659)</f>
        <v>0.1</v>
      </c>
      <c r="C974" s="3">
        <f>IFERROR(__xludf.DUMMYFUNCTION("""COMPUTED_VALUE"""),0.3900000000000432)</f>
        <v>0.39</v>
      </c>
    </row>
    <row r="975">
      <c r="A975" s="3">
        <f>IFERROR(__xludf.DUMMYFUNCTION("""COMPUTED_VALUE"""),0.0)</f>
        <v>0</v>
      </c>
      <c r="B975" s="3">
        <f>IFERROR(__xludf.DUMMYFUNCTION("""COMPUTED_VALUE"""),0.0)</f>
        <v>0</v>
      </c>
      <c r="C975" s="3">
        <f>IFERROR(__xludf.DUMMYFUNCTION("""COMPUTED_VALUE"""),0.6099999999999568)</f>
        <v>0.61</v>
      </c>
    </row>
    <row r="976">
      <c r="A976" s="3">
        <f>IFERROR(__xludf.DUMMYFUNCTION("""COMPUTED_VALUE"""),0.0)</f>
        <v>0</v>
      </c>
      <c r="B976" s="3">
        <f>IFERROR(__xludf.DUMMYFUNCTION("""COMPUTED_VALUE"""),0.10000000000002274)</f>
        <v>0.1</v>
      </c>
      <c r="C976" s="3">
        <f>IFERROR(__xludf.DUMMYFUNCTION("""COMPUTED_VALUE"""),1.3000000000000114)</f>
        <v>1.3</v>
      </c>
    </row>
    <row r="977">
      <c r="A977" s="3">
        <f>IFERROR(__xludf.DUMMYFUNCTION("""COMPUTED_VALUE"""),0.0)</f>
        <v>0</v>
      </c>
      <c r="B977" s="3">
        <f>IFERROR(__xludf.DUMMYFUNCTION("""COMPUTED_VALUE"""),-0.10000000000002274)</f>
        <v>-0.1</v>
      </c>
      <c r="C977" s="3">
        <f>IFERROR(__xludf.DUMMYFUNCTION("""COMPUTED_VALUE"""),1.0900000000000318)</f>
        <v>1.09</v>
      </c>
    </row>
    <row r="978">
      <c r="A978" s="3">
        <f>IFERROR(__xludf.DUMMYFUNCTION("""COMPUTED_VALUE"""),0.0)</f>
        <v>0</v>
      </c>
      <c r="B978" s="3">
        <f>IFERROR(__xludf.DUMMYFUNCTION("""COMPUTED_VALUE"""),0.0)</f>
        <v>0</v>
      </c>
      <c r="C978" s="3">
        <f>IFERROR(__xludf.DUMMYFUNCTION("""COMPUTED_VALUE"""),1.0)</f>
        <v>1</v>
      </c>
    </row>
    <row r="979">
      <c r="A979" s="3">
        <f>IFERROR(__xludf.DUMMYFUNCTION("""COMPUTED_VALUE"""),0.0)</f>
        <v>0</v>
      </c>
      <c r="B979" s="3">
        <f>IFERROR(__xludf.DUMMYFUNCTION("""COMPUTED_VALUE"""),0.0)</f>
        <v>0</v>
      </c>
      <c r="C979" s="3">
        <f>IFERROR(__xludf.DUMMYFUNCTION("""COMPUTED_VALUE"""),1.6099999999999568)</f>
        <v>1.61</v>
      </c>
    </row>
    <row r="980">
      <c r="A980" s="3">
        <f>IFERROR(__xludf.DUMMYFUNCTION("""COMPUTED_VALUE"""),0.0)</f>
        <v>0</v>
      </c>
      <c r="B980" s="3">
        <f>IFERROR(__xludf.DUMMYFUNCTION("""COMPUTED_VALUE"""),0.0)</f>
        <v>0</v>
      </c>
      <c r="C980" s="3">
        <f>IFERROR(__xludf.DUMMYFUNCTION("""COMPUTED_VALUE"""),2.1000000000000227)</f>
        <v>2.1</v>
      </c>
    </row>
    <row r="981">
      <c r="A981" s="3">
        <f>IFERROR(__xludf.DUMMYFUNCTION("""COMPUTED_VALUE"""),0.0)</f>
        <v>0</v>
      </c>
      <c r="B981" s="3">
        <f>IFERROR(__xludf.DUMMYFUNCTION("""COMPUTED_VALUE"""),0.0)</f>
        <v>0</v>
      </c>
      <c r="C981" s="3">
        <f>IFERROR(__xludf.DUMMYFUNCTION("""COMPUTED_VALUE"""),0.19999999999998863)</f>
        <v>0.2</v>
      </c>
    </row>
    <row r="982">
      <c r="A982" s="3">
        <f>IFERROR(__xludf.DUMMYFUNCTION("""COMPUTED_VALUE"""),0.0)</f>
        <v>0</v>
      </c>
      <c r="B982" s="3">
        <f>IFERROR(__xludf.DUMMYFUNCTION("""COMPUTED_VALUE"""),0.0)</f>
        <v>0</v>
      </c>
      <c r="C982" s="3">
        <f>IFERROR(__xludf.DUMMYFUNCTION("""COMPUTED_VALUE"""),1.8000000000000114)</f>
        <v>1.8</v>
      </c>
    </row>
    <row r="983">
      <c r="A983" s="3">
        <f>IFERROR(__xludf.DUMMYFUNCTION("""COMPUTED_VALUE"""),0.0999999999999659)</f>
        <v>0.1</v>
      </c>
      <c r="B983" s="3">
        <f>IFERROR(__xludf.DUMMYFUNCTION("""COMPUTED_VALUE"""),0.20000000000004547)</f>
        <v>0.2</v>
      </c>
      <c r="C983" s="3">
        <f>IFERROR(__xludf.DUMMYFUNCTION("""COMPUTED_VALUE"""),0.39999999999997726)</f>
        <v>0.4</v>
      </c>
    </row>
    <row r="984">
      <c r="A984" s="3">
        <f>IFERROR(__xludf.DUMMYFUNCTION("""COMPUTED_VALUE"""),0.0)</f>
        <v>0</v>
      </c>
      <c r="B984" s="3">
        <f>IFERROR(__xludf.DUMMYFUNCTION("""COMPUTED_VALUE"""),0.0)</f>
        <v>0</v>
      </c>
      <c r="C984" s="3">
        <f>IFERROR(__xludf.DUMMYFUNCTION("""COMPUTED_VALUE"""),1.6000000000000227)</f>
        <v>1.6</v>
      </c>
    </row>
    <row r="985">
      <c r="A985" s="3">
        <f>IFERROR(__xludf.DUMMYFUNCTION("""COMPUTED_VALUE"""),-0.0999999999999659)</f>
        <v>-0.1</v>
      </c>
      <c r="B985" s="3">
        <f>IFERROR(__xludf.DUMMYFUNCTION("""COMPUTED_VALUE"""),-0.10000000000002274)</f>
        <v>-0.1</v>
      </c>
      <c r="C985" s="3">
        <f>IFERROR(__xludf.DUMMYFUNCTION("""COMPUTED_VALUE"""),0.39999999999997726)</f>
        <v>0.4</v>
      </c>
    </row>
    <row r="986">
      <c r="A986" s="3">
        <f>IFERROR(__xludf.DUMMYFUNCTION("""COMPUTED_VALUE"""),-0.10000000000002274)</f>
        <v>-0.1</v>
      </c>
      <c r="B986" s="3">
        <f>IFERROR(__xludf.DUMMYFUNCTION("""COMPUTED_VALUE"""),0.0)</f>
        <v>0</v>
      </c>
      <c r="C986" s="3">
        <f>IFERROR(__xludf.DUMMYFUNCTION("""COMPUTED_VALUE"""),0.30000000000001137)</f>
        <v>0.3</v>
      </c>
    </row>
    <row r="987">
      <c r="A987" s="3">
        <f>IFERROR(__xludf.DUMMYFUNCTION("""COMPUTED_VALUE"""),0.0)</f>
        <v>0</v>
      </c>
      <c r="B987" s="3">
        <f>IFERROR(__xludf.DUMMYFUNCTION("""COMPUTED_VALUE"""),-0.30000000000001137)</f>
        <v>-0.3</v>
      </c>
      <c r="C987" s="3">
        <f>IFERROR(__xludf.DUMMYFUNCTION("""COMPUTED_VALUE"""),0.4000000000000341)</f>
        <v>0.4</v>
      </c>
    </row>
    <row r="988">
      <c r="A988" s="3">
        <f>IFERROR(__xludf.DUMMYFUNCTION("""COMPUTED_VALUE"""),0.10000000000002274)</f>
        <v>0.1</v>
      </c>
      <c r="B988" s="3">
        <f>IFERROR(__xludf.DUMMYFUNCTION("""COMPUTED_VALUE"""),0.10000000000002274)</f>
        <v>0.1</v>
      </c>
      <c r="C988" s="3">
        <f>IFERROR(__xludf.DUMMYFUNCTION("""COMPUTED_VALUE"""),0.5999999999999659)</f>
        <v>0.6</v>
      </c>
    </row>
    <row r="989">
      <c r="A989" s="3">
        <f>IFERROR(__xludf.DUMMYFUNCTION("""COMPUTED_VALUE"""),0.0)</f>
        <v>0</v>
      </c>
      <c r="B989" s="3">
        <f>IFERROR(__xludf.DUMMYFUNCTION("""COMPUTED_VALUE"""),0.0999999999999659)</f>
        <v>0.1</v>
      </c>
      <c r="C989" s="3">
        <f>IFERROR(__xludf.DUMMYFUNCTION("""COMPUTED_VALUE"""),0.5)</f>
        <v>0.5</v>
      </c>
    </row>
    <row r="990">
      <c r="A990" s="3">
        <f>IFERROR(__xludf.DUMMYFUNCTION("""COMPUTED_VALUE"""),0.0999999999999659)</f>
        <v>0.1</v>
      </c>
      <c r="B990" s="3">
        <f>IFERROR(__xludf.DUMMYFUNCTION("""COMPUTED_VALUE"""),0.0)</f>
        <v>0</v>
      </c>
      <c r="C990" s="3">
        <f>IFERROR(__xludf.DUMMYFUNCTION("""COMPUTED_VALUE"""),0.5900000000000318)</f>
        <v>0.59</v>
      </c>
    </row>
    <row r="991">
      <c r="A991" s="3">
        <f>IFERROR(__xludf.DUMMYFUNCTION("""COMPUTED_VALUE"""),0.0)</f>
        <v>0</v>
      </c>
      <c r="B991" s="3">
        <f>IFERROR(__xludf.DUMMYFUNCTION("""COMPUTED_VALUE"""),0.0)</f>
        <v>0</v>
      </c>
      <c r="C991" s="3">
        <f>IFERROR(__xludf.DUMMYFUNCTION("""COMPUTED_VALUE"""),0.7099999999999795)</f>
        <v>0.71</v>
      </c>
    </row>
    <row r="992">
      <c r="A992" s="3">
        <f>IFERROR(__xludf.DUMMYFUNCTION("""COMPUTED_VALUE"""),-0.0999999999999659)</f>
        <v>-0.1</v>
      </c>
      <c r="B992" s="3">
        <f>IFERROR(__xludf.DUMMYFUNCTION("""COMPUTED_VALUE"""),-0.0999999999999659)</f>
        <v>-0.1</v>
      </c>
      <c r="C992" s="3">
        <f>IFERROR(__xludf.DUMMYFUNCTION("""COMPUTED_VALUE"""),1.0)</f>
        <v>1</v>
      </c>
    </row>
    <row r="993">
      <c r="A993" s="3">
        <f>IFERROR(__xludf.DUMMYFUNCTION("""COMPUTED_VALUE"""),-0.10000000000002274)</f>
        <v>-0.1</v>
      </c>
      <c r="B993" s="3">
        <f>IFERROR(__xludf.DUMMYFUNCTION("""COMPUTED_VALUE"""),0.0)</f>
        <v>0</v>
      </c>
      <c r="C993" s="3">
        <f>IFERROR(__xludf.DUMMYFUNCTION("""COMPUTED_VALUE"""),1.7900000000000205)</f>
        <v>1.79</v>
      </c>
    </row>
    <row r="994">
      <c r="A994" s="3">
        <f>IFERROR(__xludf.DUMMYFUNCTION("""COMPUTED_VALUE"""),0.0)</f>
        <v>0</v>
      </c>
      <c r="B994" s="3">
        <f>IFERROR(__xludf.DUMMYFUNCTION("""COMPUTED_VALUE"""),-0.10000000000002274)</f>
        <v>-0.1</v>
      </c>
      <c r="C994" s="3">
        <f>IFERROR(__xludf.DUMMYFUNCTION("""COMPUTED_VALUE"""),0.3100000000000023)</f>
        <v>0.31</v>
      </c>
    </row>
    <row r="995">
      <c r="A995" s="3">
        <f>IFERROR(__xludf.DUMMYFUNCTION("""COMPUTED_VALUE"""),0.0)</f>
        <v>0</v>
      </c>
      <c r="B995" s="3">
        <f>IFERROR(__xludf.DUMMYFUNCTION("""COMPUTED_VALUE"""),0.0)</f>
        <v>0</v>
      </c>
      <c r="C995" s="3">
        <f>IFERROR(__xludf.DUMMYFUNCTION("""COMPUTED_VALUE"""),0.2999999999999545)</f>
        <v>0.3</v>
      </c>
    </row>
    <row r="996">
      <c r="A996" s="3">
        <f>IFERROR(__xludf.DUMMYFUNCTION("""COMPUTED_VALUE"""),0.10000000000002274)</f>
        <v>0.1</v>
      </c>
      <c r="B996" s="3">
        <f>IFERROR(__xludf.DUMMYFUNCTION("""COMPUTED_VALUE"""),0.10000000000002274)</f>
        <v>0.1</v>
      </c>
      <c r="C996" s="3">
        <f>IFERROR(__xludf.DUMMYFUNCTION("""COMPUTED_VALUE"""),0.5)</f>
        <v>0.5</v>
      </c>
    </row>
    <row r="997">
      <c r="A997" s="3">
        <f>IFERROR(__xludf.DUMMYFUNCTION("""COMPUTED_VALUE"""),0.0)</f>
        <v>0</v>
      </c>
      <c r="B997" s="3">
        <f>IFERROR(__xludf.DUMMYFUNCTION("""COMPUTED_VALUE"""),-0.10000000000002274)</f>
        <v>-0.1</v>
      </c>
      <c r="C997" s="3">
        <f>IFERROR(__xludf.DUMMYFUNCTION("""COMPUTED_VALUE"""),0.5)</f>
        <v>0.5</v>
      </c>
    </row>
    <row r="998">
      <c r="A998" s="3">
        <f>IFERROR(__xludf.DUMMYFUNCTION("""COMPUTED_VALUE"""),-0.10000000000002274)</f>
        <v>-0.1</v>
      </c>
      <c r="B998" s="3">
        <f>IFERROR(__xludf.DUMMYFUNCTION("""COMPUTED_VALUE"""),0.10000000000002274)</f>
        <v>0.1</v>
      </c>
      <c r="C998" s="3">
        <f>IFERROR(__xludf.DUMMYFUNCTION("""COMPUTED_VALUE"""),0.7000000000000455)</f>
        <v>0.7</v>
      </c>
    </row>
    <row r="999">
      <c r="A999" s="3">
        <f>IFERROR(__xludf.DUMMYFUNCTION("""COMPUTED_VALUE"""),-0.10000000000002274)</f>
        <v>-0.1</v>
      </c>
      <c r="B999" s="3">
        <f>IFERROR(__xludf.DUMMYFUNCTION("""COMPUTED_VALUE"""),0.0)</f>
        <v>0</v>
      </c>
      <c r="C999" s="3">
        <f>IFERROR(__xludf.DUMMYFUNCTION("""COMPUTED_VALUE"""),0.6899999999999977)</f>
        <v>0.69</v>
      </c>
    </row>
    <row r="1000">
      <c r="A1000" s="3">
        <f>IFERROR(__xludf.DUMMYFUNCTION("""COMPUTED_VALUE"""),-0.0999999999999659)</f>
        <v>-0.1</v>
      </c>
      <c r="B1000" s="3">
        <f>IFERROR(__xludf.DUMMYFUNCTION("""COMPUTED_VALUE"""),-0.30000000000001137)</f>
        <v>-0.3</v>
      </c>
      <c r="C1000" s="3">
        <f>IFERROR(__xludf.DUMMYFUNCTION("""COMPUTED_VALUE"""),1.0)</f>
        <v>1</v>
      </c>
    </row>
    <row r="1001">
      <c r="A1001" s="3">
        <f>IFERROR(__xludf.DUMMYFUNCTION("""COMPUTED_VALUE"""),-0.30000000000001137)</f>
        <v>-0.3</v>
      </c>
      <c r="B1001" s="3">
        <f>IFERROR(__xludf.DUMMYFUNCTION("""COMPUTED_VALUE"""),0.10000000000002274)</f>
        <v>0.1</v>
      </c>
      <c r="C1001" s="3">
        <f>IFERROR(__xludf.DUMMYFUNCTION("""COMPUTED_VALUE"""),1.4099999999999682)</f>
        <v>1.41</v>
      </c>
    </row>
    <row r="1002">
      <c r="A1002" s="3">
        <f>IFERROR(__xludf.DUMMYFUNCTION("""COMPUTED_VALUE"""),0.30000000000001137)</f>
        <v>0.3</v>
      </c>
      <c r="B1002" s="3">
        <f>IFERROR(__xludf.DUMMYFUNCTION("""COMPUTED_VALUE"""),0.19999999999998863)</f>
        <v>0.2</v>
      </c>
      <c r="C1002" s="3">
        <f>IFERROR(__xludf.DUMMYFUNCTION("""COMPUTED_VALUE"""),0.09000000000003183)</f>
        <v>0.09</v>
      </c>
    </row>
    <row r="1003">
      <c r="A1003" s="3">
        <f>IFERROR(__xludf.DUMMYFUNCTION("""COMPUTED_VALUE"""),0.0999999999999659)</f>
        <v>0.1</v>
      </c>
      <c r="B1003" s="3">
        <f>IFERROR(__xludf.DUMMYFUNCTION("""COMPUTED_VALUE"""),0.0999999999999659)</f>
        <v>0.1</v>
      </c>
      <c r="C1003" s="3">
        <f>IFERROR(__xludf.DUMMYFUNCTION("""COMPUTED_VALUE"""),0.3100000000000023)</f>
        <v>0.31</v>
      </c>
    </row>
    <row r="1004">
      <c r="A1004" s="3">
        <f>IFERROR(__xludf.DUMMYFUNCTION("""COMPUTED_VALUE"""),0.0)</f>
        <v>0</v>
      </c>
      <c r="B1004" s="3">
        <f>IFERROR(__xludf.DUMMYFUNCTION("""COMPUTED_VALUE"""),0.0)</f>
        <v>0</v>
      </c>
      <c r="C1004" s="3">
        <f>IFERROR(__xludf.DUMMYFUNCTION("""COMPUTED_VALUE"""),0.5)</f>
        <v>0.5</v>
      </c>
    </row>
    <row r="1005">
      <c r="A1005" s="3">
        <f>IFERROR(__xludf.DUMMYFUNCTION("""COMPUTED_VALUE"""),0.0)</f>
        <v>0</v>
      </c>
      <c r="B1005" s="3">
        <f>IFERROR(__xludf.DUMMYFUNCTION("""COMPUTED_VALUE"""),0.0)</f>
        <v>0</v>
      </c>
      <c r="C1005" s="3">
        <f>IFERROR(__xludf.DUMMYFUNCTION("""COMPUTED_VALUE"""),0.5)</f>
        <v>0.5</v>
      </c>
    </row>
    <row r="1006">
      <c r="A1006" s="3">
        <f>IFERROR(__xludf.DUMMYFUNCTION("""COMPUTED_VALUE"""),0.0)</f>
        <v>0</v>
      </c>
      <c r="B1006" s="3">
        <f>IFERROR(__xludf.DUMMYFUNCTION("""COMPUTED_VALUE"""),0.0)</f>
        <v>0</v>
      </c>
      <c r="C1006" s="3">
        <f>IFERROR(__xludf.DUMMYFUNCTION("""COMPUTED_VALUE"""),0.5)</f>
        <v>0.5</v>
      </c>
    </row>
    <row r="1007">
      <c r="A1007" s="3">
        <f>IFERROR(__xludf.DUMMYFUNCTION("""COMPUTED_VALUE"""),0.0)</f>
        <v>0</v>
      </c>
      <c r="B1007" s="3">
        <f>IFERROR(__xludf.DUMMYFUNCTION("""COMPUTED_VALUE"""),0.0)</f>
        <v>0</v>
      </c>
      <c r="C1007" s="3">
        <f>IFERROR(__xludf.DUMMYFUNCTION("""COMPUTED_VALUE"""),0.5)</f>
        <v>0.5</v>
      </c>
    </row>
    <row r="1008">
      <c r="A1008" s="3">
        <f>IFERROR(__xludf.DUMMYFUNCTION("""COMPUTED_VALUE"""),0.10000000000002274)</f>
        <v>0.1</v>
      </c>
      <c r="B1008" s="3">
        <f>IFERROR(__xludf.DUMMYFUNCTION("""COMPUTED_VALUE"""),-0.0999999999999659)</f>
        <v>-0.1</v>
      </c>
      <c r="C1008" s="3">
        <f>IFERROR(__xludf.DUMMYFUNCTION("""COMPUTED_VALUE"""),0.6899999999999977)</f>
        <v>0.69</v>
      </c>
    </row>
    <row r="1009">
      <c r="A1009" s="3">
        <f>IFERROR(__xludf.DUMMYFUNCTION("""COMPUTED_VALUE"""),0.0)</f>
        <v>0</v>
      </c>
      <c r="B1009" s="3">
        <f>IFERROR(__xludf.DUMMYFUNCTION("""COMPUTED_VALUE"""),0.0)</f>
        <v>0</v>
      </c>
      <c r="C1009" s="3">
        <f>IFERROR(__xludf.DUMMYFUNCTION("""COMPUTED_VALUE"""),1.0)</f>
        <v>1</v>
      </c>
    </row>
    <row r="1010">
      <c r="A1010" s="3">
        <f>IFERROR(__xludf.DUMMYFUNCTION("""COMPUTED_VALUE"""),-0.10000000000002274)</f>
        <v>-0.1</v>
      </c>
      <c r="B1010" s="3">
        <f>IFERROR(__xludf.DUMMYFUNCTION("""COMPUTED_VALUE"""),0.0)</f>
        <v>0</v>
      </c>
      <c r="C1010" s="3">
        <f>IFERROR(__xludf.DUMMYFUNCTION("""COMPUTED_VALUE"""),0.6099999999999568)</f>
        <v>0.61</v>
      </c>
    </row>
    <row r="1011">
      <c r="A1011" s="3">
        <f>IFERROR(__xludf.DUMMYFUNCTION("""COMPUTED_VALUE"""),0.0)</f>
        <v>0</v>
      </c>
      <c r="B1011" s="3">
        <f>IFERROR(__xludf.DUMMYFUNCTION("""COMPUTED_VALUE"""),-0.19999999999998863)</f>
        <v>-0.2</v>
      </c>
      <c r="C1011" s="3">
        <f>IFERROR(__xludf.DUMMYFUNCTION("""COMPUTED_VALUE"""),0.30000000000001137)</f>
        <v>0.3</v>
      </c>
    </row>
    <row r="1012">
      <c r="A1012" s="3">
        <f>IFERROR(__xludf.DUMMYFUNCTION("""COMPUTED_VALUE"""),0.0)</f>
        <v>0</v>
      </c>
      <c r="B1012" s="3">
        <f>IFERROR(__xludf.DUMMYFUNCTION("""COMPUTED_VALUE"""),0.19999999999998863)</f>
        <v>0.2</v>
      </c>
      <c r="C1012" s="3">
        <f>IFERROR(__xludf.DUMMYFUNCTION("""COMPUTED_VALUE"""),0.19999999999998863)</f>
        <v>0.2</v>
      </c>
    </row>
    <row r="1013">
      <c r="A1013" s="3">
        <f>IFERROR(__xludf.DUMMYFUNCTION("""COMPUTED_VALUE"""),-0.0999999999999659)</f>
        <v>-0.1</v>
      </c>
      <c r="B1013" s="3">
        <f>IFERROR(__xludf.DUMMYFUNCTION("""COMPUTED_VALUE"""),-0.10000000000002274)</f>
        <v>-0.1</v>
      </c>
      <c r="C1013" s="3">
        <f>IFERROR(__xludf.DUMMYFUNCTION("""COMPUTED_VALUE"""),0.3900000000000432)</f>
        <v>0.39</v>
      </c>
    </row>
    <row r="1014">
      <c r="A1014" s="3">
        <f>IFERROR(__xludf.DUMMYFUNCTION("""COMPUTED_VALUE"""),0.0)</f>
        <v>0</v>
      </c>
      <c r="B1014" s="3">
        <f>IFERROR(__xludf.DUMMYFUNCTION("""COMPUTED_VALUE"""),0.0)</f>
        <v>0</v>
      </c>
      <c r="C1014" s="3">
        <f>IFERROR(__xludf.DUMMYFUNCTION("""COMPUTED_VALUE"""),0.40999999999996817)</f>
        <v>0.41</v>
      </c>
    </row>
    <row r="1015">
      <c r="A1015" s="3">
        <f>IFERROR(__xludf.DUMMYFUNCTION("""COMPUTED_VALUE"""),0.0)</f>
        <v>0</v>
      </c>
      <c r="B1015" s="3">
        <f>IFERROR(__xludf.DUMMYFUNCTION("""COMPUTED_VALUE"""),0.0)</f>
        <v>0</v>
      </c>
      <c r="C1015" s="3">
        <f>IFERROR(__xludf.DUMMYFUNCTION("""COMPUTED_VALUE"""),0.5)</f>
        <v>0.5</v>
      </c>
    </row>
    <row r="1016">
      <c r="A1016" s="3">
        <f>IFERROR(__xludf.DUMMYFUNCTION("""COMPUTED_VALUE"""),0.0999999999999659)</f>
        <v>0.1</v>
      </c>
      <c r="B1016" s="3">
        <f>IFERROR(__xludf.DUMMYFUNCTION("""COMPUTED_VALUE"""),0.10000000000002274)</f>
        <v>0.1</v>
      </c>
      <c r="C1016" s="3">
        <f>IFERROR(__xludf.DUMMYFUNCTION("""COMPUTED_VALUE"""),0.19999999999998863)</f>
        <v>0.2</v>
      </c>
    </row>
    <row r="1017">
      <c r="A1017" s="3">
        <f>IFERROR(__xludf.DUMMYFUNCTION("""COMPUTED_VALUE"""),0.0)</f>
        <v>0</v>
      </c>
      <c r="B1017" s="3">
        <f>IFERROR(__xludf.DUMMYFUNCTION("""COMPUTED_VALUE"""),0.0)</f>
        <v>0</v>
      </c>
      <c r="C1017" s="3">
        <f>IFERROR(__xludf.DUMMYFUNCTION("""COMPUTED_VALUE"""),0.6000000000000227)</f>
        <v>0.6</v>
      </c>
    </row>
    <row r="1018">
      <c r="A1018" s="3">
        <f>IFERROR(__xludf.DUMMYFUNCTION("""COMPUTED_VALUE"""),0.0)</f>
        <v>0</v>
      </c>
      <c r="B1018" s="3">
        <f>IFERROR(__xludf.DUMMYFUNCTION("""COMPUTED_VALUE"""),0.0)</f>
        <v>0</v>
      </c>
      <c r="C1018" s="3">
        <f>IFERROR(__xludf.DUMMYFUNCTION("""COMPUTED_VALUE"""),0.5)</f>
        <v>0.5</v>
      </c>
    </row>
    <row r="1019">
      <c r="A1019" s="3">
        <f>IFERROR(__xludf.DUMMYFUNCTION("""COMPUTED_VALUE"""),-0.0999999999999659)</f>
        <v>-0.1</v>
      </c>
      <c r="B1019" s="3">
        <f>IFERROR(__xludf.DUMMYFUNCTION("""COMPUTED_VALUE"""),0.0)</f>
        <v>0</v>
      </c>
      <c r="C1019" s="3">
        <f>IFERROR(__xludf.DUMMYFUNCTION("""COMPUTED_VALUE"""),0.5)</f>
        <v>0.5</v>
      </c>
    </row>
    <row r="1020">
      <c r="A1020" s="3">
        <f>IFERROR(__xludf.DUMMYFUNCTION("""COMPUTED_VALUE"""),0.0)</f>
        <v>0</v>
      </c>
      <c r="B1020" s="3">
        <f>IFERROR(__xludf.DUMMYFUNCTION("""COMPUTED_VALUE"""),-0.10000000000002274)</f>
        <v>-0.1</v>
      </c>
      <c r="C1020" s="3">
        <f>IFERROR(__xludf.DUMMYFUNCTION("""COMPUTED_VALUE"""),0.0)</f>
        <v>0</v>
      </c>
    </row>
    <row r="1021">
      <c r="A1021" s="3">
        <f>IFERROR(__xludf.DUMMYFUNCTION("""COMPUTED_VALUE"""),0.0999999999999659)</f>
        <v>0.1</v>
      </c>
      <c r="B1021" s="3">
        <f>IFERROR(__xludf.DUMMYFUNCTION("""COMPUTED_VALUE"""),0.0)</f>
        <v>0</v>
      </c>
      <c r="C1021" s="3">
        <f>IFERROR(__xludf.DUMMYFUNCTION("""COMPUTED_VALUE"""),0.19999999999998863)</f>
        <v>0.2</v>
      </c>
    </row>
    <row r="1022">
      <c r="A1022" s="3">
        <f>IFERROR(__xludf.DUMMYFUNCTION("""COMPUTED_VALUE"""),-0.0999999999999659)</f>
        <v>-0.1</v>
      </c>
      <c r="B1022" s="3">
        <f>IFERROR(__xludf.DUMMYFUNCTION("""COMPUTED_VALUE"""),0.10000000000002274)</f>
        <v>0.1</v>
      </c>
      <c r="C1022" s="3">
        <f>IFERROR(__xludf.DUMMYFUNCTION("""COMPUTED_VALUE"""),0.19999999999998863)</f>
        <v>0.2</v>
      </c>
    </row>
    <row r="1023">
      <c r="A1023" s="3">
        <f>IFERROR(__xludf.DUMMYFUNCTION("""COMPUTED_VALUE"""),0.0)</f>
        <v>0</v>
      </c>
      <c r="B1023" s="3">
        <f>IFERROR(__xludf.DUMMYFUNCTION("""COMPUTED_VALUE"""),0.0999999999999659)</f>
        <v>0.1</v>
      </c>
      <c r="C1023" s="3">
        <f>IFERROR(__xludf.DUMMYFUNCTION("""COMPUTED_VALUE"""),0.3900000000000432)</f>
        <v>0.39</v>
      </c>
    </row>
    <row r="1024">
      <c r="A1024" s="3">
        <f>IFERROR(__xludf.DUMMYFUNCTION("""COMPUTED_VALUE"""),0.0)</f>
        <v>0</v>
      </c>
      <c r="B1024" s="3">
        <f>IFERROR(__xludf.DUMMYFUNCTION("""COMPUTED_VALUE"""),0.0)</f>
        <v>0</v>
      </c>
      <c r="C1024" s="3">
        <f>IFERROR(__xludf.DUMMYFUNCTION("""COMPUTED_VALUE"""),0.5)</f>
        <v>0.5</v>
      </c>
    </row>
    <row r="1025">
      <c r="A1025" s="3">
        <f>IFERROR(__xludf.DUMMYFUNCTION("""COMPUTED_VALUE"""),-0.10000000000002274)</f>
        <v>-0.1</v>
      </c>
      <c r="B1025" s="3">
        <f>IFERROR(__xludf.DUMMYFUNCTION("""COMPUTED_VALUE"""),-0.0999999999999659)</f>
        <v>-0.1</v>
      </c>
      <c r="C1025" s="3">
        <f>IFERROR(__xludf.DUMMYFUNCTION("""COMPUTED_VALUE"""),0.7099999999999795)</f>
        <v>0.71</v>
      </c>
    </row>
    <row r="1026">
      <c r="A1026" s="3">
        <f>IFERROR(__xludf.DUMMYFUNCTION("""COMPUTED_VALUE"""),0.10000000000002274)</f>
        <v>0.1</v>
      </c>
      <c r="B1026" s="3">
        <f>IFERROR(__xludf.DUMMYFUNCTION("""COMPUTED_VALUE"""),0.0)</f>
        <v>0</v>
      </c>
      <c r="C1026" s="3">
        <f>IFERROR(__xludf.DUMMYFUNCTION("""COMPUTED_VALUE"""),0.5)</f>
        <v>0.5</v>
      </c>
    </row>
    <row r="1027">
      <c r="A1027" s="3">
        <f>IFERROR(__xludf.DUMMYFUNCTION("""COMPUTED_VALUE"""),0.0999999999999659)</f>
        <v>0.1</v>
      </c>
      <c r="B1027" s="3">
        <f>IFERROR(__xludf.DUMMYFUNCTION("""COMPUTED_VALUE"""),0.0)</f>
        <v>0</v>
      </c>
      <c r="C1027" s="3">
        <f>IFERROR(__xludf.DUMMYFUNCTION("""COMPUTED_VALUE"""),1.1000000000000227)</f>
        <v>1.1</v>
      </c>
    </row>
    <row r="1028">
      <c r="A1028" s="3">
        <f>IFERROR(__xludf.DUMMYFUNCTION("""COMPUTED_VALUE"""),-0.0999999999999659)</f>
        <v>-0.1</v>
      </c>
      <c r="B1028" s="3">
        <f>IFERROR(__xludf.DUMMYFUNCTION("""COMPUTED_VALUE"""),0.0)</f>
        <v>0</v>
      </c>
      <c r="C1028" s="3">
        <f>IFERROR(__xludf.DUMMYFUNCTION("""COMPUTED_VALUE"""),0.0999999999999659)</f>
        <v>0.1</v>
      </c>
    </row>
    <row r="1029">
      <c r="A1029" s="3">
        <f>IFERROR(__xludf.DUMMYFUNCTION("""COMPUTED_VALUE"""),-0.10000000000002274)</f>
        <v>-0.1</v>
      </c>
      <c r="B1029" s="3">
        <f>IFERROR(__xludf.DUMMYFUNCTION("""COMPUTED_VALUE"""),0.0)</f>
        <v>0</v>
      </c>
      <c r="C1029" s="3">
        <f>IFERROR(__xludf.DUMMYFUNCTION("""COMPUTED_VALUE"""),0.09000000000003183)</f>
        <v>0.09</v>
      </c>
    </row>
    <row r="1030">
      <c r="A1030" s="3">
        <f>IFERROR(__xludf.DUMMYFUNCTION("""COMPUTED_VALUE"""),0.0)</f>
        <v>0</v>
      </c>
      <c r="B1030" s="3">
        <f>IFERROR(__xludf.DUMMYFUNCTION("""COMPUTED_VALUE"""),-0.10000000000002274)</f>
        <v>-0.1</v>
      </c>
      <c r="C1030" s="3">
        <f>IFERROR(__xludf.DUMMYFUNCTION("""COMPUTED_VALUE"""),0.3100000000000023)</f>
        <v>0.31</v>
      </c>
    </row>
    <row r="1031">
      <c r="A1031" s="3">
        <f>IFERROR(__xludf.DUMMYFUNCTION("""COMPUTED_VALUE"""),0.10000000000002274)</f>
        <v>0.1</v>
      </c>
      <c r="B1031" s="3">
        <f>IFERROR(__xludf.DUMMYFUNCTION("""COMPUTED_VALUE"""),0.0)</f>
        <v>0</v>
      </c>
      <c r="C1031" s="3">
        <f>IFERROR(__xludf.DUMMYFUNCTION("""COMPUTED_VALUE"""),0.5)</f>
        <v>0.5</v>
      </c>
    </row>
    <row r="1032">
      <c r="A1032" s="3">
        <f>IFERROR(__xludf.DUMMYFUNCTION("""COMPUTED_VALUE"""),0.0)</f>
        <v>0</v>
      </c>
      <c r="B1032" s="3">
        <f>IFERROR(__xludf.DUMMYFUNCTION("""COMPUTED_VALUE"""),-0.0999999999999659)</f>
        <v>-0.1</v>
      </c>
      <c r="C1032" s="3">
        <f>IFERROR(__xludf.DUMMYFUNCTION("""COMPUTED_VALUE"""),0.7999999999999545)</f>
        <v>0.8</v>
      </c>
    </row>
    <row r="1033">
      <c r="A1033" s="3">
        <f>IFERROR(__xludf.DUMMYFUNCTION("""COMPUTED_VALUE"""),0.0)</f>
        <v>0</v>
      </c>
      <c r="B1033" s="3">
        <f>IFERROR(__xludf.DUMMYFUNCTION("""COMPUTED_VALUE"""),0.0)</f>
        <v>0</v>
      </c>
      <c r="C1033" s="3">
        <f>IFERROR(__xludf.DUMMYFUNCTION("""COMPUTED_VALUE"""),1.3900000000000432)</f>
        <v>1.39</v>
      </c>
    </row>
    <row r="1034">
      <c r="A1034" s="3">
        <f>IFERROR(__xludf.DUMMYFUNCTION("""COMPUTED_VALUE"""),0.0)</f>
        <v>0</v>
      </c>
      <c r="B1034" s="3">
        <f>IFERROR(__xludf.DUMMYFUNCTION("""COMPUTED_VALUE"""),0.0)</f>
        <v>0</v>
      </c>
      <c r="C1034" s="3">
        <f>IFERROR(__xludf.DUMMYFUNCTION("""COMPUTED_VALUE"""),0.3100000000000023)</f>
        <v>0.31</v>
      </c>
    </row>
    <row r="1035">
      <c r="A1035" s="3">
        <f>IFERROR(__xludf.DUMMYFUNCTION("""COMPUTED_VALUE"""),0.0)</f>
        <v>0</v>
      </c>
      <c r="B1035" s="3">
        <f>IFERROR(__xludf.DUMMYFUNCTION("""COMPUTED_VALUE"""),0.19999999999998863)</f>
        <v>0.2</v>
      </c>
      <c r="C1035" s="3">
        <f>IFERROR(__xludf.DUMMYFUNCTION("""COMPUTED_VALUE"""),0.2999999999999545)</f>
        <v>0.3</v>
      </c>
    </row>
    <row r="1036">
      <c r="A1036" s="3">
        <f>IFERROR(__xludf.DUMMYFUNCTION("""COMPUTED_VALUE"""),0.0)</f>
        <v>0</v>
      </c>
      <c r="B1036" s="3">
        <f>IFERROR(__xludf.DUMMYFUNCTION("""COMPUTED_VALUE"""),0.0)</f>
        <v>0</v>
      </c>
      <c r="C1036" s="3">
        <f>IFERROR(__xludf.DUMMYFUNCTION("""COMPUTED_VALUE"""),0.3900000000000432)</f>
        <v>0.39</v>
      </c>
    </row>
    <row r="1037">
      <c r="A1037" s="3">
        <f>IFERROR(__xludf.DUMMYFUNCTION("""COMPUTED_VALUE"""),0.0)</f>
        <v>0</v>
      </c>
      <c r="B1037" s="3">
        <f>IFERROR(__xludf.DUMMYFUNCTION("""COMPUTED_VALUE"""),-0.19999999999998863)</f>
        <v>-0.2</v>
      </c>
      <c r="C1037" s="3">
        <f>IFERROR(__xludf.DUMMYFUNCTION("""COMPUTED_VALUE"""),0.7099999999999795)</f>
        <v>0.71</v>
      </c>
    </row>
    <row r="1038">
      <c r="A1038" s="3">
        <f>IFERROR(__xludf.DUMMYFUNCTION("""COMPUTED_VALUE"""),0.0)</f>
        <v>0</v>
      </c>
      <c r="B1038" s="3">
        <f>IFERROR(__xludf.DUMMYFUNCTION("""COMPUTED_VALUE"""),0.0999999999999659)</f>
        <v>0.1</v>
      </c>
      <c r="C1038" s="3">
        <f>IFERROR(__xludf.DUMMYFUNCTION("""COMPUTED_VALUE"""),0.19999999999998863)</f>
        <v>0.2</v>
      </c>
    </row>
    <row r="1039">
      <c r="A1039" s="3">
        <f>IFERROR(__xludf.DUMMYFUNCTION("""COMPUTED_VALUE"""),0.0)</f>
        <v>0</v>
      </c>
      <c r="B1039" s="3">
        <f>IFERROR(__xludf.DUMMYFUNCTION("""COMPUTED_VALUE"""),0.0)</f>
        <v>0</v>
      </c>
      <c r="C1039" s="3">
        <f>IFERROR(__xludf.DUMMYFUNCTION("""COMPUTED_VALUE"""),0.9000000000000341)</f>
        <v>0.9</v>
      </c>
    </row>
    <row r="1040">
      <c r="A1040" s="3">
        <f>IFERROR(__xludf.DUMMYFUNCTION("""COMPUTED_VALUE"""),-0.10000000000002274)</f>
        <v>-0.1</v>
      </c>
      <c r="B1040" s="3">
        <f>IFERROR(__xludf.DUMMYFUNCTION("""COMPUTED_VALUE"""),0.10000000000002274)</f>
        <v>0.1</v>
      </c>
      <c r="C1040" s="3">
        <f>IFERROR(__xludf.DUMMYFUNCTION("""COMPUTED_VALUE"""),1.599999999999966)</f>
        <v>1.6</v>
      </c>
    </row>
    <row r="1041">
      <c r="A1041" s="3">
        <f>IFERROR(__xludf.DUMMYFUNCTION("""COMPUTED_VALUE"""),0.0)</f>
        <v>0</v>
      </c>
      <c r="B1041" s="3">
        <f>IFERROR(__xludf.DUMMYFUNCTION("""COMPUTED_VALUE"""),0.0)</f>
        <v>0</v>
      </c>
      <c r="C1041" s="3">
        <f>IFERROR(__xludf.DUMMYFUNCTION("""COMPUTED_VALUE"""),0.10000000000002274)</f>
        <v>0.1</v>
      </c>
    </row>
    <row r="1042">
      <c r="A1042" s="3">
        <f>IFERROR(__xludf.DUMMYFUNCTION("""COMPUTED_VALUE"""),0.0)</f>
        <v>0</v>
      </c>
      <c r="B1042" s="3">
        <f>IFERROR(__xludf.DUMMYFUNCTION("""COMPUTED_VALUE"""),0.0)</f>
        <v>0</v>
      </c>
      <c r="C1042" s="3">
        <f>IFERROR(__xludf.DUMMYFUNCTION("""COMPUTED_VALUE"""),0.0)</f>
        <v>0</v>
      </c>
    </row>
    <row r="1043">
      <c r="A1043" s="3">
        <f>IFERROR(__xludf.DUMMYFUNCTION("""COMPUTED_VALUE"""),0.0)</f>
        <v>0</v>
      </c>
      <c r="B1043" s="3">
        <f>IFERROR(__xludf.DUMMYFUNCTION("""COMPUTED_VALUE"""),0.0)</f>
        <v>0</v>
      </c>
      <c r="C1043" s="3">
        <f>IFERROR(__xludf.DUMMYFUNCTION("""COMPUTED_VALUE"""),0.39999999999997726)</f>
        <v>0.4</v>
      </c>
    </row>
    <row r="1044">
      <c r="A1044" s="3">
        <f>IFERROR(__xludf.DUMMYFUNCTION("""COMPUTED_VALUE"""),-0.19999999999998863)</f>
        <v>-0.2</v>
      </c>
      <c r="B1044" s="3">
        <f>IFERROR(__xludf.DUMMYFUNCTION("""COMPUTED_VALUE"""),-0.10000000000002274)</f>
        <v>-0.1</v>
      </c>
      <c r="C1044" s="3">
        <f>IFERROR(__xludf.DUMMYFUNCTION("""COMPUTED_VALUE"""),0.6000000000000227)</f>
        <v>0.6</v>
      </c>
    </row>
    <row r="1045">
      <c r="A1045" s="3">
        <f>IFERROR(__xludf.DUMMYFUNCTION("""COMPUTED_VALUE"""),0.19999999999998863)</f>
        <v>0.2</v>
      </c>
      <c r="B1045" s="3">
        <f>IFERROR(__xludf.DUMMYFUNCTION("""COMPUTED_VALUE"""),0.0)</f>
        <v>0</v>
      </c>
      <c r="C1045" s="3">
        <f>IFERROR(__xludf.DUMMYFUNCTION("""COMPUTED_VALUE"""),0.6999999999999886)</f>
        <v>0.7</v>
      </c>
    </row>
    <row r="1046">
      <c r="A1046" s="3">
        <f>IFERROR(__xludf.DUMMYFUNCTION("""COMPUTED_VALUE"""),0.0)</f>
        <v>0</v>
      </c>
      <c r="B1046" s="3">
        <f>IFERROR(__xludf.DUMMYFUNCTION("""COMPUTED_VALUE"""),0.0)</f>
        <v>0</v>
      </c>
      <c r="C1046" s="3">
        <f>IFERROR(__xludf.DUMMYFUNCTION("""COMPUTED_VALUE"""),1.3000000000000114)</f>
        <v>1.3</v>
      </c>
    </row>
    <row r="1047">
      <c r="A1047" s="3">
        <f>IFERROR(__xludf.DUMMYFUNCTION("""COMPUTED_VALUE"""),0.10000000000002274)</f>
        <v>0.1</v>
      </c>
      <c r="B1047" s="3">
        <f>IFERROR(__xludf.DUMMYFUNCTION("""COMPUTED_VALUE"""),-0.0999999999999659)</f>
        <v>-0.1</v>
      </c>
      <c r="C1047" s="3">
        <f>IFERROR(__xludf.DUMMYFUNCTION("""COMPUTED_VALUE"""),0.39999999999997726)</f>
        <v>0.4</v>
      </c>
    </row>
    <row r="1048">
      <c r="A1048" s="3">
        <f>IFERROR(__xludf.DUMMYFUNCTION("""COMPUTED_VALUE"""),-0.10000000000002274)</f>
        <v>-0.1</v>
      </c>
      <c r="B1048" s="3">
        <f>IFERROR(__xludf.DUMMYFUNCTION("""COMPUTED_VALUE"""),0.0)</f>
        <v>0</v>
      </c>
      <c r="C1048" s="3">
        <f>IFERROR(__xludf.DUMMYFUNCTION("""COMPUTED_VALUE"""),1.1999999999999886)</f>
        <v>1.2</v>
      </c>
    </row>
    <row r="1049">
      <c r="A1049" s="3">
        <f>IFERROR(__xludf.DUMMYFUNCTION("""COMPUTED_VALUE"""),0.10000000000002274)</f>
        <v>0.1</v>
      </c>
      <c r="B1049" s="3">
        <f>IFERROR(__xludf.DUMMYFUNCTION("""COMPUTED_VALUE"""),0.0)</f>
        <v>0</v>
      </c>
      <c r="C1049" s="3">
        <f>IFERROR(__xludf.DUMMYFUNCTION("""COMPUTED_VALUE"""),0.4000000000000341)</f>
        <v>0.4</v>
      </c>
    </row>
    <row r="1050">
      <c r="A1050" s="3">
        <f>IFERROR(__xludf.DUMMYFUNCTION("""COMPUTED_VALUE"""),0.0)</f>
        <v>0</v>
      </c>
      <c r="B1050" s="3">
        <f>IFERROR(__xludf.DUMMYFUNCTION("""COMPUTED_VALUE"""),-0.20000000000004547)</f>
        <v>-0.2</v>
      </c>
      <c r="C1050" s="3">
        <f>IFERROR(__xludf.DUMMYFUNCTION("""COMPUTED_VALUE"""),0.8000000000000114)</f>
        <v>0.8</v>
      </c>
    </row>
    <row r="1051">
      <c r="A1051" s="3">
        <f>IFERROR(__xludf.DUMMYFUNCTION("""COMPUTED_VALUE"""),-0.10000000000002274)</f>
        <v>-0.1</v>
      </c>
      <c r="B1051" s="3">
        <f>IFERROR(__xludf.DUMMYFUNCTION("""COMPUTED_VALUE"""),0.0)</f>
        <v>0</v>
      </c>
      <c r="C1051" s="3">
        <f>IFERROR(__xludf.DUMMYFUNCTION("""COMPUTED_VALUE"""),0.5999999999999659)</f>
        <v>0.6</v>
      </c>
    </row>
    <row r="1052">
      <c r="A1052" s="3">
        <f>IFERROR(__xludf.DUMMYFUNCTION("""COMPUTED_VALUE"""),0.0)</f>
        <v>0</v>
      </c>
      <c r="B1052" s="3">
        <f>IFERROR(__xludf.DUMMYFUNCTION("""COMPUTED_VALUE"""),0.20000000000004547)</f>
        <v>0.2</v>
      </c>
      <c r="C1052" s="3">
        <f>IFERROR(__xludf.DUMMYFUNCTION("""COMPUTED_VALUE"""),0.4000000000000341)</f>
        <v>0.4</v>
      </c>
    </row>
    <row r="1053">
      <c r="A1053" s="3">
        <f>IFERROR(__xludf.DUMMYFUNCTION("""COMPUTED_VALUE"""),0.0)</f>
        <v>0</v>
      </c>
      <c r="B1053" s="3">
        <f>IFERROR(__xludf.DUMMYFUNCTION("""COMPUTED_VALUE"""),0.0999999999999659)</f>
        <v>0.1</v>
      </c>
      <c r="C1053" s="3">
        <f>IFERROR(__xludf.DUMMYFUNCTION("""COMPUTED_VALUE"""),0.2999999999999545)</f>
        <v>0.3</v>
      </c>
    </row>
    <row r="1054">
      <c r="A1054" s="3">
        <f>IFERROR(__xludf.DUMMYFUNCTION("""COMPUTED_VALUE"""),0.0)</f>
        <v>0</v>
      </c>
      <c r="B1054" s="3">
        <f>IFERROR(__xludf.DUMMYFUNCTION("""COMPUTED_VALUE"""),0.0)</f>
        <v>0</v>
      </c>
      <c r="C1054" s="3">
        <f>IFERROR(__xludf.DUMMYFUNCTION("""COMPUTED_VALUE"""),0.20000000000004547)</f>
        <v>0.2</v>
      </c>
    </row>
    <row r="1055">
      <c r="A1055" s="3">
        <f>IFERROR(__xludf.DUMMYFUNCTION("""COMPUTED_VALUE"""),0.0)</f>
        <v>0</v>
      </c>
      <c r="B1055" s="3">
        <f>IFERROR(__xludf.DUMMYFUNCTION("""COMPUTED_VALUE"""),-0.0999999999999659)</f>
        <v>-0.1</v>
      </c>
      <c r="C1055" s="3">
        <f>IFERROR(__xludf.DUMMYFUNCTION("""COMPUTED_VALUE"""),0.39999999999997726)</f>
        <v>0.4</v>
      </c>
    </row>
    <row r="1056">
      <c r="A1056" s="3">
        <f>IFERROR(__xludf.DUMMYFUNCTION("""COMPUTED_VALUE"""),0.0)</f>
        <v>0</v>
      </c>
      <c r="B1056" s="3">
        <f>IFERROR(__xludf.DUMMYFUNCTION("""COMPUTED_VALUE"""),-0.10000000000002274)</f>
        <v>-0.1</v>
      </c>
      <c r="C1056" s="3">
        <f>IFERROR(__xludf.DUMMYFUNCTION("""COMPUTED_VALUE"""),0.19999999999998863)</f>
        <v>0.2</v>
      </c>
    </row>
    <row r="1057">
      <c r="A1057" s="3">
        <f>IFERROR(__xludf.DUMMYFUNCTION("""COMPUTED_VALUE"""),0.0)</f>
        <v>0</v>
      </c>
      <c r="B1057" s="3">
        <f>IFERROR(__xludf.DUMMYFUNCTION("""COMPUTED_VALUE"""),0.0)</f>
        <v>0</v>
      </c>
      <c r="C1057" s="3">
        <f>IFERROR(__xludf.DUMMYFUNCTION("""COMPUTED_VALUE"""),0.6000000000000227)</f>
        <v>0.6</v>
      </c>
    </row>
    <row r="1058">
      <c r="A1058" s="3">
        <f>IFERROR(__xludf.DUMMYFUNCTION("""COMPUTED_VALUE"""),0.0)</f>
        <v>0</v>
      </c>
      <c r="B1058" s="3">
        <f>IFERROR(__xludf.DUMMYFUNCTION("""COMPUTED_VALUE"""),0.0)</f>
        <v>0</v>
      </c>
      <c r="C1058" s="3">
        <f>IFERROR(__xludf.DUMMYFUNCTION("""COMPUTED_VALUE"""),0.39999999999997726)</f>
        <v>0.4</v>
      </c>
    </row>
    <row r="1059">
      <c r="A1059" s="3">
        <f>IFERROR(__xludf.DUMMYFUNCTION("""COMPUTED_VALUE"""),0.0)</f>
        <v>0</v>
      </c>
      <c r="B1059" s="3">
        <f>IFERROR(__xludf.DUMMYFUNCTION("""COMPUTED_VALUE"""),0.0)</f>
        <v>0</v>
      </c>
      <c r="C1059" s="3">
        <f>IFERROR(__xludf.DUMMYFUNCTION("""COMPUTED_VALUE"""),0.30000000000001137)</f>
        <v>0.3</v>
      </c>
    </row>
    <row r="1060">
      <c r="A1060" s="3">
        <f>IFERROR(__xludf.DUMMYFUNCTION("""COMPUTED_VALUE"""),0.0)</f>
        <v>0</v>
      </c>
      <c r="B1060" s="3">
        <f>IFERROR(__xludf.DUMMYFUNCTION("""COMPUTED_VALUE"""),0.0)</f>
        <v>0</v>
      </c>
      <c r="C1060" s="3">
        <f>IFERROR(__xludf.DUMMYFUNCTION("""COMPUTED_VALUE"""),0.39999999999997726)</f>
        <v>0.4</v>
      </c>
    </row>
    <row r="1061">
      <c r="A1061" s="3">
        <f>IFERROR(__xludf.DUMMYFUNCTION("""COMPUTED_VALUE"""),0.0)</f>
        <v>0</v>
      </c>
      <c r="B1061" s="3">
        <f>IFERROR(__xludf.DUMMYFUNCTION("""COMPUTED_VALUE"""),0.19999999999998863)</f>
        <v>0.2</v>
      </c>
      <c r="C1061" s="3">
        <f>IFERROR(__xludf.DUMMYFUNCTION("""COMPUTED_VALUE"""),0.6000000000000227)</f>
        <v>0.6</v>
      </c>
    </row>
    <row r="1062">
      <c r="A1062" s="3">
        <f>IFERROR(__xludf.DUMMYFUNCTION("""COMPUTED_VALUE"""),0.0)</f>
        <v>0</v>
      </c>
      <c r="B1062" s="3">
        <f>IFERROR(__xludf.DUMMYFUNCTION("""COMPUTED_VALUE"""),0.0)</f>
        <v>0</v>
      </c>
      <c r="C1062" s="3">
        <f>IFERROR(__xludf.DUMMYFUNCTION("""COMPUTED_VALUE"""),0.19999999999998863)</f>
        <v>0.2</v>
      </c>
    </row>
    <row r="1063">
      <c r="A1063" s="3">
        <f>IFERROR(__xludf.DUMMYFUNCTION("""COMPUTED_VALUE"""),0.0)</f>
        <v>0</v>
      </c>
      <c r="B1063" s="3">
        <f>IFERROR(__xludf.DUMMYFUNCTION("""COMPUTED_VALUE"""),-0.0999999999999659)</f>
        <v>-0.1</v>
      </c>
      <c r="C1063" s="3">
        <f>IFERROR(__xludf.DUMMYFUNCTION("""COMPUTED_VALUE"""),0.4000000000000341)</f>
        <v>0.4</v>
      </c>
    </row>
    <row r="1064">
      <c r="A1064" s="3">
        <f>IFERROR(__xludf.DUMMYFUNCTION("""COMPUTED_VALUE"""),0.0)</f>
        <v>0</v>
      </c>
      <c r="B1064" s="3">
        <f>IFERROR(__xludf.DUMMYFUNCTION("""COMPUTED_VALUE"""),0.0)</f>
        <v>0</v>
      </c>
      <c r="C1064" s="3">
        <f>IFERROR(__xludf.DUMMYFUNCTION("""COMPUTED_VALUE"""),0.39999999999997726)</f>
        <v>0.4</v>
      </c>
    </row>
    <row r="1065">
      <c r="A1065" s="3">
        <f>IFERROR(__xludf.DUMMYFUNCTION("""COMPUTED_VALUE"""),0.0)</f>
        <v>0</v>
      </c>
      <c r="B1065" s="3">
        <f>IFERROR(__xludf.DUMMYFUNCTION("""COMPUTED_VALUE"""),0.0)</f>
        <v>0</v>
      </c>
      <c r="C1065" s="3">
        <f>IFERROR(__xludf.DUMMYFUNCTION("""COMPUTED_VALUE"""),0.39999999999997726)</f>
        <v>0.4</v>
      </c>
    </row>
    <row r="1066">
      <c r="A1066" s="3">
        <f>IFERROR(__xludf.DUMMYFUNCTION("""COMPUTED_VALUE"""),0.0)</f>
        <v>0</v>
      </c>
      <c r="B1066" s="3">
        <f>IFERROR(__xludf.DUMMYFUNCTION("""COMPUTED_VALUE"""),0.0)</f>
        <v>0</v>
      </c>
      <c r="C1066" s="3">
        <f>IFERROR(__xludf.DUMMYFUNCTION("""COMPUTED_VALUE"""),0.30000000000001137)</f>
        <v>0.3</v>
      </c>
    </row>
    <row r="1067">
      <c r="A1067" s="3">
        <f>IFERROR(__xludf.DUMMYFUNCTION("""COMPUTED_VALUE"""),0.0)</f>
        <v>0</v>
      </c>
      <c r="B1067" s="3">
        <f>IFERROR(__xludf.DUMMYFUNCTION("""COMPUTED_VALUE"""),0.0999999999999659)</f>
        <v>0.1</v>
      </c>
      <c r="C1067" s="3">
        <f>IFERROR(__xludf.DUMMYFUNCTION("""COMPUTED_VALUE"""),0.5)</f>
        <v>0.5</v>
      </c>
    </row>
    <row r="1068">
      <c r="A1068" s="3">
        <f>IFERROR(__xludf.DUMMYFUNCTION("""COMPUTED_VALUE"""),0.0)</f>
        <v>0</v>
      </c>
      <c r="B1068" s="3">
        <f>IFERROR(__xludf.DUMMYFUNCTION("""COMPUTED_VALUE"""),0.0)</f>
        <v>0</v>
      </c>
      <c r="C1068" s="3">
        <f>IFERROR(__xludf.DUMMYFUNCTION("""COMPUTED_VALUE"""),0.10000000000002274)</f>
        <v>0.1</v>
      </c>
    </row>
    <row r="1069">
      <c r="A1069" s="3">
        <f>IFERROR(__xludf.DUMMYFUNCTION("""COMPUTED_VALUE"""),0.0)</f>
        <v>0</v>
      </c>
      <c r="B1069" s="3">
        <f>IFERROR(__xludf.DUMMYFUNCTION("""COMPUTED_VALUE"""),0.0)</f>
        <v>0</v>
      </c>
      <c r="C1069" s="3">
        <f>IFERROR(__xludf.DUMMYFUNCTION("""COMPUTED_VALUE"""),0.39999999999997726)</f>
        <v>0.4</v>
      </c>
    </row>
    <row r="1070">
      <c r="A1070" s="3">
        <f>IFERROR(__xludf.DUMMYFUNCTION("""COMPUTED_VALUE"""),0.0)</f>
        <v>0</v>
      </c>
      <c r="B1070" s="3">
        <f>IFERROR(__xludf.DUMMYFUNCTION("""COMPUTED_VALUE"""),0.0)</f>
        <v>0</v>
      </c>
      <c r="C1070" s="3">
        <f>IFERROR(__xludf.DUMMYFUNCTION("""COMPUTED_VALUE"""),0.30000000000001137)</f>
        <v>0.3</v>
      </c>
    </row>
    <row r="1071">
      <c r="A1071" s="3">
        <f>IFERROR(__xludf.DUMMYFUNCTION("""COMPUTED_VALUE"""),0.0)</f>
        <v>0</v>
      </c>
      <c r="B1071" s="3">
        <f>IFERROR(__xludf.DUMMYFUNCTION("""COMPUTED_VALUE"""),-0.0999999999999659)</f>
        <v>-0.1</v>
      </c>
      <c r="C1071" s="3">
        <f>IFERROR(__xludf.DUMMYFUNCTION("""COMPUTED_VALUE"""),0.0)</f>
        <v>0</v>
      </c>
    </row>
    <row r="1072">
      <c r="A1072" s="3">
        <f>IFERROR(__xludf.DUMMYFUNCTION("""COMPUTED_VALUE"""),0.0)</f>
        <v>0</v>
      </c>
      <c r="B1072" s="3">
        <f>IFERROR(__xludf.DUMMYFUNCTION("""COMPUTED_VALUE"""),0.0)</f>
        <v>0</v>
      </c>
      <c r="C1072" s="3">
        <f>IFERROR(__xludf.DUMMYFUNCTION("""COMPUTED_VALUE"""),0.10000000000002274)</f>
        <v>0.1</v>
      </c>
    </row>
    <row r="1073">
      <c r="A1073" s="3">
        <f>IFERROR(__xludf.DUMMYFUNCTION("""COMPUTED_VALUE"""),0.0)</f>
        <v>0</v>
      </c>
      <c r="B1073" s="3">
        <f>IFERROR(__xludf.DUMMYFUNCTION("""COMPUTED_VALUE"""),0.0)</f>
        <v>0</v>
      </c>
      <c r="C1073" s="3">
        <f>IFERROR(__xludf.DUMMYFUNCTION("""COMPUTED_VALUE"""),0.0999999999999659)</f>
        <v>0.1</v>
      </c>
    </row>
    <row r="1074">
      <c r="A1074" s="3">
        <f>IFERROR(__xludf.DUMMYFUNCTION("""COMPUTED_VALUE"""),0.0)</f>
        <v>0</v>
      </c>
      <c r="B1074" s="3">
        <f>IFERROR(__xludf.DUMMYFUNCTION("""COMPUTED_VALUE"""),-0.10000000000002274)</f>
        <v>-0.1</v>
      </c>
      <c r="C1074" s="3">
        <f>IFERROR(__xludf.DUMMYFUNCTION("""COMPUTED_VALUE"""),0.0)</f>
        <v>0</v>
      </c>
    </row>
    <row r="1075">
      <c r="A1075" s="3">
        <f>IFERROR(__xludf.DUMMYFUNCTION("""COMPUTED_VALUE"""),0.0)</f>
        <v>0</v>
      </c>
      <c r="B1075" s="3">
        <f>IFERROR(__xludf.DUMMYFUNCTION("""COMPUTED_VALUE"""),0.0)</f>
        <v>0</v>
      </c>
      <c r="C1075" s="3">
        <f>IFERROR(__xludf.DUMMYFUNCTION("""COMPUTED_VALUE"""),0.0)</f>
        <v>0</v>
      </c>
    </row>
    <row r="1076">
      <c r="A1076" s="3">
        <f>IFERROR(__xludf.DUMMYFUNCTION("""COMPUTED_VALUE"""),-0.0999999999999659)</f>
        <v>-0.1</v>
      </c>
      <c r="B1076" s="3">
        <f>IFERROR(__xludf.DUMMYFUNCTION("""COMPUTED_VALUE"""),0.0)</f>
        <v>0</v>
      </c>
      <c r="C1076" s="3">
        <f>IFERROR(__xludf.DUMMYFUNCTION("""COMPUTED_VALUE"""),0.0)</f>
        <v>0</v>
      </c>
    </row>
    <row r="1077">
      <c r="A1077" s="3">
        <f>IFERROR(__xludf.DUMMYFUNCTION("""COMPUTED_VALUE"""),-0.10000000000002274)</f>
        <v>-0.1</v>
      </c>
      <c r="B1077" s="3">
        <f>IFERROR(__xludf.DUMMYFUNCTION("""COMPUTED_VALUE"""),-0.10000000000002274)</f>
        <v>-0.1</v>
      </c>
      <c r="C1077" s="3">
        <f>IFERROR(__xludf.DUMMYFUNCTION("""COMPUTED_VALUE"""),0.0)</f>
        <v>0</v>
      </c>
    </row>
    <row r="1078">
      <c r="A1078" s="3">
        <f>IFERROR(__xludf.DUMMYFUNCTION("""COMPUTED_VALUE"""),0.10000000000002274)</f>
        <v>0.1</v>
      </c>
      <c r="B1078" s="3">
        <f>IFERROR(__xludf.DUMMYFUNCTION("""COMPUTED_VALUE"""),0.0)</f>
        <v>0</v>
      </c>
      <c r="C1078" s="3">
        <f>IFERROR(__xludf.DUMMYFUNCTION("""COMPUTED_VALUE"""),0.0)</f>
        <v>0</v>
      </c>
    </row>
    <row r="1079">
      <c r="A1079" s="3">
        <f>IFERROR(__xludf.DUMMYFUNCTION("""COMPUTED_VALUE"""),0.0)</f>
        <v>0</v>
      </c>
      <c r="B1079" s="3">
        <f>IFERROR(__xludf.DUMMYFUNCTION("""COMPUTED_VALUE"""),0.0)</f>
        <v>0</v>
      </c>
      <c r="C1079" s="3">
        <f>IFERROR(__xludf.DUMMYFUNCTION("""COMPUTED_VALUE"""),0.0)</f>
        <v>0</v>
      </c>
    </row>
    <row r="1080">
      <c r="A1080" s="3">
        <f>IFERROR(__xludf.DUMMYFUNCTION("""COMPUTED_VALUE"""),0.0)</f>
        <v>0</v>
      </c>
      <c r="B1080" s="3">
        <f>IFERROR(__xludf.DUMMYFUNCTION("""COMPUTED_VALUE"""),0.0)</f>
        <v>0</v>
      </c>
      <c r="C1080" s="3">
        <f>IFERROR(__xludf.DUMMYFUNCTION("""COMPUTED_VALUE"""),0.0)</f>
        <v>0</v>
      </c>
    </row>
    <row r="1081">
      <c r="A1081" s="3">
        <f>IFERROR(__xludf.DUMMYFUNCTION("""COMPUTED_VALUE"""),0.0)</f>
        <v>0</v>
      </c>
      <c r="B1081" s="3">
        <f>IFERROR(__xludf.DUMMYFUNCTION("""COMPUTED_VALUE"""),0.0)</f>
        <v>0</v>
      </c>
      <c r="C1081" s="3">
        <f>IFERROR(__xludf.DUMMYFUNCTION("""COMPUTED_VALUE"""),0.0)</f>
        <v>0</v>
      </c>
    </row>
    <row r="1082">
      <c r="A1082" s="3">
        <f>IFERROR(__xludf.DUMMYFUNCTION("""COMPUTED_VALUE"""),0.0)</f>
        <v>0</v>
      </c>
      <c r="B1082" s="3">
        <f>IFERROR(__xludf.DUMMYFUNCTION("""COMPUTED_VALUE"""),0.10000000000002274)</f>
        <v>0.1</v>
      </c>
      <c r="C1082" s="3">
        <f>IFERROR(__xludf.DUMMYFUNCTION("""COMPUTED_VALUE"""),0.10000000000002274)</f>
        <v>0.1</v>
      </c>
    </row>
    <row r="1083">
      <c r="A1083" s="3">
        <f>IFERROR(__xludf.DUMMYFUNCTION("""COMPUTED_VALUE"""),0.0999999999999659)</f>
        <v>0.1</v>
      </c>
      <c r="B1083" s="3">
        <f>IFERROR(__xludf.DUMMYFUNCTION("""COMPUTED_VALUE"""),0.0)</f>
        <v>0</v>
      </c>
      <c r="C1083" s="3">
        <f>IFERROR(__xludf.DUMMYFUNCTION("""COMPUTED_VALUE"""),0.0999999999999659)</f>
        <v>0.1</v>
      </c>
    </row>
    <row r="1084">
      <c r="A1084" s="3">
        <f>IFERROR(__xludf.DUMMYFUNCTION("""COMPUTED_VALUE"""),0.0)</f>
        <v>0</v>
      </c>
      <c r="B1084" s="3">
        <f>IFERROR(__xludf.DUMMYFUNCTION("""COMPUTED_VALUE"""),-0.19999999999998863)</f>
        <v>-0.2</v>
      </c>
      <c r="C1084" s="3">
        <f>IFERROR(__xludf.DUMMYFUNCTION("""COMPUTED_VALUE"""),0.10000000000002274)</f>
        <v>0.1</v>
      </c>
    </row>
    <row r="1085">
      <c r="A1085" s="3">
        <f>IFERROR(__xludf.DUMMYFUNCTION("""COMPUTED_VALUE"""),0.10000000000002274)</f>
        <v>0.1</v>
      </c>
      <c r="B1085" s="3">
        <f>IFERROR(__xludf.DUMMYFUNCTION("""COMPUTED_VALUE"""),-0.10000000000002274)</f>
        <v>-0.1</v>
      </c>
      <c r="C1085" s="3">
        <f>IFERROR(__xludf.DUMMYFUNCTION("""COMPUTED_VALUE"""),0.10000000000002274)</f>
        <v>0.1</v>
      </c>
    </row>
    <row r="1086">
      <c r="A1086" s="3">
        <f>IFERROR(__xludf.DUMMYFUNCTION("""COMPUTED_VALUE"""),-0.10000000000002274)</f>
        <v>-0.1</v>
      </c>
      <c r="B1086" s="3">
        <f>IFERROR(__xludf.DUMMYFUNCTION("""COMPUTED_VALUE"""),0.0)</f>
        <v>0</v>
      </c>
      <c r="C1086" s="3">
        <f>IFERROR(__xludf.DUMMYFUNCTION("""COMPUTED_VALUE"""),-0.10000000000002274)</f>
        <v>-0.1</v>
      </c>
    </row>
    <row r="1087">
      <c r="A1087" s="3">
        <f>IFERROR(__xludf.DUMMYFUNCTION("""COMPUTED_VALUE"""),0.0)</f>
        <v>0</v>
      </c>
      <c r="B1087" s="3">
        <f>IFERROR(__xludf.DUMMYFUNCTION("""COMPUTED_VALUE"""),0.0)</f>
        <v>0</v>
      </c>
      <c r="C1087" s="3">
        <f>IFERROR(__xludf.DUMMYFUNCTION("""COMPUTED_VALUE"""),-0.10000000000002274)</f>
        <v>-0.1</v>
      </c>
    </row>
    <row r="1088">
      <c r="A1088" s="3">
        <f>IFERROR(__xludf.DUMMYFUNCTION("""COMPUTED_VALUE"""),0.0)</f>
        <v>0</v>
      </c>
      <c r="B1088" s="3">
        <f>IFERROR(__xludf.DUMMYFUNCTION("""COMPUTED_VALUE"""),0.0)</f>
        <v>0</v>
      </c>
      <c r="C1088" s="3">
        <f>IFERROR(__xludf.DUMMYFUNCTION("""COMPUTED_VALUE"""),0.0)</f>
        <v>0</v>
      </c>
    </row>
    <row r="1089">
      <c r="A1089" s="3">
        <f>IFERROR(__xludf.DUMMYFUNCTION("""COMPUTED_VALUE"""),0.10000000000002274)</f>
        <v>0.1</v>
      </c>
      <c r="B1089" s="3">
        <f>IFERROR(__xludf.DUMMYFUNCTION("""COMPUTED_VALUE"""),0.0)</f>
        <v>0</v>
      </c>
      <c r="C1089" s="3">
        <f>IFERROR(__xludf.DUMMYFUNCTION("""COMPUTED_VALUE"""),0.0)</f>
        <v>0</v>
      </c>
    </row>
    <row r="1090">
      <c r="A1090" s="3">
        <f>IFERROR(__xludf.DUMMYFUNCTION("""COMPUTED_VALUE"""),0.0)</f>
        <v>0</v>
      </c>
      <c r="B1090" s="3">
        <f>IFERROR(__xludf.DUMMYFUNCTION("""COMPUTED_VALUE"""),0.0)</f>
        <v>0</v>
      </c>
      <c r="C1090" s="3">
        <f>IFERROR(__xludf.DUMMYFUNCTION("""COMPUTED_VALUE"""),0.0)</f>
        <v>0</v>
      </c>
    </row>
    <row r="1091">
      <c r="A1091" s="3">
        <f>IFERROR(__xludf.DUMMYFUNCTION("""COMPUTED_VALUE"""),0.0)</f>
        <v>0</v>
      </c>
      <c r="B1091" s="3">
        <f>IFERROR(__xludf.DUMMYFUNCTION("""COMPUTED_VALUE"""),0.10000000000002274)</f>
        <v>0.1</v>
      </c>
      <c r="C1091" s="3">
        <f>IFERROR(__xludf.DUMMYFUNCTION("""COMPUTED_VALUE"""),0.0)</f>
        <v>0</v>
      </c>
    </row>
    <row r="1092">
      <c r="A1092" s="3">
        <f>IFERROR(__xludf.DUMMYFUNCTION("""COMPUTED_VALUE"""),0.0)</f>
        <v>0</v>
      </c>
      <c r="B1092" s="3">
        <f>IFERROR(__xludf.DUMMYFUNCTION("""COMPUTED_VALUE"""),-0.10000000000002274)</f>
        <v>-0.1</v>
      </c>
      <c r="C1092" s="3">
        <f>IFERROR(__xludf.DUMMYFUNCTION("""COMPUTED_VALUE"""),0.0)</f>
        <v>0</v>
      </c>
    </row>
    <row r="1093">
      <c r="A1093" s="3">
        <f>IFERROR(__xludf.DUMMYFUNCTION("""COMPUTED_VALUE"""),0.0)</f>
        <v>0</v>
      </c>
      <c r="B1093" s="3">
        <f>IFERROR(__xludf.DUMMYFUNCTION("""COMPUTED_VALUE"""),0.10000000000002274)</f>
        <v>0.1</v>
      </c>
      <c r="C1093" s="3">
        <f>IFERROR(__xludf.DUMMYFUNCTION("""COMPUTED_VALUE"""),-0.0999999999999659)</f>
        <v>-0.1</v>
      </c>
    </row>
    <row r="1094">
      <c r="A1094" s="3">
        <f>IFERROR(__xludf.DUMMYFUNCTION("""COMPUTED_VALUE"""),0.0)</f>
        <v>0</v>
      </c>
      <c r="B1094" s="3">
        <f>IFERROR(__xludf.DUMMYFUNCTION("""COMPUTED_VALUE"""),0.0)</f>
        <v>0</v>
      </c>
      <c r="C1094" s="3">
        <f>IFERROR(__xludf.DUMMYFUNCTION("""COMPUTED_VALUE"""),0.0999999999999659)</f>
        <v>0.1</v>
      </c>
    </row>
    <row r="1095">
      <c r="A1095" s="3">
        <f>IFERROR(__xludf.DUMMYFUNCTION("""COMPUTED_VALUE"""),0.0)</f>
        <v>0</v>
      </c>
      <c r="B1095" s="3">
        <f>IFERROR(__xludf.DUMMYFUNCTION("""COMPUTED_VALUE"""),0.0999999999999659)</f>
        <v>0.1</v>
      </c>
      <c r="C1095" s="3">
        <f>IFERROR(__xludf.DUMMYFUNCTION("""COMPUTED_VALUE"""),0.0)</f>
        <v>0</v>
      </c>
    </row>
    <row r="1096">
      <c r="A1096" s="3">
        <f>IFERROR(__xludf.DUMMYFUNCTION("""COMPUTED_VALUE"""),0.0)</f>
        <v>0</v>
      </c>
      <c r="B1096" s="3">
        <f>IFERROR(__xludf.DUMMYFUNCTION("""COMPUTED_VALUE"""),0.0)</f>
        <v>0</v>
      </c>
      <c r="C1096" s="3">
        <f>IFERROR(__xludf.DUMMYFUNCTION("""COMPUTED_VALUE"""),0.0)</f>
        <v>0</v>
      </c>
    </row>
    <row r="1097">
      <c r="A1097" s="3">
        <f>IFERROR(__xludf.DUMMYFUNCTION("""COMPUTED_VALUE"""),0.0)</f>
        <v>0</v>
      </c>
      <c r="B1097" s="3">
        <f>IFERROR(__xludf.DUMMYFUNCTION("""COMPUTED_VALUE"""),-0.0999999999999659)</f>
        <v>-0.1</v>
      </c>
      <c r="C1097" s="3">
        <f>IFERROR(__xludf.DUMMYFUNCTION("""COMPUTED_VALUE"""),0.0)</f>
        <v>0</v>
      </c>
    </row>
    <row r="1098">
      <c r="A1098" s="3">
        <f>IFERROR(__xludf.DUMMYFUNCTION("""COMPUTED_VALUE"""),0.0)</f>
        <v>0</v>
      </c>
      <c r="B1098" s="3">
        <f>IFERROR(__xludf.DUMMYFUNCTION("""COMPUTED_VALUE"""),0.0)</f>
        <v>0</v>
      </c>
      <c r="C1098" s="3">
        <f>IFERROR(__xludf.DUMMYFUNCTION("""COMPUTED_VALUE"""),0.0)</f>
        <v>0</v>
      </c>
    </row>
    <row r="1099">
      <c r="A1099" s="3">
        <f>IFERROR(__xludf.DUMMYFUNCTION("""COMPUTED_VALUE"""),-0.10000000000002274)</f>
        <v>-0.1</v>
      </c>
      <c r="B1099" s="3">
        <f>IFERROR(__xludf.DUMMYFUNCTION("""COMPUTED_VALUE"""),0.0)</f>
        <v>0</v>
      </c>
      <c r="C1099" s="3">
        <f>IFERROR(__xludf.DUMMYFUNCTION("""COMPUTED_VALUE"""),0.0)</f>
        <v>0</v>
      </c>
    </row>
    <row r="1100">
      <c r="A1100" s="3">
        <f>IFERROR(__xludf.DUMMYFUNCTION("""COMPUTED_VALUE"""),0.0)</f>
        <v>0</v>
      </c>
      <c r="B1100" s="3">
        <f>IFERROR(__xludf.DUMMYFUNCTION("""COMPUTED_VALUE"""),0.0)</f>
        <v>0</v>
      </c>
      <c r="C1100" s="3">
        <f>IFERROR(__xludf.DUMMYFUNCTION("""COMPUTED_VALUE"""),0.0)</f>
        <v>0</v>
      </c>
    </row>
    <row r="1101">
      <c r="A1101" s="3">
        <f>IFERROR(__xludf.DUMMYFUNCTION("""COMPUTED_VALUE"""),0.0)</f>
        <v>0</v>
      </c>
      <c r="B1101" s="3">
        <f>IFERROR(__xludf.DUMMYFUNCTION("""COMPUTED_VALUE"""),0.0)</f>
        <v>0</v>
      </c>
      <c r="C1101" s="3">
        <f>IFERROR(__xludf.DUMMYFUNCTION("""COMPUTED_VALUE"""),0.0)</f>
        <v>0</v>
      </c>
    </row>
    <row r="1102">
      <c r="A1102" s="3">
        <f>IFERROR(__xludf.DUMMYFUNCTION("""COMPUTED_VALUE"""),0.0)</f>
        <v>0</v>
      </c>
      <c r="B1102" s="3">
        <f>IFERROR(__xludf.DUMMYFUNCTION("""COMPUTED_VALUE"""),0.0)</f>
        <v>0</v>
      </c>
      <c r="C1102" s="3">
        <f>IFERROR(__xludf.DUMMYFUNCTION("""COMPUTED_VALUE"""),0.0)</f>
        <v>0</v>
      </c>
    </row>
    <row r="1103">
      <c r="A1103" s="3">
        <f>IFERROR(__xludf.DUMMYFUNCTION("""COMPUTED_VALUE"""),0.0)</f>
        <v>0</v>
      </c>
      <c r="B1103" s="3">
        <f>IFERROR(__xludf.DUMMYFUNCTION("""COMPUTED_VALUE"""),0.0999999999999659)</f>
        <v>0.1</v>
      </c>
      <c r="C1103" s="3">
        <f>IFERROR(__xludf.DUMMYFUNCTION("""COMPUTED_VALUE"""),0.0)</f>
        <v>0</v>
      </c>
    </row>
    <row r="1104">
      <c r="A1104" s="3">
        <f>IFERROR(__xludf.DUMMYFUNCTION("""COMPUTED_VALUE"""),0.10000000000002274)</f>
        <v>0.1</v>
      </c>
      <c r="B1104" s="3">
        <f>IFERROR(__xludf.DUMMYFUNCTION("""COMPUTED_VALUE"""),-0.2999999999999545)</f>
        <v>-0.3</v>
      </c>
      <c r="C1104" s="3">
        <f>IFERROR(__xludf.DUMMYFUNCTION("""COMPUTED_VALUE"""),0.0)</f>
        <v>0</v>
      </c>
    </row>
    <row r="1105">
      <c r="A1105" s="3">
        <f>IFERROR(__xludf.DUMMYFUNCTION("""COMPUTED_VALUE"""),-0.10000000000002274)</f>
        <v>-0.1</v>
      </c>
      <c r="B1105" s="3">
        <f>IFERROR(__xludf.DUMMYFUNCTION("""COMPUTED_VALUE"""),0.0999999999999659)</f>
        <v>0.1</v>
      </c>
      <c r="C1105" s="3">
        <f>IFERROR(__xludf.DUMMYFUNCTION("""COMPUTED_VALUE"""),0.0)</f>
        <v>0</v>
      </c>
    </row>
    <row r="1106">
      <c r="A1106" s="3">
        <f>IFERROR(__xludf.DUMMYFUNCTION("""COMPUTED_VALUE"""),0.0)</f>
        <v>0</v>
      </c>
      <c r="B1106" s="3">
        <f>IFERROR(__xludf.DUMMYFUNCTION("""COMPUTED_VALUE"""),0.0)</f>
        <v>0</v>
      </c>
      <c r="C1106" s="3">
        <f>IFERROR(__xludf.DUMMYFUNCTION("""COMPUTED_VALUE"""),0.0)</f>
        <v>0</v>
      </c>
    </row>
    <row r="1107">
      <c r="A1107" s="3">
        <f>IFERROR(__xludf.DUMMYFUNCTION("""COMPUTED_VALUE"""),0.0)</f>
        <v>0</v>
      </c>
      <c r="B1107" s="3">
        <f>IFERROR(__xludf.DUMMYFUNCTION("""COMPUTED_VALUE"""),0.0)</f>
        <v>0</v>
      </c>
      <c r="C1107" s="3">
        <f>IFERROR(__xludf.DUMMYFUNCTION("""COMPUTED_VALUE"""),-0.0999999999999659)</f>
        <v>-0.1</v>
      </c>
    </row>
    <row r="1108">
      <c r="A1108" s="3">
        <f>IFERROR(__xludf.DUMMYFUNCTION("""COMPUTED_VALUE"""),0.0)</f>
        <v>0</v>
      </c>
      <c r="B1108" s="3">
        <f>IFERROR(__xludf.DUMMYFUNCTION("""COMPUTED_VALUE"""),0.0)</f>
        <v>0</v>
      </c>
      <c r="C1108" s="3">
        <f>IFERROR(__xludf.DUMMYFUNCTION("""COMPUTED_VALUE"""),0.0)</f>
        <v>0</v>
      </c>
    </row>
    <row r="1109">
      <c r="A1109" s="3">
        <f>IFERROR(__xludf.DUMMYFUNCTION("""COMPUTED_VALUE"""),0.0)</f>
        <v>0</v>
      </c>
      <c r="B1109" s="3">
        <f>IFERROR(__xludf.DUMMYFUNCTION("""COMPUTED_VALUE"""),0.0)</f>
        <v>0</v>
      </c>
      <c r="C1109" s="3">
        <f>IFERROR(__xludf.DUMMYFUNCTION("""COMPUTED_VALUE"""),0.0)</f>
        <v>0</v>
      </c>
    </row>
    <row r="1110">
      <c r="A1110" s="3">
        <f>IFERROR(__xludf.DUMMYFUNCTION("""COMPUTED_VALUE"""),0.0)</f>
        <v>0</v>
      </c>
      <c r="B1110" s="3">
        <f>IFERROR(__xludf.DUMMYFUNCTION("""COMPUTED_VALUE"""),0.0)</f>
        <v>0</v>
      </c>
      <c r="C1110" s="3">
        <f>IFERROR(__xludf.DUMMYFUNCTION("""COMPUTED_VALUE"""),0.0)</f>
        <v>0</v>
      </c>
    </row>
    <row r="1111">
      <c r="A1111" s="3">
        <f>IFERROR(__xludf.DUMMYFUNCTION("""COMPUTED_VALUE"""),0.0)</f>
        <v>0</v>
      </c>
      <c r="B1111" s="3">
        <f>IFERROR(__xludf.DUMMYFUNCTION("""COMPUTED_VALUE"""),0.0)</f>
        <v>0</v>
      </c>
      <c r="C1111" s="3">
        <f>IFERROR(__xludf.DUMMYFUNCTION("""COMPUTED_VALUE"""),-0.10000000000002274)</f>
        <v>-0.1</v>
      </c>
    </row>
    <row r="1112">
      <c r="A1112" s="3">
        <f>IFERROR(__xludf.DUMMYFUNCTION("""COMPUTED_VALUE"""),0.0)</f>
        <v>0</v>
      </c>
      <c r="B1112" s="3">
        <f>IFERROR(__xludf.DUMMYFUNCTION("""COMPUTED_VALUE"""),-0.0999999999999659)</f>
        <v>-0.1</v>
      </c>
      <c r="C1112" s="3">
        <f>IFERROR(__xludf.DUMMYFUNCTION("""COMPUTED_VALUE"""),0.0)</f>
        <v>0</v>
      </c>
    </row>
    <row r="1113">
      <c r="A1113" s="3">
        <f>IFERROR(__xludf.DUMMYFUNCTION("""COMPUTED_VALUE"""),0.0)</f>
        <v>0</v>
      </c>
      <c r="B1113" s="3">
        <f>IFERROR(__xludf.DUMMYFUNCTION("""COMPUTED_VALUE"""),0.0999999999999659)</f>
        <v>0.1</v>
      </c>
      <c r="C1113" s="3">
        <f>IFERROR(__xludf.DUMMYFUNCTION("""COMPUTED_VALUE"""),0.0)</f>
        <v>0</v>
      </c>
    </row>
    <row r="1114">
      <c r="A1114" s="3">
        <f>IFERROR(__xludf.DUMMYFUNCTION("""COMPUTED_VALUE"""),0.0)</f>
        <v>0</v>
      </c>
      <c r="B1114" s="3" t="str">
        <f>IFERROR(__xludf.DUMMYFUNCTION("""COMPUTED_VALUE"""),"")</f>
        <v/>
      </c>
      <c r="C1114" s="3">
        <f>IFERROR(__xludf.DUMMYFUNCTION("""COMPUTED_VALUE"""),0.0)</f>
        <v>0</v>
      </c>
    </row>
    <row r="1115">
      <c r="A1115" s="3">
        <f>IFERROR(__xludf.DUMMYFUNCTION("""COMPUTED_VALUE"""),-0.0999999999999659)</f>
        <v>-0.1</v>
      </c>
      <c r="C1115" s="3">
        <f>IFERROR(__xludf.DUMMYFUNCTION("""COMPUTED_VALUE"""),0.0)</f>
        <v>0</v>
      </c>
    </row>
    <row r="1116">
      <c r="A1116" s="3" t="str">
        <f>IFERROR(__xludf.DUMMYFUNCTION("""COMPUTED_VALUE"""),"")</f>
        <v/>
      </c>
      <c r="C1116" s="3">
        <f>IFERROR(__xludf.DUMMYFUNCTION("""COMPUTED_VALUE"""),0.10000000000002274)</f>
        <v>0.1</v>
      </c>
    </row>
    <row r="1117">
      <c r="C1117" s="3">
        <f>IFERROR(__xludf.DUMMYFUNCTION("""COMPUTED_VALUE"""),0.0)</f>
        <v>0</v>
      </c>
    </row>
    <row r="1118">
      <c r="C1118" s="3">
        <f>IFERROR(__xludf.DUMMYFUNCTION("""COMPUTED_VALUE"""),0.0999999999999659)</f>
        <v>0.1</v>
      </c>
    </row>
    <row r="1119">
      <c r="C1119" s="3">
        <f>IFERROR(__xludf.DUMMYFUNCTION("""COMPUTED_VALUE"""),0.0)</f>
        <v>0</v>
      </c>
    </row>
    <row r="1120">
      <c r="C1120" s="3">
        <f>IFERROR(__xludf.DUMMYFUNCTION("""COMPUTED_VALUE"""),-0.0999999999999659)</f>
        <v>-0.1</v>
      </c>
    </row>
    <row r="1121">
      <c r="C1121" s="3">
        <f>IFERROR(__xludf.DUMMYFUNCTION("""COMPUTED_VALUE"""),0.0)</f>
        <v>0</v>
      </c>
    </row>
    <row r="1122">
      <c r="C1122" s="3">
        <f>IFERROR(__xludf.DUMMYFUNCTION("""COMPUTED_VALUE"""),-0.10000000000002274)</f>
        <v>-0.1</v>
      </c>
    </row>
    <row r="1123">
      <c r="C1123" s="3">
        <f>IFERROR(__xludf.DUMMYFUNCTION("""COMPUTED_VALUE"""),0.0)</f>
        <v>0</v>
      </c>
    </row>
    <row r="1124">
      <c r="C1124" s="3">
        <f>IFERROR(__xludf.DUMMYFUNCTION("""COMPUTED_VALUE"""),0.0)</f>
        <v>0</v>
      </c>
    </row>
    <row r="1125">
      <c r="C1125" s="3">
        <f>IFERROR(__xludf.DUMMYFUNCTION("""COMPUTED_VALUE"""),0.0)</f>
        <v>0</v>
      </c>
    </row>
    <row r="1126">
      <c r="C1126" s="3">
        <f>IFERROR(__xludf.DUMMYFUNCTION("""COMPUTED_VALUE"""),-0.0999999999999659)</f>
        <v>-0.1</v>
      </c>
    </row>
    <row r="1127">
      <c r="C1127" s="3">
        <f>IFERROR(__xludf.DUMMYFUNCTION("""COMPUTED_VALUE"""),0.0)</f>
        <v>0</v>
      </c>
    </row>
    <row r="1128">
      <c r="C1128" s="3">
        <f>IFERROR(__xludf.DUMMYFUNCTION("""COMPUTED_VALUE"""),0.0)</f>
        <v>0</v>
      </c>
    </row>
    <row r="1129">
      <c r="C1129" s="3">
        <f>IFERROR(__xludf.DUMMYFUNCTION("""COMPUTED_VALUE"""),0.0)</f>
        <v>0</v>
      </c>
    </row>
    <row r="1130">
      <c r="C1130" s="3">
        <f>IFERROR(__xludf.DUMMYFUNCTION("""COMPUTED_VALUE"""),0.0)</f>
        <v>0</v>
      </c>
    </row>
    <row r="1131">
      <c r="C1131" s="3">
        <f>IFERROR(__xludf.DUMMYFUNCTION("""COMPUTED_VALUE"""),0.0)</f>
        <v>0</v>
      </c>
    </row>
    <row r="1132">
      <c r="C1132" s="3">
        <f>IFERROR(__xludf.DUMMYFUNCTION("""COMPUTED_VALUE"""),0.0)</f>
        <v>0</v>
      </c>
    </row>
    <row r="1133">
      <c r="C1133" s="3">
        <f>IFERROR(__xludf.DUMMYFUNCTION("""COMPUTED_VALUE"""),0.0)</f>
        <v>0</v>
      </c>
    </row>
    <row r="1134">
      <c r="C1134" s="3">
        <f>IFERROR(__xludf.DUMMYFUNCTION("""COMPUTED_VALUE"""),0.0)</f>
        <v>0</v>
      </c>
    </row>
    <row r="1135">
      <c r="C1135" s="3">
        <f>IFERROR(__xludf.DUMMYFUNCTION("""COMPUTED_VALUE"""),0.0)</f>
        <v>0</v>
      </c>
    </row>
    <row r="1136">
      <c r="C1136" s="3">
        <f>IFERROR(__xludf.DUMMYFUNCTION("""COMPUTED_VALUE"""),0.0)</f>
        <v>0</v>
      </c>
    </row>
    <row r="1137">
      <c r="C1137" s="3">
        <f>IFERROR(__xludf.DUMMYFUNCTION("""COMPUTED_VALUE"""),-0.10000000000002274)</f>
        <v>-0.1</v>
      </c>
    </row>
    <row r="1138">
      <c r="C1138" s="3">
        <f>IFERROR(__xludf.DUMMYFUNCTION("""COMPUTED_VALUE"""),0.0)</f>
        <v>0</v>
      </c>
    </row>
    <row r="1139">
      <c r="C1139" s="3">
        <f>IFERROR(__xludf.DUMMYFUNCTION("""COMPUTED_VALUE"""),0.0)</f>
        <v>0</v>
      </c>
    </row>
    <row r="1140">
      <c r="C1140" s="3">
        <f>IFERROR(__xludf.DUMMYFUNCTION("""COMPUTED_VALUE"""),0.0)</f>
        <v>0</v>
      </c>
    </row>
    <row r="1141">
      <c r="C1141" s="3">
        <f>IFERROR(__xludf.DUMMYFUNCTION("""COMPUTED_VALUE"""),0.0)</f>
        <v>0</v>
      </c>
    </row>
    <row r="1142">
      <c r="C1142" s="3">
        <f>IFERROR(__xludf.DUMMYFUNCTION("""COMPUTED_VALUE"""),0.0)</f>
        <v>0</v>
      </c>
    </row>
    <row r="1143">
      <c r="C1143" s="3">
        <f>IFERROR(__xludf.DUMMYFUNCTION("""COMPUTED_VALUE"""),0.10000000000002274)</f>
        <v>0.1</v>
      </c>
    </row>
    <row r="1144">
      <c r="C1144" s="3">
        <f>IFERROR(__xludf.DUMMYFUNCTION("""COMPUTED_VALUE"""),0.0)</f>
        <v>0</v>
      </c>
    </row>
    <row r="1145">
      <c r="C1145" s="3">
        <f>IFERROR(__xludf.DUMMYFUNCTION("""COMPUTED_VALUE"""),0.0)</f>
        <v>0</v>
      </c>
    </row>
    <row r="1146">
      <c r="C1146" s="3">
        <f>IFERROR(__xludf.DUMMYFUNCTION("""COMPUTED_VALUE"""),-0.10000000000002274)</f>
        <v>-0.1</v>
      </c>
    </row>
    <row r="1147">
      <c r="C1147" s="3">
        <f>IFERROR(__xludf.DUMMYFUNCTION("""COMPUTED_VALUE"""),0.0)</f>
        <v>0</v>
      </c>
    </row>
    <row r="1148">
      <c r="C1148" s="3">
        <f>IFERROR(__xludf.DUMMYFUNCTION("""COMPUTED_VALUE"""),0.0)</f>
        <v>0</v>
      </c>
    </row>
    <row r="1149">
      <c r="C1149" s="3">
        <f>IFERROR(__xludf.DUMMYFUNCTION("""COMPUTED_VALUE"""),-0.10000000000002274)</f>
        <v>-0.1</v>
      </c>
    </row>
    <row r="1150">
      <c r="C1150" s="3">
        <f>IFERROR(__xludf.DUMMYFUNCTION("""COMPUTED_VALUE"""),0.0)</f>
        <v>0</v>
      </c>
    </row>
    <row r="1151">
      <c r="C1151" s="3">
        <f>IFERROR(__xludf.DUMMYFUNCTION("""COMPUTED_VALUE"""),0.0)</f>
        <v>0</v>
      </c>
    </row>
    <row r="1152">
      <c r="C1152" s="3">
        <f>IFERROR(__xludf.DUMMYFUNCTION("""COMPUTED_VALUE"""),-0.0999999999999659)</f>
        <v>-0.1</v>
      </c>
    </row>
    <row r="1153">
      <c r="C1153" s="3">
        <f>IFERROR(__xludf.DUMMYFUNCTION("""COMPUTED_VALUE"""),0.0)</f>
        <v>0</v>
      </c>
    </row>
    <row r="1154">
      <c r="C1154" s="3">
        <f>IFERROR(__xludf.DUMMYFUNCTION("""COMPUTED_VALUE"""),0.0)</f>
        <v>0</v>
      </c>
    </row>
    <row r="1155">
      <c r="C1155" s="3">
        <f>IFERROR(__xludf.DUMMYFUNCTION("""COMPUTED_VALUE"""),0.0)</f>
        <v>0</v>
      </c>
    </row>
    <row r="1156">
      <c r="C1156" s="3">
        <f>IFERROR(__xludf.DUMMYFUNCTION("""COMPUTED_VALUE"""),0.0999999999999659)</f>
        <v>0.1</v>
      </c>
    </row>
    <row r="1157">
      <c r="C1157" s="3">
        <f>IFERROR(__xludf.DUMMYFUNCTION("""COMPUTED_VALUE"""),0.0)</f>
        <v>0</v>
      </c>
    </row>
    <row r="1158">
      <c r="C1158" s="3">
        <f>IFERROR(__xludf.DUMMYFUNCTION("""COMPUTED_VALUE"""),0.10000000000002274)</f>
        <v>0.1</v>
      </c>
    </row>
    <row r="1159">
      <c r="C1159" s="3">
        <f>IFERROR(__xludf.DUMMYFUNCTION("""COMPUTED_VALUE"""),0.0)</f>
        <v>0</v>
      </c>
    </row>
    <row r="1160">
      <c r="C1160" s="3">
        <f>IFERROR(__xludf.DUMMYFUNCTION("""COMPUTED_VALUE"""),0.0)</f>
        <v>0</v>
      </c>
    </row>
    <row r="1161">
      <c r="C1161" s="3">
        <f>IFERROR(__xludf.DUMMYFUNCTION("""COMPUTED_VALUE"""),-0.10000000000002274)</f>
        <v>-0.1</v>
      </c>
    </row>
    <row r="1162">
      <c r="C1162" s="3">
        <f>IFERROR(__xludf.DUMMYFUNCTION("""COMPUTED_VALUE"""),0.0)</f>
        <v>0</v>
      </c>
    </row>
    <row r="1163">
      <c r="C1163" s="3">
        <f>IFERROR(__xludf.DUMMYFUNCTION("""COMPUTED_VALUE"""),-0.0999999999999659)</f>
        <v>-0.1</v>
      </c>
    </row>
    <row r="1164">
      <c r="C1164" s="3">
        <f>IFERROR(__xludf.DUMMYFUNCTION("""COMPUTED_VALUE"""),0.0)</f>
        <v>0</v>
      </c>
    </row>
    <row r="1165">
      <c r="C1165" s="3">
        <f>IFERROR(__xludf.DUMMYFUNCTION("""COMPUTED_VALUE"""),0.0)</f>
        <v>0</v>
      </c>
    </row>
    <row r="1166">
      <c r="C1166" s="3">
        <f>IFERROR(__xludf.DUMMYFUNCTION("""COMPUTED_VALUE"""),0.19999999999998863)</f>
        <v>0.2</v>
      </c>
    </row>
    <row r="1167">
      <c r="C1167" s="3">
        <f>IFERROR(__xludf.DUMMYFUNCTION("""COMPUTED_VALUE"""),0.0)</f>
        <v>0</v>
      </c>
    </row>
    <row r="1168">
      <c r="C1168" s="3">
        <f>IFERROR(__xludf.DUMMYFUNCTION("""COMPUTED_VALUE"""),-0.10000000000002274)</f>
        <v>-0.1</v>
      </c>
    </row>
    <row r="1169">
      <c r="C1169" s="3">
        <f>IFERROR(__xludf.DUMMYFUNCTION("""COMPUTED_VALUE"""),0.0)</f>
        <v>0</v>
      </c>
    </row>
    <row r="1170">
      <c r="C1170" s="3">
        <f>IFERROR(__xludf.DUMMYFUNCTION("""COMPUTED_VALUE"""),-0.0999999999999659)</f>
        <v>-0.1</v>
      </c>
    </row>
    <row r="1171">
      <c r="C1171" s="3">
        <f>IFERROR(__xludf.DUMMYFUNCTION("""COMPUTED_VALUE"""),0.0)</f>
        <v>0</v>
      </c>
    </row>
    <row r="1172">
      <c r="C1172" s="3">
        <f>IFERROR(__xludf.DUMMYFUNCTION("""COMPUTED_VALUE"""),0.0999999999999659)</f>
        <v>0.1</v>
      </c>
    </row>
    <row r="1173">
      <c r="C1173" s="3">
        <f>IFERROR(__xludf.DUMMYFUNCTION("""COMPUTED_VALUE"""),0.0)</f>
        <v>0</v>
      </c>
    </row>
    <row r="1174">
      <c r="C1174" s="3">
        <f>IFERROR(__xludf.DUMMYFUNCTION("""COMPUTED_VALUE"""),0.0)</f>
        <v>0</v>
      </c>
    </row>
    <row r="1175">
      <c r="C1175" s="3">
        <f>IFERROR(__xludf.DUMMYFUNCTION("""COMPUTED_VALUE"""),0.0)</f>
        <v>0</v>
      </c>
    </row>
    <row r="1176">
      <c r="C1176" s="3">
        <f>IFERROR(__xludf.DUMMYFUNCTION("""COMPUTED_VALUE"""),0.0)</f>
        <v>0</v>
      </c>
    </row>
    <row r="1177">
      <c r="C1177" s="3">
        <f>IFERROR(__xludf.DUMMYFUNCTION("""COMPUTED_VALUE"""),0.0)</f>
        <v>0</v>
      </c>
    </row>
    <row r="1178">
      <c r="C1178" s="3">
        <f>IFERROR(__xludf.DUMMYFUNCTION("""COMPUTED_VALUE"""),-0.0999999999999659)</f>
        <v>-0.1</v>
      </c>
    </row>
    <row r="1179">
      <c r="C1179" s="3">
        <f>IFERROR(__xludf.DUMMYFUNCTION("""COMPUTED_VALUE"""),0.0)</f>
        <v>0</v>
      </c>
    </row>
    <row r="1180">
      <c r="C1180" s="3">
        <f>IFERROR(__xludf.DUMMYFUNCTION("""COMPUTED_VALUE"""),0.0)</f>
        <v>0</v>
      </c>
    </row>
    <row r="1181">
      <c r="C1181" s="3">
        <f>IFERROR(__xludf.DUMMYFUNCTION("""COMPUTED_VALUE"""),0.0)</f>
        <v>0</v>
      </c>
    </row>
    <row r="1182">
      <c r="C1182" s="3">
        <f>IFERROR(__xludf.DUMMYFUNCTION("""COMPUTED_VALUE"""),0.0)</f>
        <v>0</v>
      </c>
    </row>
    <row r="1183">
      <c r="C1183" s="3">
        <f>IFERROR(__xludf.DUMMYFUNCTION("""COMPUTED_VALUE"""),0.0)</f>
        <v>0</v>
      </c>
    </row>
    <row r="1184">
      <c r="C1184" s="3">
        <f>IFERROR(__xludf.DUMMYFUNCTION("""COMPUTED_VALUE"""),0.0)</f>
        <v>0</v>
      </c>
    </row>
    <row r="1185">
      <c r="C1185" s="3">
        <f>IFERROR(__xludf.DUMMYFUNCTION("""COMPUTED_VALUE"""),0.0)</f>
        <v>0</v>
      </c>
    </row>
    <row r="1186">
      <c r="C1186" s="3">
        <f>IFERROR(__xludf.DUMMYFUNCTION("""COMPUTED_VALUE"""),-0.10000000000002274)</f>
        <v>-0.1</v>
      </c>
    </row>
    <row r="1187">
      <c r="C1187" s="3">
        <f>IFERROR(__xludf.DUMMYFUNCTION("""COMPUTED_VALUE"""),0.0)</f>
        <v>0</v>
      </c>
    </row>
    <row r="1188">
      <c r="C1188" s="3">
        <f>IFERROR(__xludf.DUMMYFUNCTION("""COMPUTED_VALUE"""),0.30000000000001137)</f>
        <v>0.3</v>
      </c>
    </row>
    <row r="1189">
      <c r="C1189" s="3">
        <f>IFERROR(__xludf.DUMMYFUNCTION("""COMPUTED_VALUE"""),0.0)</f>
        <v>0</v>
      </c>
    </row>
    <row r="1190">
      <c r="C1190" s="3">
        <f>IFERROR(__xludf.DUMMYFUNCTION("""COMPUTED_VALUE"""),0.0)</f>
        <v>0</v>
      </c>
    </row>
    <row r="1191">
      <c r="C1191" s="3">
        <f>IFERROR(__xludf.DUMMYFUNCTION("""COMPUTED_VALUE"""),0.10000000000002274)</f>
        <v>0.1</v>
      </c>
    </row>
    <row r="1192">
      <c r="C1192" s="3">
        <f>IFERROR(__xludf.DUMMYFUNCTION("""COMPUTED_VALUE"""),0.0)</f>
        <v>0</v>
      </c>
    </row>
    <row r="1193">
      <c r="C1193" s="3">
        <f>IFERROR(__xludf.DUMMYFUNCTION("""COMPUTED_VALUE"""),0.0)</f>
        <v>0</v>
      </c>
    </row>
    <row r="1194">
      <c r="C1194" s="3">
        <f>IFERROR(__xludf.DUMMYFUNCTION("""COMPUTED_VALUE"""),-0.10000000000002274)</f>
        <v>-0.1</v>
      </c>
    </row>
    <row r="1195">
      <c r="C1195" s="3">
        <f>IFERROR(__xludf.DUMMYFUNCTION("""COMPUTED_VALUE"""),0.0)</f>
        <v>0</v>
      </c>
    </row>
    <row r="1196">
      <c r="C1196" s="3">
        <f>IFERROR(__xludf.DUMMYFUNCTION("""COMPUTED_VALUE"""),0.0)</f>
        <v>0</v>
      </c>
    </row>
    <row r="1197">
      <c r="C1197" s="3">
        <f>IFERROR(__xludf.DUMMYFUNCTION("""COMPUTED_VALUE"""),0.0)</f>
        <v>0</v>
      </c>
    </row>
    <row r="1198">
      <c r="C1198" s="3">
        <f>IFERROR(__xludf.DUMMYFUNCTION("""COMPUTED_VALUE"""),0.0)</f>
        <v>0</v>
      </c>
    </row>
    <row r="1199">
      <c r="C1199" s="3">
        <f>IFERROR(__xludf.DUMMYFUNCTION("""COMPUTED_VALUE"""),0.0)</f>
        <v>0</v>
      </c>
    </row>
    <row r="1200">
      <c r="C1200" s="3">
        <f>IFERROR(__xludf.DUMMYFUNCTION("""COMPUTED_VALUE"""),0.10000000000002274)</f>
        <v>0.1</v>
      </c>
    </row>
    <row r="1201">
      <c r="C1201" s="3">
        <f>IFERROR(__xludf.DUMMYFUNCTION("""COMPUTED_VALUE"""),0.0)</f>
        <v>0</v>
      </c>
    </row>
    <row r="1202">
      <c r="C1202" s="3">
        <f>IFERROR(__xludf.DUMMYFUNCTION("""COMPUTED_VALUE"""),-0.10000000000002274)</f>
        <v>-0.1</v>
      </c>
    </row>
    <row r="1203">
      <c r="C1203" s="3">
        <f>IFERROR(__xludf.DUMMYFUNCTION("""COMPUTED_VALUE"""),0.0)</f>
        <v>0</v>
      </c>
    </row>
    <row r="1204">
      <c r="C1204" s="3">
        <f>IFERROR(__xludf.DUMMYFUNCTION("""COMPUTED_VALUE"""),0.0)</f>
        <v>0</v>
      </c>
    </row>
    <row r="1205">
      <c r="C1205" s="3">
        <f>IFERROR(__xludf.DUMMYFUNCTION("""COMPUTED_VALUE"""),-0.10000000000002274)</f>
        <v>-0.1</v>
      </c>
    </row>
    <row r="1206">
      <c r="C1206" s="3">
        <f>IFERROR(__xludf.DUMMYFUNCTION("""COMPUTED_VALUE"""),-0.0999999999999659)</f>
        <v>-0.1</v>
      </c>
    </row>
    <row r="1207">
      <c r="C1207" s="3">
        <f>IFERROR(__xludf.DUMMYFUNCTION("""COMPUTED_VALUE"""),0.0)</f>
        <v>0</v>
      </c>
    </row>
    <row r="1208">
      <c r="C1208" s="3">
        <f>IFERROR(__xludf.DUMMYFUNCTION("""COMPUTED_VALUE"""),0.0)</f>
        <v>0</v>
      </c>
    </row>
    <row r="1209">
      <c r="C1209" s="3">
        <f>IFERROR(__xludf.DUMMYFUNCTION("""COMPUTED_VALUE"""),0.19999999999998863)</f>
        <v>0.2</v>
      </c>
    </row>
    <row r="1210">
      <c r="C1210" s="3">
        <f>IFERROR(__xludf.DUMMYFUNCTION("""COMPUTED_VALUE"""),0.0)</f>
        <v>0</v>
      </c>
    </row>
    <row r="1211">
      <c r="C1211" s="3">
        <f>IFERROR(__xludf.DUMMYFUNCTION("""COMPUTED_VALUE"""),0.0)</f>
        <v>0</v>
      </c>
    </row>
    <row r="1212">
      <c r="C1212" s="3">
        <f>IFERROR(__xludf.DUMMYFUNCTION("""COMPUTED_VALUE"""),0.0)</f>
        <v>0</v>
      </c>
    </row>
    <row r="1213">
      <c r="C1213" s="3">
        <f>IFERROR(__xludf.DUMMYFUNCTION("""COMPUTED_VALUE"""),-0.10000000000002274)</f>
        <v>-0.1</v>
      </c>
    </row>
    <row r="1214">
      <c r="C1214" s="3">
        <f>IFERROR(__xludf.DUMMYFUNCTION("""COMPUTED_VALUE"""),-0.0999999999999659)</f>
        <v>-0.1</v>
      </c>
    </row>
    <row r="1215">
      <c r="C1215" s="3">
        <f>IFERROR(__xludf.DUMMYFUNCTION("""COMPUTED_VALUE"""),0.0)</f>
        <v>0</v>
      </c>
    </row>
    <row r="1216">
      <c r="C1216" s="3">
        <f>IFERROR(__xludf.DUMMYFUNCTION("""COMPUTED_VALUE"""),0.0)</f>
        <v>0</v>
      </c>
    </row>
    <row r="1217">
      <c r="C1217" s="3">
        <f>IFERROR(__xludf.DUMMYFUNCTION("""COMPUTED_VALUE"""),0.0)</f>
        <v>0</v>
      </c>
    </row>
    <row r="1218">
      <c r="C1218" s="3">
        <f>IFERROR(__xludf.DUMMYFUNCTION("""COMPUTED_VALUE"""),0.0)</f>
        <v>0</v>
      </c>
    </row>
    <row r="1219">
      <c r="C1219" s="3">
        <f>IFERROR(__xludf.DUMMYFUNCTION("""COMPUTED_VALUE"""),0.0)</f>
        <v>0</v>
      </c>
    </row>
    <row r="1220">
      <c r="C1220" s="3">
        <f>IFERROR(__xludf.DUMMYFUNCTION("""COMPUTED_VALUE"""),0.0)</f>
        <v>0</v>
      </c>
    </row>
    <row r="1221">
      <c r="C1221" s="3">
        <f>IFERROR(__xludf.DUMMYFUNCTION("""COMPUTED_VALUE"""),0.0)</f>
        <v>0</v>
      </c>
    </row>
    <row r="1222">
      <c r="C1222" s="3">
        <f>IFERROR(__xludf.DUMMYFUNCTION("""COMPUTED_VALUE"""),0.0)</f>
        <v>0</v>
      </c>
    </row>
    <row r="1223">
      <c r="C1223" s="3">
        <f>IFERROR(__xludf.DUMMYFUNCTION("""COMPUTED_VALUE"""),0.0)</f>
        <v>0</v>
      </c>
    </row>
    <row r="1224">
      <c r="C1224" s="3">
        <f>IFERROR(__xludf.DUMMYFUNCTION("""COMPUTED_VALUE"""),0.0)</f>
        <v>0</v>
      </c>
    </row>
    <row r="1225">
      <c r="C1225" s="3">
        <f>IFERROR(__xludf.DUMMYFUNCTION("""COMPUTED_VALUE"""),0.0)</f>
        <v>0</v>
      </c>
    </row>
    <row r="1226">
      <c r="C1226" s="3">
        <f>IFERROR(__xludf.DUMMYFUNCTION("""COMPUTED_VALUE"""),0.0)</f>
        <v>0</v>
      </c>
    </row>
    <row r="1227">
      <c r="C1227" s="3">
        <f>IFERROR(__xludf.DUMMYFUNCTION("""COMPUTED_VALUE"""),0.0)</f>
        <v>0</v>
      </c>
    </row>
    <row r="1228">
      <c r="C1228" s="3" t="str">
        <f>IFERROR(__xludf.DUMMYFUNCTION("""COMPUTED_VALUE"""),"")</f>
        <v/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.57"/>
    <col customWidth="1" min="4" max="5" width="3.57"/>
  </cols>
  <sheetData>
    <row r="1">
      <c r="A1" s="63"/>
      <c r="B1" s="63"/>
    </row>
    <row r="2">
      <c r="A2" s="63"/>
      <c r="B2" s="92" t="s">
        <v>87</v>
      </c>
      <c r="C2" s="93">
        <f>'BM Data'!M2</f>
        <v>5.022522523</v>
      </c>
    </row>
    <row r="3">
      <c r="A3" s="84"/>
      <c r="B3" s="92" t="s">
        <v>88</v>
      </c>
      <c r="C3" s="93">
        <f>F13</f>
        <v>0.5</v>
      </c>
    </row>
    <row r="4">
      <c r="A4" s="84"/>
      <c r="B4" s="92" t="str">
        <f>"Average &gt;= "&amp;C3</f>
        <v>Average &gt;= 0.5</v>
      </c>
      <c r="C4" s="94">
        <f>AVERAGEIFS(C9:C10003,C9:C10003,"&gt;="&amp;C3) * C2</f>
        <v>9.16145312</v>
      </c>
    </row>
    <row r="5">
      <c r="A5" s="84"/>
      <c r="B5" s="92" t="s">
        <v>89</v>
      </c>
      <c r="C5" s="94">
        <f>ROUND(AVERAGE(C9:C1120)*C2,1)</f>
        <v>1.5</v>
      </c>
    </row>
    <row r="6">
      <c r="A6" s="84"/>
      <c r="B6" s="95"/>
      <c r="C6" s="95"/>
      <c r="F6" s="95"/>
      <c r="G6" s="95"/>
      <c r="H6" s="95"/>
    </row>
    <row r="7">
      <c r="A7" s="84"/>
      <c r="B7" s="96" t="s">
        <v>90</v>
      </c>
      <c r="C7" s="96" t="s">
        <v>91</v>
      </c>
      <c r="F7" s="96" t="s">
        <v>92</v>
      </c>
      <c r="G7" s="96" t="s">
        <v>93</v>
      </c>
      <c r="H7" s="96" t="s">
        <v>94</v>
      </c>
    </row>
    <row r="8">
      <c r="A8" s="84"/>
      <c r="B8" s="3">
        <f>IFERROR(__xludf.DUMMYFUNCTION("TRANSPOSE(SPLIT('BM Data'!K2,"";""))"),0.0)</f>
        <v>0</v>
      </c>
      <c r="F8" s="4">
        <v>0.0</v>
      </c>
      <c r="G8" s="3">
        <f t="shared" ref="G8:G34" si="1">COUNTIFS(C8:C10003,"&gt;="&amp;F8,C8:C10003,"&lt;"&amp;F9)</f>
        <v>356</v>
      </c>
      <c r="H8" s="79">
        <f t="shared" ref="H8:H33" si="2">iferror(G8/G7-1,1)</f>
        <v>1</v>
      </c>
    </row>
    <row r="9">
      <c r="A9" s="84"/>
      <c r="B9" s="3">
        <f>IFERROR(__xludf.DUMMYFUNCTION("""COMPUTED_VALUE"""),1.2)</f>
        <v>1.2</v>
      </c>
      <c r="C9" s="3">
        <f t="shared" ref="C9:C1616" si="3">IF(B9="","",B9-B8)</f>
        <v>1.2</v>
      </c>
      <c r="F9" s="3">
        <f t="shared" ref="F9:F34" si="4">F8+0.1</f>
        <v>0.1</v>
      </c>
      <c r="G9" s="3">
        <f t="shared" si="1"/>
        <v>115</v>
      </c>
      <c r="H9" s="79">
        <f t="shared" si="2"/>
        <v>-0.6769662921</v>
      </c>
    </row>
    <row r="10">
      <c r="B10" s="3">
        <f>IFERROR(__xludf.DUMMYFUNCTION("""COMPUTED_VALUE"""),2.8)</f>
        <v>2.8</v>
      </c>
      <c r="C10" s="3">
        <f t="shared" si="3"/>
        <v>1.6</v>
      </c>
      <c r="F10" s="3">
        <f t="shared" si="4"/>
        <v>0.2</v>
      </c>
      <c r="G10" s="3">
        <f t="shared" si="1"/>
        <v>39</v>
      </c>
      <c r="H10" s="79">
        <f t="shared" si="2"/>
        <v>-0.6608695652</v>
      </c>
    </row>
    <row r="11">
      <c r="B11" s="3">
        <f>IFERROR(__xludf.DUMMYFUNCTION("""COMPUTED_VALUE"""),2.9)</f>
        <v>2.9</v>
      </c>
      <c r="C11" s="3">
        <f t="shared" si="3"/>
        <v>0.1</v>
      </c>
      <c r="F11" s="3">
        <f t="shared" si="4"/>
        <v>0.3</v>
      </c>
      <c r="G11" s="3">
        <f t="shared" si="1"/>
        <v>47</v>
      </c>
      <c r="H11" s="79">
        <f t="shared" si="2"/>
        <v>0.2051282051</v>
      </c>
    </row>
    <row r="12">
      <c r="B12" s="3">
        <f>IFERROR(__xludf.DUMMYFUNCTION("""COMPUTED_VALUE"""),3.8)</f>
        <v>3.8</v>
      </c>
      <c r="C12" s="3">
        <f t="shared" si="3"/>
        <v>0.9</v>
      </c>
      <c r="F12" s="97">
        <f t="shared" si="4"/>
        <v>0.4</v>
      </c>
      <c r="G12" s="97">
        <f t="shared" si="1"/>
        <v>20</v>
      </c>
      <c r="H12" s="98">
        <f t="shared" si="2"/>
        <v>-0.5744680851</v>
      </c>
    </row>
    <row r="13">
      <c r="B13" s="3">
        <f>IFERROR(__xludf.DUMMYFUNCTION("""COMPUTED_VALUE"""),4.19)</f>
        <v>4.19</v>
      </c>
      <c r="C13" s="3">
        <f t="shared" si="3"/>
        <v>0.39</v>
      </c>
      <c r="F13" s="3">
        <f t="shared" si="4"/>
        <v>0.5</v>
      </c>
      <c r="G13" s="3">
        <f t="shared" si="1"/>
        <v>67</v>
      </c>
      <c r="H13" s="79">
        <f t="shared" si="2"/>
        <v>2.35</v>
      </c>
    </row>
    <row r="14">
      <c r="B14" s="3">
        <f>IFERROR(__xludf.DUMMYFUNCTION("""COMPUTED_VALUE"""),4.19)</f>
        <v>4.19</v>
      </c>
      <c r="C14" s="3">
        <f t="shared" si="3"/>
        <v>0</v>
      </c>
      <c r="F14" s="3">
        <f t="shared" si="4"/>
        <v>0.6</v>
      </c>
      <c r="G14" s="3">
        <f t="shared" si="1"/>
        <v>33</v>
      </c>
      <c r="H14" s="79">
        <f t="shared" si="2"/>
        <v>-0.5074626866</v>
      </c>
    </row>
    <row r="15">
      <c r="B15" s="3">
        <f>IFERROR(__xludf.DUMMYFUNCTION("""COMPUTED_VALUE"""),5.0)</f>
        <v>5</v>
      </c>
      <c r="C15" s="3">
        <f t="shared" si="3"/>
        <v>0.81</v>
      </c>
      <c r="F15" s="3">
        <f t="shared" si="4"/>
        <v>0.7</v>
      </c>
      <c r="G15" s="3">
        <f t="shared" si="1"/>
        <v>45</v>
      </c>
      <c r="H15" s="79">
        <f t="shared" si="2"/>
        <v>0.3636363636</v>
      </c>
    </row>
    <row r="16">
      <c r="B16" s="3">
        <f>IFERROR(__xludf.DUMMYFUNCTION("""COMPUTED_VALUE"""),5.8)</f>
        <v>5.8</v>
      </c>
      <c r="C16" s="3">
        <f t="shared" si="3"/>
        <v>0.8</v>
      </c>
      <c r="F16" s="3">
        <f t="shared" si="4"/>
        <v>0.8</v>
      </c>
      <c r="G16" s="3">
        <f t="shared" si="1"/>
        <v>31</v>
      </c>
      <c r="H16" s="79">
        <f t="shared" si="2"/>
        <v>-0.3111111111</v>
      </c>
    </row>
    <row r="17">
      <c r="B17" s="3">
        <f>IFERROR(__xludf.DUMMYFUNCTION("""COMPUTED_VALUE"""),6.0)</f>
        <v>6</v>
      </c>
      <c r="C17" s="3">
        <f t="shared" si="3"/>
        <v>0.2</v>
      </c>
      <c r="F17" s="3">
        <f t="shared" si="4"/>
        <v>0.9</v>
      </c>
      <c r="G17" s="3">
        <f t="shared" si="1"/>
        <v>25</v>
      </c>
      <c r="H17" s="79">
        <f t="shared" si="2"/>
        <v>-0.1935483871</v>
      </c>
    </row>
    <row r="18">
      <c r="B18" s="3">
        <f>IFERROR(__xludf.DUMMYFUNCTION("""COMPUTED_VALUE"""),6.3)</f>
        <v>6.3</v>
      </c>
      <c r="C18" s="3">
        <f t="shared" si="3"/>
        <v>0.3</v>
      </c>
      <c r="F18" s="3">
        <f t="shared" si="4"/>
        <v>1</v>
      </c>
      <c r="G18" s="3">
        <f t="shared" si="1"/>
        <v>29</v>
      </c>
      <c r="H18" s="79">
        <f t="shared" si="2"/>
        <v>0.16</v>
      </c>
    </row>
    <row r="19">
      <c r="B19" s="3">
        <f>IFERROR(__xludf.DUMMYFUNCTION("""COMPUTED_VALUE"""),6.7)</f>
        <v>6.7</v>
      </c>
      <c r="C19" s="3">
        <f t="shared" si="3"/>
        <v>0.4</v>
      </c>
      <c r="F19" s="3">
        <f t="shared" si="4"/>
        <v>1.1</v>
      </c>
      <c r="G19" s="3">
        <f t="shared" si="1"/>
        <v>11</v>
      </c>
      <c r="H19" s="79">
        <f t="shared" si="2"/>
        <v>-0.6206896552</v>
      </c>
    </row>
    <row r="20">
      <c r="B20" s="3">
        <f>IFERROR(__xludf.DUMMYFUNCTION("""COMPUTED_VALUE"""),7.2)</f>
        <v>7.2</v>
      </c>
      <c r="C20" s="3">
        <f t="shared" si="3"/>
        <v>0.5</v>
      </c>
      <c r="F20" s="3">
        <f t="shared" si="4"/>
        <v>1.2</v>
      </c>
      <c r="G20" s="3">
        <f t="shared" si="1"/>
        <v>15</v>
      </c>
      <c r="H20" s="79">
        <f t="shared" si="2"/>
        <v>0.3636363636</v>
      </c>
    </row>
    <row r="21">
      <c r="B21" s="3">
        <f>IFERROR(__xludf.DUMMYFUNCTION("""COMPUTED_VALUE"""),9.1)</f>
        <v>9.1</v>
      </c>
      <c r="C21" s="3">
        <f t="shared" si="3"/>
        <v>1.9</v>
      </c>
      <c r="F21" s="3">
        <f t="shared" si="4"/>
        <v>1.3</v>
      </c>
      <c r="G21" s="3">
        <f t="shared" si="1"/>
        <v>13</v>
      </c>
      <c r="H21" s="79">
        <f t="shared" si="2"/>
        <v>-0.1333333333</v>
      </c>
    </row>
    <row r="22">
      <c r="B22" s="3">
        <f>IFERROR(__xludf.DUMMYFUNCTION("""COMPUTED_VALUE"""),10.2)</f>
        <v>10.2</v>
      </c>
      <c r="C22" s="3">
        <f t="shared" si="3"/>
        <v>1.1</v>
      </c>
      <c r="F22" s="3">
        <f t="shared" si="4"/>
        <v>1.4</v>
      </c>
      <c r="G22" s="3">
        <f t="shared" si="1"/>
        <v>6</v>
      </c>
      <c r="H22" s="79">
        <f t="shared" si="2"/>
        <v>-0.5384615385</v>
      </c>
    </row>
    <row r="23">
      <c r="B23" s="3">
        <f>IFERROR(__xludf.DUMMYFUNCTION("""COMPUTED_VALUE"""),10.4)</f>
        <v>10.4</v>
      </c>
      <c r="C23" s="3">
        <f t="shared" si="3"/>
        <v>0.2</v>
      </c>
      <c r="F23" s="3">
        <f t="shared" si="4"/>
        <v>1.5</v>
      </c>
      <c r="G23" s="3">
        <f t="shared" si="1"/>
        <v>7</v>
      </c>
      <c r="H23" s="79">
        <f t="shared" si="2"/>
        <v>0.1666666667</v>
      </c>
    </row>
    <row r="24">
      <c r="B24" s="3">
        <f>IFERROR(__xludf.DUMMYFUNCTION("""COMPUTED_VALUE"""),10.5)</f>
        <v>10.5</v>
      </c>
      <c r="C24" s="3">
        <f t="shared" si="3"/>
        <v>0.1</v>
      </c>
      <c r="F24" s="3">
        <f t="shared" si="4"/>
        <v>1.6</v>
      </c>
      <c r="G24" s="3">
        <f t="shared" si="1"/>
        <v>1</v>
      </c>
      <c r="H24" s="79">
        <f t="shared" si="2"/>
        <v>-0.8571428571</v>
      </c>
    </row>
    <row r="25">
      <c r="B25" s="3">
        <f>IFERROR(__xludf.DUMMYFUNCTION("""COMPUTED_VALUE"""),10.9)</f>
        <v>10.9</v>
      </c>
      <c r="C25" s="3">
        <f t="shared" si="3"/>
        <v>0.4</v>
      </c>
      <c r="F25" s="3">
        <f t="shared" si="4"/>
        <v>1.7</v>
      </c>
      <c r="G25" s="3">
        <f t="shared" si="1"/>
        <v>4</v>
      </c>
      <c r="H25" s="79">
        <f t="shared" si="2"/>
        <v>3</v>
      </c>
    </row>
    <row r="26">
      <c r="B26" s="3">
        <f>IFERROR(__xludf.DUMMYFUNCTION("""COMPUTED_VALUE"""),12.6)</f>
        <v>12.6</v>
      </c>
      <c r="C26" s="3">
        <f t="shared" si="3"/>
        <v>1.7</v>
      </c>
      <c r="F26" s="3">
        <f t="shared" si="4"/>
        <v>1.8</v>
      </c>
      <c r="G26" s="3">
        <f t="shared" si="1"/>
        <v>2</v>
      </c>
      <c r="H26" s="79">
        <f t="shared" si="2"/>
        <v>-0.5</v>
      </c>
    </row>
    <row r="27">
      <c r="B27" s="3">
        <f>IFERROR(__xludf.DUMMYFUNCTION("""COMPUTED_VALUE"""),13.3)</f>
        <v>13.3</v>
      </c>
      <c r="C27" s="3">
        <f t="shared" si="3"/>
        <v>0.7</v>
      </c>
      <c r="F27" s="3">
        <f t="shared" si="4"/>
        <v>1.9</v>
      </c>
      <c r="G27" s="3">
        <f t="shared" si="1"/>
        <v>0</v>
      </c>
      <c r="H27" s="79">
        <f t="shared" si="2"/>
        <v>-1</v>
      </c>
    </row>
    <row r="28">
      <c r="B28" s="3">
        <f>IFERROR(__xludf.DUMMYFUNCTION("""COMPUTED_VALUE"""),14.6)</f>
        <v>14.6</v>
      </c>
      <c r="C28" s="3">
        <f t="shared" si="3"/>
        <v>1.3</v>
      </c>
      <c r="F28" s="3">
        <f t="shared" si="4"/>
        <v>2</v>
      </c>
      <c r="G28" s="3">
        <f t="shared" si="1"/>
        <v>5</v>
      </c>
      <c r="H28" s="79">
        <f t="shared" si="2"/>
        <v>1</v>
      </c>
    </row>
    <row r="29">
      <c r="B29" s="3">
        <f>IFERROR(__xludf.DUMMYFUNCTION("""COMPUTED_VALUE"""),14.8)</f>
        <v>14.8</v>
      </c>
      <c r="C29" s="3">
        <f t="shared" si="3"/>
        <v>0.2</v>
      </c>
      <c r="F29" s="3">
        <f t="shared" si="4"/>
        <v>2.1</v>
      </c>
      <c r="G29" s="3">
        <f t="shared" si="1"/>
        <v>1</v>
      </c>
      <c r="H29" s="79">
        <f t="shared" si="2"/>
        <v>-0.8</v>
      </c>
    </row>
    <row r="30">
      <c r="B30" s="3">
        <f>IFERROR(__xludf.DUMMYFUNCTION("""COMPUTED_VALUE"""),16.0)</f>
        <v>16</v>
      </c>
      <c r="C30" s="3">
        <f t="shared" si="3"/>
        <v>1.2</v>
      </c>
      <c r="F30" s="3">
        <f t="shared" si="4"/>
        <v>2.2</v>
      </c>
      <c r="G30" s="3">
        <f t="shared" si="1"/>
        <v>2</v>
      </c>
      <c r="H30" s="79">
        <f t="shared" si="2"/>
        <v>1</v>
      </c>
    </row>
    <row r="31">
      <c r="B31" s="3">
        <f>IFERROR(__xludf.DUMMYFUNCTION("""COMPUTED_VALUE"""),16.2)</f>
        <v>16.2</v>
      </c>
      <c r="C31" s="3">
        <f t="shared" si="3"/>
        <v>0.2</v>
      </c>
      <c r="F31" s="3">
        <f t="shared" si="4"/>
        <v>2.3</v>
      </c>
      <c r="G31" s="3">
        <f t="shared" si="1"/>
        <v>0</v>
      </c>
      <c r="H31" s="79">
        <f t="shared" si="2"/>
        <v>-1</v>
      </c>
    </row>
    <row r="32">
      <c r="B32" s="3">
        <f>IFERROR(__xludf.DUMMYFUNCTION("""COMPUTED_VALUE"""),16.9)</f>
        <v>16.9</v>
      </c>
      <c r="C32" s="3">
        <f t="shared" si="3"/>
        <v>0.7</v>
      </c>
      <c r="F32" s="3">
        <f t="shared" si="4"/>
        <v>2.4</v>
      </c>
      <c r="G32" s="3">
        <f t="shared" si="1"/>
        <v>4</v>
      </c>
      <c r="H32" s="79">
        <f t="shared" si="2"/>
        <v>1</v>
      </c>
    </row>
    <row r="33">
      <c r="B33" s="3">
        <f>IFERROR(__xludf.DUMMYFUNCTION("""COMPUTED_VALUE"""),17.7)</f>
        <v>17.7</v>
      </c>
      <c r="C33" s="3">
        <f t="shared" si="3"/>
        <v>0.8</v>
      </c>
      <c r="F33" s="3">
        <f t="shared" si="4"/>
        <v>2.5</v>
      </c>
      <c r="G33" s="3">
        <f t="shared" si="1"/>
        <v>5</v>
      </c>
      <c r="H33" s="79">
        <f t="shared" si="2"/>
        <v>0.25</v>
      </c>
    </row>
    <row r="34">
      <c r="B34" s="3">
        <f>IFERROR(__xludf.DUMMYFUNCTION("""COMPUTED_VALUE"""),18.1)</f>
        <v>18.1</v>
      </c>
      <c r="C34" s="3">
        <f t="shared" si="3"/>
        <v>0.4</v>
      </c>
      <c r="F34" s="3">
        <f t="shared" si="4"/>
        <v>2.6</v>
      </c>
      <c r="G34" s="3">
        <f t="shared" si="1"/>
        <v>12</v>
      </c>
      <c r="H34" s="79"/>
    </row>
    <row r="35">
      <c r="B35" s="3">
        <f>IFERROR(__xludf.DUMMYFUNCTION("""COMPUTED_VALUE"""),19.29)</f>
        <v>19.29</v>
      </c>
      <c r="C35" s="3">
        <f t="shared" si="3"/>
        <v>1.19</v>
      </c>
      <c r="F35" s="4">
        <v>100.0</v>
      </c>
      <c r="H35" s="79"/>
    </row>
    <row r="36">
      <c r="B36" s="3">
        <f>IFERROR(__xludf.DUMMYFUNCTION("""COMPUTED_VALUE"""),19.79)</f>
        <v>19.79</v>
      </c>
      <c r="C36" s="3">
        <f t="shared" si="3"/>
        <v>0.5</v>
      </c>
    </row>
    <row r="37">
      <c r="B37" s="3">
        <f>IFERROR(__xludf.DUMMYFUNCTION("""COMPUTED_VALUE"""),20.6)</f>
        <v>20.6</v>
      </c>
      <c r="C37" s="3">
        <f t="shared" si="3"/>
        <v>0.81</v>
      </c>
    </row>
    <row r="38">
      <c r="B38" s="3">
        <f>IFERROR(__xludf.DUMMYFUNCTION("""COMPUTED_VALUE"""),21.1)</f>
        <v>21.1</v>
      </c>
      <c r="C38" s="3">
        <f t="shared" si="3"/>
        <v>0.5</v>
      </c>
    </row>
    <row r="39">
      <c r="B39" s="3">
        <f>IFERROR(__xludf.DUMMYFUNCTION("""COMPUTED_VALUE"""),22.1)</f>
        <v>22.1</v>
      </c>
      <c r="C39" s="3">
        <f t="shared" si="3"/>
        <v>1</v>
      </c>
    </row>
    <row r="40">
      <c r="B40" s="3">
        <f>IFERROR(__xludf.DUMMYFUNCTION("""COMPUTED_VALUE"""),22.7)</f>
        <v>22.7</v>
      </c>
      <c r="C40" s="3">
        <f t="shared" si="3"/>
        <v>0.6</v>
      </c>
    </row>
    <row r="41">
      <c r="B41" s="3">
        <f>IFERROR(__xludf.DUMMYFUNCTION("""COMPUTED_VALUE"""),23.4)</f>
        <v>23.4</v>
      </c>
      <c r="C41" s="3">
        <f t="shared" si="3"/>
        <v>0.7</v>
      </c>
    </row>
    <row r="42">
      <c r="B42" s="3">
        <f>IFERROR(__xludf.DUMMYFUNCTION("""COMPUTED_VALUE"""),24.3)</f>
        <v>24.3</v>
      </c>
      <c r="C42" s="3">
        <f t="shared" si="3"/>
        <v>0.9</v>
      </c>
    </row>
    <row r="43">
      <c r="B43" s="3">
        <f>IFERROR(__xludf.DUMMYFUNCTION("""COMPUTED_VALUE"""),25.2)</f>
        <v>25.2</v>
      </c>
      <c r="C43" s="3">
        <f t="shared" si="3"/>
        <v>0.9</v>
      </c>
    </row>
    <row r="44">
      <c r="B44" s="3">
        <f>IFERROR(__xludf.DUMMYFUNCTION("""COMPUTED_VALUE"""),26.0)</f>
        <v>26</v>
      </c>
      <c r="C44" s="3">
        <f t="shared" si="3"/>
        <v>0.8</v>
      </c>
    </row>
    <row r="45">
      <c r="B45" s="3">
        <f>IFERROR(__xludf.DUMMYFUNCTION("""COMPUTED_VALUE"""),26.4)</f>
        <v>26.4</v>
      </c>
      <c r="C45" s="3">
        <f t="shared" si="3"/>
        <v>0.4</v>
      </c>
    </row>
    <row r="46">
      <c r="B46" s="3">
        <f>IFERROR(__xludf.DUMMYFUNCTION("""COMPUTED_VALUE"""),27.6)</f>
        <v>27.6</v>
      </c>
      <c r="C46" s="3">
        <f t="shared" si="3"/>
        <v>1.2</v>
      </c>
    </row>
    <row r="47">
      <c r="B47" s="3">
        <f>IFERROR(__xludf.DUMMYFUNCTION("""COMPUTED_VALUE"""),28.0)</f>
        <v>28</v>
      </c>
      <c r="C47" s="3">
        <f t="shared" si="3"/>
        <v>0.4</v>
      </c>
    </row>
    <row r="48">
      <c r="B48" s="3">
        <f>IFERROR(__xludf.DUMMYFUNCTION("""COMPUTED_VALUE"""),29.2)</f>
        <v>29.2</v>
      </c>
      <c r="C48" s="3">
        <f t="shared" si="3"/>
        <v>1.2</v>
      </c>
    </row>
    <row r="49">
      <c r="B49" s="3">
        <f>IFERROR(__xludf.DUMMYFUNCTION("""COMPUTED_VALUE"""),29.8)</f>
        <v>29.8</v>
      </c>
      <c r="C49" s="3">
        <f t="shared" si="3"/>
        <v>0.6</v>
      </c>
    </row>
    <row r="50">
      <c r="B50" s="3">
        <f>IFERROR(__xludf.DUMMYFUNCTION("""COMPUTED_VALUE"""),30.0)</f>
        <v>30</v>
      </c>
      <c r="C50" s="3">
        <f t="shared" si="3"/>
        <v>0.2</v>
      </c>
    </row>
    <row r="51">
      <c r="B51" s="3">
        <f>IFERROR(__xludf.DUMMYFUNCTION("""COMPUTED_VALUE"""),30.5)</f>
        <v>30.5</v>
      </c>
      <c r="C51" s="3">
        <f t="shared" si="3"/>
        <v>0.5</v>
      </c>
    </row>
    <row r="52">
      <c r="B52" s="3">
        <f>IFERROR(__xludf.DUMMYFUNCTION("""COMPUTED_VALUE"""),31.2)</f>
        <v>31.2</v>
      </c>
      <c r="C52" s="3">
        <f t="shared" si="3"/>
        <v>0.7</v>
      </c>
    </row>
    <row r="53">
      <c r="B53" s="3">
        <f>IFERROR(__xludf.DUMMYFUNCTION("""COMPUTED_VALUE"""),31.8)</f>
        <v>31.8</v>
      </c>
      <c r="C53" s="3">
        <f t="shared" si="3"/>
        <v>0.6</v>
      </c>
    </row>
    <row r="54">
      <c r="B54" s="3">
        <f>IFERROR(__xludf.DUMMYFUNCTION("""COMPUTED_VALUE"""),32.4)</f>
        <v>32.4</v>
      </c>
      <c r="C54" s="3">
        <f t="shared" si="3"/>
        <v>0.6</v>
      </c>
    </row>
    <row r="55">
      <c r="B55" s="3">
        <f>IFERROR(__xludf.DUMMYFUNCTION("""COMPUTED_VALUE"""),32.9)</f>
        <v>32.9</v>
      </c>
      <c r="C55" s="3">
        <f t="shared" si="3"/>
        <v>0.5</v>
      </c>
    </row>
    <row r="56">
      <c r="B56" s="3">
        <f>IFERROR(__xludf.DUMMYFUNCTION("""COMPUTED_VALUE"""),35.0)</f>
        <v>35</v>
      </c>
      <c r="C56" s="3">
        <f t="shared" si="3"/>
        <v>2.1</v>
      </c>
    </row>
    <row r="57">
      <c r="B57" s="3">
        <f>IFERROR(__xludf.DUMMYFUNCTION("""COMPUTED_VALUE"""),35.7)</f>
        <v>35.7</v>
      </c>
      <c r="C57" s="3">
        <f t="shared" si="3"/>
        <v>0.7</v>
      </c>
    </row>
    <row r="58">
      <c r="B58" s="3">
        <f>IFERROR(__xludf.DUMMYFUNCTION("""COMPUTED_VALUE"""),35.9)</f>
        <v>35.9</v>
      </c>
      <c r="C58" s="3">
        <f t="shared" si="3"/>
        <v>0.2</v>
      </c>
    </row>
    <row r="59">
      <c r="B59" s="3">
        <f>IFERROR(__xludf.DUMMYFUNCTION("""COMPUTED_VALUE"""),36.2)</f>
        <v>36.2</v>
      </c>
      <c r="C59" s="3">
        <f t="shared" si="3"/>
        <v>0.3</v>
      </c>
    </row>
    <row r="60">
      <c r="B60" s="3">
        <f>IFERROR(__xludf.DUMMYFUNCTION("""COMPUTED_VALUE"""),36.7)</f>
        <v>36.7</v>
      </c>
      <c r="C60" s="3">
        <f t="shared" si="3"/>
        <v>0.5</v>
      </c>
    </row>
    <row r="61">
      <c r="B61" s="3">
        <f>IFERROR(__xludf.DUMMYFUNCTION("""COMPUTED_VALUE"""),37.3)</f>
        <v>37.3</v>
      </c>
      <c r="C61" s="3">
        <f t="shared" si="3"/>
        <v>0.6</v>
      </c>
    </row>
    <row r="62">
      <c r="B62" s="3">
        <f>IFERROR(__xludf.DUMMYFUNCTION("""COMPUTED_VALUE"""),38.0)</f>
        <v>38</v>
      </c>
      <c r="C62" s="3">
        <f t="shared" si="3"/>
        <v>0.7</v>
      </c>
    </row>
    <row r="63">
      <c r="B63" s="3">
        <f>IFERROR(__xludf.DUMMYFUNCTION("""COMPUTED_VALUE"""),38.9)</f>
        <v>38.9</v>
      </c>
      <c r="C63" s="3">
        <f t="shared" si="3"/>
        <v>0.9</v>
      </c>
    </row>
    <row r="64">
      <c r="B64" s="3">
        <f>IFERROR(__xludf.DUMMYFUNCTION("""COMPUTED_VALUE"""),40.2)</f>
        <v>40.2</v>
      </c>
      <c r="C64" s="3">
        <f t="shared" si="3"/>
        <v>1.3</v>
      </c>
    </row>
    <row r="65">
      <c r="B65" s="3">
        <f>IFERROR(__xludf.DUMMYFUNCTION("""COMPUTED_VALUE"""),40.4)</f>
        <v>40.4</v>
      </c>
      <c r="C65" s="3">
        <f t="shared" si="3"/>
        <v>0.2</v>
      </c>
    </row>
    <row r="66">
      <c r="B66" s="3">
        <f>IFERROR(__xludf.DUMMYFUNCTION("""COMPUTED_VALUE"""),41.6)</f>
        <v>41.6</v>
      </c>
      <c r="C66" s="3">
        <f t="shared" si="3"/>
        <v>1.2</v>
      </c>
    </row>
    <row r="67">
      <c r="B67" s="3">
        <f>IFERROR(__xludf.DUMMYFUNCTION("""COMPUTED_VALUE"""),42.4)</f>
        <v>42.4</v>
      </c>
      <c r="C67" s="3">
        <f t="shared" si="3"/>
        <v>0.8</v>
      </c>
    </row>
    <row r="68">
      <c r="B68" s="3">
        <f>IFERROR(__xludf.DUMMYFUNCTION("""COMPUTED_VALUE"""),43.0)</f>
        <v>43</v>
      </c>
      <c r="C68" s="3">
        <f t="shared" si="3"/>
        <v>0.6</v>
      </c>
    </row>
    <row r="69">
      <c r="B69" s="3">
        <f>IFERROR(__xludf.DUMMYFUNCTION("""COMPUTED_VALUE"""),43.7)</f>
        <v>43.7</v>
      </c>
      <c r="C69" s="3">
        <f t="shared" si="3"/>
        <v>0.7</v>
      </c>
    </row>
    <row r="70">
      <c r="B70" s="3">
        <f>IFERROR(__xludf.DUMMYFUNCTION("""COMPUTED_VALUE"""),44.5)</f>
        <v>44.5</v>
      </c>
      <c r="C70" s="3">
        <f t="shared" si="3"/>
        <v>0.8</v>
      </c>
    </row>
    <row r="71">
      <c r="B71" s="3">
        <f>IFERROR(__xludf.DUMMYFUNCTION("""COMPUTED_VALUE"""),45.0)</f>
        <v>45</v>
      </c>
      <c r="C71" s="3">
        <f t="shared" si="3"/>
        <v>0.5</v>
      </c>
    </row>
    <row r="72">
      <c r="B72" s="3">
        <f>IFERROR(__xludf.DUMMYFUNCTION("""COMPUTED_VALUE"""),45.7)</f>
        <v>45.7</v>
      </c>
      <c r="C72" s="3">
        <f t="shared" si="3"/>
        <v>0.7</v>
      </c>
    </row>
    <row r="73">
      <c r="B73" s="3">
        <f>IFERROR(__xludf.DUMMYFUNCTION("""COMPUTED_VALUE"""),46.5)</f>
        <v>46.5</v>
      </c>
      <c r="C73" s="3">
        <f t="shared" si="3"/>
        <v>0.8</v>
      </c>
    </row>
    <row r="74">
      <c r="B74" s="3">
        <f>IFERROR(__xludf.DUMMYFUNCTION("""COMPUTED_VALUE"""),47.2)</f>
        <v>47.2</v>
      </c>
      <c r="C74" s="3">
        <f t="shared" si="3"/>
        <v>0.7</v>
      </c>
    </row>
    <row r="75">
      <c r="B75" s="3">
        <f>IFERROR(__xludf.DUMMYFUNCTION("""COMPUTED_VALUE"""),48.4)</f>
        <v>48.4</v>
      </c>
      <c r="C75" s="3">
        <f t="shared" si="3"/>
        <v>1.2</v>
      </c>
    </row>
    <row r="76">
      <c r="B76" s="3">
        <f>IFERROR(__xludf.DUMMYFUNCTION("""COMPUTED_VALUE"""),49.6)</f>
        <v>49.6</v>
      </c>
      <c r="C76" s="3">
        <f t="shared" si="3"/>
        <v>1.2</v>
      </c>
    </row>
    <row r="77">
      <c r="B77" s="3">
        <f>IFERROR(__xludf.DUMMYFUNCTION("""COMPUTED_VALUE"""),49.8)</f>
        <v>49.8</v>
      </c>
      <c r="C77" s="3">
        <f t="shared" si="3"/>
        <v>0.2</v>
      </c>
    </row>
    <row r="78">
      <c r="B78" s="3">
        <f>IFERROR(__xludf.DUMMYFUNCTION("""COMPUTED_VALUE"""),50.1)</f>
        <v>50.1</v>
      </c>
      <c r="C78" s="3">
        <f t="shared" si="3"/>
        <v>0.3</v>
      </c>
    </row>
    <row r="79">
      <c r="B79" s="3">
        <f>IFERROR(__xludf.DUMMYFUNCTION("""COMPUTED_VALUE"""),50.7)</f>
        <v>50.7</v>
      </c>
      <c r="C79" s="3">
        <f t="shared" si="3"/>
        <v>0.6</v>
      </c>
    </row>
    <row r="80">
      <c r="B80" s="3">
        <f>IFERROR(__xludf.DUMMYFUNCTION("""COMPUTED_VALUE"""),53.2)</f>
        <v>53.2</v>
      </c>
      <c r="C80" s="3">
        <f t="shared" si="3"/>
        <v>2.5</v>
      </c>
    </row>
    <row r="81">
      <c r="B81" s="3">
        <f>IFERROR(__xludf.DUMMYFUNCTION("""COMPUTED_VALUE"""),53.0)</f>
        <v>53</v>
      </c>
      <c r="C81" s="3">
        <f t="shared" si="3"/>
        <v>-0.2</v>
      </c>
    </row>
    <row r="82">
      <c r="B82" s="3">
        <f>IFERROR(__xludf.DUMMYFUNCTION("""COMPUTED_VALUE"""),53.2)</f>
        <v>53.2</v>
      </c>
      <c r="C82" s="3">
        <f t="shared" si="3"/>
        <v>0.2</v>
      </c>
    </row>
    <row r="83">
      <c r="B83" s="3">
        <f>IFERROR(__xludf.DUMMYFUNCTION("""COMPUTED_VALUE"""),53.5)</f>
        <v>53.5</v>
      </c>
      <c r="C83" s="3">
        <f t="shared" si="3"/>
        <v>0.3</v>
      </c>
    </row>
    <row r="84">
      <c r="B84" s="3">
        <f>IFERROR(__xludf.DUMMYFUNCTION("""COMPUTED_VALUE"""),54.7)</f>
        <v>54.7</v>
      </c>
      <c r="C84" s="3">
        <f t="shared" si="3"/>
        <v>1.2</v>
      </c>
    </row>
    <row r="85">
      <c r="B85" s="3">
        <f>IFERROR(__xludf.DUMMYFUNCTION("""COMPUTED_VALUE"""),55.1)</f>
        <v>55.1</v>
      </c>
      <c r="C85" s="3">
        <f t="shared" si="3"/>
        <v>0.4</v>
      </c>
    </row>
    <row r="86">
      <c r="B86" s="3">
        <f>IFERROR(__xludf.DUMMYFUNCTION("""COMPUTED_VALUE"""),55.1)</f>
        <v>55.1</v>
      </c>
      <c r="C86" s="3">
        <f t="shared" si="3"/>
        <v>0</v>
      </c>
    </row>
    <row r="87">
      <c r="B87" s="3">
        <f>IFERROR(__xludf.DUMMYFUNCTION("""COMPUTED_VALUE"""),55.0)</f>
        <v>55</v>
      </c>
      <c r="C87" s="3">
        <f t="shared" si="3"/>
        <v>-0.1</v>
      </c>
    </row>
    <row r="88">
      <c r="B88" s="3">
        <f>IFERROR(__xludf.DUMMYFUNCTION("""COMPUTED_VALUE"""),55.0)</f>
        <v>55</v>
      </c>
      <c r="C88" s="3">
        <f t="shared" si="3"/>
        <v>0</v>
      </c>
    </row>
    <row r="89">
      <c r="B89" s="3">
        <f>IFERROR(__xludf.DUMMYFUNCTION("""COMPUTED_VALUE"""),55.1)</f>
        <v>55.1</v>
      </c>
      <c r="C89" s="3">
        <f t="shared" si="3"/>
        <v>0.1</v>
      </c>
    </row>
    <row r="90">
      <c r="B90" s="3">
        <f>IFERROR(__xludf.DUMMYFUNCTION("""COMPUTED_VALUE"""),55.3)</f>
        <v>55.3</v>
      </c>
      <c r="C90" s="3">
        <f t="shared" si="3"/>
        <v>0.2</v>
      </c>
    </row>
    <row r="91">
      <c r="B91" s="3">
        <f>IFERROR(__xludf.DUMMYFUNCTION("""COMPUTED_VALUE"""),55.4)</f>
        <v>55.4</v>
      </c>
      <c r="C91" s="3">
        <f t="shared" si="3"/>
        <v>0.1</v>
      </c>
    </row>
    <row r="92">
      <c r="B92" s="3">
        <f>IFERROR(__xludf.DUMMYFUNCTION("""COMPUTED_VALUE"""),55.4)</f>
        <v>55.4</v>
      </c>
      <c r="C92" s="3">
        <f t="shared" si="3"/>
        <v>0</v>
      </c>
    </row>
    <row r="93">
      <c r="B93" s="3">
        <f>IFERROR(__xludf.DUMMYFUNCTION("""COMPUTED_VALUE"""),57.1)</f>
        <v>57.1</v>
      </c>
      <c r="C93" s="3">
        <f t="shared" si="3"/>
        <v>1.7</v>
      </c>
    </row>
    <row r="94">
      <c r="B94" s="3">
        <f>IFERROR(__xludf.DUMMYFUNCTION("""COMPUTED_VALUE"""),56.6)</f>
        <v>56.6</v>
      </c>
      <c r="C94" s="3">
        <f t="shared" si="3"/>
        <v>-0.5</v>
      </c>
    </row>
    <row r="95">
      <c r="B95" s="3">
        <f>IFERROR(__xludf.DUMMYFUNCTION("""COMPUTED_VALUE"""),56.5)</f>
        <v>56.5</v>
      </c>
      <c r="C95" s="3">
        <f t="shared" si="3"/>
        <v>-0.1</v>
      </c>
    </row>
    <row r="96">
      <c r="B96" s="3">
        <f>IFERROR(__xludf.DUMMYFUNCTION("""COMPUTED_VALUE"""),56.5)</f>
        <v>56.5</v>
      </c>
      <c r="C96" s="3">
        <f t="shared" si="3"/>
        <v>0</v>
      </c>
    </row>
    <row r="97">
      <c r="B97" s="3">
        <f>IFERROR(__xludf.DUMMYFUNCTION("""COMPUTED_VALUE"""),56.5)</f>
        <v>56.5</v>
      </c>
      <c r="C97" s="3">
        <f t="shared" si="3"/>
        <v>0</v>
      </c>
    </row>
    <row r="98">
      <c r="B98" s="3">
        <f>IFERROR(__xludf.DUMMYFUNCTION("""COMPUTED_VALUE"""),56.5)</f>
        <v>56.5</v>
      </c>
      <c r="C98" s="3">
        <f t="shared" si="3"/>
        <v>0</v>
      </c>
    </row>
    <row r="99">
      <c r="B99" s="3">
        <f>IFERROR(__xludf.DUMMYFUNCTION("""COMPUTED_VALUE"""),56.6)</f>
        <v>56.6</v>
      </c>
      <c r="C99" s="3">
        <f t="shared" si="3"/>
        <v>0.1</v>
      </c>
    </row>
    <row r="100">
      <c r="B100" s="3">
        <f>IFERROR(__xludf.DUMMYFUNCTION("""COMPUTED_VALUE"""),56.6)</f>
        <v>56.6</v>
      </c>
      <c r="C100" s="3">
        <f t="shared" si="3"/>
        <v>0</v>
      </c>
    </row>
    <row r="101">
      <c r="B101" s="3">
        <f>IFERROR(__xludf.DUMMYFUNCTION("""COMPUTED_VALUE"""),56.3)</f>
        <v>56.3</v>
      </c>
      <c r="C101" s="3">
        <f t="shared" si="3"/>
        <v>-0.3</v>
      </c>
    </row>
    <row r="102">
      <c r="B102" s="3">
        <f>IFERROR(__xludf.DUMMYFUNCTION("""COMPUTED_VALUE"""),56.5)</f>
        <v>56.5</v>
      </c>
      <c r="C102" s="3">
        <f t="shared" si="3"/>
        <v>0.2</v>
      </c>
    </row>
    <row r="103">
      <c r="B103" s="3">
        <f>IFERROR(__xludf.DUMMYFUNCTION("""COMPUTED_VALUE"""),56.6)</f>
        <v>56.6</v>
      </c>
      <c r="C103" s="3">
        <f t="shared" si="3"/>
        <v>0.1</v>
      </c>
    </row>
    <row r="104">
      <c r="B104" s="3">
        <f>IFERROR(__xludf.DUMMYFUNCTION("""COMPUTED_VALUE"""),56.5)</f>
        <v>56.5</v>
      </c>
      <c r="C104" s="3">
        <f t="shared" si="3"/>
        <v>-0.1</v>
      </c>
    </row>
    <row r="105">
      <c r="B105" s="3">
        <f>IFERROR(__xludf.DUMMYFUNCTION("""COMPUTED_VALUE"""),56.5)</f>
        <v>56.5</v>
      </c>
      <c r="C105" s="3">
        <f t="shared" si="3"/>
        <v>0</v>
      </c>
    </row>
    <row r="106">
      <c r="B106" s="3">
        <f>IFERROR(__xludf.DUMMYFUNCTION("""COMPUTED_VALUE"""),56.4)</f>
        <v>56.4</v>
      </c>
      <c r="C106" s="3">
        <f t="shared" si="3"/>
        <v>-0.1</v>
      </c>
    </row>
    <row r="107">
      <c r="B107" s="3">
        <f>IFERROR(__xludf.DUMMYFUNCTION("""COMPUTED_VALUE"""),56.5)</f>
        <v>56.5</v>
      </c>
      <c r="C107" s="3">
        <f t="shared" si="3"/>
        <v>0.1</v>
      </c>
    </row>
    <row r="108">
      <c r="B108" s="3">
        <f>IFERROR(__xludf.DUMMYFUNCTION("""COMPUTED_VALUE"""),56.3)</f>
        <v>56.3</v>
      </c>
      <c r="C108" s="3">
        <f t="shared" si="3"/>
        <v>-0.2</v>
      </c>
    </row>
    <row r="109">
      <c r="B109" s="3">
        <f>IFERROR(__xludf.DUMMYFUNCTION("""COMPUTED_VALUE"""),56.3)</f>
        <v>56.3</v>
      </c>
      <c r="C109" s="3">
        <f t="shared" si="3"/>
        <v>0</v>
      </c>
    </row>
    <row r="110">
      <c r="B110" s="3">
        <f>IFERROR(__xludf.DUMMYFUNCTION("""COMPUTED_VALUE"""),56.5)</f>
        <v>56.5</v>
      </c>
      <c r="C110" s="3">
        <f t="shared" si="3"/>
        <v>0.2</v>
      </c>
    </row>
    <row r="111">
      <c r="B111" s="3">
        <f>IFERROR(__xludf.DUMMYFUNCTION("""COMPUTED_VALUE"""),56.5)</f>
        <v>56.5</v>
      </c>
      <c r="C111" s="3">
        <f t="shared" si="3"/>
        <v>0</v>
      </c>
    </row>
    <row r="112">
      <c r="B112" s="3">
        <f>IFERROR(__xludf.DUMMYFUNCTION("""COMPUTED_VALUE"""),56.6)</f>
        <v>56.6</v>
      </c>
      <c r="C112" s="3">
        <f t="shared" si="3"/>
        <v>0.1</v>
      </c>
    </row>
    <row r="113">
      <c r="B113" s="3">
        <f>IFERROR(__xludf.DUMMYFUNCTION("""COMPUTED_VALUE"""),56.6)</f>
        <v>56.6</v>
      </c>
      <c r="C113" s="3">
        <f t="shared" si="3"/>
        <v>0</v>
      </c>
    </row>
    <row r="114">
      <c r="B114" s="3">
        <f>IFERROR(__xludf.DUMMYFUNCTION("""COMPUTED_VALUE"""),56.3)</f>
        <v>56.3</v>
      </c>
      <c r="C114" s="3">
        <f t="shared" si="3"/>
        <v>-0.3</v>
      </c>
    </row>
    <row r="115">
      <c r="B115" s="3">
        <f>IFERROR(__xludf.DUMMYFUNCTION("""COMPUTED_VALUE"""),56.5)</f>
        <v>56.5</v>
      </c>
      <c r="C115" s="3">
        <f t="shared" si="3"/>
        <v>0.2</v>
      </c>
    </row>
    <row r="116">
      <c r="B116" s="3">
        <f>IFERROR(__xludf.DUMMYFUNCTION("""COMPUTED_VALUE"""),56.6)</f>
        <v>56.6</v>
      </c>
      <c r="C116" s="3">
        <f t="shared" si="3"/>
        <v>0.1</v>
      </c>
    </row>
    <row r="117">
      <c r="B117" s="3">
        <f>IFERROR(__xludf.DUMMYFUNCTION("""COMPUTED_VALUE"""),56.6)</f>
        <v>56.6</v>
      </c>
      <c r="C117" s="3">
        <f t="shared" si="3"/>
        <v>0</v>
      </c>
    </row>
    <row r="118">
      <c r="B118" s="3">
        <f>IFERROR(__xludf.DUMMYFUNCTION("""COMPUTED_VALUE"""),56.6)</f>
        <v>56.6</v>
      </c>
      <c r="C118" s="3">
        <f t="shared" si="3"/>
        <v>0</v>
      </c>
    </row>
    <row r="119">
      <c r="B119" s="3">
        <f>IFERROR(__xludf.DUMMYFUNCTION("""COMPUTED_VALUE"""),56.7)</f>
        <v>56.7</v>
      </c>
      <c r="C119" s="3">
        <f t="shared" si="3"/>
        <v>0.1</v>
      </c>
    </row>
    <row r="120">
      <c r="B120" s="3">
        <f>IFERROR(__xludf.DUMMYFUNCTION("""COMPUTED_VALUE"""),56.8)</f>
        <v>56.8</v>
      </c>
      <c r="C120" s="3">
        <f t="shared" si="3"/>
        <v>0.1</v>
      </c>
    </row>
    <row r="121">
      <c r="B121" s="3">
        <f>IFERROR(__xludf.DUMMYFUNCTION("""COMPUTED_VALUE"""),56.8)</f>
        <v>56.8</v>
      </c>
      <c r="C121" s="3">
        <f t="shared" si="3"/>
        <v>0</v>
      </c>
    </row>
    <row r="122">
      <c r="B122" s="3">
        <f>IFERROR(__xludf.DUMMYFUNCTION("""COMPUTED_VALUE"""),56.8)</f>
        <v>56.8</v>
      </c>
      <c r="C122" s="3">
        <f t="shared" si="3"/>
        <v>0</v>
      </c>
    </row>
    <row r="123">
      <c r="B123" s="3">
        <f>IFERROR(__xludf.DUMMYFUNCTION("""COMPUTED_VALUE"""),56.8)</f>
        <v>56.8</v>
      </c>
      <c r="C123" s="3">
        <f t="shared" si="3"/>
        <v>0</v>
      </c>
    </row>
    <row r="124">
      <c r="B124" s="3">
        <f>IFERROR(__xludf.DUMMYFUNCTION("""COMPUTED_VALUE"""),56.2)</f>
        <v>56.2</v>
      </c>
      <c r="C124" s="3">
        <f t="shared" si="3"/>
        <v>-0.6</v>
      </c>
    </row>
    <row r="125">
      <c r="B125" s="3">
        <f>IFERROR(__xludf.DUMMYFUNCTION("""COMPUTED_VALUE"""),56.3)</f>
        <v>56.3</v>
      </c>
      <c r="C125" s="3">
        <f t="shared" si="3"/>
        <v>0.1</v>
      </c>
    </row>
    <row r="126">
      <c r="B126" s="3">
        <f>IFERROR(__xludf.DUMMYFUNCTION("""COMPUTED_VALUE"""),56.5)</f>
        <v>56.5</v>
      </c>
      <c r="C126" s="3">
        <f t="shared" si="3"/>
        <v>0.2</v>
      </c>
    </row>
    <row r="127">
      <c r="B127" s="3">
        <f>IFERROR(__xludf.DUMMYFUNCTION("""COMPUTED_VALUE"""),56.7)</f>
        <v>56.7</v>
      </c>
      <c r="C127" s="3">
        <f t="shared" si="3"/>
        <v>0.2</v>
      </c>
    </row>
    <row r="128">
      <c r="B128" s="3">
        <f>IFERROR(__xludf.DUMMYFUNCTION("""COMPUTED_VALUE"""),56.7)</f>
        <v>56.7</v>
      </c>
      <c r="C128" s="3">
        <f t="shared" si="3"/>
        <v>0</v>
      </c>
    </row>
    <row r="129">
      <c r="B129" s="3">
        <f>IFERROR(__xludf.DUMMYFUNCTION("""COMPUTED_VALUE"""),56.7)</f>
        <v>56.7</v>
      </c>
      <c r="C129" s="3">
        <f t="shared" si="3"/>
        <v>0</v>
      </c>
    </row>
    <row r="130">
      <c r="B130" s="3">
        <f>IFERROR(__xludf.DUMMYFUNCTION("""COMPUTED_VALUE"""),56.7)</f>
        <v>56.7</v>
      </c>
      <c r="C130" s="3">
        <f t="shared" si="3"/>
        <v>0</v>
      </c>
    </row>
    <row r="131">
      <c r="B131" s="3">
        <f>IFERROR(__xludf.DUMMYFUNCTION("""COMPUTED_VALUE"""),56.7)</f>
        <v>56.7</v>
      </c>
      <c r="C131" s="3">
        <f t="shared" si="3"/>
        <v>0</v>
      </c>
    </row>
    <row r="132">
      <c r="B132" s="3">
        <f>IFERROR(__xludf.DUMMYFUNCTION("""COMPUTED_VALUE"""),56.6)</f>
        <v>56.6</v>
      </c>
      <c r="C132" s="3">
        <f t="shared" si="3"/>
        <v>-0.1</v>
      </c>
    </row>
    <row r="133">
      <c r="B133" s="3">
        <f>IFERROR(__xludf.DUMMYFUNCTION("""COMPUTED_VALUE"""),56.1)</f>
        <v>56.1</v>
      </c>
      <c r="C133" s="3">
        <f t="shared" si="3"/>
        <v>-0.5</v>
      </c>
    </row>
    <row r="134">
      <c r="B134" s="3">
        <f>IFERROR(__xludf.DUMMYFUNCTION("""COMPUTED_VALUE"""),56.3)</f>
        <v>56.3</v>
      </c>
      <c r="C134" s="3">
        <f t="shared" si="3"/>
        <v>0.2</v>
      </c>
    </row>
    <row r="135">
      <c r="B135" s="3">
        <f>IFERROR(__xludf.DUMMYFUNCTION("""COMPUTED_VALUE"""),56.5)</f>
        <v>56.5</v>
      </c>
      <c r="C135" s="3">
        <f t="shared" si="3"/>
        <v>0.2</v>
      </c>
    </row>
    <row r="136">
      <c r="B136" s="3">
        <f>IFERROR(__xludf.DUMMYFUNCTION("""COMPUTED_VALUE"""),56.5)</f>
        <v>56.5</v>
      </c>
      <c r="C136" s="3">
        <f t="shared" si="3"/>
        <v>0</v>
      </c>
    </row>
    <row r="137">
      <c r="B137" s="3">
        <f>IFERROR(__xludf.DUMMYFUNCTION("""COMPUTED_VALUE"""),56.5)</f>
        <v>56.5</v>
      </c>
      <c r="C137" s="3">
        <f t="shared" si="3"/>
        <v>0</v>
      </c>
    </row>
    <row r="138">
      <c r="B138" s="3">
        <f>IFERROR(__xludf.DUMMYFUNCTION("""COMPUTED_VALUE"""),56.5)</f>
        <v>56.5</v>
      </c>
      <c r="C138" s="3">
        <f t="shared" si="3"/>
        <v>0</v>
      </c>
    </row>
    <row r="139">
      <c r="B139" s="3">
        <f>IFERROR(__xludf.DUMMYFUNCTION("""COMPUTED_VALUE"""),56.5)</f>
        <v>56.5</v>
      </c>
      <c r="C139" s="3">
        <f t="shared" si="3"/>
        <v>0</v>
      </c>
    </row>
    <row r="140">
      <c r="B140" s="3">
        <f>IFERROR(__xludf.DUMMYFUNCTION("""COMPUTED_VALUE"""),56.7)</f>
        <v>56.7</v>
      </c>
      <c r="C140" s="3">
        <f t="shared" si="3"/>
        <v>0.2</v>
      </c>
    </row>
    <row r="141">
      <c r="B141" s="3">
        <f>IFERROR(__xludf.DUMMYFUNCTION("""COMPUTED_VALUE"""),56.7)</f>
        <v>56.7</v>
      </c>
      <c r="C141" s="3">
        <f t="shared" si="3"/>
        <v>0</v>
      </c>
    </row>
    <row r="142">
      <c r="B142" s="3">
        <f>IFERROR(__xludf.DUMMYFUNCTION("""COMPUTED_VALUE"""),56.8)</f>
        <v>56.8</v>
      </c>
      <c r="C142" s="3">
        <f t="shared" si="3"/>
        <v>0.1</v>
      </c>
    </row>
    <row r="143">
      <c r="B143" s="3">
        <f>IFERROR(__xludf.DUMMYFUNCTION("""COMPUTED_VALUE"""),56.9)</f>
        <v>56.9</v>
      </c>
      <c r="C143" s="3">
        <f t="shared" si="3"/>
        <v>0.1</v>
      </c>
    </row>
    <row r="144">
      <c r="B144" s="3">
        <f>IFERROR(__xludf.DUMMYFUNCTION("""COMPUTED_VALUE"""),56.7)</f>
        <v>56.7</v>
      </c>
      <c r="C144" s="3">
        <f t="shared" si="3"/>
        <v>-0.2</v>
      </c>
    </row>
    <row r="145">
      <c r="B145" s="3">
        <f>IFERROR(__xludf.DUMMYFUNCTION("""COMPUTED_VALUE"""),56.6)</f>
        <v>56.6</v>
      </c>
      <c r="C145" s="3">
        <f t="shared" si="3"/>
        <v>-0.1</v>
      </c>
    </row>
    <row r="146">
      <c r="B146" s="3">
        <f>IFERROR(__xludf.DUMMYFUNCTION("""COMPUTED_VALUE"""),56.7)</f>
        <v>56.7</v>
      </c>
      <c r="C146" s="3">
        <f t="shared" si="3"/>
        <v>0.1</v>
      </c>
    </row>
    <row r="147">
      <c r="B147" s="3">
        <f>IFERROR(__xludf.DUMMYFUNCTION("""COMPUTED_VALUE"""),56.7)</f>
        <v>56.7</v>
      </c>
      <c r="C147" s="3">
        <f t="shared" si="3"/>
        <v>0</v>
      </c>
    </row>
    <row r="148">
      <c r="B148" s="3">
        <f>IFERROR(__xludf.DUMMYFUNCTION("""COMPUTED_VALUE"""),56.8)</f>
        <v>56.8</v>
      </c>
      <c r="C148" s="3">
        <f t="shared" si="3"/>
        <v>0.1</v>
      </c>
    </row>
    <row r="149">
      <c r="B149" s="3">
        <f>IFERROR(__xludf.DUMMYFUNCTION("""COMPUTED_VALUE"""),56.6)</f>
        <v>56.6</v>
      </c>
      <c r="C149" s="3">
        <f t="shared" si="3"/>
        <v>-0.2</v>
      </c>
    </row>
    <row r="150">
      <c r="B150" s="3">
        <f>IFERROR(__xludf.DUMMYFUNCTION("""COMPUTED_VALUE"""),56.5)</f>
        <v>56.5</v>
      </c>
      <c r="C150" s="3">
        <f t="shared" si="3"/>
        <v>-0.1</v>
      </c>
    </row>
    <row r="151">
      <c r="B151" s="3">
        <f>IFERROR(__xludf.DUMMYFUNCTION("""COMPUTED_VALUE"""),56.5)</f>
        <v>56.5</v>
      </c>
      <c r="C151" s="3">
        <f t="shared" si="3"/>
        <v>0</v>
      </c>
    </row>
    <row r="152">
      <c r="B152" s="3">
        <f>IFERROR(__xludf.DUMMYFUNCTION("""COMPUTED_VALUE"""),56.6)</f>
        <v>56.6</v>
      </c>
      <c r="C152" s="3">
        <f t="shared" si="3"/>
        <v>0.1</v>
      </c>
    </row>
    <row r="153">
      <c r="B153" s="3">
        <f>IFERROR(__xludf.DUMMYFUNCTION("""COMPUTED_VALUE"""),56.6)</f>
        <v>56.6</v>
      </c>
      <c r="C153" s="3">
        <f t="shared" si="3"/>
        <v>0</v>
      </c>
    </row>
    <row r="154">
      <c r="B154" s="3">
        <f>IFERROR(__xludf.DUMMYFUNCTION("""COMPUTED_VALUE"""),56.3)</f>
        <v>56.3</v>
      </c>
      <c r="C154" s="3">
        <f t="shared" si="3"/>
        <v>-0.3</v>
      </c>
    </row>
    <row r="155">
      <c r="B155" s="3">
        <f>IFERROR(__xludf.DUMMYFUNCTION("""COMPUTED_VALUE"""),56.4)</f>
        <v>56.4</v>
      </c>
      <c r="C155" s="3">
        <f t="shared" si="3"/>
        <v>0.1</v>
      </c>
    </row>
    <row r="156">
      <c r="B156" s="3">
        <f>IFERROR(__xludf.DUMMYFUNCTION("""COMPUTED_VALUE"""),56.5)</f>
        <v>56.5</v>
      </c>
      <c r="C156" s="3">
        <f t="shared" si="3"/>
        <v>0.1</v>
      </c>
    </row>
    <row r="157">
      <c r="B157" s="3">
        <f>IFERROR(__xludf.DUMMYFUNCTION("""COMPUTED_VALUE"""),56.6)</f>
        <v>56.6</v>
      </c>
      <c r="C157" s="3">
        <f t="shared" si="3"/>
        <v>0.1</v>
      </c>
    </row>
    <row r="158">
      <c r="B158" s="3">
        <f>IFERROR(__xludf.DUMMYFUNCTION("""COMPUTED_VALUE"""),56.5)</f>
        <v>56.5</v>
      </c>
      <c r="C158" s="3">
        <f t="shared" si="3"/>
        <v>-0.1</v>
      </c>
    </row>
    <row r="159">
      <c r="B159" s="3">
        <f>IFERROR(__xludf.DUMMYFUNCTION("""COMPUTED_VALUE"""),56.5)</f>
        <v>56.5</v>
      </c>
      <c r="C159" s="3">
        <f t="shared" si="3"/>
        <v>0</v>
      </c>
    </row>
    <row r="160">
      <c r="B160" s="3">
        <f>IFERROR(__xludf.DUMMYFUNCTION("""COMPUTED_VALUE"""),56.6)</f>
        <v>56.6</v>
      </c>
      <c r="C160" s="3">
        <f t="shared" si="3"/>
        <v>0.1</v>
      </c>
    </row>
    <row r="161">
      <c r="B161" s="3">
        <f>IFERROR(__xludf.DUMMYFUNCTION("""COMPUTED_VALUE"""),56.6)</f>
        <v>56.6</v>
      </c>
      <c r="C161" s="3">
        <f t="shared" si="3"/>
        <v>0</v>
      </c>
    </row>
    <row r="162">
      <c r="B162" s="3">
        <f>IFERROR(__xludf.DUMMYFUNCTION("""COMPUTED_VALUE"""),56.6)</f>
        <v>56.6</v>
      </c>
      <c r="C162" s="3">
        <f t="shared" si="3"/>
        <v>0</v>
      </c>
    </row>
    <row r="163">
      <c r="B163" s="3">
        <f>IFERROR(__xludf.DUMMYFUNCTION("""COMPUTED_VALUE"""),58.3)</f>
        <v>58.3</v>
      </c>
      <c r="C163" s="3">
        <f t="shared" si="3"/>
        <v>1.7</v>
      </c>
    </row>
    <row r="164">
      <c r="B164" s="3">
        <f>IFERROR(__xludf.DUMMYFUNCTION("""COMPUTED_VALUE"""),59.3)</f>
        <v>59.3</v>
      </c>
      <c r="C164" s="3">
        <f t="shared" si="3"/>
        <v>1</v>
      </c>
    </row>
    <row r="165">
      <c r="B165" s="3">
        <f>IFERROR(__xludf.DUMMYFUNCTION("""COMPUTED_VALUE"""),59.4)</f>
        <v>59.4</v>
      </c>
      <c r="C165" s="3">
        <f t="shared" si="3"/>
        <v>0.1</v>
      </c>
    </row>
    <row r="166">
      <c r="B166" s="3">
        <f>IFERROR(__xludf.DUMMYFUNCTION("""COMPUTED_VALUE"""),60.3)</f>
        <v>60.3</v>
      </c>
      <c r="C166" s="3">
        <f t="shared" si="3"/>
        <v>0.9</v>
      </c>
    </row>
    <row r="167">
      <c r="B167" s="3">
        <f>IFERROR(__xludf.DUMMYFUNCTION("""COMPUTED_VALUE"""),64.19)</f>
        <v>64.19</v>
      </c>
      <c r="C167" s="3">
        <f t="shared" si="3"/>
        <v>3.89</v>
      </c>
    </row>
    <row r="168">
      <c r="B168" s="3">
        <f>IFERROR(__xludf.DUMMYFUNCTION("""COMPUTED_VALUE"""),62.7)</f>
        <v>62.7</v>
      </c>
      <c r="C168" s="3">
        <f t="shared" si="3"/>
        <v>-1.49</v>
      </c>
    </row>
    <row r="169">
      <c r="B169" s="3">
        <f>IFERROR(__xludf.DUMMYFUNCTION("""COMPUTED_VALUE"""),62.4)</f>
        <v>62.4</v>
      </c>
      <c r="C169" s="3">
        <f t="shared" si="3"/>
        <v>-0.3</v>
      </c>
    </row>
    <row r="170">
      <c r="B170" s="3">
        <f>IFERROR(__xludf.DUMMYFUNCTION("""COMPUTED_VALUE"""),62.8)</f>
        <v>62.8</v>
      </c>
      <c r="C170" s="3">
        <f t="shared" si="3"/>
        <v>0.4</v>
      </c>
    </row>
    <row r="171">
      <c r="B171" s="3">
        <f>IFERROR(__xludf.DUMMYFUNCTION("""COMPUTED_VALUE"""),63.7)</f>
        <v>63.7</v>
      </c>
      <c r="C171" s="3">
        <f t="shared" si="3"/>
        <v>0.9</v>
      </c>
    </row>
    <row r="172">
      <c r="B172" s="3">
        <f>IFERROR(__xludf.DUMMYFUNCTION("""COMPUTED_VALUE"""),64.4)</f>
        <v>64.4</v>
      </c>
      <c r="C172" s="3">
        <f t="shared" si="3"/>
        <v>0.7</v>
      </c>
    </row>
    <row r="173">
      <c r="B173" s="3">
        <f>IFERROR(__xludf.DUMMYFUNCTION("""COMPUTED_VALUE"""),65.19)</f>
        <v>65.19</v>
      </c>
      <c r="C173" s="3">
        <f t="shared" si="3"/>
        <v>0.79</v>
      </c>
    </row>
    <row r="174">
      <c r="B174" s="3">
        <f>IFERROR(__xludf.DUMMYFUNCTION("""COMPUTED_VALUE"""),65.5)</f>
        <v>65.5</v>
      </c>
      <c r="C174" s="3">
        <f t="shared" si="3"/>
        <v>0.31</v>
      </c>
    </row>
    <row r="175">
      <c r="B175" s="3">
        <f>IFERROR(__xludf.DUMMYFUNCTION("""COMPUTED_VALUE"""),66.4)</f>
        <v>66.4</v>
      </c>
      <c r="C175" s="3">
        <f t="shared" si="3"/>
        <v>0.9</v>
      </c>
    </row>
    <row r="176">
      <c r="B176" s="3">
        <f>IFERROR(__xludf.DUMMYFUNCTION("""COMPUTED_VALUE"""),66.9)</f>
        <v>66.9</v>
      </c>
      <c r="C176" s="3">
        <f t="shared" si="3"/>
        <v>0.5</v>
      </c>
    </row>
    <row r="177">
      <c r="B177" s="3">
        <f>IFERROR(__xludf.DUMMYFUNCTION("""COMPUTED_VALUE"""),67.5)</f>
        <v>67.5</v>
      </c>
      <c r="C177" s="3">
        <f t="shared" si="3"/>
        <v>0.6</v>
      </c>
    </row>
    <row r="178">
      <c r="B178" s="3">
        <f>IFERROR(__xludf.DUMMYFUNCTION("""COMPUTED_VALUE"""),68.1)</f>
        <v>68.1</v>
      </c>
      <c r="C178" s="3">
        <f t="shared" si="3"/>
        <v>0.6</v>
      </c>
    </row>
    <row r="179">
      <c r="B179" s="3">
        <f>IFERROR(__xludf.DUMMYFUNCTION("""COMPUTED_VALUE"""),69.0)</f>
        <v>69</v>
      </c>
      <c r="C179" s="3">
        <f t="shared" si="3"/>
        <v>0.9</v>
      </c>
    </row>
    <row r="180">
      <c r="B180" s="3">
        <f>IFERROR(__xludf.DUMMYFUNCTION("""COMPUTED_VALUE"""),69.8)</f>
        <v>69.8</v>
      </c>
      <c r="C180" s="3">
        <f t="shared" si="3"/>
        <v>0.8</v>
      </c>
    </row>
    <row r="181">
      <c r="B181" s="3">
        <f>IFERROR(__xludf.DUMMYFUNCTION("""COMPUTED_VALUE"""),70.8)</f>
        <v>70.8</v>
      </c>
      <c r="C181" s="3">
        <f t="shared" si="3"/>
        <v>1</v>
      </c>
    </row>
    <row r="182">
      <c r="B182" s="3">
        <f>IFERROR(__xludf.DUMMYFUNCTION("""COMPUTED_VALUE"""),71.3)</f>
        <v>71.3</v>
      </c>
      <c r="C182" s="3">
        <f t="shared" si="3"/>
        <v>0.5</v>
      </c>
    </row>
    <row r="183">
      <c r="B183" s="3">
        <f>IFERROR(__xludf.DUMMYFUNCTION("""COMPUTED_VALUE"""),71.69)</f>
        <v>71.69</v>
      </c>
      <c r="C183" s="3">
        <f t="shared" si="3"/>
        <v>0.39</v>
      </c>
    </row>
    <row r="184">
      <c r="B184" s="3">
        <f>IFERROR(__xludf.DUMMYFUNCTION("""COMPUTED_VALUE"""),72.6)</f>
        <v>72.6</v>
      </c>
      <c r="C184" s="3">
        <f t="shared" si="3"/>
        <v>0.91</v>
      </c>
    </row>
    <row r="185">
      <c r="B185" s="3">
        <f>IFERROR(__xludf.DUMMYFUNCTION("""COMPUTED_VALUE"""),73.0)</f>
        <v>73</v>
      </c>
      <c r="C185" s="3">
        <f t="shared" si="3"/>
        <v>0.4</v>
      </c>
    </row>
    <row r="186">
      <c r="B186" s="3">
        <f>IFERROR(__xludf.DUMMYFUNCTION("""COMPUTED_VALUE"""),73.6)</f>
        <v>73.6</v>
      </c>
      <c r="C186" s="3">
        <f t="shared" si="3"/>
        <v>0.6</v>
      </c>
    </row>
    <row r="187">
      <c r="B187" s="3">
        <f>IFERROR(__xludf.DUMMYFUNCTION("""COMPUTED_VALUE"""),75.4)</f>
        <v>75.4</v>
      </c>
      <c r="C187" s="3">
        <f t="shared" si="3"/>
        <v>1.8</v>
      </c>
    </row>
    <row r="188">
      <c r="B188" s="3">
        <f>IFERROR(__xludf.DUMMYFUNCTION("""COMPUTED_VALUE"""),75.6)</f>
        <v>75.6</v>
      </c>
      <c r="C188" s="3">
        <f t="shared" si="3"/>
        <v>0.2</v>
      </c>
    </row>
    <row r="189">
      <c r="B189" s="3">
        <f>IFERROR(__xludf.DUMMYFUNCTION("""COMPUTED_VALUE"""),76.19)</f>
        <v>76.19</v>
      </c>
      <c r="C189" s="3">
        <f t="shared" si="3"/>
        <v>0.59</v>
      </c>
    </row>
    <row r="190">
      <c r="B190" s="3">
        <f>IFERROR(__xludf.DUMMYFUNCTION("""COMPUTED_VALUE"""),76.9)</f>
        <v>76.9</v>
      </c>
      <c r="C190" s="3">
        <f t="shared" si="3"/>
        <v>0.71</v>
      </c>
    </row>
    <row r="191">
      <c r="B191" s="3">
        <f>IFERROR(__xludf.DUMMYFUNCTION("""COMPUTED_VALUE"""),77.6)</f>
        <v>77.6</v>
      </c>
      <c r="C191" s="3">
        <f t="shared" si="3"/>
        <v>0.7</v>
      </c>
    </row>
    <row r="192">
      <c r="B192" s="3">
        <f>IFERROR(__xludf.DUMMYFUNCTION("""COMPUTED_VALUE"""),80.1)</f>
        <v>80.1</v>
      </c>
      <c r="C192" s="3">
        <f t="shared" si="3"/>
        <v>2.5</v>
      </c>
    </row>
    <row r="193">
      <c r="B193" s="3">
        <f>IFERROR(__xludf.DUMMYFUNCTION("""COMPUTED_VALUE"""),82.5)</f>
        <v>82.5</v>
      </c>
      <c r="C193" s="3">
        <f t="shared" si="3"/>
        <v>2.4</v>
      </c>
    </row>
    <row r="194">
      <c r="B194" s="3">
        <f>IFERROR(__xludf.DUMMYFUNCTION("""COMPUTED_VALUE"""),82.0)</f>
        <v>82</v>
      </c>
      <c r="C194" s="3">
        <f t="shared" si="3"/>
        <v>-0.5</v>
      </c>
    </row>
    <row r="195">
      <c r="B195" s="3">
        <f>IFERROR(__xludf.DUMMYFUNCTION("""COMPUTED_VALUE"""),82.2)</f>
        <v>82.2</v>
      </c>
      <c r="C195" s="3">
        <f t="shared" si="3"/>
        <v>0.2</v>
      </c>
    </row>
    <row r="196">
      <c r="B196" s="3">
        <f>IFERROR(__xludf.DUMMYFUNCTION("""COMPUTED_VALUE"""),82.6)</f>
        <v>82.6</v>
      </c>
      <c r="C196" s="3">
        <f t="shared" si="3"/>
        <v>0.4</v>
      </c>
    </row>
    <row r="197">
      <c r="B197" s="3">
        <f>IFERROR(__xludf.DUMMYFUNCTION("""COMPUTED_VALUE"""),83.3)</f>
        <v>83.3</v>
      </c>
      <c r="C197" s="3">
        <f t="shared" si="3"/>
        <v>0.7</v>
      </c>
    </row>
    <row r="198">
      <c r="B198" s="3">
        <f>IFERROR(__xludf.DUMMYFUNCTION("""COMPUTED_VALUE"""),83.9)</f>
        <v>83.9</v>
      </c>
      <c r="C198" s="3">
        <f t="shared" si="3"/>
        <v>0.6</v>
      </c>
    </row>
    <row r="199">
      <c r="B199" s="3">
        <f>IFERROR(__xludf.DUMMYFUNCTION("""COMPUTED_VALUE"""),84.6)</f>
        <v>84.6</v>
      </c>
      <c r="C199" s="3">
        <f t="shared" si="3"/>
        <v>0.7</v>
      </c>
    </row>
    <row r="200">
      <c r="B200" s="3">
        <f>IFERROR(__xludf.DUMMYFUNCTION("""COMPUTED_VALUE"""),86.6)</f>
        <v>86.6</v>
      </c>
      <c r="C200" s="3">
        <f t="shared" si="3"/>
        <v>2</v>
      </c>
    </row>
    <row r="201">
      <c r="B201" s="3">
        <f>IFERROR(__xludf.DUMMYFUNCTION("""COMPUTED_VALUE"""),86.9)</f>
        <v>86.9</v>
      </c>
      <c r="C201" s="3">
        <f t="shared" si="3"/>
        <v>0.3</v>
      </c>
    </row>
    <row r="202">
      <c r="B202" s="3">
        <f>IFERROR(__xludf.DUMMYFUNCTION("""COMPUTED_VALUE"""),87.3)</f>
        <v>87.3</v>
      </c>
      <c r="C202" s="3">
        <f t="shared" si="3"/>
        <v>0.4</v>
      </c>
    </row>
    <row r="203">
      <c r="B203" s="3">
        <f>IFERROR(__xludf.DUMMYFUNCTION("""COMPUTED_VALUE"""),88.1)</f>
        <v>88.1</v>
      </c>
      <c r="C203" s="3">
        <f t="shared" si="3"/>
        <v>0.8</v>
      </c>
    </row>
    <row r="204">
      <c r="B204" s="3">
        <f>IFERROR(__xludf.DUMMYFUNCTION("""COMPUTED_VALUE"""),88.7)</f>
        <v>88.7</v>
      </c>
      <c r="C204" s="3">
        <f t="shared" si="3"/>
        <v>0.6</v>
      </c>
    </row>
    <row r="205">
      <c r="B205" s="3">
        <f>IFERROR(__xludf.DUMMYFUNCTION("""COMPUTED_VALUE"""),89.6)</f>
        <v>89.6</v>
      </c>
      <c r="C205" s="3">
        <f t="shared" si="3"/>
        <v>0.9</v>
      </c>
    </row>
    <row r="206">
      <c r="B206" s="3">
        <f>IFERROR(__xludf.DUMMYFUNCTION("""COMPUTED_VALUE"""),90.5)</f>
        <v>90.5</v>
      </c>
      <c r="C206" s="3">
        <f t="shared" si="3"/>
        <v>0.9</v>
      </c>
    </row>
    <row r="207">
      <c r="B207" s="3">
        <f>IFERROR(__xludf.DUMMYFUNCTION("""COMPUTED_VALUE"""),91.7)</f>
        <v>91.7</v>
      </c>
      <c r="C207" s="3">
        <f t="shared" si="3"/>
        <v>1.2</v>
      </c>
    </row>
    <row r="208">
      <c r="B208" s="3">
        <f>IFERROR(__xludf.DUMMYFUNCTION("""COMPUTED_VALUE"""),95.1)</f>
        <v>95.1</v>
      </c>
      <c r="C208" s="3">
        <f t="shared" si="3"/>
        <v>3.4</v>
      </c>
    </row>
    <row r="209">
      <c r="B209" s="3">
        <f>IFERROR(__xludf.DUMMYFUNCTION("""COMPUTED_VALUE"""),93.2)</f>
        <v>93.2</v>
      </c>
      <c r="C209" s="3">
        <f t="shared" si="3"/>
        <v>-1.9</v>
      </c>
    </row>
    <row r="210">
      <c r="B210" s="3">
        <f>IFERROR(__xludf.DUMMYFUNCTION("""COMPUTED_VALUE"""),93.8)</f>
        <v>93.8</v>
      </c>
      <c r="C210" s="3">
        <f t="shared" si="3"/>
        <v>0.6</v>
      </c>
    </row>
    <row r="211">
      <c r="B211" s="3">
        <f>IFERROR(__xludf.DUMMYFUNCTION("""COMPUTED_VALUE"""),94.5)</f>
        <v>94.5</v>
      </c>
      <c r="C211" s="3">
        <f t="shared" si="3"/>
        <v>0.7</v>
      </c>
    </row>
    <row r="212">
      <c r="B212" s="3">
        <f>IFERROR(__xludf.DUMMYFUNCTION("""COMPUTED_VALUE"""),95.1)</f>
        <v>95.1</v>
      </c>
      <c r="C212" s="3">
        <f t="shared" si="3"/>
        <v>0.6</v>
      </c>
    </row>
    <row r="213">
      <c r="B213" s="3">
        <f>IFERROR(__xludf.DUMMYFUNCTION("""COMPUTED_VALUE"""),95.7)</f>
        <v>95.7</v>
      </c>
      <c r="C213" s="3">
        <f t="shared" si="3"/>
        <v>0.6</v>
      </c>
    </row>
    <row r="214">
      <c r="B214" s="3">
        <f>IFERROR(__xludf.DUMMYFUNCTION("""COMPUTED_VALUE"""),96.2)</f>
        <v>96.2</v>
      </c>
      <c r="C214" s="3">
        <f t="shared" si="3"/>
        <v>0.5</v>
      </c>
    </row>
    <row r="215">
      <c r="B215" s="3">
        <f>IFERROR(__xludf.DUMMYFUNCTION("""COMPUTED_VALUE"""),96.6)</f>
        <v>96.6</v>
      </c>
      <c r="C215" s="3">
        <f t="shared" si="3"/>
        <v>0.4</v>
      </c>
    </row>
    <row r="216">
      <c r="B216" s="3">
        <f>IFERROR(__xludf.DUMMYFUNCTION("""COMPUTED_VALUE"""),96.2)</f>
        <v>96.2</v>
      </c>
      <c r="C216" s="3">
        <f t="shared" si="3"/>
        <v>-0.4</v>
      </c>
    </row>
    <row r="217">
      <c r="B217" s="3">
        <f>IFERROR(__xludf.DUMMYFUNCTION("""COMPUTED_VALUE"""),29.4)</f>
        <v>29.4</v>
      </c>
      <c r="C217" s="3">
        <f t="shared" si="3"/>
        <v>-66.8</v>
      </c>
    </row>
    <row r="218">
      <c r="B218" s="3">
        <f>IFERROR(__xludf.DUMMYFUNCTION("""COMPUTED_VALUE"""),36.7)</f>
        <v>36.7</v>
      </c>
      <c r="C218" s="3">
        <f t="shared" si="3"/>
        <v>7.3</v>
      </c>
    </row>
    <row r="219">
      <c r="B219" s="3">
        <f>IFERROR(__xludf.DUMMYFUNCTION("""COMPUTED_VALUE"""),28.4)</f>
        <v>28.4</v>
      </c>
      <c r="C219" s="3">
        <f t="shared" si="3"/>
        <v>-8.3</v>
      </c>
    </row>
    <row r="220">
      <c r="B220" s="3">
        <f>IFERROR(__xludf.DUMMYFUNCTION("""COMPUTED_VALUE"""),-16.5)</f>
        <v>-16.5</v>
      </c>
      <c r="C220" s="3">
        <f t="shared" si="3"/>
        <v>-44.9</v>
      </c>
    </row>
    <row r="221">
      <c r="B221" s="3">
        <f>IFERROR(__xludf.DUMMYFUNCTION("""COMPUTED_VALUE"""),225.3)</f>
        <v>225.3</v>
      </c>
      <c r="C221" s="3">
        <f t="shared" si="3"/>
        <v>241.8</v>
      </c>
    </row>
    <row r="222">
      <c r="B222" s="3">
        <f>IFERROR(__xludf.DUMMYFUNCTION("""COMPUTED_VALUE"""),108.8)</f>
        <v>108.8</v>
      </c>
      <c r="C222" s="3">
        <f t="shared" si="3"/>
        <v>-116.5</v>
      </c>
    </row>
    <row r="223">
      <c r="B223" s="3">
        <f>IFERROR(__xludf.DUMMYFUNCTION("""COMPUTED_VALUE"""),97.8)</f>
        <v>97.8</v>
      </c>
      <c r="C223" s="3">
        <f t="shared" si="3"/>
        <v>-11</v>
      </c>
    </row>
    <row r="224">
      <c r="B224" s="3">
        <f>IFERROR(__xludf.DUMMYFUNCTION("""COMPUTED_VALUE"""),97.2)</f>
        <v>97.2</v>
      </c>
      <c r="C224" s="3">
        <f t="shared" si="3"/>
        <v>-0.6</v>
      </c>
    </row>
    <row r="225">
      <c r="B225" s="3">
        <f>IFERROR(__xludf.DUMMYFUNCTION("""COMPUTED_VALUE"""),97.3)</f>
        <v>97.3</v>
      </c>
      <c r="C225" s="3">
        <f t="shared" si="3"/>
        <v>0.1</v>
      </c>
    </row>
    <row r="226">
      <c r="B226" s="3">
        <f>IFERROR(__xludf.DUMMYFUNCTION("""COMPUTED_VALUE"""),98.2)</f>
        <v>98.2</v>
      </c>
      <c r="C226" s="3">
        <f t="shared" si="3"/>
        <v>0.9</v>
      </c>
    </row>
    <row r="227">
      <c r="B227" s="3">
        <f>IFERROR(__xludf.DUMMYFUNCTION("""COMPUTED_VALUE"""),99.0)</f>
        <v>99</v>
      </c>
      <c r="C227" s="3">
        <f t="shared" si="3"/>
        <v>0.8</v>
      </c>
    </row>
    <row r="228">
      <c r="B228" s="3">
        <f>IFERROR(__xludf.DUMMYFUNCTION("""COMPUTED_VALUE"""),99.6)</f>
        <v>99.6</v>
      </c>
      <c r="C228" s="3">
        <f t="shared" si="3"/>
        <v>0.6</v>
      </c>
    </row>
    <row r="229">
      <c r="B229" s="3">
        <f>IFERROR(__xludf.DUMMYFUNCTION("""COMPUTED_VALUE"""),101.0)</f>
        <v>101</v>
      </c>
      <c r="C229" s="3">
        <f t="shared" si="3"/>
        <v>1.4</v>
      </c>
    </row>
    <row r="230">
      <c r="B230" s="3">
        <f>IFERROR(__xludf.DUMMYFUNCTION("""COMPUTED_VALUE"""),103.1)</f>
        <v>103.1</v>
      </c>
      <c r="C230" s="3">
        <f t="shared" si="3"/>
        <v>2.1</v>
      </c>
    </row>
    <row r="231">
      <c r="B231" s="3">
        <f>IFERROR(__xludf.DUMMYFUNCTION("""COMPUTED_VALUE"""),107.1)</f>
        <v>107.1</v>
      </c>
      <c r="C231" s="3">
        <f t="shared" si="3"/>
        <v>4</v>
      </c>
    </row>
    <row r="232">
      <c r="B232" s="3">
        <f>IFERROR(__xludf.DUMMYFUNCTION("""COMPUTED_VALUE"""),104.6)</f>
        <v>104.6</v>
      </c>
      <c r="C232" s="3">
        <f t="shared" si="3"/>
        <v>-2.5</v>
      </c>
    </row>
    <row r="233">
      <c r="B233" s="3">
        <f>IFERROR(__xludf.DUMMYFUNCTION("""COMPUTED_VALUE"""),104.8)</f>
        <v>104.8</v>
      </c>
      <c r="C233" s="3">
        <f t="shared" si="3"/>
        <v>0.2</v>
      </c>
    </row>
    <row r="234">
      <c r="B234" s="3">
        <f>IFERROR(__xludf.DUMMYFUNCTION("""COMPUTED_VALUE"""),111.3)</f>
        <v>111.3</v>
      </c>
      <c r="C234" s="3">
        <f t="shared" si="3"/>
        <v>6.5</v>
      </c>
    </row>
    <row r="235">
      <c r="B235" s="3">
        <f>IFERROR(__xludf.DUMMYFUNCTION("""COMPUTED_VALUE"""),107.7)</f>
        <v>107.7</v>
      </c>
      <c r="C235" s="3">
        <f t="shared" si="3"/>
        <v>-3.6</v>
      </c>
    </row>
    <row r="236">
      <c r="B236" s="3">
        <f>IFERROR(__xludf.DUMMYFUNCTION("""COMPUTED_VALUE"""),108.1)</f>
        <v>108.1</v>
      </c>
      <c r="C236" s="3">
        <f t="shared" si="3"/>
        <v>0.4</v>
      </c>
    </row>
    <row r="237">
      <c r="B237" s="3">
        <f>IFERROR(__xludf.DUMMYFUNCTION("""COMPUTED_VALUE"""),108.7)</f>
        <v>108.7</v>
      </c>
      <c r="C237" s="3">
        <f t="shared" si="3"/>
        <v>0.6</v>
      </c>
    </row>
    <row r="238">
      <c r="B238" s="3">
        <f>IFERROR(__xludf.DUMMYFUNCTION("""COMPUTED_VALUE"""),109.3)</f>
        <v>109.3</v>
      </c>
      <c r="C238" s="3">
        <f t="shared" si="3"/>
        <v>0.6</v>
      </c>
    </row>
    <row r="239">
      <c r="B239" s="3">
        <f>IFERROR(__xludf.DUMMYFUNCTION("""COMPUTED_VALUE"""),110.0)</f>
        <v>110</v>
      </c>
      <c r="C239" s="3">
        <f t="shared" si="3"/>
        <v>0.7</v>
      </c>
    </row>
    <row r="240">
      <c r="B240" s="3">
        <f>IFERROR(__xludf.DUMMYFUNCTION("""COMPUTED_VALUE"""),110.8)</f>
        <v>110.8</v>
      </c>
      <c r="C240" s="3">
        <f t="shared" si="3"/>
        <v>0.8</v>
      </c>
    </row>
    <row r="241">
      <c r="B241" s="3">
        <f>IFERROR(__xludf.DUMMYFUNCTION("""COMPUTED_VALUE"""),112.1)</f>
        <v>112.1</v>
      </c>
      <c r="C241" s="3">
        <f t="shared" si="3"/>
        <v>1.3</v>
      </c>
    </row>
    <row r="242">
      <c r="B242" s="3">
        <f>IFERROR(__xludf.DUMMYFUNCTION("""COMPUTED_VALUE"""),112.7)</f>
        <v>112.7</v>
      </c>
      <c r="C242" s="3">
        <f t="shared" si="3"/>
        <v>0.6</v>
      </c>
    </row>
    <row r="243">
      <c r="B243" s="3">
        <f>IFERROR(__xludf.DUMMYFUNCTION("""COMPUTED_VALUE"""),113.6)</f>
        <v>113.6</v>
      </c>
      <c r="C243" s="3">
        <f t="shared" si="3"/>
        <v>0.9</v>
      </c>
    </row>
    <row r="244">
      <c r="B244" s="3">
        <f>IFERROR(__xludf.DUMMYFUNCTION("""COMPUTED_VALUE"""),114.9)</f>
        <v>114.9</v>
      </c>
      <c r="C244" s="3">
        <f t="shared" si="3"/>
        <v>1.3</v>
      </c>
    </row>
    <row r="245">
      <c r="B245" s="3">
        <f>IFERROR(__xludf.DUMMYFUNCTION("""COMPUTED_VALUE"""),115.7)</f>
        <v>115.7</v>
      </c>
      <c r="C245" s="3">
        <f t="shared" si="3"/>
        <v>0.8</v>
      </c>
    </row>
    <row r="246">
      <c r="B246" s="3">
        <f>IFERROR(__xludf.DUMMYFUNCTION("""COMPUTED_VALUE"""),116.1)</f>
        <v>116.1</v>
      </c>
      <c r="C246" s="3">
        <f t="shared" si="3"/>
        <v>0.4</v>
      </c>
    </row>
    <row r="247">
      <c r="B247" s="3">
        <f>IFERROR(__xludf.DUMMYFUNCTION("""COMPUTED_VALUE"""),116.6)</f>
        <v>116.6</v>
      </c>
      <c r="C247" s="3">
        <f t="shared" si="3"/>
        <v>0.5</v>
      </c>
    </row>
    <row r="248">
      <c r="B248" s="3">
        <f>IFERROR(__xludf.DUMMYFUNCTION("""COMPUTED_VALUE"""),119.1)</f>
        <v>119.1</v>
      </c>
      <c r="C248" s="3">
        <f t="shared" si="3"/>
        <v>2.5</v>
      </c>
    </row>
    <row r="249">
      <c r="B249" s="3">
        <f>IFERROR(__xludf.DUMMYFUNCTION("""COMPUTED_VALUE"""),120.1)</f>
        <v>120.1</v>
      </c>
      <c r="C249" s="3">
        <f t="shared" si="3"/>
        <v>1</v>
      </c>
    </row>
    <row r="250">
      <c r="B250" s="3">
        <f>IFERROR(__xludf.DUMMYFUNCTION("""COMPUTED_VALUE"""),119.7)</f>
        <v>119.7</v>
      </c>
      <c r="C250" s="3">
        <f t="shared" si="3"/>
        <v>-0.4</v>
      </c>
    </row>
    <row r="251">
      <c r="B251" s="3">
        <f>IFERROR(__xludf.DUMMYFUNCTION("""COMPUTED_VALUE"""),119.7)</f>
        <v>119.7</v>
      </c>
      <c r="C251" s="3">
        <f t="shared" si="3"/>
        <v>0</v>
      </c>
    </row>
    <row r="252">
      <c r="B252" s="3">
        <f>IFERROR(__xludf.DUMMYFUNCTION("""COMPUTED_VALUE"""),120.8)</f>
        <v>120.8</v>
      </c>
      <c r="C252" s="3">
        <f t="shared" si="3"/>
        <v>1.1</v>
      </c>
    </row>
    <row r="253">
      <c r="B253" s="3">
        <f>IFERROR(__xludf.DUMMYFUNCTION("""COMPUTED_VALUE"""),121.5)</f>
        <v>121.5</v>
      </c>
      <c r="C253" s="3">
        <f t="shared" si="3"/>
        <v>0.7</v>
      </c>
    </row>
    <row r="254">
      <c r="B254" s="3">
        <f>IFERROR(__xludf.DUMMYFUNCTION("""COMPUTED_VALUE"""),122.2)</f>
        <v>122.2</v>
      </c>
      <c r="C254" s="3">
        <f t="shared" si="3"/>
        <v>0.7</v>
      </c>
    </row>
    <row r="255">
      <c r="B255" s="3">
        <f>IFERROR(__xludf.DUMMYFUNCTION("""COMPUTED_VALUE"""),122.8)</f>
        <v>122.8</v>
      </c>
      <c r="C255" s="3">
        <f t="shared" si="3"/>
        <v>0.6</v>
      </c>
    </row>
    <row r="256">
      <c r="B256" s="3">
        <f>IFERROR(__xludf.DUMMYFUNCTION("""COMPUTED_VALUE"""),124.0)</f>
        <v>124</v>
      </c>
      <c r="C256" s="3">
        <f t="shared" si="3"/>
        <v>1.2</v>
      </c>
    </row>
    <row r="257">
      <c r="B257" s="3">
        <f>IFERROR(__xludf.DUMMYFUNCTION("""COMPUTED_VALUE"""),124.3)</f>
        <v>124.3</v>
      </c>
      <c r="C257" s="3">
        <f t="shared" si="3"/>
        <v>0.3</v>
      </c>
    </row>
    <row r="258">
      <c r="B258" s="3">
        <f>IFERROR(__xludf.DUMMYFUNCTION("""COMPUTED_VALUE"""),125.2)</f>
        <v>125.2</v>
      </c>
      <c r="C258" s="3">
        <f t="shared" si="3"/>
        <v>0.9</v>
      </c>
    </row>
    <row r="259">
      <c r="B259" s="3">
        <f>IFERROR(__xludf.DUMMYFUNCTION("""COMPUTED_VALUE"""),125.9)</f>
        <v>125.9</v>
      </c>
      <c r="C259" s="3">
        <f t="shared" si="3"/>
        <v>0.7</v>
      </c>
    </row>
    <row r="260">
      <c r="B260" s="3">
        <f>IFERROR(__xludf.DUMMYFUNCTION("""COMPUTED_VALUE"""),126.4)</f>
        <v>126.4</v>
      </c>
      <c r="C260" s="3">
        <f t="shared" si="3"/>
        <v>0.5</v>
      </c>
    </row>
    <row r="261">
      <c r="B261" s="3">
        <f>IFERROR(__xludf.DUMMYFUNCTION("""COMPUTED_VALUE"""),127.3)</f>
        <v>127.3</v>
      </c>
      <c r="C261" s="3">
        <f t="shared" si="3"/>
        <v>0.9</v>
      </c>
    </row>
    <row r="262">
      <c r="B262" s="3">
        <f>IFERROR(__xludf.DUMMYFUNCTION("""COMPUTED_VALUE"""),128.2)</f>
        <v>128.2</v>
      </c>
      <c r="C262" s="3">
        <f t="shared" si="3"/>
        <v>0.9</v>
      </c>
    </row>
    <row r="263">
      <c r="B263" s="3">
        <f>IFERROR(__xludf.DUMMYFUNCTION("""COMPUTED_VALUE"""),129.2)</f>
        <v>129.2</v>
      </c>
      <c r="C263" s="3">
        <f t="shared" si="3"/>
        <v>1</v>
      </c>
    </row>
    <row r="264">
      <c r="B264" s="3">
        <f>IFERROR(__xludf.DUMMYFUNCTION("""COMPUTED_VALUE"""),129.39)</f>
        <v>129.39</v>
      </c>
      <c r="C264" s="3">
        <f t="shared" si="3"/>
        <v>0.19</v>
      </c>
    </row>
    <row r="265">
      <c r="B265" s="3">
        <f>IFERROR(__xludf.DUMMYFUNCTION("""COMPUTED_VALUE"""),130.0)</f>
        <v>130</v>
      </c>
      <c r="C265" s="3">
        <f t="shared" si="3"/>
        <v>0.61</v>
      </c>
    </row>
    <row r="266">
      <c r="B266" s="3">
        <f>IFERROR(__xludf.DUMMYFUNCTION("""COMPUTED_VALUE"""),130.6)</f>
        <v>130.6</v>
      </c>
      <c r="C266" s="3">
        <f t="shared" si="3"/>
        <v>0.6</v>
      </c>
    </row>
    <row r="267">
      <c r="B267" s="3">
        <f>IFERROR(__xludf.DUMMYFUNCTION("""COMPUTED_VALUE"""),133.0)</f>
        <v>133</v>
      </c>
      <c r="C267" s="3">
        <f t="shared" si="3"/>
        <v>2.4</v>
      </c>
    </row>
    <row r="268">
      <c r="B268" s="3">
        <f>IFERROR(__xludf.DUMMYFUNCTION("""COMPUTED_VALUE"""),131.2)</f>
        <v>131.2</v>
      </c>
      <c r="C268" s="3">
        <f t="shared" si="3"/>
        <v>-1.8</v>
      </c>
    </row>
    <row r="269">
      <c r="B269" s="3">
        <f>IFERROR(__xludf.DUMMYFUNCTION("""COMPUTED_VALUE"""),131.2)</f>
        <v>131.2</v>
      </c>
      <c r="C269" s="3">
        <f t="shared" si="3"/>
        <v>0</v>
      </c>
    </row>
    <row r="270">
      <c r="B270" s="3">
        <f>IFERROR(__xludf.DUMMYFUNCTION("""COMPUTED_VALUE"""),131.3)</f>
        <v>131.3</v>
      </c>
      <c r="C270" s="3">
        <f t="shared" si="3"/>
        <v>0.1</v>
      </c>
    </row>
    <row r="271">
      <c r="B271" s="3">
        <f>IFERROR(__xludf.DUMMYFUNCTION("""COMPUTED_VALUE"""),131.39)</f>
        <v>131.39</v>
      </c>
      <c r="C271" s="3">
        <f t="shared" si="3"/>
        <v>0.09</v>
      </c>
    </row>
    <row r="272">
      <c r="B272" s="3">
        <f>IFERROR(__xludf.DUMMYFUNCTION("""COMPUTED_VALUE"""),131.5)</f>
        <v>131.5</v>
      </c>
      <c r="C272" s="3">
        <f t="shared" si="3"/>
        <v>0.11</v>
      </c>
    </row>
    <row r="273">
      <c r="B273" s="3">
        <f>IFERROR(__xludf.DUMMYFUNCTION("""COMPUTED_VALUE"""),131.5)</f>
        <v>131.5</v>
      </c>
      <c r="C273" s="3">
        <f t="shared" si="3"/>
        <v>0</v>
      </c>
    </row>
    <row r="274">
      <c r="B274" s="3">
        <f>IFERROR(__xludf.DUMMYFUNCTION("""COMPUTED_VALUE"""),131.3)</f>
        <v>131.3</v>
      </c>
      <c r="C274" s="3">
        <f t="shared" si="3"/>
        <v>-0.2</v>
      </c>
    </row>
    <row r="275">
      <c r="B275" s="3">
        <f>IFERROR(__xludf.DUMMYFUNCTION("""COMPUTED_VALUE"""),131.7)</f>
        <v>131.7</v>
      </c>
      <c r="C275" s="3">
        <f t="shared" si="3"/>
        <v>0.4</v>
      </c>
    </row>
    <row r="276">
      <c r="B276" s="3">
        <f>IFERROR(__xludf.DUMMYFUNCTION("""COMPUTED_VALUE"""),132.2)</f>
        <v>132.2</v>
      </c>
      <c r="C276" s="3">
        <f t="shared" si="3"/>
        <v>0.5</v>
      </c>
    </row>
    <row r="277">
      <c r="B277" s="3">
        <f>IFERROR(__xludf.DUMMYFUNCTION("""COMPUTED_VALUE"""),132.5)</f>
        <v>132.5</v>
      </c>
      <c r="C277" s="3">
        <f t="shared" si="3"/>
        <v>0.3</v>
      </c>
    </row>
    <row r="278">
      <c r="B278" s="3">
        <f>IFERROR(__xludf.DUMMYFUNCTION("""COMPUTED_VALUE"""),133.5)</f>
        <v>133.5</v>
      </c>
      <c r="C278" s="3">
        <f t="shared" si="3"/>
        <v>1</v>
      </c>
    </row>
    <row r="279">
      <c r="B279" s="3">
        <f>IFERROR(__xludf.DUMMYFUNCTION("""COMPUTED_VALUE"""),134.2)</f>
        <v>134.2</v>
      </c>
      <c r="C279" s="3">
        <f t="shared" si="3"/>
        <v>0.7</v>
      </c>
    </row>
    <row r="280">
      <c r="B280" s="3">
        <f>IFERROR(__xludf.DUMMYFUNCTION("""COMPUTED_VALUE"""),134.7)</f>
        <v>134.7</v>
      </c>
      <c r="C280" s="3">
        <f t="shared" si="3"/>
        <v>0.5</v>
      </c>
    </row>
    <row r="281">
      <c r="B281" s="3">
        <f>IFERROR(__xludf.DUMMYFUNCTION("""COMPUTED_VALUE"""),134.89)</f>
        <v>134.89</v>
      </c>
      <c r="C281" s="3">
        <f t="shared" si="3"/>
        <v>0.19</v>
      </c>
    </row>
    <row r="282">
      <c r="B282" s="3">
        <f>IFERROR(__xludf.DUMMYFUNCTION("""COMPUTED_VALUE"""),135.7)</f>
        <v>135.7</v>
      </c>
      <c r="C282" s="3">
        <f t="shared" si="3"/>
        <v>0.81</v>
      </c>
    </row>
    <row r="283">
      <c r="B283" s="3">
        <f>IFERROR(__xludf.DUMMYFUNCTION("""COMPUTED_VALUE"""),136.1)</f>
        <v>136.1</v>
      </c>
      <c r="C283" s="3">
        <f t="shared" si="3"/>
        <v>0.4</v>
      </c>
    </row>
    <row r="284">
      <c r="B284" s="3">
        <f>IFERROR(__xludf.DUMMYFUNCTION("""COMPUTED_VALUE"""),135.89)</f>
        <v>135.89</v>
      </c>
      <c r="C284" s="3">
        <f t="shared" si="3"/>
        <v>-0.21</v>
      </c>
    </row>
    <row r="285">
      <c r="B285" s="3">
        <f>IFERROR(__xludf.DUMMYFUNCTION("""COMPUTED_VALUE"""),135.5)</f>
        <v>135.5</v>
      </c>
      <c r="C285" s="3">
        <f t="shared" si="3"/>
        <v>-0.39</v>
      </c>
    </row>
    <row r="286">
      <c r="B286" s="3">
        <f>IFERROR(__xludf.DUMMYFUNCTION("""COMPUTED_VALUE"""),135.5)</f>
        <v>135.5</v>
      </c>
      <c r="C286" s="3">
        <f t="shared" si="3"/>
        <v>0</v>
      </c>
    </row>
    <row r="287">
      <c r="B287" s="3">
        <f>IFERROR(__xludf.DUMMYFUNCTION("""COMPUTED_VALUE"""),135.39)</f>
        <v>135.39</v>
      </c>
      <c r="C287" s="3">
        <f t="shared" si="3"/>
        <v>-0.11</v>
      </c>
    </row>
    <row r="288">
      <c r="B288" s="3">
        <f>IFERROR(__xludf.DUMMYFUNCTION("""COMPUTED_VALUE"""),135.2)</f>
        <v>135.2</v>
      </c>
      <c r="C288" s="3">
        <f t="shared" si="3"/>
        <v>-0.19</v>
      </c>
    </row>
    <row r="289">
      <c r="B289" s="3">
        <f>IFERROR(__xludf.DUMMYFUNCTION("""COMPUTED_VALUE"""),135.7)</f>
        <v>135.7</v>
      </c>
      <c r="C289" s="3">
        <f t="shared" si="3"/>
        <v>0.5</v>
      </c>
    </row>
    <row r="290">
      <c r="B290" s="3">
        <f>IFERROR(__xludf.DUMMYFUNCTION("""COMPUTED_VALUE"""),135.6)</f>
        <v>135.6</v>
      </c>
      <c r="C290" s="3">
        <f t="shared" si="3"/>
        <v>-0.1</v>
      </c>
    </row>
    <row r="291">
      <c r="B291" s="3">
        <f>IFERROR(__xludf.DUMMYFUNCTION("""COMPUTED_VALUE"""),135.39)</f>
        <v>135.39</v>
      </c>
      <c r="C291" s="3">
        <f t="shared" si="3"/>
        <v>-0.21</v>
      </c>
    </row>
    <row r="292">
      <c r="B292" s="3">
        <f>IFERROR(__xludf.DUMMYFUNCTION("""COMPUTED_VALUE"""),135.3)</f>
        <v>135.3</v>
      </c>
      <c r="C292" s="3">
        <f t="shared" si="3"/>
        <v>-0.09</v>
      </c>
    </row>
    <row r="293">
      <c r="B293" s="3">
        <f>IFERROR(__xludf.DUMMYFUNCTION("""COMPUTED_VALUE"""),135.1)</f>
        <v>135.1</v>
      </c>
      <c r="C293" s="3">
        <f t="shared" si="3"/>
        <v>-0.2</v>
      </c>
    </row>
    <row r="294">
      <c r="B294" s="3">
        <f>IFERROR(__xludf.DUMMYFUNCTION("""COMPUTED_VALUE"""),135.0)</f>
        <v>135</v>
      </c>
      <c r="C294" s="3">
        <f t="shared" si="3"/>
        <v>-0.1</v>
      </c>
    </row>
    <row r="295">
      <c r="B295" s="3">
        <f>IFERROR(__xludf.DUMMYFUNCTION("""COMPUTED_VALUE"""),135.2)</f>
        <v>135.2</v>
      </c>
      <c r="C295" s="3">
        <f t="shared" si="3"/>
        <v>0.2</v>
      </c>
    </row>
    <row r="296">
      <c r="B296" s="3">
        <f>IFERROR(__xludf.DUMMYFUNCTION("""COMPUTED_VALUE"""),134.8)</f>
        <v>134.8</v>
      </c>
      <c r="C296" s="3">
        <f t="shared" si="3"/>
        <v>-0.4</v>
      </c>
    </row>
    <row r="297">
      <c r="B297" s="3">
        <f>IFERROR(__xludf.DUMMYFUNCTION("""COMPUTED_VALUE"""),134.89)</f>
        <v>134.89</v>
      </c>
      <c r="C297" s="3">
        <f t="shared" si="3"/>
        <v>0.09</v>
      </c>
    </row>
    <row r="298">
      <c r="B298" s="3">
        <f>IFERROR(__xludf.DUMMYFUNCTION("""COMPUTED_VALUE"""),134.89)</f>
        <v>134.89</v>
      </c>
      <c r="C298" s="3">
        <f t="shared" si="3"/>
        <v>0</v>
      </c>
    </row>
    <row r="299">
      <c r="B299" s="3">
        <f>IFERROR(__xludf.DUMMYFUNCTION("""COMPUTED_VALUE"""),135.0)</f>
        <v>135</v>
      </c>
      <c r="C299" s="3">
        <f t="shared" si="3"/>
        <v>0.11</v>
      </c>
    </row>
    <row r="300">
      <c r="B300" s="3">
        <f>IFERROR(__xludf.DUMMYFUNCTION("""COMPUTED_VALUE"""),134.89)</f>
        <v>134.89</v>
      </c>
      <c r="C300" s="3">
        <f t="shared" si="3"/>
        <v>-0.11</v>
      </c>
    </row>
    <row r="301">
      <c r="B301" s="3">
        <f>IFERROR(__xludf.DUMMYFUNCTION("""COMPUTED_VALUE"""),135.0)</f>
        <v>135</v>
      </c>
      <c r="C301" s="3">
        <f t="shared" si="3"/>
        <v>0.11</v>
      </c>
    </row>
    <row r="302">
      <c r="B302" s="3">
        <f>IFERROR(__xludf.DUMMYFUNCTION("""COMPUTED_VALUE"""),135.1)</f>
        <v>135.1</v>
      </c>
      <c r="C302" s="3">
        <f t="shared" si="3"/>
        <v>0.1</v>
      </c>
    </row>
    <row r="303">
      <c r="B303" s="3">
        <f>IFERROR(__xludf.DUMMYFUNCTION("""COMPUTED_VALUE"""),134.6)</f>
        <v>134.6</v>
      </c>
      <c r="C303" s="3">
        <f t="shared" si="3"/>
        <v>-0.5</v>
      </c>
    </row>
    <row r="304">
      <c r="B304" s="3">
        <f>IFERROR(__xludf.DUMMYFUNCTION("""COMPUTED_VALUE"""),134.7)</f>
        <v>134.7</v>
      </c>
      <c r="C304" s="3">
        <f t="shared" si="3"/>
        <v>0.1</v>
      </c>
    </row>
    <row r="305">
      <c r="B305" s="3">
        <f>IFERROR(__xludf.DUMMYFUNCTION("""COMPUTED_VALUE"""),134.8)</f>
        <v>134.8</v>
      </c>
      <c r="C305" s="3">
        <f t="shared" si="3"/>
        <v>0.1</v>
      </c>
    </row>
    <row r="306">
      <c r="B306" s="3">
        <f>IFERROR(__xludf.DUMMYFUNCTION("""COMPUTED_VALUE"""),135.0)</f>
        <v>135</v>
      </c>
      <c r="C306" s="3">
        <f t="shared" si="3"/>
        <v>0.2</v>
      </c>
    </row>
    <row r="307">
      <c r="B307" s="3">
        <f>IFERROR(__xludf.DUMMYFUNCTION("""COMPUTED_VALUE"""),135.0)</f>
        <v>135</v>
      </c>
      <c r="C307" s="3">
        <f t="shared" si="3"/>
        <v>0</v>
      </c>
    </row>
    <row r="308">
      <c r="B308" s="3">
        <f>IFERROR(__xludf.DUMMYFUNCTION("""COMPUTED_VALUE"""),135.1)</f>
        <v>135.1</v>
      </c>
      <c r="C308" s="3">
        <f t="shared" si="3"/>
        <v>0.1</v>
      </c>
    </row>
    <row r="309">
      <c r="B309" s="3">
        <f>IFERROR(__xludf.DUMMYFUNCTION("""COMPUTED_VALUE"""),135.1)</f>
        <v>135.1</v>
      </c>
      <c r="C309" s="3">
        <f t="shared" si="3"/>
        <v>0</v>
      </c>
    </row>
    <row r="310">
      <c r="B310" s="3">
        <f>IFERROR(__xludf.DUMMYFUNCTION("""COMPUTED_VALUE"""),135.3)</f>
        <v>135.3</v>
      </c>
      <c r="C310" s="3">
        <f t="shared" si="3"/>
        <v>0.2</v>
      </c>
    </row>
    <row r="311">
      <c r="B311" s="3">
        <f>IFERROR(__xludf.DUMMYFUNCTION("""COMPUTED_VALUE"""),135.3)</f>
        <v>135.3</v>
      </c>
      <c r="C311" s="3">
        <f t="shared" si="3"/>
        <v>0</v>
      </c>
    </row>
    <row r="312">
      <c r="B312" s="3">
        <f>IFERROR(__xludf.DUMMYFUNCTION("""COMPUTED_VALUE"""),135.2)</f>
        <v>135.2</v>
      </c>
      <c r="C312" s="3">
        <f t="shared" si="3"/>
        <v>-0.1</v>
      </c>
    </row>
    <row r="313">
      <c r="B313" s="3">
        <f>IFERROR(__xludf.DUMMYFUNCTION("""COMPUTED_VALUE"""),135.2)</f>
        <v>135.2</v>
      </c>
      <c r="C313" s="3">
        <f t="shared" si="3"/>
        <v>0</v>
      </c>
    </row>
    <row r="314">
      <c r="B314" s="3">
        <f>IFERROR(__xludf.DUMMYFUNCTION("""COMPUTED_VALUE"""),135.3)</f>
        <v>135.3</v>
      </c>
      <c r="C314" s="3">
        <f t="shared" si="3"/>
        <v>0.1</v>
      </c>
    </row>
    <row r="315">
      <c r="B315" s="3">
        <f>IFERROR(__xludf.DUMMYFUNCTION("""COMPUTED_VALUE"""),135.2)</f>
        <v>135.2</v>
      </c>
      <c r="C315" s="3">
        <f t="shared" si="3"/>
        <v>-0.1</v>
      </c>
    </row>
    <row r="316">
      <c r="B316" s="3">
        <f>IFERROR(__xludf.DUMMYFUNCTION("""COMPUTED_VALUE"""),134.8)</f>
        <v>134.8</v>
      </c>
      <c r="C316" s="3">
        <f t="shared" si="3"/>
        <v>-0.4</v>
      </c>
    </row>
    <row r="317">
      <c r="B317" s="3">
        <f>IFERROR(__xludf.DUMMYFUNCTION("""COMPUTED_VALUE"""),135.0)</f>
        <v>135</v>
      </c>
      <c r="C317" s="3">
        <f t="shared" si="3"/>
        <v>0.2</v>
      </c>
    </row>
    <row r="318">
      <c r="B318" s="3">
        <f>IFERROR(__xludf.DUMMYFUNCTION("""COMPUTED_VALUE"""),135.1)</f>
        <v>135.1</v>
      </c>
      <c r="C318" s="3">
        <f t="shared" si="3"/>
        <v>0.1</v>
      </c>
    </row>
    <row r="319">
      <c r="B319" s="3">
        <f>IFERROR(__xludf.DUMMYFUNCTION("""COMPUTED_VALUE"""),135.3)</f>
        <v>135.3</v>
      </c>
      <c r="C319" s="3">
        <f t="shared" si="3"/>
        <v>0.2</v>
      </c>
    </row>
    <row r="320">
      <c r="B320" s="3">
        <f>IFERROR(__xludf.DUMMYFUNCTION("""COMPUTED_VALUE"""),135.2)</f>
        <v>135.2</v>
      </c>
      <c r="C320" s="3">
        <f t="shared" si="3"/>
        <v>-0.1</v>
      </c>
    </row>
    <row r="321">
      <c r="B321" s="3">
        <f>IFERROR(__xludf.DUMMYFUNCTION("""COMPUTED_VALUE"""),135.3)</f>
        <v>135.3</v>
      </c>
      <c r="C321" s="3">
        <f t="shared" si="3"/>
        <v>0.1</v>
      </c>
    </row>
    <row r="322">
      <c r="B322" s="3">
        <f>IFERROR(__xludf.DUMMYFUNCTION("""COMPUTED_VALUE"""),135.3)</f>
        <v>135.3</v>
      </c>
      <c r="C322" s="3">
        <f t="shared" si="3"/>
        <v>0</v>
      </c>
    </row>
    <row r="323">
      <c r="B323" s="3">
        <f>IFERROR(__xludf.DUMMYFUNCTION("""COMPUTED_VALUE"""),135.5)</f>
        <v>135.5</v>
      </c>
      <c r="C323" s="3">
        <f t="shared" si="3"/>
        <v>0.2</v>
      </c>
    </row>
    <row r="324">
      <c r="B324" s="3">
        <f>IFERROR(__xludf.DUMMYFUNCTION("""COMPUTED_VALUE"""),135.5)</f>
        <v>135.5</v>
      </c>
      <c r="C324" s="3">
        <f t="shared" si="3"/>
        <v>0</v>
      </c>
    </row>
    <row r="325">
      <c r="B325" s="3">
        <f>IFERROR(__xludf.DUMMYFUNCTION("""COMPUTED_VALUE"""),135.39)</f>
        <v>135.39</v>
      </c>
      <c r="C325" s="3">
        <f t="shared" si="3"/>
        <v>-0.11</v>
      </c>
    </row>
    <row r="326">
      <c r="B326" s="3">
        <f>IFERROR(__xludf.DUMMYFUNCTION("""COMPUTED_VALUE"""),135.3)</f>
        <v>135.3</v>
      </c>
      <c r="C326" s="3">
        <f t="shared" si="3"/>
        <v>-0.09</v>
      </c>
    </row>
    <row r="327">
      <c r="B327" s="3">
        <f>IFERROR(__xludf.DUMMYFUNCTION("""COMPUTED_VALUE"""),135.39)</f>
        <v>135.39</v>
      </c>
      <c r="C327" s="3">
        <f t="shared" si="3"/>
        <v>0.09</v>
      </c>
    </row>
    <row r="328">
      <c r="B328" s="3">
        <f>IFERROR(__xludf.DUMMYFUNCTION("""COMPUTED_VALUE"""),135.39)</f>
        <v>135.39</v>
      </c>
      <c r="C328" s="3">
        <f t="shared" si="3"/>
        <v>0</v>
      </c>
    </row>
    <row r="329">
      <c r="B329" s="3">
        <f>IFERROR(__xludf.DUMMYFUNCTION("""COMPUTED_VALUE"""),135.3)</f>
        <v>135.3</v>
      </c>
      <c r="C329" s="3">
        <f t="shared" si="3"/>
        <v>-0.09</v>
      </c>
    </row>
    <row r="330">
      <c r="B330" s="3">
        <f>IFERROR(__xludf.DUMMYFUNCTION("""COMPUTED_VALUE"""),135.2)</f>
        <v>135.2</v>
      </c>
      <c r="C330" s="3">
        <f t="shared" si="3"/>
        <v>-0.1</v>
      </c>
    </row>
    <row r="331">
      <c r="B331" s="3">
        <f>IFERROR(__xludf.DUMMYFUNCTION("""COMPUTED_VALUE"""),135.2)</f>
        <v>135.2</v>
      </c>
      <c r="C331" s="3">
        <f t="shared" si="3"/>
        <v>0</v>
      </c>
    </row>
    <row r="332">
      <c r="B332" s="3">
        <f>IFERROR(__xludf.DUMMYFUNCTION("""COMPUTED_VALUE"""),135.1)</f>
        <v>135.1</v>
      </c>
      <c r="C332" s="3">
        <f t="shared" si="3"/>
        <v>-0.1</v>
      </c>
    </row>
    <row r="333">
      <c r="B333" s="3">
        <f>IFERROR(__xludf.DUMMYFUNCTION("""COMPUTED_VALUE"""),135.2)</f>
        <v>135.2</v>
      </c>
      <c r="C333" s="3">
        <f t="shared" si="3"/>
        <v>0.1</v>
      </c>
    </row>
    <row r="334">
      <c r="B334" s="3">
        <f>IFERROR(__xludf.DUMMYFUNCTION("""COMPUTED_VALUE"""),135.3)</f>
        <v>135.3</v>
      </c>
      <c r="C334" s="3">
        <f t="shared" si="3"/>
        <v>0.1</v>
      </c>
    </row>
    <row r="335">
      <c r="B335" s="3">
        <f>IFERROR(__xludf.DUMMYFUNCTION("""COMPUTED_VALUE"""),135.2)</f>
        <v>135.2</v>
      </c>
      <c r="C335" s="3">
        <f t="shared" si="3"/>
        <v>-0.1</v>
      </c>
    </row>
    <row r="336">
      <c r="B336" s="3">
        <f>IFERROR(__xludf.DUMMYFUNCTION("""COMPUTED_VALUE"""),136.3)</f>
        <v>136.3</v>
      </c>
      <c r="C336" s="3">
        <f t="shared" si="3"/>
        <v>1.1</v>
      </c>
    </row>
    <row r="337">
      <c r="B337" s="3">
        <f>IFERROR(__xludf.DUMMYFUNCTION("""COMPUTED_VALUE"""),135.6)</f>
        <v>135.6</v>
      </c>
      <c r="C337" s="3">
        <f t="shared" si="3"/>
        <v>-0.7</v>
      </c>
    </row>
    <row r="338">
      <c r="B338" s="3">
        <f>IFERROR(__xludf.DUMMYFUNCTION("""COMPUTED_VALUE"""),135.5)</f>
        <v>135.5</v>
      </c>
      <c r="C338" s="3">
        <f t="shared" si="3"/>
        <v>-0.1</v>
      </c>
    </row>
    <row r="339">
      <c r="B339" s="3">
        <f>IFERROR(__xludf.DUMMYFUNCTION("""COMPUTED_VALUE"""),135.2)</f>
        <v>135.2</v>
      </c>
      <c r="C339" s="3">
        <f t="shared" si="3"/>
        <v>-0.3</v>
      </c>
    </row>
    <row r="340">
      <c r="B340" s="3">
        <f>IFERROR(__xludf.DUMMYFUNCTION("""COMPUTED_VALUE"""),135.1)</f>
        <v>135.1</v>
      </c>
      <c r="C340" s="3">
        <f t="shared" si="3"/>
        <v>-0.1</v>
      </c>
    </row>
    <row r="341">
      <c r="B341" s="3">
        <f>IFERROR(__xludf.DUMMYFUNCTION("""COMPUTED_VALUE"""),135.0)</f>
        <v>135</v>
      </c>
      <c r="C341" s="3">
        <f t="shared" si="3"/>
        <v>-0.1</v>
      </c>
    </row>
    <row r="342">
      <c r="B342" s="3">
        <f>IFERROR(__xludf.DUMMYFUNCTION("""COMPUTED_VALUE"""),135.1)</f>
        <v>135.1</v>
      </c>
      <c r="C342" s="3">
        <f t="shared" si="3"/>
        <v>0.1</v>
      </c>
    </row>
    <row r="343">
      <c r="B343" s="3">
        <f>IFERROR(__xludf.DUMMYFUNCTION("""COMPUTED_VALUE"""),135.3)</f>
        <v>135.3</v>
      </c>
      <c r="C343" s="3">
        <f t="shared" si="3"/>
        <v>0.2</v>
      </c>
    </row>
    <row r="344">
      <c r="B344" s="3">
        <f>IFERROR(__xludf.DUMMYFUNCTION("""COMPUTED_VALUE"""),135.3)</f>
        <v>135.3</v>
      </c>
      <c r="C344" s="3">
        <f t="shared" si="3"/>
        <v>0</v>
      </c>
    </row>
    <row r="345">
      <c r="B345" s="3">
        <f>IFERROR(__xludf.DUMMYFUNCTION("""COMPUTED_VALUE"""),135.5)</f>
        <v>135.5</v>
      </c>
      <c r="C345" s="3">
        <f t="shared" si="3"/>
        <v>0.2</v>
      </c>
    </row>
    <row r="346">
      <c r="B346" s="3">
        <f>IFERROR(__xludf.DUMMYFUNCTION("""COMPUTED_VALUE"""),135.39)</f>
        <v>135.39</v>
      </c>
      <c r="C346" s="3">
        <f t="shared" si="3"/>
        <v>-0.11</v>
      </c>
    </row>
    <row r="347">
      <c r="B347" s="3">
        <f>IFERROR(__xludf.DUMMYFUNCTION("""COMPUTED_VALUE"""),135.2)</f>
        <v>135.2</v>
      </c>
      <c r="C347" s="3">
        <f t="shared" si="3"/>
        <v>-0.19</v>
      </c>
    </row>
    <row r="348">
      <c r="B348" s="3">
        <f>IFERROR(__xludf.DUMMYFUNCTION("""COMPUTED_VALUE"""),135.1)</f>
        <v>135.1</v>
      </c>
      <c r="C348" s="3">
        <f t="shared" si="3"/>
        <v>-0.1</v>
      </c>
    </row>
    <row r="349">
      <c r="B349" s="3">
        <f>IFERROR(__xludf.DUMMYFUNCTION("""COMPUTED_VALUE"""),135.1)</f>
        <v>135.1</v>
      </c>
      <c r="C349" s="3">
        <f t="shared" si="3"/>
        <v>0</v>
      </c>
    </row>
    <row r="350">
      <c r="B350" s="3">
        <f>IFERROR(__xludf.DUMMYFUNCTION("""COMPUTED_VALUE"""),135.3)</f>
        <v>135.3</v>
      </c>
      <c r="C350" s="3">
        <f t="shared" si="3"/>
        <v>0.2</v>
      </c>
    </row>
    <row r="351">
      <c r="B351" s="3">
        <f>IFERROR(__xludf.DUMMYFUNCTION("""COMPUTED_VALUE"""),135.1)</f>
        <v>135.1</v>
      </c>
      <c r="C351" s="3">
        <f t="shared" si="3"/>
        <v>-0.2</v>
      </c>
    </row>
    <row r="352">
      <c r="B352" s="3">
        <f>IFERROR(__xludf.DUMMYFUNCTION("""COMPUTED_VALUE"""),135.1)</f>
        <v>135.1</v>
      </c>
      <c r="C352" s="3">
        <f t="shared" si="3"/>
        <v>0</v>
      </c>
    </row>
    <row r="353">
      <c r="B353" s="3">
        <f>IFERROR(__xludf.DUMMYFUNCTION("""COMPUTED_VALUE"""),135.2)</f>
        <v>135.2</v>
      </c>
      <c r="C353" s="3">
        <f t="shared" si="3"/>
        <v>0.1</v>
      </c>
    </row>
    <row r="354">
      <c r="B354" s="3">
        <f>IFERROR(__xludf.DUMMYFUNCTION("""COMPUTED_VALUE"""),135.3)</f>
        <v>135.3</v>
      </c>
      <c r="C354" s="3">
        <f t="shared" si="3"/>
        <v>0.1</v>
      </c>
    </row>
    <row r="355">
      <c r="B355" s="3">
        <f>IFERROR(__xludf.DUMMYFUNCTION("""COMPUTED_VALUE"""),135.1)</f>
        <v>135.1</v>
      </c>
      <c r="C355" s="3">
        <f t="shared" si="3"/>
        <v>-0.2</v>
      </c>
    </row>
    <row r="356">
      <c r="B356" s="3">
        <f>IFERROR(__xludf.DUMMYFUNCTION("""COMPUTED_VALUE"""),135.0)</f>
        <v>135</v>
      </c>
      <c r="C356" s="3">
        <f t="shared" si="3"/>
        <v>-0.1</v>
      </c>
    </row>
    <row r="357">
      <c r="B357" s="3">
        <f>IFERROR(__xludf.DUMMYFUNCTION("""COMPUTED_VALUE"""),134.8)</f>
        <v>134.8</v>
      </c>
      <c r="C357" s="3">
        <f t="shared" si="3"/>
        <v>-0.2</v>
      </c>
    </row>
    <row r="358">
      <c r="B358" s="3">
        <f>IFERROR(__xludf.DUMMYFUNCTION("""COMPUTED_VALUE"""),135.0)</f>
        <v>135</v>
      </c>
      <c r="C358" s="3">
        <f t="shared" si="3"/>
        <v>0.2</v>
      </c>
    </row>
    <row r="359">
      <c r="B359" s="3">
        <f>IFERROR(__xludf.DUMMYFUNCTION("""COMPUTED_VALUE"""),135.2)</f>
        <v>135.2</v>
      </c>
      <c r="C359" s="3">
        <f t="shared" si="3"/>
        <v>0.2</v>
      </c>
    </row>
    <row r="360">
      <c r="B360" s="3">
        <f>IFERROR(__xludf.DUMMYFUNCTION("""COMPUTED_VALUE"""),135.2)</f>
        <v>135.2</v>
      </c>
      <c r="C360" s="3">
        <f t="shared" si="3"/>
        <v>0</v>
      </c>
    </row>
    <row r="361">
      <c r="B361" s="3">
        <f>IFERROR(__xludf.DUMMYFUNCTION("""COMPUTED_VALUE"""),135.39)</f>
        <v>135.39</v>
      </c>
      <c r="C361" s="3">
        <f t="shared" si="3"/>
        <v>0.19</v>
      </c>
    </row>
    <row r="362">
      <c r="B362" s="3">
        <f>IFERROR(__xludf.DUMMYFUNCTION("""COMPUTED_VALUE"""),135.39)</f>
        <v>135.39</v>
      </c>
      <c r="C362" s="3">
        <f t="shared" si="3"/>
        <v>0</v>
      </c>
    </row>
    <row r="363">
      <c r="B363" s="3">
        <f>IFERROR(__xludf.DUMMYFUNCTION("""COMPUTED_VALUE"""),135.3)</f>
        <v>135.3</v>
      </c>
      <c r="C363" s="3">
        <f t="shared" si="3"/>
        <v>-0.09</v>
      </c>
    </row>
    <row r="364">
      <c r="B364" s="3">
        <f>IFERROR(__xludf.DUMMYFUNCTION("""COMPUTED_VALUE"""),135.2)</f>
        <v>135.2</v>
      </c>
      <c r="C364" s="3">
        <f t="shared" si="3"/>
        <v>-0.1</v>
      </c>
    </row>
    <row r="365">
      <c r="B365" s="3">
        <f>IFERROR(__xludf.DUMMYFUNCTION("""COMPUTED_VALUE"""),134.1)</f>
        <v>134.1</v>
      </c>
      <c r="C365" s="3">
        <f t="shared" si="3"/>
        <v>-1.1</v>
      </c>
    </row>
    <row r="366">
      <c r="B366" s="3">
        <f>IFERROR(__xludf.DUMMYFUNCTION("""COMPUTED_VALUE"""),134.5)</f>
        <v>134.5</v>
      </c>
      <c r="C366" s="3">
        <f t="shared" si="3"/>
        <v>0.4</v>
      </c>
    </row>
    <row r="367">
      <c r="B367" s="3">
        <f>IFERROR(__xludf.DUMMYFUNCTION("""COMPUTED_VALUE"""),134.7)</f>
        <v>134.7</v>
      </c>
      <c r="C367" s="3">
        <f t="shared" si="3"/>
        <v>0.2</v>
      </c>
    </row>
    <row r="368">
      <c r="B368" s="3">
        <f>IFERROR(__xludf.DUMMYFUNCTION("""COMPUTED_VALUE"""),134.89)</f>
        <v>134.89</v>
      </c>
      <c r="C368" s="3">
        <f t="shared" si="3"/>
        <v>0.19</v>
      </c>
    </row>
    <row r="369">
      <c r="B369" s="3">
        <f>IFERROR(__xludf.DUMMYFUNCTION("""COMPUTED_VALUE"""),135.0)</f>
        <v>135</v>
      </c>
      <c r="C369" s="3">
        <f t="shared" si="3"/>
        <v>0.11</v>
      </c>
    </row>
    <row r="370">
      <c r="B370" s="3">
        <f>IFERROR(__xludf.DUMMYFUNCTION("""COMPUTED_VALUE"""),135.1)</f>
        <v>135.1</v>
      </c>
      <c r="C370" s="3">
        <f t="shared" si="3"/>
        <v>0.1</v>
      </c>
    </row>
    <row r="371">
      <c r="B371" s="3">
        <f>IFERROR(__xludf.DUMMYFUNCTION("""COMPUTED_VALUE"""),135.2)</f>
        <v>135.2</v>
      </c>
      <c r="C371" s="3">
        <f t="shared" si="3"/>
        <v>0.1</v>
      </c>
    </row>
    <row r="372">
      <c r="B372" s="3">
        <f>IFERROR(__xludf.DUMMYFUNCTION("""COMPUTED_VALUE"""),135.39)</f>
        <v>135.39</v>
      </c>
      <c r="C372" s="3">
        <f t="shared" si="3"/>
        <v>0.19</v>
      </c>
    </row>
    <row r="373">
      <c r="B373" s="3">
        <f>IFERROR(__xludf.DUMMYFUNCTION("""COMPUTED_VALUE"""),135.39)</f>
        <v>135.39</v>
      </c>
      <c r="C373" s="3">
        <f t="shared" si="3"/>
        <v>0</v>
      </c>
    </row>
    <row r="374">
      <c r="B374" s="3">
        <f>IFERROR(__xludf.DUMMYFUNCTION("""COMPUTED_VALUE"""),135.39)</f>
        <v>135.39</v>
      </c>
      <c r="C374" s="3">
        <f t="shared" si="3"/>
        <v>0</v>
      </c>
    </row>
    <row r="375">
      <c r="B375" s="3">
        <f>IFERROR(__xludf.DUMMYFUNCTION("""COMPUTED_VALUE"""),135.5)</f>
        <v>135.5</v>
      </c>
      <c r="C375" s="3">
        <f t="shared" si="3"/>
        <v>0.11</v>
      </c>
    </row>
    <row r="376">
      <c r="B376" s="3">
        <f>IFERROR(__xludf.DUMMYFUNCTION("""COMPUTED_VALUE"""),135.5)</f>
        <v>135.5</v>
      </c>
      <c r="C376" s="3">
        <f t="shared" si="3"/>
        <v>0</v>
      </c>
    </row>
    <row r="377">
      <c r="B377" s="3">
        <f>IFERROR(__xludf.DUMMYFUNCTION("""COMPUTED_VALUE"""),135.5)</f>
        <v>135.5</v>
      </c>
      <c r="C377" s="3">
        <f t="shared" si="3"/>
        <v>0</v>
      </c>
    </row>
    <row r="378">
      <c r="B378" s="3">
        <f>IFERROR(__xludf.DUMMYFUNCTION("""COMPUTED_VALUE"""),135.5)</f>
        <v>135.5</v>
      </c>
      <c r="C378" s="3">
        <f t="shared" si="3"/>
        <v>0</v>
      </c>
    </row>
    <row r="379">
      <c r="B379" s="3">
        <f>IFERROR(__xludf.DUMMYFUNCTION("""COMPUTED_VALUE"""),135.39)</f>
        <v>135.39</v>
      </c>
      <c r="C379" s="3">
        <f t="shared" si="3"/>
        <v>-0.11</v>
      </c>
    </row>
    <row r="380">
      <c r="B380" s="3">
        <f>IFERROR(__xludf.DUMMYFUNCTION("""COMPUTED_VALUE"""),135.39)</f>
        <v>135.39</v>
      </c>
      <c r="C380" s="3">
        <f t="shared" si="3"/>
        <v>0</v>
      </c>
    </row>
    <row r="381">
      <c r="B381" s="3">
        <f>IFERROR(__xludf.DUMMYFUNCTION("""COMPUTED_VALUE"""),135.3)</f>
        <v>135.3</v>
      </c>
      <c r="C381" s="3">
        <f t="shared" si="3"/>
        <v>-0.09</v>
      </c>
    </row>
    <row r="382">
      <c r="B382" s="3">
        <f>IFERROR(__xludf.DUMMYFUNCTION("""COMPUTED_VALUE"""),135.3)</f>
        <v>135.3</v>
      </c>
      <c r="C382" s="3">
        <f t="shared" si="3"/>
        <v>0</v>
      </c>
    </row>
    <row r="383">
      <c r="B383" s="3">
        <f>IFERROR(__xludf.DUMMYFUNCTION("""COMPUTED_VALUE"""),135.6)</f>
        <v>135.6</v>
      </c>
      <c r="C383" s="3">
        <f t="shared" si="3"/>
        <v>0.3</v>
      </c>
    </row>
    <row r="384">
      <c r="B384" s="3">
        <f>IFERROR(__xludf.DUMMYFUNCTION("""COMPUTED_VALUE"""),135.3)</f>
        <v>135.3</v>
      </c>
      <c r="C384" s="3">
        <f t="shared" si="3"/>
        <v>-0.3</v>
      </c>
    </row>
    <row r="385">
      <c r="B385" s="3">
        <f>IFERROR(__xludf.DUMMYFUNCTION("""COMPUTED_VALUE"""),135.2)</f>
        <v>135.2</v>
      </c>
      <c r="C385" s="3">
        <f t="shared" si="3"/>
        <v>-0.1</v>
      </c>
    </row>
    <row r="386">
      <c r="B386" s="3">
        <f>IFERROR(__xludf.DUMMYFUNCTION("""COMPUTED_VALUE"""),135.1)</f>
        <v>135.1</v>
      </c>
      <c r="C386" s="3">
        <f t="shared" si="3"/>
        <v>-0.1</v>
      </c>
    </row>
    <row r="387">
      <c r="B387" s="3">
        <f>IFERROR(__xludf.DUMMYFUNCTION("""COMPUTED_VALUE"""),135.0)</f>
        <v>135</v>
      </c>
      <c r="C387" s="3">
        <f t="shared" si="3"/>
        <v>-0.1</v>
      </c>
    </row>
    <row r="388">
      <c r="B388" s="3">
        <f>IFERROR(__xludf.DUMMYFUNCTION("""COMPUTED_VALUE"""),135.0)</f>
        <v>135</v>
      </c>
      <c r="C388" s="3">
        <f t="shared" si="3"/>
        <v>0</v>
      </c>
    </row>
    <row r="389">
      <c r="B389" s="3">
        <f>IFERROR(__xludf.DUMMYFUNCTION("""COMPUTED_VALUE"""),135.5)</f>
        <v>135.5</v>
      </c>
      <c r="C389" s="3">
        <f t="shared" si="3"/>
        <v>0.5</v>
      </c>
    </row>
    <row r="390">
      <c r="B390" s="3">
        <f>IFERROR(__xludf.DUMMYFUNCTION("""COMPUTED_VALUE"""),136.3)</f>
        <v>136.3</v>
      </c>
      <c r="C390" s="3">
        <f t="shared" si="3"/>
        <v>0.8</v>
      </c>
    </row>
    <row r="391">
      <c r="B391" s="3">
        <f>IFERROR(__xludf.DUMMYFUNCTION("""COMPUTED_VALUE"""),136.7)</f>
        <v>136.7</v>
      </c>
      <c r="C391" s="3">
        <f t="shared" si="3"/>
        <v>0.4</v>
      </c>
    </row>
    <row r="392">
      <c r="B392" s="3">
        <f>IFERROR(__xludf.DUMMYFUNCTION("""COMPUTED_VALUE"""),137.89)</f>
        <v>137.89</v>
      </c>
      <c r="C392" s="3">
        <f t="shared" si="3"/>
        <v>1.19</v>
      </c>
    </row>
    <row r="393">
      <c r="B393" s="3">
        <f>IFERROR(__xludf.DUMMYFUNCTION("""COMPUTED_VALUE"""),138.7)</f>
        <v>138.7</v>
      </c>
      <c r="C393" s="3">
        <f t="shared" si="3"/>
        <v>0.81</v>
      </c>
    </row>
    <row r="394">
      <c r="B394" s="3">
        <f>IFERROR(__xludf.DUMMYFUNCTION("""COMPUTED_VALUE"""),139.39)</f>
        <v>139.39</v>
      </c>
      <c r="C394" s="3">
        <f t="shared" si="3"/>
        <v>0.69</v>
      </c>
    </row>
    <row r="395">
      <c r="B395" s="3">
        <f>IFERROR(__xludf.DUMMYFUNCTION("""COMPUTED_VALUE"""),139.8)</f>
        <v>139.8</v>
      </c>
      <c r="C395" s="3">
        <f t="shared" si="3"/>
        <v>0.41</v>
      </c>
    </row>
    <row r="396">
      <c r="B396" s="3">
        <f>IFERROR(__xludf.DUMMYFUNCTION("""COMPUTED_VALUE"""),141.3)</f>
        <v>141.3</v>
      </c>
      <c r="C396" s="3">
        <f t="shared" si="3"/>
        <v>1.5</v>
      </c>
    </row>
    <row r="397">
      <c r="B397" s="3">
        <f>IFERROR(__xludf.DUMMYFUNCTION("""COMPUTED_VALUE"""),141.6)</f>
        <v>141.6</v>
      </c>
      <c r="C397" s="3">
        <f t="shared" si="3"/>
        <v>0.3</v>
      </c>
    </row>
    <row r="398">
      <c r="B398" s="3">
        <f>IFERROR(__xludf.DUMMYFUNCTION("""COMPUTED_VALUE"""),142.2)</f>
        <v>142.2</v>
      </c>
      <c r="C398" s="3">
        <f t="shared" si="3"/>
        <v>0.6</v>
      </c>
    </row>
    <row r="399">
      <c r="B399" s="3">
        <f>IFERROR(__xludf.DUMMYFUNCTION("""COMPUTED_VALUE"""),142.8)</f>
        <v>142.8</v>
      </c>
      <c r="C399" s="3">
        <f t="shared" si="3"/>
        <v>0.6</v>
      </c>
    </row>
    <row r="400">
      <c r="B400" s="3">
        <f>IFERROR(__xludf.DUMMYFUNCTION("""COMPUTED_VALUE"""),143.89)</f>
        <v>143.89</v>
      </c>
      <c r="C400" s="3">
        <f t="shared" si="3"/>
        <v>1.09</v>
      </c>
    </row>
    <row r="401">
      <c r="B401" s="3">
        <f>IFERROR(__xludf.DUMMYFUNCTION("""COMPUTED_VALUE"""),145.39)</f>
        <v>145.39</v>
      </c>
      <c r="C401" s="3">
        <f t="shared" si="3"/>
        <v>1.5</v>
      </c>
    </row>
    <row r="402">
      <c r="B402" s="3">
        <f>IFERROR(__xludf.DUMMYFUNCTION("""COMPUTED_VALUE"""),145.8)</f>
        <v>145.8</v>
      </c>
      <c r="C402" s="3">
        <f t="shared" si="3"/>
        <v>0.41</v>
      </c>
    </row>
    <row r="403">
      <c r="B403" s="3">
        <f>IFERROR(__xludf.DUMMYFUNCTION("""COMPUTED_VALUE"""),146.89)</f>
        <v>146.89</v>
      </c>
      <c r="C403" s="3">
        <f t="shared" si="3"/>
        <v>1.09</v>
      </c>
    </row>
    <row r="404">
      <c r="B404" s="3">
        <f>IFERROR(__xludf.DUMMYFUNCTION("""COMPUTED_VALUE"""),147.2)</f>
        <v>147.2</v>
      </c>
      <c r="C404" s="3">
        <f t="shared" si="3"/>
        <v>0.31</v>
      </c>
    </row>
    <row r="405">
      <c r="B405" s="3">
        <f>IFERROR(__xludf.DUMMYFUNCTION("""COMPUTED_VALUE"""),147.89)</f>
        <v>147.89</v>
      </c>
      <c r="C405" s="3">
        <f t="shared" si="3"/>
        <v>0.69</v>
      </c>
    </row>
    <row r="406">
      <c r="B406" s="3">
        <f>IFERROR(__xludf.DUMMYFUNCTION("""COMPUTED_VALUE"""),148.6)</f>
        <v>148.6</v>
      </c>
      <c r="C406" s="3">
        <f t="shared" si="3"/>
        <v>0.71</v>
      </c>
    </row>
    <row r="407">
      <c r="B407" s="3">
        <f>IFERROR(__xludf.DUMMYFUNCTION("""COMPUTED_VALUE"""),149.39)</f>
        <v>149.39</v>
      </c>
      <c r="C407" s="3">
        <f t="shared" si="3"/>
        <v>0.79</v>
      </c>
    </row>
    <row r="408">
      <c r="B408" s="3">
        <f>IFERROR(__xludf.DUMMYFUNCTION("""COMPUTED_VALUE"""),151.6)</f>
        <v>151.6</v>
      </c>
      <c r="C408" s="3">
        <f t="shared" si="3"/>
        <v>2.21</v>
      </c>
    </row>
    <row r="409">
      <c r="B409" s="3">
        <f>IFERROR(__xludf.DUMMYFUNCTION("""COMPUTED_VALUE"""),152.1)</f>
        <v>152.1</v>
      </c>
      <c r="C409" s="3">
        <f t="shared" si="3"/>
        <v>0.5</v>
      </c>
    </row>
    <row r="410">
      <c r="B410" s="3">
        <f>IFERROR(__xludf.DUMMYFUNCTION("""COMPUTED_VALUE"""),152.5)</f>
        <v>152.5</v>
      </c>
      <c r="C410" s="3">
        <f t="shared" si="3"/>
        <v>0.4</v>
      </c>
    </row>
    <row r="411">
      <c r="B411" s="3">
        <f>IFERROR(__xludf.DUMMYFUNCTION("""COMPUTED_VALUE"""),152.89)</f>
        <v>152.89</v>
      </c>
      <c r="C411" s="3">
        <f t="shared" si="3"/>
        <v>0.39</v>
      </c>
    </row>
    <row r="412">
      <c r="B412" s="3">
        <f>IFERROR(__xludf.DUMMYFUNCTION("""COMPUTED_VALUE"""),153.39)</f>
        <v>153.39</v>
      </c>
      <c r="C412" s="3">
        <f t="shared" si="3"/>
        <v>0.5</v>
      </c>
    </row>
    <row r="413">
      <c r="B413" s="3">
        <f>IFERROR(__xludf.DUMMYFUNCTION("""COMPUTED_VALUE"""),154.7)</f>
        <v>154.7</v>
      </c>
      <c r="C413" s="3">
        <f t="shared" si="3"/>
        <v>1.31</v>
      </c>
    </row>
    <row r="414">
      <c r="B414" s="3">
        <f>IFERROR(__xludf.DUMMYFUNCTION("""COMPUTED_VALUE"""),155.7)</f>
        <v>155.7</v>
      </c>
      <c r="C414" s="3">
        <f t="shared" si="3"/>
        <v>1</v>
      </c>
    </row>
    <row r="415">
      <c r="B415" s="3">
        <f>IFERROR(__xludf.DUMMYFUNCTION("""COMPUTED_VALUE"""),157.2)</f>
        <v>157.2</v>
      </c>
      <c r="C415" s="3">
        <f t="shared" si="3"/>
        <v>1.5</v>
      </c>
    </row>
    <row r="416">
      <c r="B416" s="3">
        <f>IFERROR(__xludf.DUMMYFUNCTION("""COMPUTED_VALUE"""),157.8)</f>
        <v>157.8</v>
      </c>
      <c r="C416" s="3">
        <f t="shared" si="3"/>
        <v>0.6</v>
      </c>
    </row>
    <row r="417">
      <c r="B417" s="3">
        <f>IFERROR(__xludf.DUMMYFUNCTION("""COMPUTED_VALUE"""),158.39)</f>
        <v>158.39</v>
      </c>
      <c r="C417" s="3">
        <f t="shared" si="3"/>
        <v>0.59</v>
      </c>
    </row>
    <row r="418">
      <c r="B418" s="3">
        <f>IFERROR(__xludf.DUMMYFUNCTION("""COMPUTED_VALUE"""),159.2)</f>
        <v>159.2</v>
      </c>
      <c r="C418" s="3">
        <f t="shared" si="3"/>
        <v>0.81</v>
      </c>
    </row>
    <row r="419">
      <c r="B419" s="3">
        <f>IFERROR(__xludf.DUMMYFUNCTION("""COMPUTED_VALUE"""),161.89)</f>
        <v>161.89</v>
      </c>
      <c r="C419" s="3">
        <f t="shared" si="3"/>
        <v>2.69</v>
      </c>
    </row>
    <row r="420">
      <c r="B420" s="3">
        <f>IFERROR(__xludf.DUMMYFUNCTION("""COMPUTED_VALUE"""),161.89)</f>
        <v>161.89</v>
      </c>
      <c r="C420" s="3">
        <f t="shared" si="3"/>
        <v>0</v>
      </c>
    </row>
    <row r="421">
      <c r="B421" s="3">
        <f>IFERROR(__xludf.DUMMYFUNCTION("""COMPUTED_VALUE"""),162.1)</f>
        <v>162.1</v>
      </c>
      <c r="C421" s="3">
        <f t="shared" si="3"/>
        <v>0.21</v>
      </c>
    </row>
    <row r="422">
      <c r="B422" s="3">
        <f>IFERROR(__xludf.DUMMYFUNCTION("""COMPUTED_VALUE"""),162.5)</f>
        <v>162.5</v>
      </c>
      <c r="C422" s="3">
        <f t="shared" si="3"/>
        <v>0.4</v>
      </c>
    </row>
    <row r="423">
      <c r="B423" s="3">
        <f>IFERROR(__xludf.DUMMYFUNCTION("""COMPUTED_VALUE"""),163.3)</f>
        <v>163.3</v>
      </c>
      <c r="C423" s="3">
        <f t="shared" si="3"/>
        <v>0.8</v>
      </c>
    </row>
    <row r="424">
      <c r="B424" s="3">
        <f>IFERROR(__xludf.DUMMYFUNCTION("""COMPUTED_VALUE"""),165.3)</f>
        <v>165.3</v>
      </c>
      <c r="C424" s="3">
        <f t="shared" si="3"/>
        <v>2</v>
      </c>
    </row>
    <row r="425">
      <c r="B425" s="3">
        <f>IFERROR(__xludf.DUMMYFUNCTION("""COMPUTED_VALUE"""),166.4)</f>
        <v>166.4</v>
      </c>
      <c r="C425" s="3">
        <f t="shared" si="3"/>
        <v>1.1</v>
      </c>
    </row>
    <row r="426">
      <c r="B426" s="3">
        <f>IFERROR(__xludf.DUMMYFUNCTION("""COMPUTED_VALUE"""),166.5)</f>
        <v>166.5</v>
      </c>
      <c r="C426" s="3">
        <f t="shared" si="3"/>
        <v>0.1</v>
      </c>
    </row>
    <row r="427">
      <c r="B427" s="3">
        <f>IFERROR(__xludf.DUMMYFUNCTION("""COMPUTED_VALUE"""),167.1)</f>
        <v>167.1</v>
      </c>
      <c r="C427" s="3">
        <f t="shared" si="3"/>
        <v>0.6</v>
      </c>
    </row>
    <row r="428">
      <c r="B428" s="3">
        <f>IFERROR(__xludf.DUMMYFUNCTION("""COMPUTED_VALUE"""),167.7)</f>
        <v>167.7</v>
      </c>
      <c r="C428" s="3">
        <f t="shared" si="3"/>
        <v>0.6</v>
      </c>
    </row>
    <row r="429">
      <c r="B429" s="3">
        <f>IFERROR(__xludf.DUMMYFUNCTION("""COMPUTED_VALUE"""),168.5)</f>
        <v>168.5</v>
      </c>
      <c r="C429" s="3">
        <f t="shared" si="3"/>
        <v>0.8</v>
      </c>
    </row>
    <row r="430">
      <c r="B430" s="3">
        <f>IFERROR(__xludf.DUMMYFUNCTION("""COMPUTED_VALUE"""),169.3)</f>
        <v>169.3</v>
      </c>
      <c r="C430" s="3">
        <f t="shared" si="3"/>
        <v>0.8</v>
      </c>
    </row>
    <row r="431">
      <c r="B431" s="3">
        <f>IFERROR(__xludf.DUMMYFUNCTION("""COMPUTED_VALUE"""),169.9)</f>
        <v>169.9</v>
      </c>
      <c r="C431" s="3">
        <f t="shared" si="3"/>
        <v>0.6</v>
      </c>
    </row>
    <row r="432">
      <c r="B432" s="3">
        <f>IFERROR(__xludf.DUMMYFUNCTION("""COMPUTED_VALUE"""),170.9)</f>
        <v>170.9</v>
      </c>
      <c r="C432" s="3">
        <f t="shared" si="3"/>
        <v>1</v>
      </c>
    </row>
    <row r="433">
      <c r="B433" s="3">
        <f>IFERROR(__xludf.DUMMYFUNCTION("""COMPUTED_VALUE"""),171.8)</f>
        <v>171.8</v>
      </c>
      <c r="C433" s="3">
        <f t="shared" si="3"/>
        <v>0.9</v>
      </c>
    </row>
    <row r="434">
      <c r="B434" s="3">
        <f>IFERROR(__xludf.DUMMYFUNCTION("""COMPUTED_VALUE"""),173.2)</f>
        <v>173.2</v>
      </c>
      <c r="C434" s="3">
        <f t="shared" si="3"/>
        <v>1.4</v>
      </c>
    </row>
    <row r="435">
      <c r="B435" s="3">
        <f>IFERROR(__xludf.DUMMYFUNCTION("""COMPUTED_VALUE"""),173.9)</f>
        <v>173.9</v>
      </c>
      <c r="C435" s="3">
        <f t="shared" si="3"/>
        <v>0.7</v>
      </c>
    </row>
    <row r="436">
      <c r="B436" s="3">
        <f>IFERROR(__xludf.DUMMYFUNCTION("""COMPUTED_VALUE"""),174.5)</f>
        <v>174.5</v>
      </c>
      <c r="C436" s="3">
        <f t="shared" si="3"/>
        <v>0.6</v>
      </c>
    </row>
    <row r="437">
      <c r="B437" s="3">
        <f>IFERROR(__xludf.DUMMYFUNCTION("""COMPUTED_VALUE"""),175.1)</f>
        <v>175.1</v>
      </c>
      <c r="C437" s="3">
        <f t="shared" si="3"/>
        <v>0.6</v>
      </c>
    </row>
    <row r="438">
      <c r="B438" s="3">
        <f>IFERROR(__xludf.DUMMYFUNCTION("""COMPUTED_VALUE"""),174.4)</f>
        <v>174.4</v>
      </c>
      <c r="C438" s="3">
        <f t="shared" si="3"/>
        <v>-0.7</v>
      </c>
    </row>
    <row r="439">
      <c r="B439" s="3">
        <f>IFERROR(__xludf.DUMMYFUNCTION("""COMPUTED_VALUE"""),174.8)</f>
        <v>174.8</v>
      </c>
      <c r="C439" s="3">
        <f t="shared" si="3"/>
        <v>0.4</v>
      </c>
    </row>
    <row r="440">
      <c r="B440" s="3">
        <f>IFERROR(__xludf.DUMMYFUNCTION("""COMPUTED_VALUE"""),175.5)</f>
        <v>175.5</v>
      </c>
      <c r="C440" s="3">
        <f t="shared" si="3"/>
        <v>0.7</v>
      </c>
    </row>
    <row r="441">
      <c r="B441" s="3">
        <f>IFERROR(__xludf.DUMMYFUNCTION("""COMPUTED_VALUE"""),175.8)</f>
        <v>175.8</v>
      </c>
      <c r="C441" s="3">
        <f t="shared" si="3"/>
        <v>0.3</v>
      </c>
    </row>
    <row r="442">
      <c r="B442" s="3">
        <f>IFERROR(__xludf.DUMMYFUNCTION("""COMPUTED_VALUE"""),174.6)</f>
        <v>174.6</v>
      </c>
      <c r="C442" s="3">
        <f t="shared" si="3"/>
        <v>-1.2</v>
      </c>
    </row>
    <row r="443">
      <c r="B443" s="3">
        <f>IFERROR(__xludf.DUMMYFUNCTION("""COMPUTED_VALUE"""),176.0)</f>
        <v>176</v>
      </c>
      <c r="C443" s="3">
        <f t="shared" si="3"/>
        <v>1.4</v>
      </c>
    </row>
    <row r="444">
      <c r="B444" s="3">
        <f>IFERROR(__xludf.DUMMYFUNCTION("""COMPUTED_VALUE"""),176.0)</f>
        <v>176</v>
      </c>
      <c r="C444" s="3">
        <f t="shared" si="3"/>
        <v>0</v>
      </c>
    </row>
    <row r="445">
      <c r="B445" s="3">
        <f>IFERROR(__xludf.DUMMYFUNCTION("""COMPUTED_VALUE"""),176.0)</f>
        <v>176</v>
      </c>
      <c r="C445" s="3">
        <f t="shared" si="3"/>
        <v>0</v>
      </c>
    </row>
    <row r="446">
      <c r="B446" s="3">
        <f>IFERROR(__xludf.DUMMYFUNCTION("""COMPUTED_VALUE"""),176.1)</f>
        <v>176.1</v>
      </c>
      <c r="C446" s="3">
        <f t="shared" si="3"/>
        <v>0.1</v>
      </c>
    </row>
    <row r="447">
      <c r="B447" s="3">
        <f>IFERROR(__xludf.DUMMYFUNCTION("""COMPUTED_VALUE"""),176.2)</f>
        <v>176.2</v>
      </c>
      <c r="C447" s="3">
        <f t="shared" si="3"/>
        <v>0.1</v>
      </c>
    </row>
    <row r="448">
      <c r="B448" s="3">
        <f>IFERROR(__xludf.DUMMYFUNCTION("""COMPUTED_VALUE"""),176.5)</f>
        <v>176.5</v>
      </c>
      <c r="C448" s="3">
        <f t="shared" si="3"/>
        <v>0.3</v>
      </c>
    </row>
    <row r="449">
      <c r="B449" s="3">
        <f>IFERROR(__xludf.DUMMYFUNCTION("""COMPUTED_VALUE"""),177.0)</f>
        <v>177</v>
      </c>
      <c r="C449" s="3">
        <f t="shared" si="3"/>
        <v>0.5</v>
      </c>
    </row>
    <row r="450">
      <c r="B450" s="3">
        <f>IFERROR(__xludf.DUMMYFUNCTION("""COMPUTED_VALUE"""),177.8)</f>
        <v>177.8</v>
      </c>
      <c r="C450" s="3">
        <f t="shared" si="3"/>
        <v>0.8</v>
      </c>
    </row>
    <row r="451">
      <c r="B451" s="3">
        <f>IFERROR(__xludf.DUMMYFUNCTION("""COMPUTED_VALUE"""),177.9)</f>
        <v>177.9</v>
      </c>
      <c r="C451" s="3">
        <f t="shared" si="3"/>
        <v>0.1</v>
      </c>
    </row>
    <row r="452">
      <c r="B452" s="3">
        <f>IFERROR(__xludf.DUMMYFUNCTION("""COMPUTED_VALUE"""),178.7)</f>
        <v>178.7</v>
      </c>
      <c r="C452" s="3">
        <f t="shared" si="3"/>
        <v>0.8</v>
      </c>
    </row>
    <row r="453">
      <c r="B453" s="3">
        <f>IFERROR(__xludf.DUMMYFUNCTION("""COMPUTED_VALUE"""),179.5)</f>
        <v>179.5</v>
      </c>
      <c r="C453" s="3">
        <f t="shared" si="3"/>
        <v>0.8</v>
      </c>
    </row>
    <row r="454">
      <c r="B454" s="3">
        <f>IFERROR(__xludf.DUMMYFUNCTION("""COMPUTED_VALUE"""),180.3)</f>
        <v>180.3</v>
      </c>
      <c r="C454" s="3">
        <f t="shared" si="3"/>
        <v>0.8</v>
      </c>
    </row>
    <row r="455">
      <c r="B455" s="3">
        <f>IFERROR(__xludf.DUMMYFUNCTION("""COMPUTED_VALUE"""),181.1)</f>
        <v>181.1</v>
      </c>
      <c r="C455" s="3">
        <f t="shared" si="3"/>
        <v>0.8</v>
      </c>
    </row>
    <row r="456">
      <c r="B456" s="3">
        <f>IFERROR(__xludf.DUMMYFUNCTION("""COMPUTED_VALUE"""),182.2)</f>
        <v>182.2</v>
      </c>
      <c r="C456" s="3">
        <f t="shared" si="3"/>
        <v>1.1</v>
      </c>
    </row>
    <row r="457">
      <c r="B457" s="3">
        <f>IFERROR(__xludf.DUMMYFUNCTION("""COMPUTED_VALUE"""),182.4)</f>
        <v>182.4</v>
      </c>
      <c r="C457" s="3">
        <f t="shared" si="3"/>
        <v>0.2</v>
      </c>
    </row>
    <row r="458">
      <c r="B458" s="3">
        <f>IFERROR(__xludf.DUMMYFUNCTION("""COMPUTED_VALUE"""),182.8)</f>
        <v>182.8</v>
      </c>
      <c r="C458" s="3">
        <f t="shared" si="3"/>
        <v>0.4</v>
      </c>
    </row>
    <row r="459">
      <c r="B459" s="3">
        <f>IFERROR(__xludf.DUMMYFUNCTION("""COMPUTED_VALUE"""),183.0)</f>
        <v>183</v>
      </c>
      <c r="C459" s="3">
        <f t="shared" si="3"/>
        <v>0.2</v>
      </c>
    </row>
    <row r="460">
      <c r="B460" s="3">
        <f>IFERROR(__xludf.DUMMYFUNCTION("""COMPUTED_VALUE"""),183.5)</f>
        <v>183.5</v>
      </c>
      <c r="C460" s="3">
        <f t="shared" si="3"/>
        <v>0.5</v>
      </c>
    </row>
    <row r="461">
      <c r="B461" s="3">
        <f>IFERROR(__xludf.DUMMYFUNCTION("""COMPUTED_VALUE"""),184.4)</f>
        <v>184.4</v>
      </c>
      <c r="C461" s="3">
        <f t="shared" si="3"/>
        <v>0.9</v>
      </c>
    </row>
    <row r="462">
      <c r="B462" s="3">
        <f>IFERROR(__xludf.DUMMYFUNCTION("""COMPUTED_VALUE"""),185.8)</f>
        <v>185.8</v>
      </c>
      <c r="C462" s="3">
        <f t="shared" si="3"/>
        <v>1.4</v>
      </c>
    </row>
    <row r="463">
      <c r="B463" s="3">
        <f>IFERROR(__xludf.DUMMYFUNCTION("""COMPUTED_VALUE"""),186.3)</f>
        <v>186.3</v>
      </c>
      <c r="C463" s="3">
        <f t="shared" si="3"/>
        <v>0.5</v>
      </c>
    </row>
    <row r="464">
      <c r="B464" s="3">
        <f>IFERROR(__xludf.DUMMYFUNCTION("""COMPUTED_VALUE"""),187.2)</f>
        <v>187.2</v>
      </c>
      <c r="C464" s="3">
        <f t="shared" si="3"/>
        <v>0.9</v>
      </c>
    </row>
    <row r="465">
      <c r="B465" s="3">
        <f>IFERROR(__xludf.DUMMYFUNCTION("""COMPUTED_VALUE"""),188.5)</f>
        <v>188.5</v>
      </c>
      <c r="C465" s="3">
        <f t="shared" si="3"/>
        <v>1.3</v>
      </c>
    </row>
    <row r="466">
      <c r="B466" s="3">
        <f>IFERROR(__xludf.DUMMYFUNCTION("""COMPUTED_VALUE"""),189.4)</f>
        <v>189.4</v>
      </c>
      <c r="C466" s="3">
        <f t="shared" si="3"/>
        <v>0.9</v>
      </c>
    </row>
    <row r="467">
      <c r="B467" s="3">
        <f>IFERROR(__xludf.DUMMYFUNCTION("""COMPUTED_VALUE"""),190.3)</f>
        <v>190.3</v>
      </c>
      <c r="C467" s="3">
        <f t="shared" si="3"/>
        <v>0.9</v>
      </c>
    </row>
    <row r="468">
      <c r="B468" s="3">
        <f>IFERROR(__xludf.DUMMYFUNCTION("""COMPUTED_VALUE"""),191.1)</f>
        <v>191.1</v>
      </c>
      <c r="C468" s="3">
        <f t="shared" si="3"/>
        <v>0.8</v>
      </c>
    </row>
    <row r="469">
      <c r="B469" s="3">
        <f>IFERROR(__xludf.DUMMYFUNCTION("""COMPUTED_VALUE"""),192.7)</f>
        <v>192.7</v>
      </c>
      <c r="C469" s="3">
        <f t="shared" si="3"/>
        <v>1.6</v>
      </c>
    </row>
    <row r="470">
      <c r="B470" s="3">
        <f>IFERROR(__xludf.DUMMYFUNCTION("""COMPUTED_VALUE"""),193.3)</f>
        <v>193.3</v>
      </c>
      <c r="C470" s="3">
        <f t="shared" si="3"/>
        <v>0.6</v>
      </c>
    </row>
    <row r="471">
      <c r="B471" s="3">
        <f>IFERROR(__xludf.DUMMYFUNCTION("""COMPUTED_VALUE"""),194.1)</f>
        <v>194.1</v>
      </c>
      <c r="C471" s="3">
        <f t="shared" si="3"/>
        <v>0.8</v>
      </c>
    </row>
    <row r="472">
      <c r="B472" s="3">
        <f>IFERROR(__xludf.DUMMYFUNCTION("""COMPUTED_VALUE"""),194.9)</f>
        <v>194.9</v>
      </c>
      <c r="C472" s="3">
        <f t="shared" si="3"/>
        <v>0.8</v>
      </c>
    </row>
    <row r="473">
      <c r="B473" s="3">
        <f>IFERROR(__xludf.DUMMYFUNCTION("""COMPUTED_VALUE"""),195.8)</f>
        <v>195.8</v>
      </c>
      <c r="C473" s="3">
        <f t="shared" si="3"/>
        <v>0.9</v>
      </c>
    </row>
    <row r="474">
      <c r="B474" s="3">
        <f>IFERROR(__xludf.DUMMYFUNCTION("""COMPUTED_VALUE"""),196.6)</f>
        <v>196.6</v>
      </c>
      <c r="C474" s="3">
        <f t="shared" si="3"/>
        <v>0.8</v>
      </c>
    </row>
    <row r="475">
      <c r="B475" s="3">
        <f>IFERROR(__xludf.DUMMYFUNCTION("""COMPUTED_VALUE"""),198.8)</f>
        <v>198.8</v>
      </c>
      <c r="C475" s="3">
        <f t="shared" si="3"/>
        <v>2.2</v>
      </c>
    </row>
    <row r="476">
      <c r="B476" s="3">
        <f>IFERROR(__xludf.DUMMYFUNCTION("""COMPUTED_VALUE"""),198.6)</f>
        <v>198.6</v>
      </c>
      <c r="C476" s="3">
        <f t="shared" si="3"/>
        <v>-0.2</v>
      </c>
    </row>
    <row r="477">
      <c r="B477" s="3">
        <f>IFERROR(__xludf.DUMMYFUNCTION("""COMPUTED_VALUE"""),199.1)</f>
        <v>199.1</v>
      </c>
      <c r="C477" s="3">
        <f t="shared" si="3"/>
        <v>0.5</v>
      </c>
    </row>
    <row r="478">
      <c r="B478" s="3">
        <f>IFERROR(__xludf.DUMMYFUNCTION("""COMPUTED_VALUE"""),199.7)</f>
        <v>199.7</v>
      </c>
      <c r="C478" s="3">
        <f t="shared" si="3"/>
        <v>0.6</v>
      </c>
    </row>
    <row r="479">
      <c r="B479" s="3">
        <f>IFERROR(__xludf.DUMMYFUNCTION("""COMPUTED_VALUE"""),200.3)</f>
        <v>200.3</v>
      </c>
      <c r="C479" s="3">
        <f t="shared" si="3"/>
        <v>0.6</v>
      </c>
    </row>
    <row r="480">
      <c r="B480" s="3">
        <f>IFERROR(__xludf.DUMMYFUNCTION("""COMPUTED_VALUE"""),200.9)</f>
        <v>200.9</v>
      </c>
      <c r="C480" s="3">
        <f t="shared" si="3"/>
        <v>0.6</v>
      </c>
    </row>
    <row r="481">
      <c r="B481" s="3">
        <f>IFERROR(__xludf.DUMMYFUNCTION("""COMPUTED_VALUE"""),201.8)</f>
        <v>201.8</v>
      </c>
      <c r="C481" s="3">
        <f t="shared" si="3"/>
        <v>0.9</v>
      </c>
    </row>
    <row r="482">
      <c r="B482" s="3">
        <f>IFERROR(__xludf.DUMMYFUNCTION("""COMPUTED_VALUE"""),202.8)</f>
        <v>202.8</v>
      </c>
      <c r="C482" s="3">
        <f t="shared" si="3"/>
        <v>1</v>
      </c>
    </row>
    <row r="483">
      <c r="B483" s="3">
        <f>IFERROR(__xludf.DUMMYFUNCTION("""COMPUTED_VALUE"""),203.3)</f>
        <v>203.3</v>
      </c>
      <c r="C483" s="3">
        <f t="shared" si="3"/>
        <v>0.5</v>
      </c>
    </row>
    <row r="484">
      <c r="B484" s="3">
        <f>IFERROR(__xludf.DUMMYFUNCTION("""COMPUTED_VALUE"""),203.8)</f>
        <v>203.8</v>
      </c>
      <c r="C484" s="3">
        <f t="shared" si="3"/>
        <v>0.5</v>
      </c>
    </row>
    <row r="485">
      <c r="B485" s="3">
        <f>IFERROR(__xludf.DUMMYFUNCTION("""COMPUTED_VALUE"""),204.2)</f>
        <v>204.2</v>
      </c>
      <c r="C485" s="3">
        <f t="shared" si="3"/>
        <v>0.4</v>
      </c>
    </row>
    <row r="486">
      <c r="B486" s="3">
        <f>IFERROR(__xludf.DUMMYFUNCTION("""COMPUTED_VALUE"""),204.6)</f>
        <v>204.6</v>
      </c>
      <c r="C486" s="3">
        <f t="shared" si="3"/>
        <v>0.4</v>
      </c>
    </row>
    <row r="487">
      <c r="B487" s="3">
        <f>IFERROR(__xludf.DUMMYFUNCTION("""COMPUTED_VALUE"""),205.2)</f>
        <v>205.2</v>
      </c>
      <c r="C487" s="3">
        <f t="shared" si="3"/>
        <v>0.6</v>
      </c>
    </row>
    <row r="488">
      <c r="B488" s="3">
        <f>IFERROR(__xludf.DUMMYFUNCTION("""COMPUTED_VALUE"""),205.5)</f>
        <v>205.5</v>
      </c>
      <c r="C488" s="3">
        <f t="shared" si="3"/>
        <v>0.3</v>
      </c>
    </row>
    <row r="489">
      <c r="B489" s="3">
        <f>IFERROR(__xludf.DUMMYFUNCTION("""COMPUTED_VALUE"""),206.1)</f>
        <v>206.1</v>
      </c>
      <c r="C489" s="3">
        <f t="shared" si="3"/>
        <v>0.6</v>
      </c>
    </row>
    <row r="490">
      <c r="B490" s="3">
        <f>IFERROR(__xludf.DUMMYFUNCTION("""COMPUTED_VALUE"""),206.4)</f>
        <v>206.4</v>
      </c>
      <c r="C490" s="3">
        <f t="shared" si="3"/>
        <v>0.3</v>
      </c>
    </row>
    <row r="491">
      <c r="B491" s="3">
        <f>IFERROR(__xludf.DUMMYFUNCTION("""COMPUTED_VALUE"""),206.7)</f>
        <v>206.7</v>
      </c>
      <c r="C491" s="3">
        <f t="shared" si="3"/>
        <v>0.3</v>
      </c>
    </row>
    <row r="492">
      <c r="B492" s="3">
        <f>IFERROR(__xludf.DUMMYFUNCTION("""COMPUTED_VALUE"""),206.7)</f>
        <v>206.7</v>
      </c>
      <c r="C492" s="3">
        <f t="shared" si="3"/>
        <v>0</v>
      </c>
    </row>
    <row r="493">
      <c r="B493" s="3">
        <f>IFERROR(__xludf.DUMMYFUNCTION("""COMPUTED_VALUE"""),206.9)</f>
        <v>206.9</v>
      </c>
      <c r="C493" s="3">
        <f t="shared" si="3"/>
        <v>0.2</v>
      </c>
    </row>
    <row r="494">
      <c r="B494" s="3">
        <f>IFERROR(__xludf.DUMMYFUNCTION("""COMPUTED_VALUE"""),207.0)</f>
        <v>207</v>
      </c>
      <c r="C494" s="3">
        <f t="shared" si="3"/>
        <v>0.1</v>
      </c>
    </row>
    <row r="495">
      <c r="B495" s="3">
        <f>IFERROR(__xludf.DUMMYFUNCTION("""COMPUTED_VALUE"""),207.0)</f>
        <v>207</v>
      </c>
      <c r="C495" s="3">
        <f t="shared" si="3"/>
        <v>0</v>
      </c>
    </row>
    <row r="496">
      <c r="B496" s="3">
        <f>IFERROR(__xludf.DUMMYFUNCTION("""COMPUTED_VALUE"""),206.9)</f>
        <v>206.9</v>
      </c>
      <c r="C496" s="3">
        <f t="shared" si="3"/>
        <v>-0.1</v>
      </c>
    </row>
    <row r="497">
      <c r="B497" s="3">
        <f>IFERROR(__xludf.DUMMYFUNCTION("""COMPUTED_VALUE"""),206.9)</f>
        <v>206.9</v>
      </c>
      <c r="C497" s="3">
        <f t="shared" si="3"/>
        <v>0</v>
      </c>
    </row>
    <row r="498">
      <c r="B498" s="3">
        <f>IFERROR(__xludf.DUMMYFUNCTION("""COMPUTED_VALUE"""),206.6)</f>
        <v>206.6</v>
      </c>
      <c r="C498" s="3">
        <f t="shared" si="3"/>
        <v>-0.3</v>
      </c>
    </row>
    <row r="499">
      <c r="B499" s="3">
        <f>IFERROR(__xludf.DUMMYFUNCTION("""COMPUTED_VALUE"""),206.6)</f>
        <v>206.6</v>
      </c>
      <c r="C499" s="3">
        <f t="shared" si="3"/>
        <v>0</v>
      </c>
    </row>
    <row r="500">
      <c r="B500" s="3">
        <f>IFERROR(__xludf.DUMMYFUNCTION("""COMPUTED_VALUE"""),206.6)</f>
        <v>206.6</v>
      </c>
      <c r="C500" s="3">
        <f t="shared" si="3"/>
        <v>0</v>
      </c>
    </row>
    <row r="501">
      <c r="B501" s="3">
        <f>IFERROR(__xludf.DUMMYFUNCTION("""COMPUTED_VALUE"""),207.9)</f>
        <v>207.9</v>
      </c>
      <c r="C501" s="3">
        <f t="shared" si="3"/>
        <v>1.3</v>
      </c>
    </row>
    <row r="502">
      <c r="B502" s="3">
        <f>IFERROR(__xludf.DUMMYFUNCTION("""COMPUTED_VALUE"""),206.1)</f>
        <v>206.1</v>
      </c>
      <c r="C502" s="3">
        <f t="shared" si="3"/>
        <v>-1.8</v>
      </c>
    </row>
    <row r="503">
      <c r="B503" s="3">
        <f>IFERROR(__xludf.DUMMYFUNCTION("""COMPUTED_VALUE"""),206.3)</f>
        <v>206.3</v>
      </c>
      <c r="C503" s="3">
        <f t="shared" si="3"/>
        <v>0.2</v>
      </c>
    </row>
    <row r="504">
      <c r="B504" s="3">
        <f>IFERROR(__xludf.DUMMYFUNCTION("""COMPUTED_VALUE"""),206.6)</f>
        <v>206.6</v>
      </c>
      <c r="C504" s="3">
        <f t="shared" si="3"/>
        <v>0.3</v>
      </c>
    </row>
    <row r="505">
      <c r="B505" s="3">
        <f>IFERROR(__xludf.DUMMYFUNCTION("""COMPUTED_VALUE"""),206.6)</f>
        <v>206.6</v>
      </c>
      <c r="C505" s="3">
        <f t="shared" si="3"/>
        <v>0</v>
      </c>
    </row>
    <row r="506">
      <c r="B506" s="3">
        <f>IFERROR(__xludf.DUMMYFUNCTION("""COMPUTED_VALUE"""),206.7)</f>
        <v>206.7</v>
      </c>
      <c r="C506" s="3">
        <f t="shared" si="3"/>
        <v>0.1</v>
      </c>
    </row>
    <row r="507">
      <c r="B507" s="3">
        <f>IFERROR(__xludf.DUMMYFUNCTION("""COMPUTED_VALUE"""),206.7)</f>
        <v>206.7</v>
      </c>
      <c r="C507" s="3">
        <f t="shared" si="3"/>
        <v>0</v>
      </c>
    </row>
    <row r="508">
      <c r="B508" s="3">
        <f>IFERROR(__xludf.DUMMYFUNCTION("""COMPUTED_VALUE"""),206.6)</f>
        <v>206.6</v>
      </c>
      <c r="C508" s="3">
        <f t="shared" si="3"/>
        <v>-0.1</v>
      </c>
    </row>
    <row r="509">
      <c r="B509" s="3">
        <f>IFERROR(__xludf.DUMMYFUNCTION("""COMPUTED_VALUE"""),206.5)</f>
        <v>206.5</v>
      </c>
      <c r="C509" s="3">
        <f t="shared" si="3"/>
        <v>-0.1</v>
      </c>
    </row>
    <row r="510">
      <c r="B510" s="3">
        <f>IFERROR(__xludf.DUMMYFUNCTION("""COMPUTED_VALUE"""),206.5)</f>
        <v>206.5</v>
      </c>
      <c r="C510" s="3">
        <f t="shared" si="3"/>
        <v>0</v>
      </c>
    </row>
    <row r="511">
      <c r="B511" s="3">
        <f>IFERROR(__xludf.DUMMYFUNCTION("""COMPUTED_VALUE"""),206.6)</f>
        <v>206.6</v>
      </c>
      <c r="C511" s="3">
        <f t="shared" si="3"/>
        <v>0.1</v>
      </c>
    </row>
    <row r="512">
      <c r="B512" s="3">
        <f>IFERROR(__xludf.DUMMYFUNCTION("""COMPUTED_VALUE"""),206.7)</f>
        <v>206.7</v>
      </c>
      <c r="C512" s="3">
        <f t="shared" si="3"/>
        <v>0.1</v>
      </c>
    </row>
    <row r="513">
      <c r="B513" s="3">
        <f>IFERROR(__xludf.DUMMYFUNCTION("""COMPUTED_VALUE"""),206.7)</f>
        <v>206.7</v>
      </c>
      <c r="C513" s="3">
        <f t="shared" si="3"/>
        <v>0</v>
      </c>
    </row>
    <row r="514">
      <c r="B514" s="3">
        <f>IFERROR(__xludf.DUMMYFUNCTION("""COMPUTED_VALUE"""),206.6)</f>
        <v>206.6</v>
      </c>
      <c r="C514" s="3">
        <f t="shared" si="3"/>
        <v>-0.1</v>
      </c>
    </row>
    <row r="515">
      <c r="B515" s="3">
        <f>IFERROR(__xludf.DUMMYFUNCTION("""COMPUTED_VALUE"""),205.3)</f>
        <v>205.3</v>
      </c>
      <c r="C515" s="3">
        <f t="shared" si="3"/>
        <v>-1.3</v>
      </c>
    </row>
    <row r="516">
      <c r="B516" s="3">
        <f>IFERROR(__xludf.DUMMYFUNCTION("""COMPUTED_VALUE"""),205.8)</f>
        <v>205.8</v>
      </c>
      <c r="C516" s="3">
        <f t="shared" si="3"/>
        <v>0.5</v>
      </c>
    </row>
    <row r="517">
      <c r="B517" s="3">
        <f>IFERROR(__xludf.DUMMYFUNCTION("""COMPUTED_VALUE"""),206.3)</f>
        <v>206.3</v>
      </c>
      <c r="C517" s="3">
        <f t="shared" si="3"/>
        <v>0.5</v>
      </c>
    </row>
    <row r="518">
      <c r="B518" s="3">
        <f>IFERROR(__xludf.DUMMYFUNCTION("""COMPUTED_VALUE"""),206.7)</f>
        <v>206.7</v>
      </c>
      <c r="C518" s="3">
        <f t="shared" si="3"/>
        <v>0.4</v>
      </c>
    </row>
    <row r="519">
      <c r="B519" s="3">
        <f>IFERROR(__xludf.DUMMYFUNCTION("""COMPUTED_VALUE"""),206.7)</f>
        <v>206.7</v>
      </c>
      <c r="C519" s="3">
        <f t="shared" si="3"/>
        <v>0</v>
      </c>
    </row>
    <row r="520">
      <c r="B520" s="3">
        <f>IFERROR(__xludf.DUMMYFUNCTION("""COMPUTED_VALUE"""),206.7)</f>
        <v>206.7</v>
      </c>
      <c r="C520" s="3">
        <f t="shared" si="3"/>
        <v>0</v>
      </c>
    </row>
    <row r="521">
      <c r="B521" s="3">
        <f>IFERROR(__xludf.DUMMYFUNCTION("""COMPUTED_VALUE"""),206.6)</f>
        <v>206.6</v>
      </c>
      <c r="C521" s="3">
        <f t="shared" si="3"/>
        <v>-0.1</v>
      </c>
    </row>
    <row r="522">
      <c r="B522" s="3">
        <f>IFERROR(__xludf.DUMMYFUNCTION("""COMPUTED_VALUE"""),206.6)</f>
        <v>206.6</v>
      </c>
      <c r="C522" s="3">
        <f t="shared" si="3"/>
        <v>0</v>
      </c>
    </row>
    <row r="523">
      <c r="B523" s="3">
        <f>IFERROR(__xludf.DUMMYFUNCTION("""COMPUTED_VALUE"""),206.6)</f>
        <v>206.6</v>
      </c>
      <c r="C523" s="3">
        <f t="shared" si="3"/>
        <v>0</v>
      </c>
    </row>
    <row r="524">
      <c r="B524" s="3">
        <f>IFERROR(__xludf.DUMMYFUNCTION("""COMPUTED_VALUE"""),206.7)</f>
        <v>206.7</v>
      </c>
      <c r="C524" s="3">
        <f t="shared" si="3"/>
        <v>0.1</v>
      </c>
    </row>
    <row r="525">
      <c r="B525" s="3">
        <f>IFERROR(__xludf.DUMMYFUNCTION("""COMPUTED_VALUE"""),206.6)</f>
        <v>206.6</v>
      </c>
      <c r="C525" s="3">
        <f t="shared" si="3"/>
        <v>-0.1</v>
      </c>
    </row>
    <row r="526">
      <c r="B526" s="3">
        <f>IFERROR(__xludf.DUMMYFUNCTION("""COMPUTED_VALUE"""),206.5)</f>
        <v>206.5</v>
      </c>
      <c r="C526" s="3">
        <f t="shared" si="3"/>
        <v>-0.1</v>
      </c>
    </row>
    <row r="527">
      <c r="B527" s="3">
        <f>IFERROR(__xludf.DUMMYFUNCTION("""COMPUTED_VALUE"""),206.6)</f>
        <v>206.6</v>
      </c>
      <c r="C527" s="3">
        <f t="shared" si="3"/>
        <v>0.1</v>
      </c>
    </row>
    <row r="528">
      <c r="B528" s="3">
        <f>IFERROR(__xludf.DUMMYFUNCTION("""COMPUTED_VALUE"""),206.7)</f>
        <v>206.7</v>
      </c>
      <c r="C528" s="3">
        <f t="shared" si="3"/>
        <v>0.1</v>
      </c>
    </row>
    <row r="529">
      <c r="B529" s="3">
        <f>IFERROR(__xludf.DUMMYFUNCTION("""COMPUTED_VALUE"""),206.7)</f>
        <v>206.7</v>
      </c>
      <c r="C529" s="3">
        <f t="shared" si="3"/>
        <v>0</v>
      </c>
    </row>
    <row r="530">
      <c r="B530" s="3">
        <f>IFERROR(__xludf.DUMMYFUNCTION("""COMPUTED_VALUE"""),206.6)</f>
        <v>206.6</v>
      </c>
      <c r="C530" s="3">
        <f t="shared" si="3"/>
        <v>-0.1</v>
      </c>
    </row>
    <row r="531">
      <c r="B531" s="3">
        <f>IFERROR(__xludf.DUMMYFUNCTION("""COMPUTED_VALUE"""),206.8)</f>
        <v>206.8</v>
      </c>
      <c r="C531" s="3">
        <f t="shared" si="3"/>
        <v>0.2</v>
      </c>
    </row>
    <row r="532">
      <c r="B532" s="3">
        <f>IFERROR(__xludf.DUMMYFUNCTION("""COMPUTED_VALUE"""),207.0)</f>
        <v>207</v>
      </c>
      <c r="C532" s="3">
        <f t="shared" si="3"/>
        <v>0.2</v>
      </c>
    </row>
    <row r="533">
      <c r="B533" s="3">
        <f>IFERROR(__xludf.DUMMYFUNCTION("""COMPUTED_VALUE"""),207.0)</f>
        <v>207</v>
      </c>
      <c r="C533" s="3">
        <f t="shared" si="3"/>
        <v>0</v>
      </c>
    </row>
    <row r="534">
      <c r="B534" s="3">
        <f>IFERROR(__xludf.DUMMYFUNCTION("""COMPUTED_VALUE"""),206.9)</f>
        <v>206.9</v>
      </c>
      <c r="C534" s="3">
        <f t="shared" si="3"/>
        <v>-0.1</v>
      </c>
    </row>
    <row r="535">
      <c r="B535" s="3">
        <f>IFERROR(__xludf.DUMMYFUNCTION("""COMPUTED_VALUE"""),207.0)</f>
        <v>207</v>
      </c>
      <c r="C535" s="3">
        <f t="shared" si="3"/>
        <v>0.1</v>
      </c>
    </row>
    <row r="536">
      <c r="B536" s="3">
        <f>IFERROR(__xludf.DUMMYFUNCTION("""COMPUTED_VALUE"""),206.9)</f>
        <v>206.9</v>
      </c>
      <c r="C536" s="3">
        <f t="shared" si="3"/>
        <v>-0.1</v>
      </c>
    </row>
    <row r="537">
      <c r="B537" s="3">
        <f>IFERROR(__xludf.DUMMYFUNCTION("""COMPUTED_VALUE"""),206.8)</f>
        <v>206.8</v>
      </c>
      <c r="C537" s="3">
        <f t="shared" si="3"/>
        <v>-0.1</v>
      </c>
    </row>
    <row r="538">
      <c r="B538" s="3">
        <f>IFERROR(__xludf.DUMMYFUNCTION("""COMPUTED_VALUE"""),206.8)</f>
        <v>206.8</v>
      </c>
      <c r="C538" s="3">
        <f t="shared" si="3"/>
        <v>0</v>
      </c>
    </row>
    <row r="539">
      <c r="B539" s="3">
        <f>IFERROR(__xludf.DUMMYFUNCTION("""COMPUTED_VALUE"""),206.7)</f>
        <v>206.7</v>
      </c>
      <c r="C539" s="3">
        <f t="shared" si="3"/>
        <v>-0.1</v>
      </c>
    </row>
    <row r="540">
      <c r="B540" s="3">
        <f>IFERROR(__xludf.DUMMYFUNCTION("""COMPUTED_VALUE"""),206.7)</f>
        <v>206.7</v>
      </c>
      <c r="C540" s="3">
        <f t="shared" si="3"/>
        <v>0</v>
      </c>
    </row>
    <row r="541">
      <c r="B541" s="3">
        <f>IFERROR(__xludf.DUMMYFUNCTION("""COMPUTED_VALUE"""),206.7)</f>
        <v>206.7</v>
      </c>
      <c r="C541" s="3">
        <f t="shared" si="3"/>
        <v>0</v>
      </c>
    </row>
    <row r="542">
      <c r="B542" s="3">
        <f>IFERROR(__xludf.DUMMYFUNCTION("""COMPUTED_VALUE"""),206.6)</f>
        <v>206.6</v>
      </c>
      <c r="C542" s="3">
        <f t="shared" si="3"/>
        <v>-0.1</v>
      </c>
    </row>
    <row r="543">
      <c r="B543" s="3">
        <f>IFERROR(__xludf.DUMMYFUNCTION("""COMPUTED_VALUE"""),206.3)</f>
        <v>206.3</v>
      </c>
      <c r="C543" s="3">
        <f t="shared" si="3"/>
        <v>-0.3</v>
      </c>
    </row>
    <row r="544">
      <c r="B544" s="3">
        <f>IFERROR(__xludf.DUMMYFUNCTION("""COMPUTED_VALUE"""),206.5)</f>
        <v>206.5</v>
      </c>
      <c r="C544" s="3">
        <f t="shared" si="3"/>
        <v>0.2</v>
      </c>
    </row>
    <row r="545">
      <c r="B545" s="3">
        <f>IFERROR(__xludf.DUMMYFUNCTION("""COMPUTED_VALUE"""),206.7)</f>
        <v>206.7</v>
      </c>
      <c r="C545" s="3">
        <f t="shared" si="3"/>
        <v>0.2</v>
      </c>
    </row>
    <row r="546">
      <c r="B546" s="3">
        <f>IFERROR(__xludf.DUMMYFUNCTION("""COMPUTED_VALUE"""),206.7)</f>
        <v>206.7</v>
      </c>
      <c r="C546" s="3">
        <f t="shared" si="3"/>
        <v>0</v>
      </c>
    </row>
    <row r="547">
      <c r="B547" s="3">
        <f>IFERROR(__xludf.DUMMYFUNCTION("""COMPUTED_VALUE"""),206.6)</f>
        <v>206.6</v>
      </c>
      <c r="C547" s="3">
        <f t="shared" si="3"/>
        <v>-0.1</v>
      </c>
    </row>
    <row r="548">
      <c r="B548" s="3">
        <f>IFERROR(__xludf.DUMMYFUNCTION("""COMPUTED_VALUE"""),206.6)</f>
        <v>206.6</v>
      </c>
      <c r="C548" s="3">
        <f t="shared" si="3"/>
        <v>0</v>
      </c>
    </row>
    <row r="549">
      <c r="B549" s="3">
        <f>IFERROR(__xludf.DUMMYFUNCTION("""COMPUTED_VALUE"""),206.6)</f>
        <v>206.6</v>
      </c>
      <c r="C549" s="3">
        <f t="shared" si="3"/>
        <v>0</v>
      </c>
    </row>
    <row r="550">
      <c r="B550" s="3">
        <f>IFERROR(__xludf.DUMMYFUNCTION("""COMPUTED_VALUE"""),206.6)</f>
        <v>206.6</v>
      </c>
      <c r="C550" s="3">
        <f t="shared" si="3"/>
        <v>0</v>
      </c>
    </row>
    <row r="551">
      <c r="B551" s="3">
        <f>IFERROR(__xludf.DUMMYFUNCTION("""COMPUTED_VALUE"""),206.6)</f>
        <v>206.6</v>
      </c>
      <c r="C551" s="3">
        <f t="shared" si="3"/>
        <v>0</v>
      </c>
    </row>
    <row r="552">
      <c r="B552" s="3">
        <f>IFERROR(__xludf.DUMMYFUNCTION("""COMPUTED_VALUE"""),206.7)</f>
        <v>206.7</v>
      </c>
      <c r="C552" s="3">
        <f t="shared" si="3"/>
        <v>0.1</v>
      </c>
    </row>
    <row r="553">
      <c r="B553" s="3">
        <f>IFERROR(__xludf.DUMMYFUNCTION("""COMPUTED_VALUE"""),206.7)</f>
        <v>206.7</v>
      </c>
      <c r="C553" s="3">
        <f t="shared" si="3"/>
        <v>0</v>
      </c>
    </row>
    <row r="554">
      <c r="B554" s="3">
        <f>IFERROR(__xludf.DUMMYFUNCTION("""COMPUTED_VALUE"""),206.6)</f>
        <v>206.6</v>
      </c>
      <c r="C554" s="3">
        <f t="shared" si="3"/>
        <v>-0.1</v>
      </c>
    </row>
    <row r="555">
      <c r="B555" s="3">
        <f>IFERROR(__xludf.DUMMYFUNCTION("""COMPUTED_VALUE"""),206.7)</f>
        <v>206.7</v>
      </c>
      <c r="C555" s="3">
        <f t="shared" si="3"/>
        <v>0.1</v>
      </c>
    </row>
    <row r="556">
      <c r="B556" s="3">
        <f>IFERROR(__xludf.DUMMYFUNCTION("""COMPUTED_VALUE"""),206.6)</f>
        <v>206.6</v>
      </c>
      <c r="C556" s="3">
        <f t="shared" si="3"/>
        <v>-0.1</v>
      </c>
    </row>
    <row r="557">
      <c r="B557" s="3">
        <f>IFERROR(__xludf.DUMMYFUNCTION("""COMPUTED_VALUE"""),206.2)</f>
        <v>206.2</v>
      </c>
      <c r="C557" s="3">
        <f t="shared" si="3"/>
        <v>-0.4</v>
      </c>
    </row>
    <row r="558">
      <c r="B558" s="3">
        <f>IFERROR(__xludf.DUMMYFUNCTION("""COMPUTED_VALUE"""),206.5)</f>
        <v>206.5</v>
      </c>
      <c r="C558" s="3">
        <f t="shared" si="3"/>
        <v>0.3</v>
      </c>
    </row>
    <row r="559">
      <c r="B559" s="3">
        <f>IFERROR(__xludf.DUMMYFUNCTION("""COMPUTED_VALUE"""),206.5)</f>
        <v>206.5</v>
      </c>
      <c r="C559" s="3">
        <f t="shared" si="3"/>
        <v>0</v>
      </c>
    </row>
    <row r="560">
      <c r="B560" s="3">
        <f>IFERROR(__xludf.DUMMYFUNCTION("""COMPUTED_VALUE"""),206.4)</f>
        <v>206.4</v>
      </c>
      <c r="C560" s="3">
        <f t="shared" si="3"/>
        <v>-0.1</v>
      </c>
    </row>
    <row r="561">
      <c r="B561" s="3">
        <f>IFERROR(__xludf.DUMMYFUNCTION("""COMPUTED_VALUE"""),206.6)</f>
        <v>206.6</v>
      </c>
      <c r="C561" s="3">
        <f t="shared" si="3"/>
        <v>0.2</v>
      </c>
    </row>
    <row r="562">
      <c r="B562" s="3">
        <f>IFERROR(__xludf.DUMMYFUNCTION("""COMPUTED_VALUE"""),206.6)</f>
        <v>206.6</v>
      </c>
      <c r="C562" s="3">
        <f t="shared" si="3"/>
        <v>0</v>
      </c>
    </row>
    <row r="563">
      <c r="B563" s="3">
        <f>IFERROR(__xludf.DUMMYFUNCTION("""COMPUTED_VALUE"""),206.7)</f>
        <v>206.7</v>
      </c>
      <c r="C563" s="3">
        <f t="shared" si="3"/>
        <v>0.1</v>
      </c>
    </row>
    <row r="564">
      <c r="B564" s="3">
        <f>IFERROR(__xludf.DUMMYFUNCTION("""COMPUTED_VALUE"""),205.7)</f>
        <v>205.7</v>
      </c>
      <c r="C564" s="3">
        <f t="shared" si="3"/>
        <v>-1</v>
      </c>
    </row>
    <row r="565">
      <c r="B565" s="3">
        <f>IFERROR(__xludf.DUMMYFUNCTION("""COMPUTED_VALUE"""),206.0)</f>
        <v>206</v>
      </c>
      <c r="C565" s="3">
        <f t="shared" si="3"/>
        <v>0.3</v>
      </c>
    </row>
    <row r="566">
      <c r="B566" s="3">
        <f>IFERROR(__xludf.DUMMYFUNCTION("""COMPUTED_VALUE"""),206.3)</f>
        <v>206.3</v>
      </c>
      <c r="C566" s="3">
        <f t="shared" si="3"/>
        <v>0.3</v>
      </c>
    </row>
    <row r="567">
      <c r="B567" s="3">
        <f>IFERROR(__xludf.DUMMYFUNCTION("""COMPUTED_VALUE"""),206.4)</f>
        <v>206.4</v>
      </c>
      <c r="C567" s="3">
        <f t="shared" si="3"/>
        <v>0.1</v>
      </c>
    </row>
    <row r="568">
      <c r="B568" s="3">
        <f>IFERROR(__xludf.DUMMYFUNCTION("""COMPUTED_VALUE"""),206.3)</f>
        <v>206.3</v>
      </c>
      <c r="C568" s="3">
        <f t="shared" si="3"/>
        <v>-0.1</v>
      </c>
    </row>
    <row r="569">
      <c r="B569" s="3">
        <f>IFERROR(__xludf.DUMMYFUNCTION("""COMPUTED_VALUE"""),206.5)</f>
        <v>206.5</v>
      </c>
      <c r="C569" s="3">
        <f t="shared" si="3"/>
        <v>0.2</v>
      </c>
    </row>
    <row r="570">
      <c r="B570" s="3">
        <f>IFERROR(__xludf.DUMMYFUNCTION("""COMPUTED_VALUE"""),206.7)</f>
        <v>206.7</v>
      </c>
      <c r="C570" s="3">
        <f t="shared" si="3"/>
        <v>0.2</v>
      </c>
    </row>
    <row r="571">
      <c r="B571" s="3">
        <f>IFERROR(__xludf.DUMMYFUNCTION("""COMPUTED_VALUE"""),206.8)</f>
        <v>206.8</v>
      </c>
      <c r="C571" s="3">
        <f t="shared" si="3"/>
        <v>0.1</v>
      </c>
    </row>
    <row r="572">
      <c r="B572" s="3">
        <f>IFERROR(__xludf.DUMMYFUNCTION("""COMPUTED_VALUE"""),206.8)</f>
        <v>206.8</v>
      </c>
      <c r="C572" s="3">
        <f t="shared" si="3"/>
        <v>0</v>
      </c>
    </row>
    <row r="573">
      <c r="B573" s="3">
        <f>IFERROR(__xludf.DUMMYFUNCTION("""COMPUTED_VALUE"""),206.8)</f>
        <v>206.8</v>
      </c>
      <c r="C573" s="3">
        <f t="shared" si="3"/>
        <v>0</v>
      </c>
    </row>
    <row r="574">
      <c r="B574" s="3">
        <f>IFERROR(__xludf.DUMMYFUNCTION("""COMPUTED_VALUE"""),206.8)</f>
        <v>206.8</v>
      </c>
      <c r="C574" s="3">
        <f t="shared" si="3"/>
        <v>0</v>
      </c>
    </row>
    <row r="575">
      <c r="B575" s="3">
        <f>IFERROR(__xludf.DUMMYFUNCTION("""COMPUTED_VALUE"""),206.7)</f>
        <v>206.7</v>
      </c>
      <c r="C575" s="3">
        <f t="shared" si="3"/>
        <v>-0.1</v>
      </c>
    </row>
    <row r="576">
      <c r="B576" s="3">
        <f>IFERROR(__xludf.DUMMYFUNCTION("""COMPUTED_VALUE"""),206.5)</f>
        <v>206.5</v>
      </c>
      <c r="C576" s="3">
        <f t="shared" si="3"/>
        <v>-0.2</v>
      </c>
    </row>
    <row r="577">
      <c r="B577" s="3">
        <f>IFERROR(__xludf.DUMMYFUNCTION("""COMPUTED_VALUE"""),206.6)</f>
        <v>206.6</v>
      </c>
      <c r="C577" s="3">
        <f t="shared" si="3"/>
        <v>0.1</v>
      </c>
    </row>
    <row r="578">
      <c r="B578" s="3">
        <f>IFERROR(__xludf.DUMMYFUNCTION("""COMPUTED_VALUE"""),206.5)</f>
        <v>206.5</v>
      </c>
      <c r="C578" s="3">
        <f t="shared" si="3"/>
        <v>-0.1</v>
      </c>
    </row>
    <row r="579">
      <c r="B579" s="3">
        <f>IFERROR(__xludf.DUMMYFUNCTION("""COMPUTED_VALUE"""),206.6)</f>
        <v>206.6</v>
      </c>
      <c r="C579" s="3">
        <f t="shared" si="3"/>
        <v>0.1</v>
      </c>
    </row>
    <row r="580">
      <c r="B580" s="3">
        <f>IFERROR(__xludf.DUMMYFUNCTION("""COMPUTED_VALUE"""),206.5)</f>
        <v>206.5</v>
      </c>
      <c r="C580" s="3">
        <f t="shared" si="3"/>
        <v>-0.1</v>
      </c>
    </row>
    <row r="581">
      <c r="B581" s="3">
        <f>IFERROR(__xludf.DUMMYFUNCTION("""COMPUTED_VALUE"""),206.5)</f>
        <v>206.5</v>
      </c>
      <c r="C581" s="3">
        <f t="shared" si="3"/>
        <v>0</v>
      </c>
    </row>
    <row r="582">
      <c r="B582" s="3">
        <f>IFERROR(__xludf.DUMMYFUNCTION("""COMPUTED_VALUE"""),206.3)</f>
        <v>206.3</v>
      </c>
      <c r="C582" s="3">
        <f t="shared" si="3"/>
        <v>-0.2</v>
      </c>
    </row>
    <row r="583">
      <c r="B583" s="3">
        <f>IFERROR(__xludf.DUMMYFUNCTION("""COMPUTED_VALUE"""),206.4)</f>
        <v>206.4</v>
      </c>
      <c r="C583" s="3">
        <f t="shared" si="3"/>
        <v>0.1</v>
      </c>
    </row>
    <row r="584">
      <c r="B584" s="3">
        <f>IFERROR(__xludf.DUMMYFUNCTION("""COMPUTED_VALUE"""),206.5)</f>
        <v>206.5</v>
      </c>
      <c r="C584" s="3">
        <f t="shared" si="3"/>
        <v>0.1</v>
      </c>
    </row>
    <row r="585">
      <c r="B585" s="3">
        <f>IFERROR(__xludf.DUMMYFUNCTION("""COMPUTED_VALUE"""),206.5)</f>
        <v>206.5</v>
      </c>
      <c r="C585" s="3">
        <f t="shared" si="3"/>
        <v>0</v>
      </c>
    </row>
    <row r="586">
      <c r="B586" s="3">
        <f>IFERROR(__xludf.DUMMYFUNCTION("""COMPUTED_VALUE"""),206.6)</f>
        <v>206.6</v>
      </c>
      <c r="C586" s="3">
        <f t="shared" si="3"/>
        <v>0.1</v>
      </c>
    </row>
    <row r="587">
      <c r="B587" s="3">
        <f>IFERROR(__xludf.DUMMYFUNCTION("""COMPUTED_VALUE"""),206.6)</f>
        <v>206.6</v>
      </c>
      <c r="C587" s="3">
        <f t="shared" si="3"/>
        <v>0</v>
      </c>
    </row>
    <row r="588">
      <c r="B588" s="3">
        <f>IFERROR(__xludf.DUMMYFUNCTION("""COMPUTED_VALUE"""),206.6)</f>
        <v>206.6</v>
      </c>
      <c r="C588" s="3">
        <f t="shared" si="3"/>
        <v>0</v>
      </c>
    </row>
    <row r="589">
      <c r="B589" s="3">
        <f>IFERROR(__xludf.DUMMYFUNCTION("""COMPUTED_VALUE"""),205.8)</f>
        <v>205.8</v>
      </c>
      <c r="C589" s="3">
        <f t="shared" si="3"/>
        <v>-0.8</v>
      </c>
    </row>
    <row r="590">
      <c r="B590" s="3">
        <f>IFERROR(__xludf.DUMMYFUNCTION("""COMPUTED_VALUE"""),206.1)</f>
        <v>206.1</v>
      </c>
      <c r="C590" s="3">
        <f t="shared" si="3"/>
        <v>0.3</v>
      </c>
    </row>
    <row r="591">
      <c r="B591" s="3">
        <f>IFERROR(__xludf.DUMMYFUNCTION("""COMPUTED_VALUE"""),206.3)</f>
        <v>206.3</v>
      </c>
      <c r="C591" s="3">
        <f t="shared" si="3"/>
        <v>0.2</v>
      </c>
    </row>
    <row r="592">
      <c r="B592" s="3">
        <f>IFERROR(__xludf.DUMMYFUNCTION("""COMPUTED_VALUE"""),206.3)</f>
        <v>206.3</v>
      </c>
      <c r="C592" s="3">
        <f t="shared" si="3"/>
        <v>0</v>
      </c>
    </row>
    <row r="593">
      <c r="B593" s="3">
        <f>IFERROR(__xludf.DUMMYFUNCTION("""COMPUTED_VALUE"""),206.4)</f>
        <v>206.4</v>
      </c>
      <c r="C593" s="3">
        <f t="shared" si="3"/>
        <v>0.1</v>
      </c>
    </row>
    <row r="594">
      <c r="B594" s="3">
        <f>IFERROR(__xludf.DUMMYFUNCTION("""COMPUTED_VALUE"""),206.4)</f>
        <v>206.4</v>
      </c>
      <c r="C594" s="3">
        <f t="shared" si="3"/>
        <v>0</v>
      </c>
    </row>
    <row r="595">
      <c r="B595" s="3">
        <f>IFERROR(__xludf.DUMMYFUNCTION("""COMPUTED_VALUE"""),205.9)</f>
        <v>205.9</v>
      </c>
      <c r="C595" s="3">
        <f t="shared" si="3"/>
        <v>-0.5</v>
      </c>
    </row>
    <row r="596">
      <c r="B596" s="3">
        <f>IFERROR(__xludf.DUMMYFUNCTION("""COMPUTED_VALUE"""),206.3)</f>
        <v>206.3</v>
      </c>
      <c r="C596" s="3">
        <f t="shared" si="3"/>
        <v>0.4</v>
      </c>
    </row>
    <row r="597">
      <c r="B597" s="3">
        <f>IFERROR(__xludf.DUMMYFUNCTION("""COMPUTED_VALUE"""),206.4)</f>
        <v>206.4</v>
      </c>
      <c r="C597" s="3">
        <f t="shared" si="3"/>
        <v>0.1</v>
      </c>
    </row>
    <row r="598">
      <c r="B598" s="3">
        <f>IFERROR(__xludf.DUMMYFUNCTION("""COMPUTED_VALUE"""),206.4)</f>
        <v>206.4</v>
      </c>
      <c r="C598" s="3">
        <f t="shared" si="3"/>
        <v>0</v>
      </c>
    </row>
    <row r="599">
      <c r="B599" s="3">
        <f>IFERROR(__xludf.DUMMYFUNCTION("""COMPUTED_VALUE"""),206.3)</f>
        <v>206.3</v>
      </c>
      <c r="C599" s="3">
        <f t="shared" si="3"/>
        <v>-0.1</v>
      </c>
    </row>
    <row r="600">
      <c r="B600" s="3">
        <f>IFERROR(__xludf.DUMMYFUNCTION("""COMPUTED_VALUE"""),206.4)</f>
        <v>206.4</v>
      </c>
      <c r="C600" s="3">
        <f t="shared" si="3"/>
        <v>0.1</v>
      </c>
    </row>
    <row r="601">
      <c r="B601" s="3">
        <f>IFERROR(__xludf.DUMMYFUNCTION("""COMPUTED_VALUE"""),206.6)</f>
        <v>206.6</v>
      </c>
      <c r="C601" s="3">
        <f t="shared" si="3"/>
        <v>0.2</v>
      </c>
    </row>
    <row r="602">
      <c r="B602" s="3">
        <f>IFERROR(__xludf.DUMMYFUNCTION("""COMPUTED_VALUE"""),206.2)</f>
        <v>206.2</v>
      </c>
      <c r="C602" s="3">
        <f t="shared" si="3"/>
        <v>-0.4</v>
      </c>
    </row>
    <row r="603">
      <c r="B603" s="3">
        <f>IFERROR(__xludf.DUMMYFUNCTION("""COMPUTED_VALUE"""),206.5)</f>
        <v>206.5</v>
      </c>
      <c r="C603" s="3">
        <f t="shared" si="3"/>
        <v>0.3</v>
      </c>
    </row>
    <row r="604">
      <c r="B604" s="3">
        <f>IFERROR(__xludf.DUMMYFUNCTION("""COMPUTED_VALUE"""),207.2)</f>
        <v>207.2</v>
      </c>
      <c r="C604" s="3">
        <f t="shared" si="3"/>
        <v>0.7</v>
      </c>
    </row>
    <row r="605">
      <c r="B605" s="3">
        <f>IFERROR(__xludf.DUMMYFUNCTION("""COMPUTED_VALUE"""),207.1)</f>
        <v>207.1</v>
      </c>
      <c r="C605" s="3">
        <f t="shared" si="3"/>
        <v>-0.1</v>
      </c>
    </row>
    <row r="606">
      <c r="B606" s="3">
        <f>IFERROR(__xludf.DUMMYFUNCTION("""COMPUTED_VALUE"""),207.0)</f>
        <v>207</v>
      </c>
      <c r="C606" s="3">
        <f t="shared" si="3"/>
        <v>-0.1</v>
      </c>
    </row>
    <row r="607">
      <c r="B607" s="3">
        <f>IFERROR(__xludf.DUMMYFUNCTION("""COMPUTED_VALUE"""),206.8)</f>
        <v>206.8</v>
      </c>
      <c r="C607" s="3">
        <f t="shared" si="3"/>
        <v>-0.2</v>
      </c>
    </row>
    <row r="608">
      <c r="B608" s="3">
        <f>IFERROR(__xludf.DUMMYFUNCTION("""COMPUTED_VALUE"""),206.7)</f>
        <v>206.7</v>
      </c>
      <c r="C608" s="3">
        <f t="shared" si="3"/>
        <v>-0.1</v>
      </c>
    </row>
    <row r="609">
      <c r="B609" s="3">
        <f>IFERROR(__xludf.DUMMYFUNCTION("""COMPUTED_VALUE"""),206.6)</f>
        <v>206.6</v>
      </c>
      <c r="C609" s="3">
        <f t="shared" si="3"/>
        <v>-0.1</v>
      </c>
    </row>
    <row r="610">
      <c r="B610" s="3">
        <f>IFERROR(__xludf.DUMMYFUNCTION("""COMPUTED_VALUE"""),206.6)</f>
        <v>206.6</v>
      </c>
      <c r="C610" s="3">
        <f t="shared" si="3"/>
        <v>0</v>
      </c>
    </row>
    <row r="611">
      <c r="B611" s="3">
        <f>IFERROR(__xludf.DUMMYFUNCTION("""COMPUTED_VALUE"""),206.5)</f>
        <v>206.5</v>
      </c>
      <c r="C611" s="3">
        <f t="shared" si="3"/>
        <v>-0.1</v>
      </c>
    </row>
    <row r="612">
      <c r="B612" s="3">
        <f>IFERROR(__xludf.DUMMYFUNCTION("""COMPUTED_VALUE"""),206.6)</f>
        <v>206.6</v>
      </c>
      <c r="C612" s="3">
        <f t="shared" si="3"/>
        <v>0.1</v>
      </c>
    </row>
    <row r="613">
      <c r="B613" s="3">
        <f>IFERROR(__xludf.DUMMYFUNCTION("""COMPUTED_VALUE"""),206.6)</f>
        <v>206.6</v>
      </c>
      <c r="C613" s="3">
        <f t="shared" si="3"/>
        <v>0</v>
      </c>
    </row>
    <row r="614">
      <c r="B614" s="3">
        <f>IFERROR(__xludf.DUMMYFUNCTION("""COMPUTED_VALUE"""),206.5)</f>
        <v>206.5</v>
      </c>
      <c r="C614" s="3">
        <f t="shared" si="3"/>
        <v>-0.1</v>
      </c>
    </row>
    <row r="615">
      <c r="B615" s="3">
        <f>IFERROR(__xludf.DUMMYFUNCTION("""COMPUTED_VALUE"""),206.4)</f>
        <v>206.4</v>
      </c>
      <c r="C615" s="3">
        <f t="shared" si="3"/>
        <v>-0.1</v>
      </c>
    </row>
    <row r="616">
      <c r="B616" s="3">
        <f>IFERROR(__xludf.DUMMYFUNCTION("""COMPUTED_VALUE"""),206.6)</f>
        <v>206.6</v>
      </c>
      <c r="C616" s="3">
        <f t="shared" si="3"/>
        <v>0.2</v>
      </c>
    </row>
    <row r="617">
      <c r="B617" s="3">
        <f>IFERROR(__xludf.DUMMYFUNCTION("""COMPUTED_VALUE"""),206.6)</f>
        <v>206.6</v>
      </c>
      <c r="C617" s="3">
        <f t="shared" si="3"/>
        <v>0</v>
      </c>
    </row>
    <row r="618">
      <c r="B618" s="3">
        <f>IFERROR(__xludf.DUMMYFUNCTION("""COMPUTED_VALUE"""),207.3)</f>
        <v>207.3</v>
      </c>
      <c r="C618" s="3">
        <f t="shared" si="3"/>
        <v>0.7</v>
      </c>
    </row>
    <row r="619">
      <c r="B619" s="3">
        <f>IFERROR(__xludf.DUMMYFUNCTION("""COMPUTED_VALUE"""),207.2)</f>
        <v>207.2</v>
      </c>
      <c r="C619" s="3">
        <f t="shared" si="3"/>
        <v>-0.1</v>
      </c>
    </row>
    <row r="620">
      <c r="B620" s="3">
        <f>IFERROR(__xludf.DUMMYFUNCTION("""COMPUTED_VALUE"""),207.7)</f>
        <v>207.7</v>
      </c>
      <c r="C620" s="3">
        <f t="shared" si="3"/>
        <v>0.5</v>
      </c>
    </row>
    <row r="621">
      <c r="B621" s="3">
        <f>IFERROR(__xludf.DUMMYFUNCTION("""COMPUTED_VALUE"""),208.2)</f>
        <v>208.2</v>
      </c>
      <c r="C621" s="3">
        <f t="shared" si="3"/>
        <v>0.5</v>
      </c>
    </row>
    <row r="622">
      <c r="B622" s="3">
        <f>IFERROR(__xludf.DUMMYFUNCTION("""COMPUTED_VALUE"""),209.1)</f>
        <v>209.1</v>
      </c>
      <c r="C622" s="3">
        <f t="shared" si="3"/>
        <v>0.9</v>
      </c>
    </row>
    <row r="623">
      <c r="B623" s="3">
        <f>IFERROR(__xludf.DUMMYFUNCTION("""COMPUTED_VALUE"""),213.3)</f>
        <v>213.3</v>
      </c>
      <c r="C623" s="3">
        <f t="shared" si="3"/>
        <v>4.2</v>
      </c>
    </row>
    <row r="624">
      <c r="B624" s="3">
        <f>IFERROR(__xludf.DUMMYFUNCTION("""COMPUTED_VALUE"""),212.6)</f>
        <v>212.6</v>
      </c>
      <c r="C624" s="3">
        <f t="shared" si="3"/>
        <v>-0.7</v>
      </c>
    </row>
    <row r="625">
      <c r="B625" s="3">
        <f>IFERROR(__xludf.DUMMYFUNCTION("""COMPUTED_VALUE"""),212.9)</f>
        <v>212.9</v>
      </c>
      <c r="C625" s="3">
        <f t="shared" si="3"/>
        <v>0.3</v>
      </c>
    </row>
    <row r="626">
      <c r="B626" s="3">
        <f>IFERROR(__xludf.DUMMYFUNCTION("""COMPUTED_VALUE"""),213.7)</f>
        <v>213.7</v>
      </c>
      <c r="C626" s="3">
        <f t="shared" si="3"/>
        <v>0.8</v>
      </c>
    </row>
    <row r="627">
      <c r="B627" s="3">
        <f>IFERROR(__xludf.DUMMYFUNCTION("""COMPUTED_VALUE"""),214.6)</f>
        <v>214.6</v>
      </c>
      <c r="C627" s="3">
        <f t="shared" si="3"/>
        <v>0.9</v>
      </c>
    </row>
    <row r="628">
      <c r="B628" s="3">
        <f>IFERROR(__xludf.DUMMYFUNCTION("""COMPUTED_VALUE"""),217.0)</f>
        <v>217</v>
      </c>
      <c r="C628" s="3">
        <f t="shared" si="3"/>
        <v>2.4</v>
      </c>
    </row>
    <row r="629">
      <c r="B629" s="3">
        <f>IFERROR(__xludf.DUMMYFUNCTION("""COMPUTED_VALUE"""),217.1)</f>
        <v>217.1</v>
      </c>
      <c r="C629" s="3">
        <f t="shared" si="3"/>
        <v>0.1</v>
      </c>
    </row>
    <row r="630">
      <c r="B630" s="3">
        <f>IFERROR(__xludf.DUMMYFUNCTION("""COMPUTED_VALUE"""),218.2)</f>
        <v>218.2</v>
      </c>
      <c r="C630" s="3">
        <f t="shared" si="3"/>
        <v>1.1</v>
      </c>
    </row>
    <row r="631">
      <c r="B631" s="3">
        <f>IFERROR(__xludf.DUMMYFUNCTION("""COMPUTED_VALUE"""),219.4)</f>
        <v>219.4</v>
      </c>
      <c r="C631" s="3">
        <f t="shared" si="3"/>
        <v>1.2</v>
      </c>
    </row>
    <row r="632">
      <c r="B632" s="3">
        <f>IFERROR(__xludf.DUMMYFUNCTION("""COMPUTED_VALUE"""),220.0)</f>
        <v>220</v>
      </c>
      <c r="C632" s="3">
        <f t="shared" si="3"/>
        <v>0.6</v>
      </c>
    </row>
    <row r="633">
      <c r="B633" s="3">
        <f>IFERROR(__xludf.DUMMYFUNCTION("""COMPUTED_VALUE"""),220.8)</f>
        <v>220.8</v>
      </c>
      <c r="C633" s="3">
        <f t="shared" si="3"/>
        <v>0.8</v>
      </c>
    </row>
    <row r="634">
      <c r="B634" s="3">
        <f>IFERROR(__xludf.DUMMYFUNCTION("""COMPUTED_VALUE"""),221.6)</f>
        <v>221.6</v>
      </c>
      <c r="C634" s="3">
        <f t="shared" si="3"/>
        <v>0.8</v>
      </c>
    </row>
    <row r="635">
      <c r="B635" s="3">
        <f>IFERROR(__xludf.DUMMYFUNCTION("""COMPUTED_VALUE"""),222.3)</f>
        <v>222.3</v>
      </c>
      <c r="C635" s="3">
        <f t="shared" si="3"/>
        <v>0.7</v>
      </c>
    </row>
    <row r="636">
      <c r="B636" s="3">
        <f>IFERROR(__xludf.DUMMYFUNCTION("""COMPUTED_VALUE"""),223.2)</f>
        <v>223.2</v>
      </c>
      <c r="C636" s="3">
        <f t="shared" si="3"/>
        <v>0.9</v>
      </c>
    </row>
    <row r="637">
      <c r="B637" s="3">
        <f>IFERROR(__xludf.DUMMYFUNCTION("""COMPUTED_VALUE"""),224.6)</f>
        <v>224.6</v>
      </c>
      <c r="C637" s="3">
        <f t="shared" si="3"/>
        <v>1.4</v>
      </c>
    </row>
    <row r="638">
      <c r="B638" s="3">
        <f>IFERROR(__xludf.DUMMYFUNCTION("""COMPUTED_VALUE"""),225.6)</f>
        <v>225.6</v>
      </c>
      <c r="C638" s="3">
        <f t="shared" si="3"/>
        <v>1</v>
      </c>
    </row>
    <row r="639">
      <c r="B639" s="3">
        <f>IFERROR(__xludf.DUMMYFUNCTION("""COMPUTED_VALUE"""),226.2)</f>
        <v>226.2</v>
      </c>
      <c r="C639" s="3">
        <f t="shared" si="3"/>
        <v>0.6</v>
      </c>
    </row>
    <row r="640">
      <c r="B640" s="3">
        <f>IFERROR(__xludf.DUMMYFUNCTION("""COMPUTED_VALUE"""),227.2)</f>
        <v>227.2</v>
      </c>
      <c r="C640" s="3">
        <f t="shared" si="3"/>
        <v>1</v>
      </c>
    </row>
    <row r="641">
      <c r="B641" s="3">
        <f>IFERROR(__xludf.DUMMYFUNCTION("""COMPUTED_VALUE"""),228.5)</f>
        <v>228.5</v>
      </c>
      <c r="C641" s="3">
        <f t="shared" si="3"/>
        <v>1.3</v>
      </c>
    </row>
    <row r="642">
      <c r="B642" s="3">
        <f>IFERROR(__xludf.DUMMYFUNCTION("""COMPUTED_VALUE"""),229.5)</f>
        <v>229.5</v>
      </c>
      <c r="C642" s="3">
        <f t="shared" si="3"/>
        <v>1</v>
      </c>
    </row>
    <row r="643">
      <c r="B643" s="3">
        <f>IFERROR(__xludf.DUMMYFUNCTION("""COMPUTED_VALUE"""),230.7)</f>
        <v>230.7</v>
      </c>
      <c r="C643" s="3">
        <f t="shared" si="3"/>
        <v>1.2</v>
      </c>
    </row>
    <row r="644">
      <c r="B644" s="3">
        <f>IFERROR(__xludf.DUMMYFUNCTION("""COMPUTED_VALUE"""),231.1)</f>
        <v>231.1</v>
      </c>
      <c r="C644" s="3">
        <f t="shared" si="3"/>
        <v>0.4</v>
      </c>
    </row>
    <row r="645">
      <c r="B645" s="3">
        <f>IFERROR(__xludf.DUMMYFUNCTION("""COMPUTED_VALUE"""),232.2)</f>
        <v>232.2</v>
      </c>
      <c r="C645" s="3">
        <f t="shared" si="3"/>
        <v>1.1</v>
      </c>
    </row>
    <row r="646">
      <c r="B646" s="3">
        <f>IFERROR(__xludf.DUMMYFUNCTION("""COMPUTED_VALUE"""),233.2)</f>
        <v>233.2</v>
      </c>
      <c r="C646" s="3">
        <f t="shared" si="3"/>
        <v>1</v>
      </c>
    </row>
    <row r="647">
      <c r="B647" s="3">
        <f>IFERROR(__xludf.DUMMYFUNCTION("""COMPUTED_VALUE"""),234.2)</f>
        <v>234.2</v>
      </c>
      <c r="C647" s="3">
        <f t="shared" si="3"/>
        <v>1</v>
      </c>
    </row>
    <row r="648">
      <c r="B648" s="3">
        <f>IFERROR(__xludf.DUMMYFUNCTION("""COMPUTED_VALUE"""),235.4)</f>
        <v>235.4</v>
      </c>
      <c r="C648" s="3">
        <f t="shared" si="3"/>
        <v>1.2</v>
      </c>
    </row>
    <row r="649">
      <c r="B649" s="3">
        <f>IFERROR(__xludf.DUMMYFUNCTION("""COMPUTED_VALUE"""),236.3)</f>
        <v>236.3</v>
      </c>
      <c r="C649" s="3">
        <f t="shared" si="3"/>
        <v>0.9</v>
      </c>
    </row>
    <row r="650">
      <c r="B650" s="3">
        <f>IFERROR(__xludf.DUMMYFUNCTION("""COMPUTED_VALUE"""),237.9)</f>
        <v>237.9</v>
      </c>
      <c r="C650" s="3">
        <f t="shared" si="3"/>
        <v>1.6</v>
      </c>
    </row>
    <row r="651">
      <c r="B651" s="3">
        <f>IFERROR(__xludf.DUMMYFUNCTION("""COMPUTED_VALUE"""),238.7)</f>
        <v>238.7</v>
      </c>
      <c r="C651" s="3">
        <f t="shared" si="3"/>
        <v>0.8</v>
      </c>
    </row>
    <row r="652">
      <c r="B652" s="3">
        <f>IFERROR(__xludf.DUMMYFUNCTION("""COMPUTED_VALUE"""),239.6)</f>
        <v>239.6</v>
      </c>
      <c r="C652" s="3">
        <f t="shared" si="3"/>
        <v>0.9</v>
      </c>
    </row>
    <row r="653">
      <c r="B653" s="3">
        <f>IFERROR(__xludf.DUMMYFUNCTION("""COMPUTED_VALUE"""),240.3)</f>
        <v>240.3</v>
      </c>
      <c r="C653" s="3">
        <f t="shared" si="3"/>
        <v>0.7</v>
      </c>
    </row>
    <row r="654">
      <c r="B654" s="3">
        <f>IFERROR(__xludf.DUMMYFUNCTION("""COMPUTED_VALUE"""),241.1)</f>
        <v>241.1</v>
      </c>
      <c r="C654" s="3">
        <f t="shared" si="3"/>
        <v>0.8</v>
      </c>
    </row>
    <row r="655">
      <c r="B655" s="3">
        <f>IFERROR(__xludf.DUMMYFUNCTION("""COMPUTED_VALUE"""),242.0)</f>
        <v>242</v>
      </c>
      <c r="C655" s="3">
        <f t="shared" si="3"/>
        <v>0.9</v>
      </c>
    </row>
    <row r="656">
      <c r="B656" s="3">
        <f>IFERROR(__xludf.DUMMYFUNCTION("""COMPUTED_VALUE"""),243.3)</f>
        <v>243.3</v>
      </c>
      <c r="C656" s="3">
        <f t="shared" si="3"/>
        <v>1.3</v>
      </c>
    </row>
    <row r="657">
      <c r="B657" s="3">
        <f>IFERROR(__xludf.DUMMYFUNCTION("""COMPUTED_VALUE"""),243.6)</f>
        <v>243.6</v>
      </c>
      <c r="C657" s="3">
        <f t="shared" si="3"/>
        <v>0.3</v>
      </c>
    </row>
    <row r="658">
      <c r="B658" s="3">
        <f>IFERROR(__xludf.DUMMYFUNCTION("""COMPUTED_VALUE"""),244.5)</f>
        <v>244.5</v>
      </c>
      <c r="C658" s="3">
        <f t="shared" si="3"/>
        <v>0.9</v>
      </c>
    </row>
    <row r="659">
      <c r="B659" s="3">
        <f>IFERROR(__xludf.DUMMYFUNCTION("""COMPUTED_VALUE"""),245.9)</f>
        <v>245.9</v>
      </c>
      <c r="C659" s="3">
        <f t="shared" si="3"/>
        <v>1.4</v>
      </c>
    </row>
    <row r="660">
      <c r="B660" s="3">
        <f>IFERROR(__xludf.DUMMYFUNCTION("""COMPUTED_VALUE"""),246.8)</f>
        <v>246.8</v>
      </c>
      <c r="C660" s="3">
        <f t="shared" si="3"/>
        <v>0.9</v>
      </c>
    </row>
    <row r="661">
      <c r="B661" s="3">
        <f>IFERROR(__xludf.DUMMYFUNCTION("""COMPUTED_VALUE"""),247.9)</f>
        <v>247.9</v>
      </c>
      <c r="C661" s="3">
        <f t="shared" si="3"/>
        <v>1.1</v>
      </c>
    </row>
    <row r="662">
      <c r="B662" s="3">
        <f>IFERROR(__xludf.DUMMYFUNCTION("""COMPUTED_VALUE"""),248.7)</f>
        <v>248.7</v>
      </c>
      <c r="C662" s="3">
        <f t="shared" si="3"/>
        <v>0.8</v>
      </c>
    </row>
    <row r="663">
      <c r="B663" s="3">
        <f>IFERROR(__xludf.DUMMYFUNCTION("""COMPUTED_VALUE"""),249.2)</f>
        <v>249.2</v>
      </c>
      <c r="C663" s="3">
        <f t="shared" si="3"/>
        <v>0.5</v>
      </c>
    </row>
    <row r="664">
      <c r="B664" s="3">
        <f>IFERROR(__xludf.DUMMYFUNCTION("""COMPUTED_VALUE"""),250.7)</f>
        <v>250.7</v>
      </c>
      <c r="C664" s="3">
        <f t="shared" si="3"/>
        <v>1.5</v>
      </c>
    </row>
    <row r="665">
      <c r="B665" s="3">
        <f>IFERROR(__xludf.DUMMYFUNCTION("""COMPUTED_VALUE"""),251.9)</f>
        <v>251.9</v>
      </c>
      <c r="C665" s="3">
        <f t="shared" si="3"/>
        <v>1.2</v>
      </c>
    </row>
    <row r="666">
      <c r="B666" s="3">
        <f>IFERROR(__xludf.DUMMYFUNCTION("""COMPUTED_VALUE"""),252.9)</f>
        <v>252.9</v>
      </c>
      <c r="C666" s="3">
        <f t="shared" si="3"/>
        <v>1</v>
      </c>
    </row>
    <row r="667">
      <c r="B667" s="3">
        <f>IFERROR(__xludf.DUMMYFUNCTION("""COMPUTED_VALUE"""),253.4)</f>
        <v>253.4</v>
      </c>
      <c r="C667" s="3">
        <f t="shared" si="3"/>
        <v>0.5</v>
      </c>
    </row>
    <row r="668">
      <c r="B668" s="3">
        <f>IFERROR(__xludf.DUMMYFUNCTION("""COMPUTED_VALUE"""),254.2)</f>
        <v>254.2</v>
      </c>
      <c r="C668" s="3">
        <f t="shared" si="3"/>
        <v>0.8</v>
      </c>
    </row>
    <row r="669">
      <c r="B669" s="3">
        <f>IFERROR(__xludf.DUMMYFUNCTION("""COMPUTED_VALUE"""),256.6)</f>
        <v>256.6</v>
      </c>
      <c r="C669" s="3">
        <f t="shared" si="3"/>
        <v>2.4</v>
      </c>
    </row>
    <row r="670">
      <c r="B670" s="3">
        <f>IFERROR(__xludf.DUMMYFUNCTION("""COMPUTED_VALUE"""),259.1)</f>
        <v>259.1</v>
      </c>
      <c r="C670" s="3">
        <f t="shared" si="3"/>
        <v>2.5</v>
      </c>
    </row>
    <row r="671">
      <c r="B671" s="3">
        <f>IFERROR(__xludf.DUMMYFUNCTION("""COMPUTED_VALUE"""),258.2)</f>
        <v>258.2</v>
      </c>
      <c r="C671" s="3">
        <f t="shared" si="3"/>
        <v>-0.9</v>
      </c>
    </row>
    <row r="672">
      <c r="B672" s="3">
        <f>IFERROR(__xludf.DUMMYFUNCTION("""COMPUTED_VALUE"""),258.4)</f>
        <v>258.4</v>
      </c>
      <c r="C672" s="3">
        <f t="shared" si="3"/>
        <v>0.2</v>
      </c>
    </row>
    <row r="673">
      <c r="B673" s="3">
        <f>IFERROR(__xludf.DUMMYFUNCTION("""COMPUTED_VALUE"""),259.9)</f>
        <v>259.9</v>
      </c>
      <c r="C673" s="3">
        <f t="shared" si="3"/>
        <v>1.5</v>
      </c>
    </row>
    <row r="674">
      <c r="B674" s="3">
        <f>IFERROR(__xludf.DUMMYFUNCTION("""COMPUTED_VALUE"""),261.0)</f>
        <v>261</v>
      </c>
      <c r="C674" s="3">
        <f t="shared" si="3"/>
        <v>1.1</v>
      </c>
    </row>
    <row r="675">
      <c r="B675" s="3">
        <f>IFERROR(__xludf.DUMMYFUNCTION("""COMPUTED_VALUE"""),261.2)</f>
        <v>261.2</v>
      </c>
      <c r="C675" s="3">
        <f t="shared" si="3"/>
        <v>0.2</v>
      </c>
    </row>
    <row r="676">
      <c r="B676" s="3">
        <f>IFERROR(__xludf.DUMMYFUNCTION("""COMPUTED_VALUE"""),261.79)</f>
        <v>261.79</v>
      </c>
      <c r="C676" s="3">
        <f t="shared" si="3"/>
        <v>0.59</v>
      </c>
    </row>
    <row r="677">
      <c r="B677" s="3">
        <f>IFERROR(__xludf.DUMMYFUNCTION("""COMPUTED_VALUE"""),262.7)</f>
        <v>262.7</v>
      </c>
      <c r="C677" s="3">
        <f t="shared" si="3"/>
        <v>0.91</v>
      </c>
    </row>
    <row r="678">
      <c r="B678" s="3">
        <f>IFERROR(__xludf.DUMMYFUNCTION("""COMPUTED_VALUE"""),263.5)</f>
        <v>263.5</v>
      </c>
      <c r="C678" s="3">
        <f t="shared" si="3"/>
        <v>0.8</v>
      </c>
    </row>
    <row r="679">
      <c r="B679" s="3">
        <f>IFERROR(__xludf.DUMMYFUNCTION("""COMPUTED_VALUE"""),264.2)</f>
        <v>264.2</v>
      </c>
      <c r="C679" s="3">
        <f t="shared" si="3"/>
        <v>0.7</v>
      </c>
    </row>
    <row r="680">
      <c r="B680" s="3">
        <f>IFERROR(__xludf.DUMMYFUNCTION("""COMPUTED_VALUE"""),265.1)</f>
        <v>265.1</v>
      </c>
      <c r="C680" s="3">
        <f t="shared" si="3"/>
        <v>0.9</v>
      </c>
    </row>
    <row r="681">
      <c r="B681" s="3">
        <f>IFERROR(__xludf.DUMMYFUNCTION("""COMPUTED_VALUE"""),267.7)</f>
        <v>267.7</v>
      </c>
      <c r="C681" s="3">
        <f t="shared" si="3"/>
        <v>2.6</v>
      </c>
    </row>
    <row r="682">
      <c r="B682" s="3">
        <f>IFERROR(__xludf.DUMMYFUNCTION("""COMPUTED_VALUE"""),267.79)</f>
        <v>267.79</v>
      </c>
      <c r="C682" s="3">
        <f t="shared" si="3"/>
        <v>0.09</v>
      </c>
    </row>
    <row r="683">
      <c r="B683" s="3">
        <f>IFERROR(__xludf.DUMMYFUNCTION("""COMPUTED_VALUE"""),267.79)</f>
        <v>267.79</v>
      </c>
      <c r="C683" s="3">
        <f t="shared" si="3"/>
        <v>0</v>
      </c>
    </row>
    <row r="684">
      <c r="B684" s="3">
        <f>IFERROR(__xludf.DUMMYFUNCTION("""COMPUTED_VALUE"""),268.5)</f>
        <v>268.5</v>
      </c>
      <c r="C684" s="3">
        <f t="shared" si="3"/>
        <v>0.71</v>
      </c>
    </row>
    <row r="685">
      <c r="B685" s="3">
        <f>IFERROR(__xludf.DUMMYFUNCTION("""COMPUTED_VALUE"""),269.0)</f>
        <v>269</v>
      </c>
      <c r="C685" s="3">
        <f t="shared" si="3"/>
        <v>0.5</v>
      </c>
    </row>
    <row r="686">
      <c r="B686" s="3">
        <f>IFERROR(__xludf.DUMMYFUNCTION("""COMPUTED_VALUE"""),269.2)</f>
        <v>269.2</v>
      </c>
      <c r="C686" s="3">
        <f t="shared" si="3"/>
        <v>0.2</v>
      </c>
    </row>
    <row r="687">
      <c r="B687" s="3">
        <f>IFERROR(__xludf.DUMMYFUNCTION("""COMPUTED_VALUE"""),269.4)</f>
        <v>269.4</v>
      </c>
      <c r="C687" s="3">
        <f t="shared" si="3"/>
        <v>0.2</v>
      </c>
    </row>
    <row r="688">
      <c r="B688" s="3">
        <f>IFERROR(__xludf.DUMMYFUNCTION("""COMPUTED_VALUE"""),269.4)</f>
        <v>269.4</v>
      </c>
      <c r="C688" s="3">
        <f t="shared" si="3"/>
        <v>0</v>
      </c>
    </row>
    <row r="689">
      <c r="B689" s="3">
        <f>IFERROR(__xludf.DUMMYFUNCTION("""COMPUTED_VALUE"""),269.4)</f>
        <v>269.4</v>
      </c>
      <c r="C689" s="3">
        <f t="shared" si="3"/>
        <v>0</v>
      </c>
    </row>
    <row r="690">
      <c r="B690" s="3">
        <f>IFERROR(__xludf.DUMMYFUNCTION("""COMPUTED_VALUE"""),269.4)</f>
        <v>269.4</v>
      </c>
      <c r="C690" s="3">
        <f t="shared" si="3"/>
        <v>0</v>
      </c>
    </row>
    <row r="691">
      <c r="B691" s="3">
        <f>IFERROR(__xludf.DUMMYFUNCTION("""COMPUTED_VALUE"""),269.2)</f>
        <v>269.2</v>
      </c>
      <c r="C691" s="3">
        <f t="shared" si="3"/>
        <v>-0.2</v>
      </c>
    </row>
    <row r="692">
      <c r="B692" s="3">
        <f>IFERROR(__xludf.DUMMYFUNCTION("""COMPUTED_VALUE"""),269.7)</f>
        <v>269.7</v>
      </c>
      <c r="C692" s="3">
        <f t="shared" si="3"/>
        <v>0.5</v>
      </c>
    </row>
    <row r="693">
      <c r="B693" s="3">
        <f>IFERROR(__xludf.DUMMYFUNCTION("""COMPUTED_VALUE"""),270.0)</f>
        <v>270</v>
      </c>
      <c r="C693" s="3">
        <f t="shared" si="3"/>
        <v>0.3</v>
      </c>
    </row>
    <row r="694">
      <c r="B694" s="3">
        <f>IFERROR(__xludf.DUMMYFUNCTION("""COMPUTED_VALUE"""),271.0)</f>
        <v>271</v>
      </c>
      <c r="C694" s="3">
        <f t="shared" si="3"/>
        <v>1</v>
      </c>
    </row>
    <row r="695">
      <c r="B695" s="3">
        <f>IFERROR(__xludf.DUMMYFUNCTION("""COMPUTED_VALUE"""),271.9)</f>
        <v>271.9</v>
      </c>
      <c r="C695" s="3">
        <f t="shared" si="3"/>
        <v>0.9</v>
      </c>
    </row>
    <row r="696">
      <c r="B696" s="3">
        <f>IFERROR(__xludf.DUMMYFUNCTION("""COMPUTED_VALUE"""),272.5)</f>
        <v>272.5</v>
      </c>
      <c r="C696" s="3">
        <f t="shared" si="3"/>
        <v>0.6</v>
      </c>
    </row>
    <row r="697">
      <c r="B697" s="3">
        <f>IFERROR(__xludf.DUMMYFUNCTION("""COMPUTED_VALUE"""),273.79)</f>
        <v>273.79</v>
      </c>
      <c r="C697" s="3">
        <f t="shared" si="3"/>
        <v>1.29</v>
      </c>
    </row>
    <row r="698">
      <c r="B698" s="3">
        <f>IFERROR(__xludf.DUMMYFUNCTION("""COMPUTED_VALUE"""),274.0)</f>
        <v>274</v>
      </c>
      <c r="C698" s="3">
        <f t="shared" si="3"/>
        <v>0.21</v>
      </c>
    </row>
    <row r="699">
      <c r="B699" s="3">
        <f>IFERROR(__xludf.DUMMYFUNCTION("""COMPUTED_VALUE"""),274.4)</f>
        <v>274.4</v>
      </c>
      <c r="C699" s="3">
        <f t="shared" si="3"/>
        <v>0.4</v>
      </c>
    </row>
    <row r="700">
      <c r="B700" s="3">
        <f>IFERROR(__xludf.DUMMYFUNCTION("""COMPUTED_VALUE"""),274.7)</f>
        <v>274.7</v>
      </c>
      <c r="C700" s="3">
        <f t="shared" si="3"/>
        <v>0.3</v>
      </c>
    </row>
    <row r="701">
      <c r="B701" s="3">
        <f>IFERROR(__xludf.DUMMYFUNCTION("""COMPUTED_VALUE"""),274.9)</f>
        <v>274.9</v>
      </c>
      <c r="C701" s="3">
        <f t="shared" si="3"/>
        <v>0.2</v>
      </c>
    </row>
    <row r="702">
      <c r="B702" s="3">
        <f>IFERROR(__xludf.DUMMYFUNCTION("""COMPUTED_VALUE"""),274.9)</f>
        <v>274.9</v>
      </c>
      <c r="C702" s="3">
        <f t="shared" si="3"/>
        <v>0</v>
      </c>
    </row>
    <row r="703">
      <c r="B703" s="3">
        <f>IFERROR(__xludf.DUMMYFUNCTION("""COMPUTED_VALUE"""),274.9)</f>
        <v>274.9</v>
      </c>
      <c r="C703" s="3">
        <f t="shared" si="3"/>
        <v>0</v>
      </c>
    </row>
    <row r="704">
      <c r="B704" s="3">
        <f>IFERROR(__xludf.DUMMYFUNCTION("""COMPUTED_VALUE"""),274.0)</f>
        <v>274</v>
      </c>
      <c r="C704" s="3">
        <f t="shared" si="3"/>
        <v>-0.9</v>
      </c>
    </row>
    <row r="705">
      <c r="B705" s="3">
        <f>IFERROR(__xludf.DUMMYFUNCTION("""COMPUTED_VALUE"""),274.29)</f>
        <v>274.29</v>
      </c>
      <c r="C705" s="3">
        <f t="shared" si="3"/>
        <v>0.29</v>
      </c>
    </row>
    <row r="706">
      <c r="B706" s="3">
        <f>IFERROR(__xludf.DUMMYFUNCTION("""COMPUTED_VALUE"""),274.7)</f>
        <v>274.7</v>
      </c>
      <c r="C706" s="3">
        <f t="shared" si="3"/>
        <v>0.41</v>
      </c>
    </row>
    <row r="707">
      <c r="B707" s="3">
        <f>IFERROR(__xludf.DUMMYFUNCTION("""COMPUTED_VALUE"""),274.9)</f>
        <v>274.9</v>
      </c>
      <c r="C707" s="3">
        <f t="shared" si="3"/>
        <v>0.2</v>
      </c>
    </row>
    <row r="708">
      <c r="B708" s="3">
        <f>IFERROR(__xludf.DUMMYFUNCTION("""COMPUTED_VALUE"""),274.79)</f>
        <v>274.79</v>
      </c>
      <c r="C708" s="3">
        <f t="shared" si="3"/>
        <v>-0.11</v>
      </c>
    </row>
    <row r="709">
      <c r="B709" s="3">
        <f>IFERROR(__xludf.DUMMYFUNCTION("""COMPUTED_VALUE"""),274.79)</f>
        <v>274.79</v>
      </c>
      <c r="C709" s="3">
        <f t="shared" si="3"/>
        <v>0</v>
      </c>
    </row>
    <row r="710">
      <c r="B710" s="3">
        <f>IFERROR(__xludf.DUMMYFUNCTION("""COMPUTED_VALUE"""),274.7)</f>
        <v>274.7</v>
      </c>
      <c r="C710" s="3">
        <f t="shared" si="3"/>
        <v>-0.09</v>
      </c>
    </row>
    <row r="711">
      <c r="B711" s="3">
        <f>IFERROR(__xludf.DUMMYFUNCTION("""COMPUTED_VALUE"""),274.6)</f>
        <v>274.6</v>
      </c>
      <c r="C711" s="3">
        <f t="shared" si="3"/>
        <v>-0.1</v>
      </c>
    </row>
    <row r="712">
      <c r="B712" s="3">
        <f>IFERROR(__xludf.DUMMYFUNCTION("""COMPUTED_VALUE"""),274.5)</f>
        <v>274.5</v>
      </c>
      <c r="C712" s="3">
        <f t="shared" si="3"/>
        <v>-0.1</v>
      </c>
    </row>
    <row r="713">
      <c r="B713" s="3">
        <f>IFERROR(__xludf.DUMMYFUNCTION("""COMPUTED_VALUE"""),274.7)</f>
        <v>274.7</v>
      </c>
      <c r="C713" s="3">
        <f t="shared" si="3"/>
        <v>0.2</v>
      </c>
    </row>
    <row r="714">
      <c r="B714" s="3">
        <f>IFERROR(__xludf.DUMMYFUNCTION("""COMPUTED_VALUE"""),274.9)</f>
        <v>274.9</v>
      </c>
      <c r="C714" s="3">
        <f t="shared" si="3"/>
        <v>0.2</v>
      </c>
    </row>
    <row r="715">
      <c r="B715" s="3">
        <f>IFERROR(__xludf.DUMMYFUNCTION("""COMPUTED_VALUE"""),274.9)</f>
        <v>274.9</v>
      </c>
      <c r="C715" s="3">
        <f t="shared" si="3"/>
        <v>0</v>
      </c>
    </row>
    <row r="716">
      <c r="B716" s="3">
        <f>IFERROR(__xludf.DUMMYFUNCTION("""COMPUTED_VALUE"""),274.7)</f>
        <v>274.7</v>
      </c>
      <c r="C716" s="3">
        <f t="shared" si="3"/>
        <v>-0.2</v>
      </c>
    </row>
    <row r="717">
      <c r="B717" s="3">
        <f>IFERROR(__xludf.DUMMYFUNCTION("""COMPUTED_VALUE"""),275.2)</f>
        <v>275.2</v>
      </c>
      <c r="C717" s="3">
        <f t="shared" si="3"/>
        <v>0.5</v>
      </c>
    </row>
    <row r="718">
      <c r="B718" s="3">
        <f>IFERROR(__xludf.DUMMYFUNCTION("""COMPUTED_VALUE"""),274.79)</f>
        <v>274.79</v>
      </c>
      <c r="C718" s="3">
        <f t="shared" si="3"/>
        <v>-0.41</v>
      </c>
    </row>
    <row r="719">
      <c r="B719" s="3">
        <f>IFERROR(__xludf.DUMMYFUNCTION("""COMPUTED_VALUE"""),274.79)</f>
        <v>274.79</v>
      </c>
      <c r="C719" s="3">
        <f t="shared" si="3"/>
        <v>0</v>
      </c>
    </row>
    <row r="720">
      <c r="B720" s="3">
        <f>IFERROR(__xludf.DUMMYFUNCTION("""COMPUTED_VALUE"""),275.0)</f>
        <v>275</v>
      </c>
      <c r="C720" s="3">
        <f t="shared" si="3"/>
        <v>0.21</v>
      </c>
    </row>
    <row r="721">
      <c r="B721" s="3">
        <f>IFERROR(__xludf.DUMMYFUNCTION("""COMPUTED_VALUE"""),275.0)</f>
        <v>275</v>
      </c>
      <c r="C721" s="3">
        <f t="shared" si="3"/>
        <v>0</v>
      </c>
    </row>
    <row r="722">
      <c r="B722" s="3">
        <f>IFERROR(__xludf.DUMMYFUNCTION("""COMPUTED_VALUE"""),275.0)</f>
        <v>275</v>
      </c>
      <c r="C722" s="3">
        <f t="shared" si="3"/>
        <v>0</v>
      </c>
    </row>
    <row r="723">
      <c r="B723" s="3">
        <f>IFERROR(__xludf.DUMMYFUNCTION("""COMPUTED_VALUE"""),275.0)</f>
        <v>275</v>
      </c>
      <c r="C723" s="3">
        <f t="shared" si="3"/>
        <v>0</v>
      </c>
    </row>
    <row r="724">
      <c r="B724" s="3">
        <f>IFERROR(__xludf.DUMMYFUNCTION("""COMPUTED_VALUE"""),274.9)</f>
        <v>274.9</v>
      </c>
      <c r="C724" s="3">
        <f t="shared" si="3"/>
        <v>-0.1</v>
      </c>
    </row>
    <row r="725">
      <c r="B725" s="3">
        <f>IFERROR(__xludf.DUMMYFUNCTION("""COMPUTED_VALUE"""),274.9)</f>
        <v>274.9</v>
      </c>
      <c r="C725" s="3">
        <f t="shared" si="3"/>
        <v>0</v>
      </c>
    </row>
    <row r="726">
      <c r="B726" s="3">
        <f>IFERROR(__xludf.DUMMYFUNCTION("""COMPUTED_VALUE"""),275.0)</f>
        <v>275</v>
      </c>
      <c r="C726" s="3">
        <f t="shared" si="3"/>
        <v>0.1</v>
      </c>
    </row>
    <row r="727">
      <c r="B727" s="3">
        <f>IFERROR(__xludf.DUMMYFUNCTION("""COMPUTED_VALUE"""),275.0)</f>
        <v>275</v>
      </c>
      <c r="C727" s="3">
        <f t="shared" si="3"/>
        <v>0</v>
      </c>
    </row>
    <row r="728">
      <c r="B728" s="3">
        <f>IFERROR(__xludf.DUMMYFUNCTION("""COMPUTED_VALUE"""),274.9)</f>
        <v>274.9</v>
      </c>
      <c r="C728" s="3">
        <f t="shared" si="3"/>
        <v>-0.1</v>
      </c>
    </row>
    <row r="729">
      <c r="B729" s="3">
        <f>IFERROR(__xludf.DUMMYFUNCTION("""COMPUTED_VALUE"""),275.2)</f>
        <v>275.2</v>
      </c>
      <c r="C729" s="3">
        <f t="shared" si="3"/>
        <v>0.3</v>
      </c>
    </row>
    <row r="730">
      <c r="B730" s="3">
        <f>IFERROR(__xludf.DUMMYFUNCTION("""COMPUTED_VALUE"""),275.2)</f>
        <v>275.2</v>
      </c>
      <c r="C730" s="3">
        <f t="shared" si="3"/>
        <v>0</v>
      </c>
    </row>
    <row r="731">
      <c r="B731" s="3">
        <f>IFERROR(__xludf.DUMMYFUNCTION("""COMPUTED_VALUE"""),275.29)</f>
        <v>275.29</v>
      </c>
      <c r="C731" s="3">
        <f t="shared" si="3"/>
        <v>0.09</v>
      </c>
    </row>
    <row r="732">
      <c r="B732" s="3">
        <f>IFERROR(__xludf.DUMMYFUNCTION("""COMPUTED_VALUE"""),275.2)</f>
        <v>275.2</v>
      </c>
      <c r="C732" s="3">
        <f t="shared" si="3"/>
        <v>-0.09</v>
      </c>
    </row>
    <row r="733">
      <c r="B733" s="3">
        <f>IFERROR(__xludf.DUMMYFUNCTION("""COMPUTED_VALUE"""),275.29)</f>
        <v>275.29</v>
      </c>
      <c r="C733" s="3">
        <f t="shared" si="3"/>
        <v>0.09</v>
      </c>
    </row>
    <row r="734">
      <c r="B734" s="3">
        <f>IFERROR(__xludf.DUMMYFUNCTION("""COMPUTED_VALUE"""),275.1)</f>
        <v>275.1</v>
      </c>
      <c r="C734" s="3">
        <f t="shared" si="3"/>
        <v>-0.19</v>
      </c>
    </row>
    <row r="735">
      <c r="B735" s="3">
        <f>IFERROR(__xludf.DUMMYFUNCTION("""COMPUTED_VALUE"""),275.1)</f>
        <v>275.1</v>
      </c>
      <c r="C735" s="3">
        <f t="shared" si="3"/>
        <v>0</v>
      </c>
    </row>
    <row r="736">
      <c r="B736" s="3">
        <f>IFERROR(__xludf.DUMMYFUNCTION("""COMPUTED_VALUE"""),275.1)</f>
        <v>275.1</v>
      </c>
      <c r="C736" s="3">
        <f t="shared" si="3"/>
        <v>0</v>
      </c>
    </row>
    <row r="737">
      <c r="B737" s="3">
        <f>IFERROR(__xludf.DUMMYFUNCTION("""COMPUTED_VALUE"""),274.9)</f>
        <v>274.9</v>
      </c>
      <c r="C737" s="3">
        <f t="shared" si="3"/>
        <v>-0.2</v>
      </c>
    </row>
    <row r="738">
      <c r="B738" s="3">
        <f>IFERROR(__xludf.DUMMYFUNCTION("""COMPUTED_VALUE"""),275.0)</f>
        <v>275</v>
      </c>
      <c r="C738" s="3">
        <f t="shared" si="3"/>
        <v>0.1</v>
      </c>
    </row>
    <row r="739">
      <c r="B739" s="3">
        <f>IFERROR(__xludf.DUMMYFUNCTION("""COMPUTED_VALUE"""),275.5)</f>
        <v>275.5</v>
      </c>
      <c r="C739" s="3">
        <f t="shared" si="3"/>
        <v>0.5</v>
      </c>
    </row>
    <row r="740">
      <c r="B740" s="3">
        <f>IFERROR(__xludf.DUMMYFUNCTION("""COMPUTED_VALUE"""),275.2)</f>
        <v>275.2</v>
      </c>
      <c r="C740" s="3">
        <f t="shared" si="3"/>
        <v>-0.3</v>
      </c>
    </row>
    <row r="741">
      <c r="B741" s="3">
        <f>IFERROR(__xludf.DUMMYFUNCTION("""COMPUTED_VALUE"""),275.2)</f>
        <v>275.2</v>
      </c>
      <c r="C741" s="3">
        <f t="shared" si="3"/>
        <v>0</v>
      </c>
    </row>
    <row r="742">
      <c r="B742" s="3">
        <f>IFERROR(__xludf.DUMMYFUNCTION("""COMPUTED_VALUE"""),275.1)</f>
        <v>275.1</v>
      </c>
      <c r="C742" s="3">
        <f t="shared" si="3"/>
        <v>-0.1</v>
      </c>
    </row>
    <row r="743">
      <c r="B743" s="3">
        <f>IFERROR(__xludf.DUMMYFUNCTION("""COMPUTED_VALUE"""),275.1)</f>
        <v>275.1</v>
      </c>
      <c r="C743" s="3">
        <f t="shared" si="3"/>
        <v>0</v>
      </c>
    </row>
    <row r="744">
      <c r="B744" s="3">
        <f>IFERROR(__xludf.DUMMYFUNCTION("""COMPUTED_VALUE"""),275.2)</f>
        <v>275.2</v>
      </c>
      <c r="C744" s="3">
        <f t="shared" si="3"/>
        <v>0.1</v>
      </c>
    </row>
    <row r="745">
      <c r="B745" s="3">
        <f>IFERROR(__xludf.DUMMYFUNCTION("""COMPUTED_VALUE"""),275.2)</f>
        <v>275.2</v>
      </c>
      <c r="C745" s="3">
        <f t="shared" si="3"/>
        <v>0</v>
      </c>
    </row>
    <row r="746">
      <c r="B746" s="3">
        <f>IFERROR(__xludf.DUMMYFUNCTION("""COMPUTED_VALUE"""),275.1)</f>
        <v>275.1</v>
      </c>
      <c r="C746" s="3">
        <f t="shared" si="3"/>
        <v>-0.1</v>
      </c>
    </row>
    <row r="747">
      <c r="B747" s="3">
        <f>IFERROR(__xludf.DUMMYFUNCTION("""COMPUTED_VALUE"""),275.1)</f>
        <v>275.1</v>
      </c>
      <c r="C747" s="3">
        <f t="shared" si="3"/>
        <v>0</v>
      </c>
    </row>
    <row r="748">
      <c r="B748" s="3">
        <f>IFERROR(__xludf.DUMMYFUNCTION("""COMPUTED_VALUE"""),275.1)</f>
        <v>275.1</v>
      </c>
      <c r="C748" s="3">
        <f t="shared" si="3"/>
        <v>0</v>
      </c>
    </row>
    <row r="749">
      <c r="B749" s="3">
        <f>IFERROR(__xludf.DUMMYFUNCTION("""COMPUTED_VALUE"""),275.0)</f>
        <v>275</v>
      </c>
      <c r="C749" s="3">
        <f t="shared" si="3"/>
        <v>-0.1</v>
      </c>
    </row>
    <row r="750">
      <c r="B750" s="3">
        <f>IFERROR(__xludf.DUMMYFUNCTION("""COMPUTED_VALUE"""),275.0)</f>
        <v>275</v>
      </c>
      <c r="C750" s="3">
        <f t="shared" si="3"/>
        <v>0</v>
      </c>
    </row>
    <row r="751">
      <c r="B751" s="3">
        <f>IFERROR(__xludf.DUMMYFUNCTION("""COMPUTED_VALUE"""),275.0)</f>
        <v>275</v>
      </c>
      <c r="C751" s="3">
        <f t="shared" si="3"/>
        <v>0</v>
      </c>
    </row>
    <row r="752">
      <c r="B752" s="3">
        <f>IFERROR(__xludf.DUMMYFUNCTION("""COMPUTED_VALUE"""),274.6)</f>
        <v>274.6</v>
      </c>
      <c r="C752" s="3">
        <f t="shared" si="3"/>
        <v>-0.4</v>
      </c>
    </row>
    <row r="753">
      <c r="B753" s="3">
        <f>IFERROR(__xludf.DUMMYFUNCTION("""COMPUTED_VALUE"""),274.7)</f>
        <v>274.7</v>
      </c>
      <c r="C753" s="3">
        <f t="shared" si="3"/>
        <v>0.1</v>
      </c>
    </row>
    <row r="754">
      <c r="B754" s="3">
        <f>IFERROR(__xludf.DUMMYFUNCTION("""COMPUTED_VALUE"""),274.79)</f>
        <v>274.79</v>
      </c>
      <c r="C754" s="3">
        <f t="shared" si="3"/>
        <v>0.09</v>
      </c>
    </row>
    <row r="755">
      <c r="B755" s="3">
        <f>IFERROR(__xludf.DUMMYFUNCTION("""COMPUTED_VALUE"""),274.9)</f>
        <v>274.9</v>
      </c>
      <c r="C755" s="3">
        <f t="shared" si="3"/>
        <v>0.11</v>
      </c>
    </row>
    <row r="756">
      <c r="B756" s="3">
        <f>IFERROR(__xludf.DUMMYFUNCTION("""COMPUTED_VALUE"""),274.9)</f>
        <v>274.9</v>
      </c>
      <c r="C756" s="3">
        <f t="shared" si="3"/>
        <v>0</v>
      </c>
    </row>
    <row r="757">
      <c r="B757" s="3">
        <f>IFERROR(__xludf.DUMMYFUNCTION("""COMPUTED_VALUE"""),274.79)</f>
        <v>274.79</v>
      </c>
      <c r="C757" s="3">
        <f t="shared" si="3"/>
        <v>-0.11</v>
      </c>
    </row>
    <row r="758">
      <c r="B758" s="3">
        <f>IFERROR(__xludf.DUMMYFUNCTION("""COMPUTED_VALUE"""),274.79)</f>
        <v>274.79</v>
      </c>
      <c r="C758" s="3">
        <f t="shared" si="3"/>
        <v>0</v>
      </c>
    </row>
    <row r="759">
      <c r="B759" s="3">
        <f>IFERROR(__xludf.DUMMYFUNCTION("""COMPUTED_VALUE"""),275.0)</f>
        <v>275</v>
      </c>
      <c r="C759" s="3">
        <f t="shared" si="3"/>
        <v>0.21</v>
      </c>
    </row>
    <row r="760">
      <c r="B760" s="3">
        <f>IFERROR(__xludf.DUMMYFUNCTION("""COMPUTED_VALUE"""),275.1)</f>
        <v>275.1</v>
      </c>
      <c r="C760" s="3">
        <f t="shared" si="3"/>
        <v>0.1</v>
      </c>
    </row>
    <row r="761">
      <c r="B761" s="3">
        <f>IFERROR(__xludf.DUMMYFUNCTION("""COMPUTED_VALUE"""),275.1)</f>
        <v>275.1</v>
      </c>
      <c r="C761" s="3">
        <f t="shared" si="3"/>
        <v>0</v>
      </c>
    </row>
    <row r="762">
      <c r="B762" s="3">
        <f>IFERROR(__xludf.DUMMYFUNCTION("""COMPUTED_VALUE"""),275.0)</f>
        <v>275</v>
      </c>
      <c r="C762" s="3">
        <f t="shared" si="3"/>
        <v>-0.1</v>
      </c>
    </row>
    <row r="763">
      <c r="B763" s="3">
        <f>IFERROR(__xludf.DUMMYFUNCTION("""COMPUTED_VALUE"""),274.9)</f>
        <v>274.9</v>
      </c>
      <c r="C763" s="3">
        <f t="shared" si="3"/>
        <v>-0.1</v>
      </c>
    </row>
    <row r="764">
      <c r="B764" s="3">
        <f>IFERROR(__xludf.DUMMYFUNCTION("""COMPUTED_VALUE"""),274.79)</f>
        <v>274.79</v>
      </c>
      <c r="C764" s="3">
        <f t="shared" si="3"/>
        <v>-0.11</v>
      </c>
    </row>
    <row r="765">
      <c r="B765" s="3">
        <f>IFERROR(__xludf.DUMMYFUNCTION("""COMPUTED_VALUE"""),274.79)</f>
        <v>274.79</v>
      </c>
      <c r="C765" s="3">
        <f t="shared" si="3"/>
        <v>0</v>
      </c>
    </row>
    <row r="766">
      <c r="B766" s="3">
        <f>IFERROR(__xludf.DUMMYFUNCTION("""COMPUTED_VALUE"""),274.9)</f>
        <v>274.9</v>
      </c>
      <c r="C766" s="3">
        <f t="shared" si="3"/>
        <v>0.11</v>
      </c>
    </row>
    <row r="767">
      <c r="B767" s="3">
        <f>IFERROR(__xludf.DUMMYFUNCTION("""COMPUTED_VALUE"""),274.9)</f>
        <v>274.9</v>
      </c>
      <c r="C767" s="3">
        <f t="shared" si="3"/>
        <v>0</v>
      </c>
    </row>
    <row r="768">
      <c r="B768" s="3">
        <f>IFERROR(__xludf.DUMMYFUNCTION("""COMPUTED_VALUE"""),274.9)</f>
        <v>274.9</v>
      </c>
      <c r="C768" s="3">
        <f t="shared" si="3"/>
        <v>0</v>
      </c>
    </row>
    <row r="769">
      <c r="B769" s="3">
        <f>IFERROR(__xludf.DUMMYFUNCTION("""COMPUTED_VALUE"""),274.9)</f>
        <v>274.9</v>
      </c>
      <c r="C769" s="3">
        <f t="shared" si="3"/>
        <v>0</v>
      </c>
    </row>
    <row r="770">
      <c r="B770" s="3">
        <f>IFERROR(__xludf.DUMMYFUNCTION("""COMPUTED_VALUE"""),274.9)</f>
        <v>274.9</v>
      </c>
      <c r="C770" s="3">
        <f t="shared" si="3"/>
        <v>0</v>
      </c>
    </row>
    <row r="771">
      <c r="B771" s="3">
        <f>IFERROR(__xludf.DUMMYFUNCTION("""COMPUTED_VALUE"""),274.9)</f>
        <v>274.9</v>
      </c>
      <c r="C771" s="3">
        <f t="shared" si="3"/>
        <v>0</v>
      </c>
    </row>
    <row r="772">
      <c r="B772" s="3">
        <f>IFERROR(__xludf.DUMMYFUNCTION("""COMPUTED_VALUE"""),274.9)</f>
        <v>274.9</v>
      </c>
      <c r="C772" s="3">
        <f t="shared" si="3"/>
        <v>0</v>
      </c>
    </row>
    <row r="773">
      <c r="B773" s="3">
        <f>IFERROR(__xludf.DUMMYFUNCTION("""COMPUTED_VALUE"""),274.79)</f>
        <v>274.79</v>
      </c>
      <c r="C773" s="3">
        <f t="shared" si="3"/>
        <v>-0.11</v>
      </c>
    </row>
    <row r="774">
      <c r="B774" s="3">
        <f>IFERROR(__xludf.DUMMYFUNCTION("""COMPUTED_VALUE"""),274.79)</f>
        <v>274.79</v>
      </c>
      <c r="C774" s="3">
        <f t="shared" si="3"/>
        <v>0</v>
      </c>
    </row>
    <row r="775">
      <c r="B775" s="3">
        <f>IFERROR(__xludf.DUMMYFUNCTION("""COMPUTED_VALUE"""),274.9)</f>
        <v>274.9</v>
      </c>
      <c r="C775" s="3">
        <f t="shared" si="3"/>
        <v>0.11</v>
      </c>
    </row>
    <row r="776">
      <c r="B776" s="3">
        <f>IFERROR(__xludf.DUMMYFUNCTION("""COMPUTED_VALUE"""),275.0)</f>
        <v>275</v>
      </c>
      <c r="C776" s="3">
        <f t="shared" si="3"/>
        <v>0.1</v>
      </c>
    </row>
    <row r="777">
      <c r="B777" s="3">
        <f>IFERROR(__xludf.DUMMYFUNCTION("""COMPUTED_VALUE"""),275.0)</f>
        <v>275</v>
      </c>
      <c r="C777" s="3">
        <f t="shared" si="3"/>
        <v>0</v>
      </c>
    </row>
    <row r="778">
      <c r="B778" s="3">
        <f>IFERROR(__xludf.DUMMYFUNCTION("""COMPUTED_VALUE"""),274.9)</f>
        <v>274.9</v>
      </c>
      <c r="C778" s="3">
        <f t="shared" si="3"/>
        <v>-0.1</v>
      </c>
    </row>
    <row r="779">
      <c r="B779" s="3">
        <f>IFERROR(__xludf.DUMMYFUNCTION("""COMPUTED_VALUE"""),275.1)</f>
        <v>275.1</v>
      </c>
      <c r="C779" s="3">
        <f t="shared" si="3"/>
        <v>0.2</v>
      </c>
    </row>
    <row r="780">
      <c r="B780" s="3">
        <f>IFERROR(__xludf.DUMMYFUNCTION("""COMPUTED_VALUE"""),275.1)</f>
        <v>275.1</v>
      </c>
      <c r="C780" s="3">
        <f t="shared" si="3"/>
        <v>0</v>
      </c>
    </row>
    <row r="781">
      <c r="B781" s="3">
        <f>IFERROR(__xludf.DUMMYFUNCTION("""COMPUTED_VALUE"""),275.0)</f>
        <v>275</v>
      </c>
      <c r="C781" s="3">
        <f t="shared" si="3"/>
        <v>-0.1</v>
      </c>
    </row>
    <row r="782">
      <c r="B782" s="3">
        <f>IFERROR(__xludf.DUMMYFUNCTION("""COMPUTED_VALUE"""),274.7)</f>
        <v>274.7</v>
      </c>
      <c r="C782" s="3">
        <f t="shared" si="3"/>
        <v>-0.3</v>
      </c>
    </row>
    <row r="783">
      <c r="B783" s="3">
        <f>IFERROR(__xludf.DUMMYFUNCTION("""COMPUTED_VALUE"""),274.7)</f>
        <v>274.7</v>
      </c>
      <c r="C783" s="3">
        <f t="shared" si="3"/>
        <v>0</v>
      </c>
    </row>
    <row r="784">
      <c r="B784" s="3">
        <f>IFERROR(__xludf.DUMMYFUNCTION("""COMPUTED_VALUE"""),274.79)</f>
        <v>274.79</v>
      </c>
      <c r="C784" s="3">
        <f t="shared" si="3"/>
        <v>0.09</v>
      </c>
    </row>
    <row r="785">
      <c r="B785" s="3">
        <f>IFERROR(__xludf.DUMMYFUNCTION("""COMPUTED_VALUE"""),274.9)</f>
        <v>274.9</v>
      </c>
      <c r="C785" s="3">
        <f t="shared" si="3"/>
        <v>0.11</v>
      </c>
    </row>
    <row r="786">
      <c r="B786" s="3">
        <f>IFERROR(__xludf.DUMMYFUNCTION("""COMPUTED_VALUE"""),274.9)</f>
        <v>274.9</v>
      </c>
      <c r="C786" s="3">
        <f t="shared" si="3"/>
        <v>0</v>
      </c>
    </row>
    <row r="787">
      <c r="B787" s="3">
        <f>IFERROR(__xludf.DUMMYFUNCTION("""COMPUTED_VALUE"""),274.79)</f>
        <v>274.79</v>
      </c>
      <c r="C787" s="3">
        <f t="shared" si="3"/>
        <v>-0.11</v>
      </c>
    </row>
    <row r="788">
      <c r="B788" s="3">
        <f>IFERROR(__xludf.DUMMYFUNCTION("""COMPUTED_VALUE"""),274.79)</f>
        <v>274.79</v>
      </c>
      <c r="C788" s="3">
        <f t="shared" si="3"/>
        <v>0</v>
      </c>
    </row>
    <row r="789">
      <c r="B789" s="3">
        <f>IFERROR(__xludf.DUMMYFUNCTION("""COMPUTED_VALUE"""),274.7)</f>
        <v>274.7</v>
      </c>
      <c r="C789" s="3">
        <f t="shared" si="3"/>
        <v>-0.09</v>
      </c>
    </row>
    <row r="790">
      <c r="B790" s="3">
        <f>IFERROR(__xludf.DUMMYFUNCTION("""COMPUTED_VALUE"""),274.7)</f>
        <v>274.7</v>
      </c>
      <c r="C790" s="3">
        <f t="shared" si="3"/>
        <v>0</v>
      </c>
    </row>
    <row r="791">
      <c r="B791" s="3">
        <f>IFERROR(__xludf.DUMMYFUNCTION("""COMPUTED_VALUE"""),274.7)</f>
        <v>274.7</v>
      </c>
      <c r="C791" s="3">
        <f t="shared" si="3"/>
        <v>0</v>
      </c>
    </row>
    <row r="792">
      <c r="B792" s="3">
        <f>IFERROR(__xludf.DUMMYFUNCTION("""COMPUTED_VALUE"""),274.6)</f>
        <v>274.6</v>
      </c>
      <c r="C792" s="3">
        <f t="shared" si="3"/>
        <v>-0.1</v>
      </c>
    </row>
    <row r="793">
      <c r="B793" s="3">
        <f>IFERROR(__xludf.DUMMYFUNCTION("""COMPUTED_VALUE"""),274.7)</f>
        <v>274.7</v>
      </c>
      <c r="C793" s="3">
        <f t="shared" si="3"/>
        <v>0.1</v>
      </c>
    </row>
    <row r="794">
      <c r="B794" s="3">
        <f>IFERROR(__xludf.DUMMYFUNCTION("""COMPUTED_VALUE"""),274.79)</f>
        <v>274.79</v>
      </c>
      <c r="C794" s="3">
        <f t="shared" si="3"/>
        <v>0.09</v>
      </c>
    </row>
    <row r="795">
      <c r="B795" s="3">
        <f>IFERROR(__xludf.DUMMYFUNCTION("""COMPUTED_VALUE"""),274.79)</f>
        <v>274.79</v>
      </c>
      <c r="C795" s="3">
        <f t="shared" si="3"/>
        <v>0</v>
      </c>
    </row>
    <row r="796">
      <c r="B796" s="3">
        <f>IFERROR(__xludf.DUMMYFUNCTION("""COMPUTED_VALUE"""),274.9)</f>
        <v>274.9</v>
      </c>
      <c r="C796" s="3">
        <f t="shared" si="3"/>
        <v>0.11</v>
      </c>
    </row>
    <row r="797">
      <c r="B797" s="3">
        <f>IFERROR(__xludf.DUMMYFUNCTION("""COMPUTED_VALUE"""),274.9)</f>
        <v>274.9</v>
      </c>
      <c r="C797" s="3">
        <f t="shared" si="3"/>
        <v>0</v>
      </c>
    </row>
    <row r="798">
      <c r="B798" s="3">
        <f>IFERROR(__xludf.DUMMYFUNCTION("""COMPUTED_VALUE"""),275.2)</f>
        <v>275.2</v>
      </c>
      <c r="C798" s="3">
        <f t="shared" si="3"/>
        <v>0.3</v>
      </c>
    </row>
    <row r="799">
      <c r="B799" s="3">
        <f>IFERROR(__xludf.DUMMYFUNCTION("""COMPUTED_VALUE"""),275.0)</f>
        <v>275</v>
      </c>
      <c r="C799" s="3">
        <f t="shared" si="3"/>
        <v>-0.2</v>
      </c>
    </row>
    <row r="800">
      <c r="B800" s="3">
        <f>IFERROR(__xludf.DUMMYFUNCTION("""COMPUTED_VALUE"""),274.9)</f>
        <v>274.9</v>
      </c>
      <c r="C800" s="3">
        <f t="shared" si="3"/>
        <v>-0.1</v>
      </c>
    </row>
    <row r="801">
      <c r="B801" s="3">
        <f>IFERROR(__xludf.DUMMYFUNCTION("""COMPUTED_VALUE"""),274.7)</f>
        <v>274.7</v>
      </c>
      <c r="C801" s="3">
        <f t="shared" si="3"/>
        <v>-0.2</v>
      </c>
    </row>
    <row r="802">
      <c r="B802" s="3">
        <f>IFERROR(__xludf.DUMMYFUNCTION("""COMPUTED_VALUE"""),274.7)</f>
        <v>274.7</v>
      </c>
      <c r="C802" s="3">
        <f t="shared" si="3"/>
        <v>0</v>
      </c>
    </row>
    <row r="803">
      <c r="B803" s="3">
        <f>IFERROR(__xludf.DUMMYFUNCTION("""COMPUTED_VALUE"""),274.6)</f>
        <v>274.6</v>
      </c>
      <c r="C803" s="3">
        <f t="shared" si="3"/>
        <v>-0.1</v>
      </c>
    </row>
    <row r="804">
      <c r="B804" s="3">
        <f>IFERROR(__xludf.DUMMYFUNCTION("""COMPUTED_VALUE"""),274.79)</f>
        <v>274.79</v>
      </c>
      <c r="C804" s="3">
        <f t="shared" si="3"/>
        <v>0.19</v>
      </c>
    </row>
    <row r="805">
      <c r="B805" s="3">
        <f>IFERROR(__xludf.DUMMYFUNCTION("""COMPUTED_VALUE"""),275.79)</f>
        <v>275.79</v>
      </c>
      <c r="C805" s="3">
        <f t="shared" si="3"/>
        <v>1</v>
      </c>
    </row>
    <row r="806">
      <c r="B806" s="3">
        <f>IFERROR(__xludf.DUMMYFUNCTION("""COMPUTED_VALUE"""),275.4)</f>
        <v>275.4</v>
      </c>
      <c r="C806" s="3">
        <f t="shared" si="3"/>
        <v>-0.39</v>
      </c>
    </row>
    <row r="807">
      <c r="B807" s="3">
        <f>IFERROR(__xludf.DUMMYFUNCTION("""COMPUTED_VALUE"""),274.79)</f>
        <v>274.79</v>
      </c>
      <c r="C807" s="3">
        <f t="shared" si="3"/>
        <v>-0.61</v>
      </c>
    </row>
    <row r="808">
      <c r="B808" s="3">
        <f>IFERROR(__xludf.DUMMYFUNCTION("""COMPUTED_VALUE"""),274.7)</f>
        <v>274.7</v>
      </c>
      <c r="C808" s="3">
        <f t="shared" si="3"/>
        <v>-0.09</v>
      </c>
    </row>
    <row r="809">
      <c r="B809" s="3">
        <f>IFERROR(__xludf.DUMMYFUNCTION("""COMPUTED_VALUE"""),274.6)</f>
        <v>274.6</v>
      </c>
      <c r="C809" s="3">
        <f t="shared" si="3"/>
        <v>-0.1</v>
      </c>
    </row>
    <row r="810">
      <c r="B810" s="3">
        <f>IFERROR(__xludf.DUMMYFUNCTION("""COMPUTED_VALUE"""),274.6)</f>
        <v>274.6</v>
      </c>
      <c r="C810" s="3">
        <f t="shared" si="3"/>
        <v>0</v>
      </c>
    </row>
    <row r="811">
      <c r="B811" s="3">
        <f>IFERROR(__xludf.DUMMYFUNCTION("""COMPUTED_VALUE"""),274.7)</f>
        <v>274.7</v>
      </c>
      <c r="C811" s="3">
        <f t="shared" si="3"/>
        <v>0.1</v>
      </c>
    </row>
    <row r="812">
      <c r="B812" s="3">
        <f>IFERROR(__xludf.DUMMYFUNCTION("""COMPUTED_VALUE"""),274.7)</f>
        <v>274.7</v>
      </c>
      <c r="C812" s="3">
        <f t="shared" si="3"/>
        <v>0</v>
      </c>
    </row>
    <row r="813">
      <c r="B813" s="3">
        <f>IFERROR(__xludf.DUMMYFUNCTION("""COMPUTED_VALUE"""),274.79)</f>
        <v>274.79</v>
      </c>
      <c r="C813" s="3">
        <f t="shared" si="3"/>
        <v>0.09</v>
      </c>
    </row>
    <row r="814">
      <c r="B814" s="3">
        <f>IFERROR(__xludf.DUMMYFUNCTION("""COMPUTED_VALUE"""),274.7)</f>
        <v>274.7</v>
      </c>
      <c r="C814" s="3">
        <f t="shared" si="3"/>
        <v>-0.09</v>
      </c>
    </row>
    <row r="815">
      <c r="B815" s="3">
        <f>IFERROR(__xludf.DUMMYFUNCTION("""COMPUTED_VALUE"""),274.79)</f>
        <v>274.79</v>
      </c>
      <c r="C815" s="3">
        <f t="shared" si="3"/>
        <v>0.09</v>
      </c>
    </row>
    <row r="816">
      <c r="B816" s="3">
        <f>IFERROR(__xludf.DUMMYFUNCTION("""COMPUTED_VALUE"""),274.7)</f>
        <v>274.7</v>
      </c>
      <c r="C816" s="3">
        <f t="shared" si="3"/>
        <v>-0.09</v>
      </c>
    </row>
    <row r="817">
      <c r="B817" s="3">
        <f>IFERROR(__xludf.DUMMYFUNCTION("""COMPUTED_VALUE"""),274.7)</f>
        <v>274.7</v>
      </c>
      <c r="C817" s="3">
        <f t="shared" si="3"/>
        <v>0</v>
      </c>
    </row>
    <row r="818">
      <c r="B818" s="3">
        <f>IFERROR(__xludf.DUMMYFUNCTION("""COMPUTED_VALUE"""),274.7)</f>
        <v>274.7</v>
      </c>
      <c r="C818" s="3">
        <f t="shared" si="3"/>
        <v>0</v>
      </c>
    </row>
    <row r="819">
      <c r="B819" s="3">
        <f>IFERROR(__xludf.DUMMYFUNCTION("""COMPUTED_VALUE"""),274.4)</f>
        <v>274.4</v>
      </c>
      <c r="C819" s="3">
        <f t="shared" si="3"/>
        <v>-0.3</v>
      </c>
    </row>
    <row r="820">
      <c r="B820" s="3">
        <f>IFERROR(__xludf.DUMMYFUNCTION("""COMPUTED_VALUE"""),274.79)</f>
        <v>274.79</v>
      </c>
      <c r="C820" s="3">
        <f t="shared" si="3"/>
        <v>0.39</v>
      </c>
    </row>
    <row r="821">
      <c r="B821" s="3">
        <f>IFERROR(__xludf.DUMMYFUNCTION("""COMPUTED_VALUE"""),274.9)</f>
        <v>274.9</v>
      </c>
      <c r="C821" s="3">
        <f t="shared" si="3"/>
        <v>0.11</v>
      </c>
    </row>
    <row r="822">
      <c r="B822" s="3">
        <f>IFERROR(__xludf.DUMMYFUNCTION("""COMPUTED_VALUE"""),274.9)</f>
        <v>274.9</v>
      </c>
      <c r="C822" s="3">
        <f t="shared" si="3"/>
        <v>0</v>
      </c>
    </row>
    <row r="823">
      <c r="B823" s="3">
        <f>IFERROR(__xludf.DUMMYFUNCTION("""COMPUTED_VALUE"""),274.79)</f>
        <v>274.79</v>
      </c>
      <c r="C823" s="3">
        <f t="shared" si="3"/>
        <v>-0.11</v>
      </c>
    </row>
    <row r="824">
      <c r="B824" s="3">
        <f>IFERROR(__xludf.DUMMYFUNCTION("""COMPUTED_VALUE"""),274.79)</f>
        <v>274.79</v>
      </c>
      <c r="C824" s="3">
        <f t="shared" si="3"/>
        <v>0</v>
      </c>
    </row>
    <row r="825">
      <c r="B825" s="3">
        <f>IFERROR(__xludf.DUMMYFUNCTION("""COMPUTED_VALUE"""),274.7)</f>
        <v>274.7</v>
      </c>
      <c r="C825" s="3">
        <f t="shared" si="3"/>
        <v>-0.09</v>
      </c>
    </row>
    <row r="826">
      <c r="B826" s="3">
        <f>IFERROR(__xludf.DUMMYFUNCTION("""COMPUTED_VALUE"""),273.9)</f>
        <v>273.9</v>
      </c>
      <c r="C826" s="3">
        <f t="shared" si="3"/>
        <v>-0.8</v>
      </c>
    </row>
    <row r="827">
      <c r="B827" s="3">
        <f>IFERROR(__xludf.DUMMYFUNCTION("""COMPUTED_VALUE"""),274.2)</f>
        <v>274.2</v>
      </c>
      <c r="C827" s="3">
        <f t="shared" si="3"/>
        <v>0.3</v>
      </c>
    </row>
    <row r="828">
      <c r="B828" s="3">
        <f>IFERROR(__xludf.DUMMYFUNCTION("""COMPUTED_VALUE"""),274.4)</f>
        <v>274.4</v>
      </c>
      <c r="C828" s="3">
        <f t="shared" si="3"/>
        <v>0.2</v>
      </c>
    </row>
    <row r="829">
      <c r="B829" s="3">
        <f>IFERROR(__xludf.DUMMYFUNCTION("""COMPUTED_VALUE"""),274.5)</f>
        <v>274.5</v>
      </c>
      <c r="C829" s="3">
        <f t="shared" si="3"/>
        <v>0.1</v>
      </c>
    </row>
    <row r="830">
      <c r="B830" s="3">
        <f>IFERROR(__xludf.DUMMYFUNCTION("""COMPUTED_VALUE"""),274.6)</f>
        <v>274.6</v>
      </c>
      <c r="C830" s="3">
        <f t="shared" si="3"/>
        <v>0.1</v>
      </c>
    </row>
    <row r="831">
      <c r="B831" s="3">
        <f>IFERROR(__xludf.DUMMYFUNCTION("""COMPUTED_VALUE"""),274.7)</f>
        <v>274.7</v>
      </c>
      <c r="C831" s="3">
        <f t="shared" si="3"/>
        <v>0.1</v>
      </c>
    </row>
    <row r="832">
      <c r="B832" s="3">
        <f>IFERROR(__xludf.DUMMYFUNCTION("""COMPUTED_VALUE"""),274.4)</f>
        <v>274.4</v>
      </c>
      <c r="C832" s="3">
        <f t="shared" si="3"/>
        <v>-0.3</v>
      </c>
    </row>
    <row r="833">
      <c r="B833" s="3">
        <f>IFERROR(__xludf.DUMMYFUNCTION("""COMPUTED_VALUE"""),275.4)</f>
        <v>275.4</v>
      </c>
      <c r="C833" s="3">
        <f t="shared" si="3"/>
        <v>1</v>
      </c>
    </row>
    <row r="834">
      <c r="B834" s="3">
        <f>IFERROR(__xludf.DUMMYFUNCTION("""COMPUTED_VALUE"""),277.4)</f>
        <v>277.4</v>
      </c>
      <c r="C834" s="3">
        <f t="shared" si="3"/>
        <v>2</v>
      </c>
    </row>
    <row r="835">
      <c r="B835" s="3">
        <f>IFERROR(__xludf.DUMMYFUNCTION("""COMPUTED_VALUE"""),278.79)</f>
        <v>278.79</v>
      </c>
      <c r="C835" s="3">
        <f t="shared" si="3"/>
        <v>1.39</v>
      </c>
    </row>
    <row r="836">
      <c r="B836" s="3">
        <f>IFERROR(__xludf.DUMMYFUNCTION("""COMPUTED_VALUE"""),280.0)</f>
        <v>280</v>
      </c>
      <c r="C836" s="3">
        <f t="shared" si="3"/>
        <v>1.21</v>
      </c>
    </row>
    <row r="837">
      <c r="B837" s="3">
        <f>IFERROR(__xludf.DUMMYFUNCTION("""COMPUTED_VALUE"""),281.29)</f>
        <v>281.29</v>
      </c>
      <c r="C837" s="3">
        <f t="shared" si="3"/>
        <v>1.29</v>
      </c>
    </row>
    <row r="838">
      <c r="B838" s="3">
        <f>IFERROR(__xludf.DUMMYFUNCTION("""COMPUTED_VALUE"""),282.4)</f>
        <v>282.4</v>
      </c>
      <c r="C838" s="3">
        <f t="shared" si="3"/>
        <v>1.11</v>
      </c>
    </row>
    <row r="839">
      <c r="B839" s="3">
        <f>IFERROR(__xludf.DUMMYFUNCTION("""COMPUTED_VALUE"""),287.0)</f>
        <v>287</v>
      </c>
      <c r="C839" s="3">
        <f t="shared" si="3"/>
        <v>4.6</v>
      </c>
    </row>
    <row r="840">
      <c r="B840" s="3">
        <f>IFERROR(__xludf.DUMMYFUNCTION("""COMPUTED_VALUE"""),286.6)</f>
        <v>286.6</v>
      </c>
      <c r="C840" s="3">
        <f t="shared" si="3"/>
        <v>-0.4</v>
      </c>
    </row>
    <row r="841">
      <c r="B841" s="3">
        <f>IFERROR(__xludf.DUMMYFUNCTION("""COMPUTED_VALUE"""),287.0)</f>
        <v>287</v>
      </c>
      <c r="C841" s="3">
        <f t="shared" si="3"/>
        <v>0.4</v>
      </c>
    </row>
    <row r="842">
      <c r="B842" s="3">
        <f>IFERROR(__xludf.DUMMYFUNCTION("""COMPUTED_VALUE"""),288.0)</f>
        <v>288</v>
      </c>
      <c r="C842" s="3">
        <f t="shared" si="3"/>
        <v>1</v>
      </c>
    </row>
    <row r="843">
      <c r="B843" s="3">
        <f>IFERROR(__xludf.DUMMYFUNCTION("""COMPUTED_VALUE"""),290.0)</f>
        <v>290</v>
      </c>
      <c r="C843" s="3">
        <f t="shared" si="3"/>
        <v>2</v>
      </c>
    </row>
    <row r="844">
      <c r="B844" s="3">
        <f>IFERROR(__xludf.DUMMYFUNCTION("""COMPUTED_VALUE"""),290.6)</f>
        <v>290.6</v>
      </c>
      <c r="C844" s="3">
        <f t="shared" si="3"/>
        <v>0.6</v>
      </c>
    </row>
    <row r="845">
      <c r="B845" s="3">
        <f>IFERROR(__xludf.DUMMYFUNCTION("""COMPUTED_VALUE"""),294.7)</f>
        <v>294.7</v>
      </c>
      <c r="C845" s="3">
        <f t="shared" si="3"/>
        <v>4.1</v>
      </c>
    </row>
    <row r="846">
      <c r="B846" s="3">
        <f>IFERROR(__xludf.DUMMYFUNCTION("""COMPUTED_VALUE"""),295.9)</f>
        <v>295.9</v>
      </c>
      <c r="C846" s="3">
        <f t="shared" si="3"/>
        <v>1.2</v>
      </c>
    </row>
    <row r="847">
      <c r="B847" s="3">
        <f>IFERROR(__xludf.DUMMYFUNCTION("""COMPUTED_VALUE"""),300.1)</f>
        <v>300.1</v>
      </c>
      <c r="C847" s="3">
        <f t="shared" si="3"/>
        <v>4.2</v>
      </c>
    </row>
    <row r="848">
      <c r="B848" s="3">
        <f>IFERROR(__xludf.DUMMYFUNCTION("""COMPUTED_VALUE"""),297.7)</f>
        <v>297.7</v>
      </c>
      <c r="C848" s="3">
        <f t="shared" si="3"/>
        <v>-2.4</v>
      </c>
    </row>
    <row r="849">
      <c r="B849" s="3">
        <f>IFERROR(__xludf.DUMMYFUNCTION("""COMPUTED_VALUE"""),298.29)</f>
        <v>298.29</v>
      </c>
      <c r="C849" s="3">
        <f t="shared" si="3"/>
        <v>0.59</v>
      </c>
    </row>
    <row r="850">
      <c r="B850" s="3">
        <f>IFERROR(__xludf.DUMMYFUNCTION("""COMPUTED_VALUE"""),299.2)</f>
        <v>299.2</v>
      </c>
      <c r="C850" s="3">
        <f t="shared" si="3"/>
        <v>0.91</v>
      </c>
    </row>
    <row r="851">
      <c r="B851" s="3">
        <f>IFERROR(__xludf.DUMMYFUNCTION("""COMPUTED_VALUE"""),300.4)</f>
        <v>300.4</v>
      </c>
      <c r="C851" s="3">
        <f t="shared" si="3"/>
        <v>1.2</v>
      </c>
    </row>
    <row r="852">
      <c r="B852" s="3">
        <f>IFERROR(__xludf.DUMMYFUNCTION("""COMPUTED_VALUE"""),301.5)</f>
        <v>301.5</v>
      </c>
      <c r="C852" s="3">
        <f t="shared" si="3"/>
        <v>1.1</v>
      </c>
    </row>
    <row r="853">
      <c r="B853" s="3">
        <f>IFERROR(__xludf.DUMMYFUNCTION("""COMPUTED_VALUE"""),302.6)</f>
        <v>302.6</v>
      </c>
      <c r="C853" s="3">
        <f t="shared" si="3"/>
        <v>1.1</v>
      </c>
    </row>
    <row r="854">
      <c r="B854" s="3">
        <f>IFERROR(__xludf.DUMMYFUNCTION("""COMPUTED_VALUE"""),304.4)</f>
        <v>304.4</v>
      </c>
      <c r="C854" s="3">
        <f t="shared" si="3"/>
        <v>1.8</v>
      </c>
    </row>
    <row r="855">
      <c r="B855" s="3">
        <f>IFERROR(__xludf.DUMMYFUNCTION("""COMPUTED_VALUE"""),309.7)</f>
        <v>309.7</v>
      </c>
      <c r="C855" s="3">
        <f t="shared" si="3"/>
        <v>5.3</v>
      </c>
    </row>
    <row r="856">
      <c r="B856" s="3">
        <f>IFERROR(__xludf.DUMMYFUNCTION("""COMPUTED_VALUE"""),307.6)</f>
        <v>307.6</v>
      </c>
      <c r="C856" s="3">
        <f t="shared" si="3"/>
        <v>-2.1</v>
      </c>
    </row>
    <row r="857">
      <c r="B857" s="3">
        <f>IFERROR(__xludf.DUMMYFUNCTION("""COMPUTED_VALUE"""),308.29)</f>
        <v>308.29</v>
      </c>
      <c r="C857" s="3">
        <f t="shared" si="3"/>
        <v>0.69</v>
      </c>
    </row>
    <row r="858">
      <c r="B858" s="3">
        <f>IFERROR(__xludf.DUMMYFUNCTION("""COMPUTED_VALUE"""),313.4)</f>
        <v>313.4</v>
      </c>
      <c r="C858" s="3">
        <f t="shared" si="3"/>
        <v>5.11</v>
      </c>
    </row>
    <row r="859">
      <c r="B859" s="3">
        <f>IFERROR(__xludf.DUMMYFUNCTION("""COMPUTED_VALUE"""),311.79)</f>
        <v>311.79</v>
      </c>
      <c r="C859" s="3">
        <f t="shared" si="3"/>
        <v>-1.61</v>
      </c>
    </row>
    <row r="860">
      <c r="B860" s="3">
        <f>IFERROR(__xludf.DUMMYFUNCTION("""COMPUTED_VALUE"""),311.9)</f>
        <v>311.9</v>
      </c>
      <c r="C860" s="3">
        <f t="shared" si="3"/>
        <v>0.11</v>
      </c>
    </row>
    <row r="861">
      <c r="B861" s="3">
        <f>IFERROR(__xludf.DUMMYFUNCTION("""COMPUTED_VALUE"""),312.2)</f>
        <v>312.2</v>
      </c>
      <c r="C861" s="3">
        <f t="shared" si="3"/>
        <v>0.3</v>
      </c>
    </row>
    <row r="862">
      <c r="B862" s="3">
        <f>IFERROR(__xludf.DUMMYFUNCTION("""COMPUTED_VALUE"""),312.6)</f>
        <v>312.6</v>
      </c>
      <c r="C862" s="3">
        <f t="shared" si="3"/>
        <v>0.4</v>
      </c>
    </row>
    <row r="863">
      <c r="B863" s="3">
        <f>IFERROR(__xludf.DUMMYFUNCTION("""COMPUTED_VALUE"""),313.29)</f>
        <v>313.29</v>
      </c>
      <c r="C863" s="3">
        <f t="shared" si="3"/>
        <v>0.69</v>
      </c>
    </row>
    <row r="864">
      <c r="B864" s="3">
        <f>IFERROR(__xludf.DUMMYFUNCTION("""COMPUTED_VALUE"""),314.7)</f>
        <v>314.7</v>
      </c>
      <c r="C864" s="3">
        <f t="shared" si="3"/>
        <v>1.41</v>
      </c>
    </row>
    <row r="865">
      <c r="B865" s="3">
        <f>IFERROR(__xludf.DUMMYFUNCTION("""COMPUTED_VALUE"""),315.6)</f>
        <v>315.6</v>
      </c>
      <c r="C865" s="3">
        <f t="shared" si="3"/>
        <v>0.9</v>
      </c>
    </row>
    <row r="866">
      <c r="B866" s="3">
        <f>IFERROR(__xludf.DUMMYFUNCTION("""COMPUTED_VALUE"""),317.0)</f>
        <v>317</v>
      </c>
      <c r="C866" s="3">
        <f t="shared" si="3"/>
        <v>1.4</v>
      </c>
    </row>
    <row r="867">
      <c r="B867" s="3">
        <f>IFERROR(__xludf.DUMMYFUNCTION("""COMPUTED_VALUE"""),317.4)</f>
        <v>317.4</v>
      </c>
      <c r="C867" s="3">
        <f t="shared" si="3"/>
        <v>0.4</v>
      </c>
    </row>
    <row r="868">
      <c r="B868" s="3">
        <f>IFERROR(__xludf.DUMMYFUNCTION("""COMPUTED_VALUE"""),318.1)</f>
        <v>318.1</v>
      </c>
      <c r="C868" s="3">
        <f t="shared" si="3"/>
        <v>0.7</v>
      </c>
    </row>
    <row r="869">
      <c r="B869" s="3">
        <f>IFERROR(__xludf.DUMMYFUNCTION("""COMPUTED_VALUE"""),318.9)</f>
        <v>318.9</v>
      </c>
      <c r="C869" s="3">
        <f t="shared" si="3"/>
        <v>0.8</v>
      </c>
    </row>
    <row r="870">
      <c r="B870" s="3">
        <f>IFERROR(__xludf.DUMMYFUNCTION("""COMPUTED_VALUE"""),319.4)</f>
        <v>319.4</v>
      </c>
      <c r="C870" s="3">
        <f t="shared" si="3"/>
        <v>0.5</v>
      </c>
    </row>
    <row r="871">
      <c r="B871" s="3">
        <f>IFERROR(__xludf.DUMMYFUNCTION("""COMPUTED_VALUE"""),320.2)</f>
        <v>320.2</v>
      </c>
      <c r="C871" s="3">
        <f t="shared" si="3"/>
        <v>0.8</v>
      </c>
    </row>
    <row r="872">
      <c r="B872" s="3">
        <f>IFERROR(__xludf.DUMMYFUNCTION("""COMPUTED_VALUE"""),322.0)</f>
        <v>322</v>
      </c>
      <c r="C872" s="3">
        <f t="shared" si="3"/>
        <v>1.8</v>
      </c>
    </row>
    <row r="873">
      <c r="B873" s="3">
        <f>IFERROR(__xludf.DUMMYFUNCTION("""COMPUTED_VALUE"""),323.0)</f>
        <v>323</v>
      </c>
      <c r="C873" s="3">
        <f t="shared" si="3"/>
        <v>1</v>
      </c>
    </row>
    <row r="874">
      <c r="B874" s="3">
        <f>IFERROR(__xludf.DUMMYFUNCTION("""COMPUTED_VALUE"""),323.1)</f>
        <v>323.1</v>
      </c>
      <c r="C874" s="3">
        <f t="shared" si="3"/>
        <v>0.1</v>
      </c>
    </row>
    <row r="875">
      <c r="B875" s="3">
        <f>IFERROR(__xludf.DUMMYFUNCTION("""COMPUTED_VALUE"""),323.29)</f>
        <v>323.29</v>
      </c>
      <c r="C875" s="3">
        <f t="shared" si="3"/>
        <v>0.19</v>
      </c>
    </row>
    <row r="876">
      <c r="B876" s="3">
        <f>IFERROR(__xludf.DUMMYFUNCTION("""COMPUTED_VALUE"""),323.7)</f>
        <v>323.7</v>
      </c>
      <c r="C876" s="3">
        <f t="shared" si="3"/>
        <v>0.41</v>
      </c>
    </row>
    <row r="877">
      <c r="B877" s="3">
        <f>IFERROR(__xludf.DUMMYFUNCTION("""COMPUTED_VALUE"""),324.5)</f>
        <v>324.5</v>
      </c>
      <c r="C877" s="3">
        <f t="shared" si="3"/>
        <v>0.8</v>
      </c>
    </row>
    <row r="878">
      <c r="B878" s="3">
        <f>IFERROR(__xludf.DUMMYFUNCTION("""COMPUTED_VALUE"""),325.1)</f>
        <v>325.1</v>
      </c>
      <c r="C878" s="3">
        <f t="shared" si="3"/>
        <v>0.6</v>
      </c>
    </row>
    <row r="879">
      <c r="B879" s="3">
        <f>IFERROR(__xludf.DUMMYFUNCTION("""COMPUTED_VALUE"""),325.9)</f>
        <v>325.9</v>
      </c>
      <c r="C879" s="3">
        <f t="shared" si="3"/>
        <v>0.8</v>
      </c>
    </row>
    <row r="880">
      <c r="B880" s="3">
        <f>IFERROR(__xludf.DUMMYFUNCTION("""COMPUTED_VALUE"""),326.2)</f>
        <v>326.2</v>
      </c>
      <c r="C880" s="3">
        <f t="shared" si="3"/>
        <v>0.3</v>
      </c>
    </row>
    <row r="881">
      <c r="B881" s="3">
        <f>IFERROR(__xludf.DUMMYFUNCTION("""COMPUTED_VALUE"""),326.6)</f>
        <v>326.6</v>
      </c>
      <c r="C881" s="3">
        <f t="shared" si="3"/>
        <v>0.4</v>
      </c>
    </row>
    <row r="882">
      <c r="B882" s="3">
        <f>IFERROR(__xludf.DUMMYFUNCTION("""COMPUTED_VALUE"""),326.9)</f>
        <v>326.9</v>
      </c>
      <c r="C882" s="3">
        <f t="shared" si="3"/>
        <v>0.3</v>
      </c>
    </row>
    <row r="883">
      <c r="B883" s="3">
        <f>IFERROR(__xludf.DUMMYFUNCTION("""COMPUTED_VALUE"""),326.9)</f>
        <v>326.9</v>
      </c>
      <c r="C883" s="3">
        <f t="shared" si="3"/>
        <v>0</v>
      </c>
    </row>
    <row r="884">
      <c r="B884" s="3">
        <f>IFERROR(__xludf.DUMMYFUNCTION("""COMPUTED_VALUE"""),327.1)</f>
        <v>327.1</v>
      </c>
      <c r="C884" s="3">
        <f t="shared" si="3"/>
        <v>0.2</v>
      </c>
    </row>
    <row r="885">
      <c r="B885" s="3">
        <f>IFERROR(__xludf.DUMMYFUNCTION("""COMPUTED_VALUE"""),327.1)</f>
        <v>327.1</v>
      </c>
      <c r="C885" s="3">
        <f t="shared" si="3"/>
        <v>0</v>
      </c>
    </row>
    <row r="886">
      <c r="B886" s="3">
        <f>IFERROR(__xludf.DUMMYFUNCTION("""COMPUTED_VALUE"""),327.1)</f>
        <v>327.1</v>
      </c>
      <c r="C886" s="3">
        <f t="shared" si="3"/>
        <v>0</v>
      </c>
    </row>
    <row r="887">
      <c r="B887" s="3">
        <f>IFERROR(__xludf.DUMMYFUNCTION("""COMPUTED_VALUE"""),326.79)</f>
        <v>326.79</v>
      </c>
      <c r="C887" s="3">
        <f t="shared" si="3"/>
        <v>-0.31</v>
      </c>
    </row>
    <row r="888">
      <c r="B888" s="3">
        <f>IFERROR(__xludf.DUMMYFUNCTION("""COMPUTED_VALUE"""),327.4)</f>
        <v>327.4</v>
      </c>
      <c r="C888" s="3">
        <f t="shared" si="3"/>
        <v>0.61</v>
      </c>
    </row>
    <row r="889">
      <c r="B889" s="3">
        <f>IFERROR(__xludf.DUMMYFUNCTION("""COMPUTED_VALUE"""),327.9)</f>
        <v>327.9</v>
      </c>
      <c r="C889" s="3">
        <f t="shared" si="3"/>
        <v>0.5</v>
      </c>
    </row>
    <row r="890">
      <c r="B890" s="3">
        <f>IFERROR(__xludf.DUMMYFUNCTION("""COMPUTED_VALUE"""),328.4)</f>
        <v>328.4</v>
      </c>
      <c r="C890" s="3">
        <f t="shared" si="3"/>
        <v>0.5</v>
      </c>
    </row>
    <row r="891">
      <c r="B891" s="3">
        <f>IFERROR(__xludf.DUMMYFUNCTION("""COMPUTED_VALUE"""),329.4)</f>
        <v>329.4</v>
      </c>
      <c r="C891" s="3">
        <f t="shared" si="3"/>
        <v>1</v>
      </c>
    </row>
    <row r="892">
      <c r="B892" s="3">
        <f>IFERROR(__xludf.DUMMYFUNCTION("""COMPUTED_VALUE"""),330.2)</f>
        <v>330.2</v>
      </c>
      <c r="C892" s="3">
        <f t="shared" si="3"/>
        <v>0.8</v>
      </c>
    </row>
    <row r="893">
      <c r="B893" s="3">
        <f>IFERROR(__xludf.DUMMYFUNCTION("""COMPUTED_VALUE"""),330.7)</f>
        <v>330.7</v>
      </c>
      <c r="C893" s="3">
        <f t="shared" si="3"/>
        <v>0.5</v>
      </c>
    </row>
    <row r="894">
      <c r="B894" s="3">
        <f>IFERROR(__xludf.DUMMYFUNCTION("""COMPUTED_VALUE"""),330.9)</f>
        <v>330.9</v>
      </c>
      <c r="C894" s="3">
        <f t="shared" si="3"/>
        <v>0.2</v>
      </c>
    </row>
    <row r="895">
      <c r="B895" s="3">
        <f>IFERROR(__xludf.DUMMYFUNCTION("""COMPUTED_VALUE"""),331.5)</f>
        <v>331.5</v>
      </c>
      <c r="C895" s="3">
        <f t="shared" si="3"/>
        <v>0.6</v>
      </c>
    </row>
    <row r="896">
      <c r="B896" s="3">
        <f>IFERROR(__xludf.DUMMYFUNCTION("""COMPUTED_VALUE"""),332.3)</f>
        <v>332.3</v>
      </c>
      <c r="C896" s="3">
        <f t="shared" si="3"/>
        <v>0.8</v>
      </c>
    </row>
    <row r="897">
      <c r="B897" s="3">
        <f>IFERROR(__xludf.DUMMYFUNCTION("""COMPUTED_VALUE"""),332.6)</f>
        <v>332.6</v>
      </c>
      <c r="C897" s="3">
        <f t="shared" si="3"/>
        <v>0.3</v>
      </c>
    </row>
    <row r="898">
      <c r="B898" s="3">
        <f>IFERROR(__xludf.DUMMYFUNCTION("""COMPUTED_VALUE"""),333.3)</f>
        <v>333.3</v>
      </c>
      <c r="C898" s="3">
        <f t="shared" si="3"/>
        <v>0.7</v>
      </c>
    </row>
    <row r="899">
      <c r="B899" s="3">
        <f>IFERROR(__xludf.DUMMYFUNCTION("""COMPUTED_VALUE"""),333.8)</f>
        <v>333.8</v>
      </c>
      <c r="C899" s="3">
        <f t="shared" si="3"/>
        <v>0.5</v>
      </c>
    </row>
    <row r="900">
      <c r="B900" s="3">
        <f>IFERROR(__xludf.DUMMYFUNCTION("""COMPUTED_VALUE"""),333.7)</f>
        <v>333.7</v>
      </c>
      <c r="C900" s="3">
        <f t="shared" si="3"/>
        <v>-0.1</v>
      </c>
    </row>
    <row r="901">
      <c r="B901" s="3">
        <f>IFERROR(__xludf.DUMMYFUNCTION("""COMPUTED_VALUE"""),333.9)</f>
        <v>333.9</v>
      </c>
      <c r="C901" s="3">
        <f t="shared" si="3"/>
        <v>0.2</v>
      </c>
    </row>
    <row r="902">
      <c r="B902" s="3">
        <f>IFERROR(__xludf.DUMMYFUNCTION("""COMPUTED_VALUE"""),334.6)</f>
        <v>334.6</v>
      </c>
      <c r="C902" s="3">
        <f t="shared" si="3"/>
        <v>0.7</v>
      </c>
    </row>
    <row r="903">
      <c r="B903" s="3">
        <f>IFERROR(__xludf.DUMMYFUNCTION("""COMPUTED_VALUE"""),336.3)</f>
        <v>336.3</v>
      </c>
      <c r="C903" s="3">
        <f t="shared" si="3"/>
        <v>1.7</v>
      </c>
    </row>
    <row r="904">
      <c r="B904" s="3">
        <f>IFERROR(__xludf.DUMMYFUNCTION("""COMPUTED_VALUE"""),337.6)</f>
        <v>337.6</v>
      </c>
      <c r="C904" s="3">
        <f t="shared" si="3"/>
        <v>1.3</v>
      </c>
    </row>
    <row r="905">
      <c r="B905" s="3">
        <f>IFERROR(__xludf.DUMMYFUNCTION("""COMPUTED_VALUE"""),338.0)</f>
        <v>338</v>
      </c>
      <c r="C905" s="3">
        <f t="shared" si="3"/>
        <v>0.4</v>
      </c>
    </row>
    <row r="906">
      <c r="B906" s="3">
        <f>IFERROR(__xludf.DUMMYFUNCTION("""COMPUTED_VALUE"""),338.1)</f>
        <v>338.1</v>
      </c>
      <c r="C906" s="3">
        <f t="shared" si="3"/>
        <v>0.1</v>
      </c>
    </row>
    <row r="907">
      <c r="B907" s="3">
        <f>IFERROR(__xludf.DUMMYFUNCTION("""COMPUTED_VALUE"""),338.2)</f>
        <v>338.2</v>
      </c>
      <c r="C907" s="3">
        <f t="shared" si="3"/>
        <v>0.1</v>
      </c>
    </row>
    <row r="908">
      <c r="B908" s="3">
        <f>IFERROR(__xludf.DUMMYFUNCTION("""COMPUTED_VALUE"""),338.3)</f>
        <v>338.3</v>
      </c>
      <c r="C908" s="3">
        <f t="shared" si="3"/>
        <v>0.1</v>
      </c>
    </row>
    <row r="909">
      <c r="B909" s="3">
        <f>IFERROR(__xludf.DUMMYFUNCTION("""COMPUTED_VALUE"""),338.2)</f>
        <v>338.2</v>
      </c>
      <c r="C909" s="3">
        <f t="shared" si="3"/>
        <v>-0.1</v>
      </c>
    </row>
    <row r="910">
      <c r="B910" s="3">
        <f>IFERROR(__xludf.DUMMYFUNCTION("""COMPUTED_VALUE"""),338.2)</f>
        <v>338.2</v>
      </c>
      <c r="C910" s="3">
        <f t="shared" si="3"/>
        <v>0</v>
      </c>
    </row>
    <row r="911">
      <c r="B911" s="3">
        <f>IFERROR(__xludf.DUMMYFUNCTION("""COMPUTED_VALUE"""),338.2)</f>
        <v>338.2</v>
      </c>
      <c r="C911" s="3">
        <f t="shared" si="3"/>
        <v>0</v>
      </c>
    </row>
    <row r="912">
      <c r="B912" s="3">
        <f>IFERROR(__xludf.DUMMYFUNCTION("""COMPUTED_VALUE"""),338.2)</f>
        <v>338.2</v>
      </c>
      <c r="C912" s="3">
        <f t="shared" si="3"/>
        <v>0</v>
      </c>
    </row>
    <row r="913">
      <c r="B913" s="3">
        <f>IFERROR(__xludf.DUMMYFUNCTION("""COMPUTED_VALUE"""),338.6)</f>
        <v>338.6</v>
      </c>
      <c r="C913" s="3">
        <f t="shared" si="3"/>
        <v>0.4</v>
      </c>
    </row>
    <row r="914">
      <c r="B914" s="3">
        <f>IFERROR(__xludf.DUMMYFUNCTION("""COMPUTED_VALUE"""),339.0)</f>
        <v>339</v>
      </c>
      <c r="C914" s="3">
        <f t="shared" si="3"/>
        <v>0.4</v>
      </c>
    </row>
    <row r="915">
      <c r="B915" s="3">
        <f>IFERROR(__xludf.DUMMYFUNCTION("""COMPUTED_VALUE"""),339.2)</f>
        <v>339.2</v>
      </c>
      <c r="C915" s="3">
        <f t="shared" si="3"/>
        <v>0.2</v>
      </c>
    </row>
    <row r="916">
      <c r="B916" s="3">
        <f>IFERROR(__xludf.DUMMYFUNCTION("""COMPUTED_VALUE"""),339.4)</f>
        <v>339.4</v>
      </c>
      <c r="C916" s="3">
        <f t="shared" si="3"/>
        <v>0.2</v>
      </c>
    </row>
    <row r="917">
      <c r="B917" s="3">
        <f>IFERROR(__xludf.DUMMYFUNCTION("""COMPUTED_VALUE"""),339.6)</f>
        <v>339.6</v>
      </c>
      <c r="C917" s="3">
        <f t="shared" si="3"/>
        <v>0.2</v>
      </c>
    </row>
    <row r="918">
      <c r="B918" s="3">
        <f>IFERROR(__xludf.DUMMYFUNCTION("""COMPUTED_VALUE"""),339.8)</f>
        <v>339.8</v>
      </c>
      <c r="C918" s="3">
        <f t="shared" si="3"/>
        <v>0.2</v>
      </c>
    </row>
    <row r="919">
      <c r="B919" s="3">
        <f>IFERROR(__xludf.DUMMYFUNCTION("""COMPUTED_VALUE"""),339.8)</f>
        <v>339.8</v>
      </c>
      <c r="C919" s="3">
        <f t="shared" si="3"/>
        <v>0</v>
      </c>
    </row>
    <row r="920">
      <c r="B920" s="3">
        <f>IFERROR(__xludf.DUMMYFUNCTION("""COMPUTED_VALUE"""),339.8)</f>
        <v>339.8</v>
      </c>
      <c r="C920" s="3">
        <f t="shared" si="3"/>
        <v>0</v>
      </c>
    </row>
    <row r="921">
      <c r="B921" s="3">
        <f>IFERROR(__xludf.DUMMYFUNCTION("""COMPUTED_VALUE"""),339.8)</f>
        <v>339.8</v>
      </c>
      <c r="C921" s="3">
        <f t="shared" si="3"/>
        <v>0</v>
      </c>
    </row>
    <row r="922">
      <c r="B922" s="3">
        <f>IFERROR(__xludf.DUMMYFUNCTION("""COMPUTED_VALUE"""),339.8)</f>
        <v>339.8</v>
      </c>
      <c r="C922" s="3">
        <f t="shared" si="3"/>
        <v>0</v>
      </c>
    </row>
    <row r="923">
      <c r="B923" s="3">
        <f>IFERROR(__xludf.DUMMYFUNCTION("""COMPUTED_VALUE"""),339.4)</f>
        <v>339.4</v>
      </c>
      <c r="C923" s="3">
        <f t="shared" si="3"/>
        <v>-0.4</v>
      </c>
    </row>
    <row r="924">
      <c r="B924" s="3">
        <f>IFERROR(__xludf.DUMMYFUNCTION("""COMPUTED_VALUE"""),339.3)</f>
        <v>339.3</v>
      </c>
      <c r="C924" s="3">
        <f t="shared" si="3"/>
        <v>-0.1</v>
      </c>
    </row>
    <row r="925">
      <c r="B925" s="3">
        <f>IFERROR(__xludf.DUMMYFUNCTION("""COMPUTED_VALUE"""),339.4)</f>
        <v>339.4</v>
      </c>
      <c r="C925" s="3">
        <f t="shared" si="3"/>
        <v>0.1</v>
      </c>
    </row>
    <row r="926">
      <c r="B926" s="3">
        <f>IFERROR(__xludf.DUMMYFUNCTION("""COMPUTED_VALUE"""),339.4)</f>
        <v>339.4</v>
      </c>
      <c r="C926" s="3">
        <f t="shared" si="3"/>
        <v>0</v>
      </c>
    </row>
    <row r="927">
      <c r="B927" s="3">
        <f>IFERROR(__xludf.DUMMYFUNCTION("""COMPUTED_VALUE"""),339.4)</f>
        <v>339.4</v>
      </c>
      <c r="C927" s="3">
        <f t="shared" si="3"/>
        <v>0</v>
      </c>
    </row>
    <row r="928">
      <c r="B928" s="3">
        <f>IFERROR(__xludf.DUMMYFUNCTION("""COMPUTED_VALUE"""),339.5)</f>
        <v>339.5</v>
      </c>
      <c r="C928" s="3">
        <f t="shared" si="3"/>
        <v>0.1</v>
      </c>
    </row>
    <row r="929">
      <c r="B929" s="3">
        <f>IFERROR(__xludf.DUMMYFUNCTION("""COMPUTED_VALUE"""),339.4)</f>
        <v>339.4</v>
      </c>
      <c r="C929" s="3">
        <f t="shared" si="3"/>
        <v>-0.1</v>
      </c>
    </row>
    <row r="930">
      <c r="B930" s="3">
        <f>IFERROR(__xludf.DUMMYFUNCTION("""COMPUTED_VALUE"""),339.0)</f>
        <v>339</v>
      </c>
      <c r="C930" s="3">
        <f t="shared" si="3"/>
        <v>-0.4</v>
      </c>
    </row>
    <row r="931">
      <c r="B931" s="3">
        <f>IFERROR(__xludf.DUMMYFUNCTION("""COMPUTED_VALUE"""),339.2)</f>
        <v>339.2</v>
      </c>
      <c r="C931" s="3">
        <f t="shared" si="3"/>
        <v>0.2</v>
      </c>
    </row>
    <row r="932">
      <c r="B932" s="3">
        <f>IFERROR(__xludf.DUMMYFUNCTION("""COMPUTED_VALUE"""),339.4)</f>
        <v>339.4</v>
      </c>
      <c r="C932" s="3">
        <f t="shared" si="3"/>
        <v>0.2</v>
      </c>
    </row>
    <row r="933">
      <c r="B933" s="3">
        <f>IFERROR(__xludf.DUMMYFUNCTION("""COMPUTED_VALUE"""),339.4)</f>
        <v>339.4</v>
      </c>
      <c r="C933" s="3">
        <f t="shared" si="3"/>
        <v>0</v>
      </c>
    </row>
    <row r="934">
      <c r="B934" s="3">
        <f>IFERROR(__xludf.DUMMYFUNCTION("""COMPUTED_VALUE"""),339.5)</f>
        <v>339.5</v>
      </c>
      <c r="C934" s="3">
        <f t="shared" si="3"/>
        <v>0.1</v>
      </c>
    </row>
    <row r="935">
      <c r="B935" s="3">
        <f>IFERROR(__xludf.DUMMYFUNCTION("""COMPUTED_VALUE"""),339.5)</f>
        <v>339.5</v>
      </c>
      <c r="C935" s="3">
        <f t="shared" si="3"/>
        <v>0</v>
      </c>
    </row>
    <row r="936">
      <c r="B936" s="3">
        <f>IFERROR(__xludf.DUMMYFUNCTION("""COMPUTED_VALUE"""),339.3)</f>
        <v>339.3</v>
      </c>
      <c r="C936" s="3">
        <f t="shared" si="3"/>
        <v>-0.2</v>
      </c>
    </row>
    <row r="937">
      <c r="B937" s="3">
        <f>IFERROR(__xludf.DUMMYFUNCTION("""COMPUTED_VALUE"""),339.2)</f>
        <v>339.2</v>
      </c>
      <c r="C937" s="3">
        <f t="shared" si="3"/>
        <v>-0.1</v>
      </c>
    </row>
    <row r="938">
      <c r="B938" s="3">
        <f>IFERROR(__xludf.DUMMYFUNCTION("""COMPUTED_VALUE"""),339.4)</f>
        <v>339.4</v>
      </c>
      <c r="C938" s="3">
        <f t="shared" si="3"/>
        <v>0.2</v>
      </c>
    </row>
    <row r="939">
      <c r="B939" s="3">
        <f>IFERROR(__xludf.DUMMYFUNCTION("""COMPUTED_VALUE"""),339.4)</f>
        <v>339.4</v>
      </c>
      <c r="C939" s="3">
        <f t="shared" si="3"/>
        <v>0</v>
      </c>
    </row>
    <row r="940">
      <c r="B940" s="3">
        <f>IFERROR(__xludf.DUMMYFUNCTION("""COMPUTED_VALUE"""),339.4)</f>
        <v>339.4</v>
      </c>
      <c r="C940" s="3">
        <f t="shared" si="3"/>
        <v>0</v>
      </c>
    </row>
    <row r="941">
      <c r="B941" s="3">
        <f>IFERROR(__xludf.DUMMYFUNCTION("""COMPUTED_VALUE"""),339.4)</f>
        <v>339.4</v>
      </c>
      <c r="C941" s="3">
        <f t="shared" si="3"/>
        <v>0</v>
      </c>
    </row>
    <row r="942">
      <c r="B942" s="3">
        <f>IFERROR(__xludf.DUMMYFUNCTION("""COMPUTED_VALUE"""),339.4)</f>
        <v>339.4</v>
      </c>
      <c r="C942" s="3">
        <f t="shared" si="3"/>
        <v>0</v>
      </c>
    </row>
    <row r="943">
      <c r="B943" s="3">
        <f>IFERROR(__xludf.DUMMYFUNCTION("""COMPUTED_VALUE"""),339.5)</f>
        <v>339.5</v>
      </c>
      <c r="C943" s="3">
        <f t="shared" si="3"/>
        <v>0.1</v>
      </c>
    </row>
    <row r="944">
      <c r="B944" s="3">
        <f>IFERROR(__xludf.DUMMYFUNCTION("""COMPUTED_VALUE"""),339.4)</f>
        <v>339.4</v>
      </c>
      <c r="C944" s="3">
        <f t="shared" si="3"/>
        <v>-0.1</v>
      </c>
    </row>
    <row r="945">
      <c r="B945" s="3">
        <f>IFERROR(__xludf.DUMMYFUNCTION("""COMPUTED_VALUE"""),339.4)</f>
        <v>339.4</v>
      </c>
      <c r="C945" s="3">
        <f t="shared" si="3"/>
        <v>0</v>
      </c>
    </row>
    <row r="946">
      <c r="B946" s="3">
        <f>IFERROR(__xludf.DUMMYFUNCTION("""COMPUTED_VALUE"""),339.5)</f>
        <v>339.5</v>
      </c>
      <c r="C946" s="3">
        <f t="shared" si="3"/>
        <v>0.1</v>
      </c>
    </row>
    <row r="947">
      <c r="B947" s="3">
        <f>IFERROR(__xludf.DUMMYFUNCTION("""COMPUTED_VALUE"""),339.5)</f>
        <v>339.5</v>
      </c>
      <c r="C947" s="3">
        <f t="shared" si="3"/>
        <v>0</v>
      </c>
    </row>
    <row r="948">
      <c r="B948" s="3">
        <f>IFERROR(__xludf.DUMMYFUNCTION("""COMPUTED_VALUE"""),339.4)</f>
        <v>339.4</v>
      </c>
      <c r="C948" s="3">
        <f t="shared" si="3"/>
        <v>-0.1</v>
      </c>
    </row>
    <row r="949">
      <c r="B949" s="3">
        <f>IFERROR(__xludf.DUMMYFUNCTION("""COMPUTED_VALUE"""),339.5)</f>
        <v>339.5</v>
      </c>
      <c r="C949" s="3">
        <f t="shared" si="3"/>
        <v>0.1</v>
      </c>
    </row>
    <row r="950">
      <c r="B950" s="3">
        <f>IFERROR(__xludf.DUMMYFUNCTION("""COMPUTED_VALUE"""),339.3)</f>
        <v>339.3</v>
      </c>
      <c r="C950" s="3">
        <f t="shared" si="3"/>
        <v>-0.2</v>
      </c>
    </row>
    <row r="951">
      <c r="B951" s="3">
        <f>IFERROR(__xludf.DUMMYFUNCTION("""COMPUTED_VALUE"""),339.3)</f>
        <v>339.3</v>
      </c>
      <c r="C951" s="3">
        <f t="shared" si="3"/>
        <v>0</v>
      </c>
    </row>
    <row r="952">
      <c r="B952" s="3">
        <f>IFERROR(__xludf.DUMMYFUNCTION("""COMPUTED_VALUE"""),339.4)</f>
        <v>339.4</v>
      </c>
      <c r="C952" s="3">
        <f t="shared" si="3"/>
        <v>0.1</v>
      </c>
    </row>
    <row r="953">
      <c r="B953" s="3">
        <f>IFERROR(__xludf.DUMMYFUNCTION("""COMPUTED_VALUE"""),339.5)</f>
        <v>339.5</v>
      </c>
      <c r="C953" s="3">
        <f t="shared" si="3"/>
        <v>0.1</v>
      </c>
    </row>
    <row r="954">
      <c r="B954" s="3">
        <f>IFERROR(__xludf.DUMMYFUNCTION("""COMPUTED_VALUE"""),339.5)</f>
        <v>339.5</v>
      </c>
      <c r="C954" s="3">
        <f t="shared" si="3"/>
        <v>0</v>
      </c>
    </row>
    <row r="955">
      <c r="B955" s="3">
        <f>IFERROR(__xludf.DUMMYFUNCTION("""COMPUTED_VALUE"""),339.6)</f>
        <v>339.6</v>
      </c>
      <c r="C955" s="3">
        <f t="shared" si="3"/>
        <v>0.1</v>
      </c>
    </row>
    <row r="956">
      <c r="B956" s="3">
        <f>IFERROR(__xludf.DUMMYFUNCTION("""COMPUTED_VALUE"""),339.5)</f>
        <v>339.5</v>
      </c>
      <c r="C956" s="3">
        <f t="shared" si="3"/>
        <v>-0.1</v>
      </c>
    </row>
    <row r="957">
      <c r="B957" s="3">
        <f>IFERROR(__xludf.DUMMYFUNCTION("""COMPUTED_VALUE"""),339.7)</f>
        <v>339.7</v>
      </c>
      <c r="C957" s="3">
        <f t="shared" si="3"/>
        <v>0.2</v>
      </c>
    </row>
    <row r="958">
      <c r="B958" s="3">
        <f>IFERROR(__xludf.DUMMYFUNCTION("""COMPUTED_VALUE"""),339.7)</f>
        <v>339.7</v>
      </c>
      <c r="C958" s="3">
        <f t="shared" si="3"/>
        <v>0</v>
      </c>
    </row>
    <row r="959">
      <c r="B959" s="3">
        <f>IFERROR(__xludf.DUMMYFUNCTION("""COMPUTED_VALUE"""),339.6)</f>
        <v>339.6</v>
      </c>
      <c r="C959" s="3">
        <f t="shared" si="3"/>
        <v>-0.1</v>
      </c>
    </row>
    <row r="960">
      <c r="B960" s="3">
        <f>IFERROR(__xludf.DUMMYFUNCTION("""COMPUTED_VALUE"""),339.6)</f>
        <v>339.6</v>
      </c>
      <c r="C960" s="3">
        <f t="shared" si="3"/>
        <v>0</v>
      </c>
    </row>
    <row r="961">
      <c r="B961" s="3">
        <f>IFERROR(__xludf.DUMMYFUNCTION("""COMPUTED_VALUE"""),339.6)</f>
        <v>339.6</v>
      </c>
      <c r="C961" s="3">
        <f t="shared" si="3"/>
        <v>0</v>
      </c>
    </row>
    <row r="962">
      <c r="B962" s="3">
        <f>IFERROR(__xludf.DUMMYFUNCTION("""COMPUTED_VALUE"""),339.6)</f>
        <v>339.6</v>
      </c>
      <c r="C962" s="3">
        <f t="shared" si="3"/>
        <v>0</v>
      </c>
    </row>
    <row r="963">
      <c r="B963" s="3">
        <f>IFERROR(__xludf.DUMMYFUNCTION("""COMPUTED_VALUE"""),339.6)</f>
        <v>339.6</v>
      </c>
      <c r="C963" s="3">
        <f t="shared" si="3"/>
        <v>0</v>
      </c>
    </row>
    <row r="964">
      <c r="B964" s="3">
        <f>IFERROR(__xludf.DUMMYFUNCTION("""COMPUTED_VALUE"""),339.6)</f>
        <v>339.6</v>
      </c>
      <c r="C964" s="3">
        <f t="shared" si="3"/>
        <v>0</v>
      </c>
    </row>
    <row r="965">
      <c r="B965" s="3">
        <f>IFERROR(__xludf.DUMMYFUNCTION("""COMPUTED_VALUE"""),339.6)</f>
        <v>339.6</v>
      </c>
      <c r="C965" s="3">
        <f t="shared" si="3"/>
        <v>0</v>
      </c>
    </row>
    <row r="966">
      <c r="B966" s="3">
        <f>IFERROR(__xludf.DUMMYFUNCTION("""COMPUTED_VALUE"""),339.6)</f>
        <v>339.6</v>
      </c>
      <c r="C966" s="3">
        <f t="shared" si="3"/>
        <v>0</v>
      </c>
    </row>
    <row r="967">
      <c r="B967" s="3">
        <f>IFERROR(__xludf.DUMMYFUNCTION("""COMPUTED_VALUE"""),339.6)</f>
        <v>339.6</v>
      </c>
      <c r="C967" s="3">
        <f t="shared" si="3"/>
        <v>0</v>
      </c>
    </row>
    <row r="968">
      <c r="B968" s="3">
        <f>IFERROR(__xludf.DUMMYFUNCTION("""COMPUTED_VALUE"""),339.6)</f>
        <v>339.6</v>
      </c>
      <c r="C968" s="3">
        <f t="shared" si="3"/>
        <v>0</v>
      </c>
    </row>
    <row r="969">
      <c r="B969" s="3">
        <f>IFERROR(__xludf.DUMMYFUNCTION("""COMPUTED_VALUE"""),339.6)</f>
        <v>339.6</v>
      </c>
      <c r="C969" s="3">
        <f t="shared" si="3"/>
        <v>0</v>
      </c>
    </row>
    <row r="970">
      <c r="B970" s="3">
        <f>IFERROR(__xludf.DUMMYFUNCTION("""COMPUTED_VALUE"""),339.5)</f>
        <v>339.5</v>
      </c>
      <c r="C970" s="3">
        <f t="shared" si="3"/>
        <v>-0.1</v>
      </c>
    </row>
    <row r="971">
      <c r="B971" s="3">
        <f>IFERROR(__xludf.DUMMYFUNCTION("""COMPUTED_VALUE"""),339.5)</f>
        <v>339.5</v>
      </c>
      <c r="C971" s="3">
        <f t="shared" si="3"/>
        <v>0</v>
      </c>
    </row>
    <row r="972">
      <c r="B972" s="3">
        <f>IFERROR(__xludf.DUMMYFUNCTION("""COMPUTED_VALUE"""),339.5)</f>
        <v>339.5</v>
      </c>
      <c r="C972" s="3">
        <f t="shared" si="3"/>
        <v>0</v>
      </c>
    </row>
    <row r="973">
      <c r="B973" s="3">
        <f>IFERROR(__xludf.DUMMYFUNCTION("""COMPUTED_VALUE"""),339.5)</f>
        <v>339.5</v>
      </c>
      <c r="C973" s="3">
        <f t="shared" si="3"/>
        <v>0</v>
      </c>
    </row>
    <row r="974">
      <c r="B974" s="3">
        <f>IFERROR(__xludf.DUMMYFUNCTION("""COMPUTED_VALUE"""),339.6)</f>
        <v>339.6</v>
      </c>
      <c r="C974" s="3">
        <f t="shared" si="3"/>
        <v>0.1</v>
      </c>
    </row>
    <row r="975">
      <c r="B975" s="3">
        <f>IFERROR(__xludf.DUMMYFUNCTION("""COMPUTED_VALUE"""),339.7)</f>
        <v>339.7</v>
      </c>
      <c r="C975" s="3">
        <f t="shared" si="3"/>
        <v>0.1</v>
      </c>
    </row>
    <row r="976">
      <c r="B976" s="3">
        <f>IFERROR(__xludf.DUMMYFUNCTION("""COMPUTED_VALUE"""),339.7)</f>
        <v>339.7</v>
      </c>
      <c r="C976" s="3">
        <f t="shared" si="3"/>
        <v>0</v>
      </c>
    </row>
    <row r="977">
      <c r="B977" s="3">
        <f>IFERROR(__xludf.DUMMYFUNCTION("""COMPUTED_VALUE"""),339.7)</f>
        <v>339.7</v>
      </c>
      <c r="C977" s="3">
        <f t="shared" si="3"/>
        <v>0</v>
      </c>
    </row>
    <row r="978">
      <c r="B978" s="3">
        <f>IFERROR(__xludf.DUMMYFUNCTION("""COMPUTED_VALUE"""),339.7)</f>
        <v>339.7</v>
      </c>
      <c r="C978" s="3">
        <f t="shared" si="3"/>
        <v>0</v>
      </c>
    </row>
    <row r="979">
      <c r="B979" s="3">
        <f>IFERROR(__xludf.DUMMYFUNCTION("""COMPUTED_VALUE"""),339.7)</f>
        <v>339.7</v>
      </c>
      <c r="C979" s="3">
        <f t="shared" si="3"/>
        <v>0</v>
      </c>
    </row>
    <row r="980">
      <c r="B980" s="3">
        <f>IFERROR(__xludf.DUMMYFUNCTION("""COMPUTED_VALUE"""),339.7)</f>
        <v>339.7</v>
      </c>
      <c r="C980" s="3">
        <f t="shared" si="3"/>
        <v>0</v>
      </c>
    </row>
    <row r="981">
      <c r="B981" s="3">
        <f>IFERROR(__xludf.DUMMYFUNCTION("""COMPUTED_VALUE"""),339.6)</f>
        <v>339.6</v>
      </c>
      <c r="C981" s="3">
        <f t="shared" si="3"/>
        <v>-0.1</v>
      </c>
    </row>
    <row r="982">
      <c r="B982" s="3">
        <f>IFERROR(__xludf.DUMMYFUNCTION("""COMPUTED_VALUE"""),339.6)</f>
        <v>339.6</v>
      </c>
      <c r="C982" s="3">
        <f t="shared" si="3"/>
        <v>0</v>
      </c>
    </row>
    <row r="983">
      <c r="B983" s="3">
        <f>IFERROR(__xludf.DUMMYFUNCTION("""COMPUTED_VALUE"""),339.6)</f>
        <v>339.6</v>
      </c>
      <c r="C983" s="3">
        <f t="shared" si="3"/>
        <v>0</v>
      </c>
    </row>
    <row r="984">
      <c r="B984" s="3">
        <f>IFERROR(__xludf.DUMMYFUNCTION("""COMPUTED_VALUE"""),339.6)</f>
        <v>339.6</v>
      </c>
      <c r="C984" s="3">
        <f t="shared" si="3"/>
        <v>0</v>
      </c>
    </row>
    <row r="985">
      <c r="B985" s="3">
        <f>IFERROR(__xludf.DUMMYFUNCTION("""COMPUTED_VALUE"""),339.6)</f>
        <v>339.6</v>
      </c>
      <c r="C985" s="3">
        <f t="shared" si="3"/>
        <v>0</v>
      </c>
    </row>
    <row r="986">
      <c r="B986" s="3">
        <f>IFERROR(__xludf.DUMMYFUNCTION("""COMPUTED_VALUE"""),339.6)</f>
        <v>339.6</v>
      </c>
      <c r="C986" s="3">
        <f t="shared" si="3"/>
        <v>0</v>
      </c>
    </row>
    <row r="987">
      <c r="B987" s="3">
        <f>IFERROR(__xludf.DUMMYFUNCTION("""COMPUTED_VALUE"""),339.6)</f>
        <v>339.6</v>
      </c>
      <c r="C987" s="3">
        <f t="shared" si="3"/>
        <v>0</v>
      </c>
    </row>
    <row r="988">
      <c r="B988" s="3">
        <f>IFERROR(__xludf.DUMMYFUNCTION("""COMPUTED_VALUE"""),339.6)</f>
        <v>339.6</v>
      </c>
      <c r="C988" s="3">
        <f t="shared" si="3"/>
        <v>0</v>
      </c>
    </row>
    <row r="989">
      <c r="B989" s="3">
        <f>IFERROR(__xludf.DUMMYFUNCTION("""COMPUTED_VALUE"""),339.6)</f>
        <v>339.6</v>
      </c>
      <c r="C989" s="3">
        <f t="shared" si="3"/>
        <v>0</v>
      </c>
    </row>
    <row r="990">
      <c r="B990" s="3">
        <f>IFERROR(__xludf.DUMMYFUNCTION("""COMPUTED_VALUE"""),339.7)</f>
        <v>339.7</v>
      </c>
      <c r="C990" s="3">
        <f t="shared" si="3"/>
        <v>0.1</v>
      </c>
    </row>
    <row r="991">
      <c r="B991" s="3">
        <f>IFERROR(__xludf.DUMMYFUNCTION("""COMPUTED_VALUE"""),339.7)</f>
        <v>339.7</v>
      </c>
      <c r="C991" s="3">
        <f t="shared" si="3"/>
        <v>0</v>
      </c>
    </row>
    <row r="992">
      <c r="B992" s="3">
        <f>IFERROR(__xludf.DUMMYFUNCTION("""COMPUTED_VALUE"""),339.6)</f>
        <v>339.6</v>
      </c>
      <c r="C992" s="3">
        <f t="shared" si="3"/>
        <v>-0.1</v>
      </c>
    </row>
    <row r="993">
      <c r="B993" s="3">
        <f>IFERROR(__xludf.DUMMYFUNCTION("""COMPUTED_VALUE"""),339.5)</f>
        <v>339.5</v>
      </c>
      <c r="C993" s="3">
        <f t="shared" si="3"/>
        <v>-0.1</v>
      </c>
    </row>
    <row r="994">
      <c r="B994" s="3">
        <f>IFERROR(__xludf.DUMMYFUNCTION("""COMPUTED_VALUE"""),339.5)</f>
        <v>339.5</v>
      </c>
      <c r="C994" s="3">
        <f t="shared" si="3"/>
        <v>0</v>
      </c>
    </row>
    <row r="995">
      <c r="B995" s="3">
        <f>IFERROR(__xludf.DUMMYFUNCTION("""COMPUTED_VALUE"""),339.6)</f>
        <v>339.6</v>
      </c>
      <c r="C995" s="3">
        <f t="shared" si="3"/>
        <v>0.1</v>
      </c>
    </row>
    <row r="996">
      <c r="B996" s="3">
        <f>IFERROR(__xludf.DUMMYFUNCTION("""COMPUTED_VALUE"""),339.6)</f>
        <v>339.6</v>
      </c>
      <c r="C996" s="3">
        <f t="shared" si="3"/>
        <v>0</v>
      </c>
    </row>
    <row r="997">
      <c r="B997" s="3">
        <f>IFERROR(__xludf.DUMMYFUNCTION("""COMPUTED_VALUE"""),339.7)</f>
        <v>339.7</v>
      </c>
      <c r="C997" s="3">
        <f t="shared" si="3"/>
        <v>0.1</v>
      </c>
    </row>
    <row r="998">
      <c r="B998" s="3">
        <f>IFERROR(__xludf.DUMMYFUNCTION("""COMPUTED_VALUE"""),339.7)</f>
        <v>339.7</v>
      </c>
      <c r="C998" s="3">
        <f t="shared" si="3"/>
        <v>0</v>
      </c>
    </row>
    <row r="999">
      <c r="B999" s="3">
        <f>IFERROR(__xludf.DUMMYFUNCTION("""COMPUTED_VALUE"""),339.6)</f>
        <v>339.6</v>
      </c>
      <c r="C999" s="3">
        <f t="shared" si="3"/>
        <v>-0.1</v>
      </c>
    </row>
    <row r="1000">
      <c r="B1000" s="3">
        <f>IFERROR(__xludf.DUMMYFUNCTION("""COMPUTED_VALUE"""),339.5)</f>
        <v>339.5</v>
      </c>
      <c r="C1000" s="3">
        <f t="shared" si="3"/>
        <v>-0.1</v>
      </c>
    </row>
    <row r="1001">
      <c r="B1001" s="3">
        <f>IFERROR(__xludf.DUMMYFUNCTION("""COMPUTED_VALUE"""),339.5)</f>
        <v>339.5</v>
      </c>
      <c r="C1001" s="3">
        <f t="shared" si="3"/>
        <v>0</v>
      </c>
    </row>
    <row r="1002">
      <c r="B1002" s="3">
        <f>IFERROR(__xludf.DUMMYFUNCTION("""COMPUTED_VALUE"""),339.5)</f>
        <v>339.5</v>
      </c>
      <c r="C1002" s="3">
        <f t="shared" si="3"/>
        <v>0</v>
      </c>
    </row>
    <row r="1003">
      <c r="B1003" s="3">
        <f>IFERROR(__xludf.DUMMYFUNCTION("""COMPUTED_VALUE"""),339.6)</f>
        <v>339.6</v>
      </c>
      <c r="C1003" s="3">
        <f t="shared" si="3"/>
        <v>0.1</v>
      </c>
    </row>
    <row r="1004">
      <c r="B1004" s="3">
        <f>IFERROR(__xludf.DUMMYFUNCTION("""COMPUTED_VALUE"""),339.6)</f>
        <v>339.6</v>
      </c>
      <c r="C1004" s="3">
        <f t="shared" si="3"/>
        <v>0</v>
      </c>
    </row>
    <row r="1005">
      <c r="B1005" s="3">
        <f>IFERROR(__xludf.DUMMYFUNCTION("""COMPUTED_VALUE"""),339.5)</f>
        <v>339.5</v>
      </c>
      <c r="C1005" s="3">
        <f t="shared" si="3"/>
        <v>-0.1</v>
      </c>
    </row>
    <row r="1006">
      <c r="B1006" s="3">
        <f>IFERROR(__xludf.DUMMYFUNCTION("""COMPUTED_VALUE"""),339.4)</f>
        <v>339.4</v>
      </c>
      <c r="C1006" s="3">
        <f t="shared" si="3"/>
        <v>-0.1</v>
      </c>
    </row>
    <row r="1007">
      <c r="B1007" s="3">
        <f>IFERROR(__xludf.DUMMYFUNCTION("""COMPUTED_VALUE"""),339.3)</f>
        <v>339.3</v>
      </c>
      <c r="C1007" s="3">
        <f t="shared" si="3"/>
        <v>-0.1</v>
      </c>
    </row>
    <row r="1008">
      <c r="B1008" s="3">
        <f>IFERROR(__xludf.DUMMYFUNCTION("""COMPUTED_VALUE"""),339.0)</f>
        <v>339</v>
      </c>
      <c r="C1008" s="3">
        <f t="shared" si="3"/>
        <v>-0.3</v>
      </c>
    </row>
    <row r="1009">
      <c r="B1009" s="3">
        <f>IFERROR(__xludf.DUMMYFUNCTION("""COMPUTED_VALUE"""),339.3)</f>
        <v>339.3</v>
      </c>
      <c r="C1009" s="3">
        <f t="shared" si="3"/>
        <v>0.3</v>
      </c>
    </row>
    <row r="1010">
      <c r="B1010" s="3">
        <f>IFERROR(__xludf.DUMMYFUNCTION("""COMPUTED_VALUE"""),339.4)</f>
        <v>339.4</v>
      </c>
      <c r="C1010" s="3">
        <f t="shared" si="3"/>
        <v>0.1</v>
      </c>
    </row>
    <row r="1011">
      <c r="B1011" s="3">
        <f>IFERROR(__xludf.DUMMYFUNCTION("""COMPUTED_VALUE"""),339.4)</f>
        <v>339.4</v>
      </c>
      <c r="C1011" s="3">
        <f t="shared" si="3"/>
        <v>0</v>
      </c>
    </row>
    <row r="1012">
      <c r="B1012" s="3">
        <f>IFERROR(__xludf.DUMMYFUNCTION("""COMPUTED_VALUE"""),339.4)</f>
        <v>339.4</v>
      </c>
      <c r="C1012" s="3">
        <f t="shared" si="3"/>
        <v>0</v>
      </c>
    </row>
    <row r="1013">
      <c r="B1013" s="3">
        <f>IFERROR(__xludf.DUMMYFUNCTION("""COMPUTED_VALUE"""),339.4)</f>
        <v>339.4</v>
      </c>
      <c r="C1013" s="3">
        <f t="shared" si="3"/>
        <v>0</v>
      </c>
    </row>
    <row r="1014">
      <c r="B1014" s="3">
        <f>IFERROR(__xludf.DUMMYFUNCTION("""COMPUTED_VALUE"""),339.4)</f>
        <v>339.4</v>
      </c>
      <c r="C1014" s="3">
        <f t="shared" si="3"/>
        <v>0</v>
      </c>
    </row>
    <row r="1015">
      <c r="B1015" s="3">
        <f>IFERROR(__xludf.DUMMYFUNCTION("""COMPUTED_VALUE"""),339.5)</f>
        <v>339.5</v>
      </c>
      <c r="C1015" s="3">
        <f t="shared" si="3"/>
        <v>0.1</v>
      </c>
    </row>
    <row r="1016">
      <c r="B1016" s="3">
        <f>IFERROR(__xludf.DUMMYFUNCTION("""COMPUTED_VALUE"""),339.5)</f>
        <v>339.5</v>
      </c>
      <c r="C1016" s="3">
        <f t="shared" si="3"/>
        <v>0</v>
      </c>
    </row>
    <row r="1017">
      <c r="B1017" s="3">
        <f>IFERROR(__xludf.DUMMYFUNCTION("""COMPUTED_VALUE"""),339.4)</f>
        <v>339.4</v>
      </c>
      <c r="C1017" s="3">
        <f t="shared" si="3"/>
        <v>-0.1</v>
      </c>
    </row>
    <row r="1018">
      <c r="B1018" s="3">
        <f>IFERROR(__xludf.DUMMYFUNCTION("""COMPUTED_VALUE"""),339.4)</f>
        <v>339.4</v>
      </c>
      <c r="C1018" s="3">
        <f t="shared" si="3"/>
        <v>0</v>
      </c>
    </row>
    <row r="1019">
      <c r="B1019" s="3">
        <f>IFERROR(__xludf.DUMMYFUNCTION("""COMPUTED_VALUE"""),339.4)</f>
        <v>339.4</v>
      </c>
      <c r="C1019" s="3">
        <f t="shared" si="3"/>
        <v>0</v>
      </c>
    </row>
    <row r="1020">
      <c r="B1020" s="3">
        <f>IFERROR(__xludf.DUMMYFUNCTION("""COMPUTED_VALUE"""),339.3)</f>
        <v>339.3</v>
      </c>
      <c r="C1020" s="3">
        <f t="shared" si="3"/>
        <v>-0.1</v>
      </c>
    </row>
    <row r="1021">
      <c r="B1021" s="3">
        <f>IFERROR(__xludf.DUMMYFUNCTION("""COMPUTED_VALUE"""),339.3)</f>
        <v>339.3</v>
      </c>
      <c r="C1021" s="3">
        <f t="shared" si="3"/>
        <v>0</v>
      </c>
    </row>
    <row r="1022">
      <c r="B1022" s="3">
        <f>IFERROR(__xludf.DUMMYFUNCTION("""COMPUTED_VALUE"""),339.3)</f>
        <v>339.3</v>
      </c>
      <c r="C1022" s="3">
        <f t="shared" si="3"/>
        <v>0</v>
      </c>
    </row>
    <row r="1023">
      <c r="B1023" s="3">
        <f>IFERROR(__xludf.DUMMYFUNCTION("""COMPUTED_VALUE"""),339.4)</f>
        <v>339.4</v>
      </c>
      <c r="C1023" s="3">
        <f t="shared" si="3"/>
        <v>0.1</v>
      </c>
    </row>
    <row r="1024">
      <c r="B1024" s="3">
        <f>IFERROR(__xludf.DUMMYFUNCTION("""COMPUTED_VALUE"""),339.4)</f>
        <v>339.4</v>
      </c>
      <c r="C1024" s="3">
        <f t="shared" si="3"/>
        <v>0</v>
      </c>
    </row>
    <row r="1025">
      <c r="B1025" s="3">
        <f>IFERROR(__xludf.DUMMYFUNCTION("""COMPUTED_VALUE"""),339.4)</f>
        <v>339.4</v>
      </c>
      <c r="C1025" s="3">
        <f t="shared" si="3"/>
        <v>0</v>
      </c>
    </row>
    <row r="1026">
      <c r="B1026" s="3">
        <f>IFERROR(__xludf.DUMMYFUNCTION("""COMPUTED_VALUE"""),339.3)</f>
        <v>339.3</v>
      </c>
      <c r="C1026" s="3">
        <f t="shared" si="3"/>
        <v>-0.1</v>
      </c>
    </row>
    <row r="1027">
      <c r="B1027" s="3">
        <f>IFERROR(__xludf.DUMMYFUNCTION("""COMPUTED_VALUE"""),339.3)</f>
        <v>339.3</v>
      </c>
      <c r="C1027" s="3">
        <f t="shared" si="3"/>
        <v>0</v>
      </c>
    </row>
    <row r="1028">
      <c r="B1028" s="3">
        <f>IFERROR(__xludf.DUMMYFUNCTION("""COMPUTED_VALUE"""),339.4)</f>
        <v>339.4</v>
      </c>
      <c r="C1028" s="3">
        <f t="shared" si="3"/>
        <v>0.1</v>
      </c>
    </row>
    <row r="1029">
      <c r="B1029" s="3">
        <f>IFERROR(__xludf.DUMMYFUNCTION("""COMPUTED_VALUE"""),339.3)</f>
        <v>339.3</v>
      </c>
      <c r="C1029" s="3">
        <f t="shared" si="3"/>
        <v>-0.1</v>
      </c>
    </row>
    <row r="1030">
      <c r="B1030" s="3">
        <f>IFERROR(__xludf.DUMMYFUNCTION("""COMPUTED_VALUE"""),339.3)</f>
        <v>339.3</v>
      </c>
      <c r="C1030" s="3">
        <f t="shared" si="3"/>
        <v>0</v>
      </c>
    </row>
    <row r="1031">
      <c r="B1031" s="3">
        <f>IFERROR(__xludf.DUMMYFUNCTION("""COMPUTED_VALUE"""),339.3)</f>
        <v>339.3</v>
      </c>
      <c r="C1031" s="3">
        <f t="shared" si="3"/>
        <v>0</v>
      </c>
    </row>
    <row r="1032">
      <c r="B1032" s="3">
        <f>IFERROR(__xludf.DUMMYFUNCTION("""COMPUTED_VALUE"""),339.2)</f>
        <v>339.2</v>
      </c>
      <c r="C1032" s="3">
        <f t="shared" si="3"/>
        <v>-0.1</v>
      </c>
    </row>
    <row r="1033">
      <c r="B1033" s="3">
        <f>IFERROR(__xludf.DUMMYFUNCTION("""COMPUTED_VALUE"""),339.3)</f>
        <v>339.3</v>
      </c>
      <c r="C1033" s="3">
        <f t="shared" si="3"/>
        <v>0.1</v>
      </c>
    </row>
    <row r="1034">
      <c r="B1034" s="3">
        <f>IFERROR(__xludf.DUMMYFUNCTION("""COMPUTED_VALUE"""),339.4)</f>
        <v>339.4</v>
      </c>
      <c r="C1034" s="3">
        <f t="shared" si="3"/>
        <v>0.1</v>
      </c>
    </row>
    <row r="1035">
      <c r="B1035" s="3">
        <f>IFERROR(__xludf.DUMMYFUNCTION("""COMPUTED_VALUE"""),339.3)</f>
        <v>339.3</v>
      </c>
      <c r="C1035" s="3">
        <f t="shared" si="3"/>
        <v>-0.1</v>
      </c>
    </row>
    <row r="1036">
      <c r="B1036" s="3">
        <f>IFERROR(__xludf.DUMMYFUNCTION("""COMPUTED_VALUE"""),339.2)</f>
        <v>339.2</v>
      </c>
      <c r="C1036" s="3">
        <f t="shared" si="3"/>
        <v>-0.1</v>
      </c>
    </row>
    <row r="1037">
      <c r="B1037" s="3">
        <f>IFERROR(__xludf.DUMMYFUNCTION("""COMPUTED_VALUE"""),339.2)</f>
        <v>339.2</v>
      </c>
      <c r="C1037" s="3">
        <f t="shared" si="3"/>
        <v>0</v>
      </c>
    </row>
    <row r="1038">
      <c r="B1038" s="3">
        <f>IFERROR(__xludf.DUMMYFUNCTION("""COMPUTED_VALUE"""),339.3)</f>
        <v>339.3</v>
      </c>
      <c r="C1038" s="3">
        <f t="shared" si="3"/>
        <v>0.1</v>
      </c>
    </row>
    <row r="1039">
      <c r="B1039" s="3">
        <f>IFERROR(__xludf.DUMMYFUNCTION("""COMPUTED_VALUE"""),339.3)</f>
        <v>339.3</v>
      </c>
      <c r="C1039" s="3">
        <f t="shared" si="3"/>
        <v>0</v>
      </c>
    </row>
    <row r="1040">
      <c r="B1040" s="3">
        <f>IFERROR(__xludf.DUMMYFUNCTION("""COMPUTED_VALUE"""),339.3)</f>
        <v>339.3</v>
      </c>
      <c r="C1040" s="3">
        <f t="shared" si="3"/>
        <v>0</v>
      </c>
    </row>
    <row r="1041">
      <c r="B1041" s="3">
        <f>IFERROR(__xludf.DUMMYFUNCTION("""COMPUTED_VALUE"""),339.3)</f>
        <v>339.3</v>
      </c>
      <c r="C1041" s="3">
        <f t="shared" si="3"/>
        <v>0</v>
      </c>
    </row>
    <row r="1042">
      <c r="B1042" s="3">
        <f>IFERROR(__xludf.DUMMYFUNCTION("""COMPUTED_VALUE"""),339.3)</f>
        <v>339.3</v>
      </c>
      <c r="C1042" s="3">
        <f t="shared" si="3"/>
        <v>0</v>
      </c>
    </row>
    <row r="1043">
      <c r="B1043" s="3">
        <f>IFERROR(__xludf.DUMMYFUNCTION("""COMPUTED_VALUE"""),339.3)</f>
        <v>339.3</v>
      </c>
      <c r="C1043" s="3">
        <f t="shared" si="3"/>
        <v>0</v>
      </c>
    </row>
    <row r="1044">
      <c r="B1044" s="3">
        <f>IFERROR(__xludf.DUMMYFUNCTION("""COMPUTED_VALUE"""),339.3)</f>
        <v>339.3</v>
      </c>
      <c r="C1044" s="3">
        <f t="shared" si="3"/>
        <v>0</v>
      </c>
    </row>
    <row r="1045">
      <c r="B1045" s="3">
        <f>IFERROR(__xludf.DUMMYFUNCTION("""COMPUTED_VALUE"""),339.3)</f>
        <v>339.3</v>
      </c>
      <c r="C1045" s="3">
        <f t="shared" si="3"/>
        <v>0</v>
      </c>
    </row>
    <row r="1046">
      <c r="B1046" s="3">
        <f>IFERROR(__xludf.DUMMYFUNCTION("""COMPUTED_VALUE"""),339.3)</f>
        <v>339.3</v>
      </c>
      <c r="C1046" s="3">
        <f t="shared" si="3"/>
        <v>0</v>
      </c>
    </row>
    <row r="1047">
      <c r="B1047" s="3">
        <f>IFERROR(__xludf.DUMMYFUNCTION("""COMPUTED_VALUE"""),339.2)</f>
        <v>339.2</v>
      </c>
      <c r="C1047" s="3">
        <f t="shared" si="3"/>
        <v>-0.1</v>
      </c>
    </row>
    <row r="1048">
      <c r="B1048" s="3">
        <f>IFERROR(__xludf.DUMMYFUNCTION("""COMPUTED_VALUE"""),339.2)</f>
        <v>339.2</v>
      </c>
      <c r="C1048" s="3">
        <f t="shared" si="3"/>
        <v>0</v>
      </c>
    </row>
    <row r="1049">
      <c r="B1049" s="3">
        <f>IFERROR(__xludf.DUMMYFUNCTION("""COMPUTED_VALUE"""),339.2)</f>
        <v>339.2</v>
      </c>
      <c r="C1049" s="3">
        <f t="shared" si="3"/>
        <v>0</v>
      </c>
    </row>
    <row r="1050">
      <c r="B1050" s="3">
        <f>IFERROR(__xludf.DUMMYFUNCTION("""COMPUTED_VALUE"""),339.2)</f>
        <v>339.2</v>
      </c>
      <c r="C1050" s="3">
        <f t="shared" si="3"/>
        <v>0</v>
      </c>
    </row>
    <row r="1051">
      <c r="B1051" s="3">
        <f>IFERROR(__xludf.DUMMYFUNCTION("""COMPUTED_VALUE"""),339.0)</f>
        <v>339</v>
      </c>
      <c r="C1051" s="3">
        <f t="shared" si="3"/>
        <v>-0.2</v>
      </c>
    </row>
    <row r="1052">
      <c r="B1052" s="3">
        <f>IFERROR(__xludf.DUMMYFUNCTION("""COMPUTED_VALUE"""),339.2)</f>
        <v>339.2</v>
      </c>
      <c r="C1052" s="3">
        <f t="shared" si="3"/>
        <v>0.2</v>
      </c>
    </row>
    <row r="1053">
      <c r="B1053" s="3">
        <f>IFERROR(__xludf.DUMMYFUNCTION("""COMPUTED_VALUE"""),339.2)</f>
        <v>339.2</v>
      </c>
      <c r="C1053" s="3">
        <f t="shared" si="3"/>
        <v>0</v>
      </c>
    </row>
    <row r="1054">
      <c r="B1054" s="3">
        <f>IFERROR(__xludf.DUMMYFUNCTION("""COMPUTED_VALUE"""),339.3)</f>
        <v>339.3</v>
      </c>
      <c r="C1054" s="3">
        <f t="shared" si="3"/>
        <v>0.1</v>
      </c>
    </row>
    <row r="1055">
      <c r="B1055" s="3">
        <f>IFERROR(__xludf.DUMMYFUNCTION("""COMPUTED_VALUE"""),339.2)</f>
        <v>339.2</v>
      </c>
      <c r="C1055" s="3">
        <f t="shared" si="3"/>
        <v>-0.1</v>
      </c>
    </row>
    <row r="1056">
      <c r="B1056" s="3">
        <f>IFERROR(__xludf.DUMMYFUNCTION("""COMPUTED_VALUE"""),339.3)</f>
        <v>339.3</v>
      </c>
      <c r="C1056" s="3">
        <f t="shared" si="3"/>
        <v>0.1</v>
      </c>
    </row>
    <row r="1057">
      <c r="B1057" s="3">
        <f>IFERROR(__xludf.DUMMYFUNCTION("""COMPUTED_VALUE"""),339.3)</f>
        <v>339.3</v>
      </c>
      <c r="C1057" s="3">
        <f t="shared" si="3"/>
        <v>0</v>
      </c>
    </row>
    <row r="1058">
      <c r="B1058" s="3">
        <f>IFERROR(__xludf.DUMMYFUNCTION("""COMPUTED_VALUE"""),339.2)</f>
        <v>339.2</v>
      </c>
      <c r="C1058" s="3">
        <f t="shared" si="3"/>
        <v>-0.1</v>
      </c>
    </row>
    <row r="1059">
      <c r="B1059" s="3">
        <f>IFERROR(__xludf.DUMMYFUNCTION("""COMPUTED_VALUE"""),339.2)</f>
        <v>339.2</v>
      </c>
      <c r="C1059" s="3">
        <f t="shared" si="3"/>
        <v>0</v>
      </c>
    </row>
    <row r="1060">
      <c r="B1060" s="3">
        <f>IFERROR(__xludf.DUMMYFUNCTION("""COMPUTED_VALUE"""),339.2)</f>
        <v>339.2</v>
      </c>
      <c r="C1060" s="3">
        <f t="shared" si="3"/>
        <v>0</v>
      </c>
    </row>
    <row r="1061">
      <c r="B1061" s="3">
        <f>IFERROR(__xludf.DUMMYFUNCTION("""COMPUTED_VALUE"""),339.2)</f>
        <v>339.2</v>
      </c>
      <c r="C1061" s="3">
        <f t="shared" si="3"/>
        <v>0</v>
      </c>
    </row>
    <row r="1062">
      <c r="B1062" s="3">
        <f>IFERROR(__xludf.DUMMYFUNCTION("""COMPUTED_VALUE"""),339.2)</f>
        <v>339.2</v>
      </c>
      <c r="C1062" s="3">
        <f t="shared" si="3"/>
        <v>0</v>
      </c>
    </row>
    <row r="1063">
      <c r="B1063" s="3">
        <f>IFERROR(__xludf.DUMMYFUNCTION("""COMPUTED_VALUE"""),339.2)</f>
        <v>339.2</v>
      </c>
      <c r="C1063" s="3">
        <f t="shared" si="3"/>
        <v>0</v>
      </c>
    </row>
    <row r="1064">
      <c r="B1064" s="3">
        <f>IFERROR(__xludf.DUMMYFUNCTION("""COMPUTED_VALUE"""),339.2)</f>
        <v>339.2</v>
      </c>
      <c r="C1064" s="3">
        <f t="shared" si="3"/>
        <v>0</v>
      </c>
    </row>
    <row r="1065">
      <c r="B1065" s="3">
        <f>IFERROR(__xludf.DUMMYFUNCTION("""COMPUTED_VALUE"""),339.2)</f>
        <v>339.2</v>
      </c>
      <c r="C1065" s="3">
        <f t="shared" si="3"/>
        <v>0</v>
      </c>
    </row>
    <row r="1066">
      <c r="B1066" s="3">
        <f>IFERROR(__xludf.DUMMYFUNCTION("""COMPUTED_VALUE"""),339.2)</f>
        <v>339.2</v>
      </c>
      <c r="C1066" s="3">
        <f t="shared" si="3"/>
        <v>0</v>
      </c>
    </row>
    <row r="1067">
      <c r="B1067" s="3">
        <f>IFERROR(__xludf.DUMMYFUNCTION("""COMPUTED_VALUE"""),339.2)</f>
        <v>339.2</v>
      </c>
      <c r="C1067" s="3">
        <f t="shared" si="3"/>
        <v>0</v>
      </c>
    </row>
    <row r="1068">
      <c r="B1068" s="3">
        <f>IFERROR(__xludf.DUMMYFUNCTION("""COMPUTED_VALUE"""),339.2)</f>
        <v>339.2</v>
      </c>
      <c r="C1068" s="3">
        <f t="shared" si="3"/>
        <v>0</v>
      </c>
    </row>
    <row r="1069">
      <c r="B1069" s="3">
        <f>IFERROR(__xludf.DUMMYFUNCTION("""COMPUTED_VALUE"""),339.2)</f>
        <v>339.2</v>
      </c>
      <c r="C1069" s="3">
        <f t="shared" si="3"/>
        <v>0</v>
      </c>
    </row>
    <row r="1070">
      <c r="B1070" s="3">
        <f>IFERROR(__xludf.DUMMYFUNCTION("""COMPUTED_VALUE"""),339.2)</f>
        <v>339.2</v>
      </c>
      <c r="C1070" s="3">
        <f t="shared" si="3"/>
        <v>0</v>
      </c>
    </row>
    <row r="1071">
      <c r="B1071" s="3">
        <f>IFERROR(__xludf.DUMMYFUNCTION("""COMPUTED_VALUE"""),339.2)</f>
        <v>339.2</v>
      </c>
      <c r="C1071" s="3">
        <f t="shared" si="3"/>
        <v>0</v>
      </c>
    </row>
    <row r="1072">
      <c r="B1072" s="3">
        <f>IFERROR(__xludf.DUMMYFUNCTION("""COMPUTED_VALUE"""),339.2)</f>
        <v>339.2</v>
      </c>
      <c r="C1072" s="3">
        <f t="shared" si="3"/>
        <v>0</v>
      </c>
    </row>
    <row r="1073">
      <c r="B1073" s="3">
        <f>IFERROR(__xludf.DUMMYFUNCTION("""COMPUTED_VALUE"""),339.2)</f>
        <v>339.2</v>
      </c>
      <c r="C1073" s="3">
        <f t="shared" si="3"/>
        <v>0</v>
      </c>
    </row>
    <row r="1074">
      <c r="B1074" s="3">
        <f>IFERROR(__xludf.DUMMYFUNCTION("""COMPUTED_VALUE"""),339.2)</f>
        <v>339.2</v>
      </c>
      <c r="C1074" s="3">
        <f t="shared" si="3"/>
        <v>0</v>
      </c>
    </row>
    <row r="1075">
      <c r="B1075" s="3">
        <f>IFERROR(__xludf.DUMMYFUNCTION("""COMPUTED_VALUE"""),339.2)</f>
        <v>339.2</v>
      </c>
      <c r="C1075" s="3">
        <f t="shared" si="3"/>
        <v>0</v>
      </c>
    </row>
    <row r="1076">
      <c r="B1076" s="3">
        <f>IFERROR(__xludf.DUMMYFUNCTION("""COMPUTED_VALUE"""),339.2)</f>
        <v>339.2</v>
      </c>
      <c r="C1076" s="3">
        <f t="shared" si="3"/>
        <v>0</v>
      </c>
    </row>
    <row r="1077">
      <c r="B1077" s="3">
        <f>IFERROR(__xludf.DUMMYFUNCTION("""COMPUTED_VALUE"""),339.2)</f>
        <v>339.2</v>
      </c>
      <c r="C1077" s="3">
        <f t="shared" si="3"/>
        <v>0</v>
      </c>
    </row>
    <row r="1078">
      <c r="B1078" s="3">
        <f>IFERROR(__xludf.DUMMYFUNCTION("""COMPUTED_VALUE"""),339.2)</f>
        <v>339.2</v>
      </c>
      <c r="C1078" s="3">
        <f t="shared" si="3"/>
        <v>0</v>
      </c>
    </row>
    <row r="1079">
      <c r="B1079" s="3">
        <f>IFERROR(__xludf.DUMMYFUNCTION("""COMPUTED_VALUE"""),339.2)</f>
        <v>339.2</v>
      </c>
      <c r="C1079" s="3">
        <f t="shared" si="3"/>
        <v>0</v>
      </c>
    </row>
    <row r="1080">
      <c r="B1080" s="3">
        <f>IFERROR(__xludf.DUMMYFUNCTION("""COMPUTED_VALUE"""),339.2)</f>
        <v>339.2</v>
      </c>
      <c r="C1080" s="3">
        <f t="shared" si="3"/>
        <v>0</v>
      </c>
    </row>
    <row r="1081">
      <c r="B1081" s="3">
        <f>IFERROR(__xludf.DUMMYFUNCTION("""COMPUTED_VALUE"""),339.2)</f>
        <v>339.2</v>
      </c>
      <c r="C1081" s="3">
        <f t="shared" si="3"/>
        <v>0</v>
      </c>
    </row>
    <row r="1082">
      <c r="B1082" s="3">
        <f>IFERROR(__xludf.DUMMYFUNCTION("""COMPUTED_VALUE"""),339.2)</f>
        <v>339.2</v>
      </c>
      <c r="C1082" s="3">
        <f t="shared" si="3"/>
        <v>0</v>
      </c>
    </row>
    <row r="1083">
      <c r="B1083" s="3">
        <f>IFERROR(__xludf.DUMMYFUNCTION("""COMPUTED_VALUE"""),339.1)</f>
        <v>339.1</v>
      </c>
      <c r="C1083" s="3">
        <f t="shared" si="3"/>
        <v>-0.1</v>
      </c>
    </row>
    <row r="1084">
      <c r="B1084" s="3">
        <f>IFERROR(__xludf.DUMMYFUNCTION("""COMPUTED_VALUE"""),339.0)</f>
        <v>339</v>
      </c>
      <c r="C1084" s="3">
        <f t="shared" si="3"/>
        <v>-0.1</v>
      </c>
    </row>
    <row r="1085">
      <c r="B1085" s="3">
        <f>IFERROR(__xludf.DUMMYFUNCTION("""COMPUTED_VALUE"""),339.1)</f>
        <v>339.1</v>
      </c>
      <c r="C1085" s="3">
        <f t="shared" si="3"/>
        <v>0.1</v>
      </c>
    </row>
    <row r="1086">
      <c r="B1086" s="3">
        <f>IFERROR(__xludf.DUMMYFUNCTION("""COMPUTED_VALUE"""),339.1)</f>
        <v>339.1</v>
      </c>
      <c r="C1086" s="3">
        <f t="shared" si="3"/>
        <v>0</v>
      </c>
    </row>
    <row r="1087">
      <c r="B1087" s="3">
        <f>IFERROR(__xludf.DUMMYFUNCTION("""COMPUTED_VALUE"""),339.1)</f>
        <v>339.1</v>
      </c>
      <c r="C1087" s="3">
        <f t="shared" si="3"/>
        <v>0</v>
      </c>
    </row>
    <row r="1088">
      <c r="B1088" s="3">
        <f>IFERROR(__xludf.DUMMYFUNCTION("""COMPUTED_VALUE"""),339.1)</f>
        <v>339.1</v>
      </c>
      <c r="C1088" s="3">
        <f t="shared" si="3"/>
        <v>0</v>
      </c>
    </row>
    <row r="1089">
      <c r="B1089" s="3">
        <f>IFERROR(__xludf.DUMMYFUNCTION("""COMPUTED_VALUE"""),339.1)</f>
        <v>339.1</v>
      </c>
      <c r="C1089" s="3">
        <f t="shared" si="3"/>
        <v>0</v>
      </c>
    </row>
    <row r="1090">
      <c r="B1090" s="3">
        <f>IFERROR(__xludf.DUMMYFUNCTION("""COMPUTED_VALUE"""),339.2)</f>
        <v>339.2</v>
      </c>
      <c r="C1090" s="3">
        <f t="shared" si="3"/>
        <v>0.1</v>
      </c>
    </row>
    <row r="1091">
      <c r="B1091" s="3">
        <f>IFERROR(__xludf.DUMMYFUNCTION("""COMPUTED_VALUE"""),339.2)</f>
        <v>339.2</v>
      </c>
      <c r="C1091" s="3">
        <f t="shared" si="3"/>
        <v>0</v>
      </c>
    </row>
    <row r="1092">
      <c r="B1092" s="3">
        <f>IFERROR(__xludf.DUMMYFUNCTION("""COMPUTED_VALUE"""),339.3)</f>
        <v>339.3</v>
      </c>
      <c r="C1092" s="3">
        <f t="shared" si="3"/>
        <v>0.1</v>
      </c>
    </row>
    <row r="1093">
      <c r="B1093" s="3">
        <f>IFERROR(__xludf.DUMMYFUNCTION("""COMPUTED_VALUE"""),339.2)</f>
        <v>339.2</v>
      </c>
      <c r="C1093" s="3">
        <f t="shared" si="3"/>
        <v>-0.1</v>
      </c>
    </row>
    <row r="1094">
      <c r="B1094" s="3">
        <f>IFERROR(__xludf.DUMMYFUNCTION("""COMPUTED_VALUE"""),339.2)</f>
        <v>339.2</v>
      </c>
      <c r="C1094" s="3">
        <f t="shared" si="3"/>
        <v>0</v>
      </c>
    </row>
    <row r="1095">
      <c r="B1095" s="3">
        <f>IFERROR(__xludf.DUMMYFUNCTION("""COMPUTED_VALUE"""),339.2)</f>
        <v>339.2</v>
      </c>
      <c r="C1095" s="3">
        <f t="shared" si="3"/>
        <v>0</v>
      </c>
    </row>
    <row r="1096">
      <c r="B1096" s="3">
        <f>IFERROR(__xludf.DUMMYFUNCTION("""COMPUTED_VALUE"""),339.3)</f>
        <v>339.3</v>
      </c>
      <c r="C1096" s="3">
        <f t="shared" si="3"/>
        <v>0.1</v>
      </c>
    </row>
    <row r="1097">
      <c r="B1097" s="3">
        <f>IFERROR(__xludf.DUMMYFUNCTION("""COMPUTED_VALUE"""),339.3)</f>
        <v>339.3</v>
      </c>
      <c r="C1097" s="3">
        <f t="shared" si="3"/>
        <v>0</v>
      </c>
    </row>
    <row r="1098">
      <c r="B1098" s="3">
        <f>IFERROR(__xludf.DUMMYFUNCTION("""COMPUTED_VALUE"""),339.3)</f>
        <v>339.3</v>
      </c>
      <c r="C1098" s="3">
        <f t="shared" si="3"/>
        <v>0</v>
      </c>
    </row>
    <row r="1099">
      <c r="B1099" s="3">
        <f>IFERROR(__xludf.DUMMYFUNCTION("""COMPUTED_VALUE"""),339.3)</f>
        <v>339.3</v>
      </c>
      <c r="C1099" s="3">
        <f t="shared" si="3"/>
        <v>0</v>
      </c>
    </row>
    <row r="1100">
      <c r="B1100" s="3">
        <f>IFERROR(__xludf.DUMMYFUNCTION("""COMPUTED_VALUE"""),339.3)</f>
        <v>339.3</v>
      </c>
      <c r="C1100" s="3">
        <f t="shared" si="3"/>
        <v>0</v>
      </c>
    </row>
    <row r="1101">
      <c r="B1101" s="3">
        <f>IFERROR(__xludf.DUMMYFUNCTION("""COMPUTED_VALUE"""),339.3)</f>
        <v>339.3</v>
      </c>
      <c r="C1101" s="3">
        <f t="shared" si="3"/>
        <v>0</v>
      </c>
    </row>
    <row r="1102">
      <c r="B1102" s="3">
        <f>IFERROR(__xludf.DUMMYFUNCTION("""COMPUTED_VALUE"""),339.3)</f>
        <v>339.3</v>
      </c>
      <c r="C1102" s="3">
        <f t="shared" si="3"/>
        <v>0</v>
      </c>
    </row>
    <row r="1103">
      <c r="B1103" s="3">
        <f>IFERROR(__xludf.DUMMYFUNCTION("""COMPUTED_VALUE"""),339.3)</f>
        <v>339.3</v>
      </c>
      <c r="C1103" s="3">
        <f t="shared" si="3"/>
        <v>0</v>
      </c>
    </row>
    <row r="1104">
      <c r="B1104" s="3">
        <f>IFERROR(__xludf.DUMMYFUNCTION("""COMPUTED_VALUE"""),339.3)</f>
        <v>339.3</v>
      </c>
      <c r="C1104" s="3">
        <f t="shared" si="3"/>
        <v>0</v>
      </c>
    </row>
    <row r="1105">
      <c r="B1105" s="3">
        <f>IFERROR(__xludf.DUMMYFUNCTION("""COMPUTED_VALUE"""),339.3)</f>
        <v>339.3</v>
      </c>
      <c r="C1105" s="3">
        <f t="shared" si="3"/>
        <v>0</v>
      </c>
    </row>
    <row r="1106">
      <c r="B1106" s="3">
        <f>IFERROR(__xludf.DUMMYFUNCTION("""COMPUTED_VALUE"""),339.2)</f>
        <v>339.2</v>
      </c>
      <c r="C1106" s="3">
        <f t="shared" si="3"/>
        <v>-0.1</v>
      </c>
    </row>
    <row r="1107">
      <c r="B1107" s="3">
        <f>IFERROR(__xludf.DUMMYFUNCTION("""COMPUTED_VALUE"""),339.2)</f>
        <v>339.2</v>
      </c>
      <c r="C1107" s="3">
        <f t="shared" si="3"/>
        <v>0</v>
      </c>
    </row>
    <row r="1108">
      <c r="B1108" s="3">
        <f>IFERROR(__xludf.DUMMYFUNCTION("""COMPUTED_VALUE"""),339.2)</f>
        <v>339.2</v>
      </c>
      <c r="C1108" s="3">
        <f t="shared" si="3"/>
        <v>0</v>
      </c>
    </row>
    <row r="1109">
      <c r="B1109" s="3">
        <f>IFERROR(__xludf.DUMMYFUNCTION("""COMPUTED_VALUE"""),339.2)</f>
        <v>339.2</v>
      </c>
      <c r="C1109" s="3">
        <f t="shared" si="3"/>
        <v>0</v>
      </c>
    </row>
    <row r="1110">
      <c r="B1110" s="3">
        <f>IFERROR(__xludf.DUMMYFUNCTION("""COMPUTED_VALUE"""),339.2)</f>
        <v>339.2</v>
      </c>
      <c r="C1110" s="3">
        <f t="shared" si="3"/>
        <v>0</v>
      </c>
    </row>
    <row r="1111">
      <c r="B1111" s="3">
        <f>IFERROR(__xludf.DUMMYFUNCTION("""COMPUTED_VALUE"""),339.3)</f>
        <v>339.3</v>
      </c>
      <c r="C1111" s="3">
        <f t="shared" si="3"/>
        <v>0.1</v>
      </c>
    </row>
    <row r="1112">
      <c r="B1112" s="3">
        <f>IFERROR(__xludf.DUMMYFUNCTION("""COMPUTED_VALUE"""),339.2)</f>
        <v>339.2</v>
      </c>
      <c r="C1112" s="3">
        <f t="shared" si="3"/>
        <v>-0.1</v>
      </c>
    </row>
    <row r="1113">
      <c r="B1113" s="3">
        <f>IFERROR(__xludf.DUMMYFUNCTION("""COMPUTED_VALUE"""),339.2)</f>
        <v>339.2</v>
      </c>
      <c r="C1113" s="3">
        <f t="shared" si="3"/>
        <v>0</v>
      </c>
    </row>
    <row r="1114">
      <c r="B1114" s="3">
        <f>IFERROR(__xludf.DUMMYFUNCTION("""COMPUTED_VALUE"""),339.2)</f>
        <v>339.2</v>
      </c>
      <c r="C1114" s="3">
        <f t="shared" si="3"/>
        <v>0</v>
      </c>
    </row>
    <row r="1115">
      <c r="B1115" s="3">
        <f>IFERROR(__xludf.DUMMYFUNCTION("""COMPUTED_VALUE"""),339.2)</f>
        <v>339.2</v>
      </c>
      <c r="C1115" s="3">
        <f t="shared" si="3"/>
        <v>0</v>
      </c>
    </row>
    <row r="1116">
      <c r="B1116" s="3">
        <f>IFERROR(__xludf.DUMMYFUNCTION("""COMPUTED_VALUE"""),339.2)</f>
        <v>339.2</v>
      </c>
      <c r="C1116" s="3">
        <f t="shared" si="3"/>
        <v>0</v>
      </c>
    </row>
    <row r="1117">
      <c r="B1117" s="3">
        <f>IFERROR(__xludf.DUMMYFUNCTION("""COMPUTED_VALUE"""),339.2)</f>
        <v>339.2</v>
      </c>
      <c r="C1117" s="3">
        <f t="shared" si="3"/>
        <v>0</v>
      </c>
    </row>
    <row r="1118">
      <c r="B1118" s="3">
        <f>IFERROR(__xludf.DUMMYFUNCTION("""COMPUTED_VALUE"""),339.2)</f>
        <v>339.2</v>
      </c>
      <c r="C1118" s="3">
        <f t="shared" si="3"/>
        <v>0</v>
      </c>
    </row>
    <row r="1119">
      <c r="B1119" s="3">
        <f>IFERROR(__xludf.DUMMYFUNCTION("""COMPUTED_VALUE"""),339.2)</f>
        <v>339.2</v>
      </c>
      <c r="C1119" s="3">
        <f t="shared" si="3"/>
        <v>0</v>
      </c>
    </row>
    <row r="1120">
      <c r="B1120" s="3">
        <f>IFERROR(__xludf.DUMMYFUNCTION("""COMPUTED_VALUE"""),339.2)</f>
        <v>339.2</v>
      </c>
      <c r="C1120" s="3">
        <f t="shared" si="3"/>
        <v>0</v>
      </c>
    </row>
    <row r="1121">
      <c r="B1121" s="3">
        <f>IFERROR(__xludf.DUMMYFUNCTION("""COMPUTED_VALUE"""),339.2)</f>
        <v>339.2</v>
      </c>
      <c r="C1121" s="3">
        <f t="shared" si="3"/>
        <v>0</v>
      </c>
    </row>
    <row r="1122">
      <c r="B1122" s="3">
        <f>IFERROR(__xludf.DUMMYFUNCTION("""COMPUTED_VALUE"""),339.1)</f>
        <v>339.1</v>
      </c>
      <c r="C1122" s="3">
        <f t="shared" si="3"/>
        <v>-0.1</v>
      </c>
    </row>
    <row r="1123">
      <c r="C1123" s="3" t="str">
        <f t="shared" si="3"/>
        <v/>
      </c>
    </row>
    <row r="1124">
      <c r="C1124" s="3" t="str">
        <f t="shared" si="3"/>
        <v/>
      </c>
    </row>
    <row r="1125">
      <c r="C1125" s="3" t="str">
        <f t="shared" si="3"/>
        <v/>
      </c>
    </row>
    <row r="1126">
      <c r="C1126" s="3" t="str">
        <f t="shared" si="3"/>
        <v/>
      </c>
    </row>
    <row r="1127">
      <c r="C1127" s="3" t="str">
        <f t="shared" si="3"/>
        <v/>
      </c>
    </row>
    <row r="1128">
      <c r="C1128" s="3" t="str">
        <f t="shared" si="3"/>
        <v/>
      </c>
    </row>
    <row r="1129">
      <c r="C1129" s="3" t="str">
        <f t="shared" si="3"/>
        <v/>
      </c>
    </row>
    <row r="1130">
      <c r="C1130" s="3" t="str">
        <f t="shared" si="3"/>
        <v/>
      </c>
    </row>
    <row r="1131">
      <c r="C1131" s="3" t="str">
        <f t="shared" si="3"/>
        <v/>
      </c>
    </row>
    <row r="1132">
      <c r="C1132" s="3" t="str">
        <f t="shared" si="3"/>
        <v/>
      </c>
    </row>
    <row r="1133">
      <c r="C1133" s="3" t="str">
        <f t="shared" si="3"/>
        <v/>
      </c>
    </row>
    <row r="1134">
      <c r="C1134" s="3" t="str">
        <f t="shared" si="3"/>
        <v/>
      </c>
    </row>
    <row r="1135">
      <c r="C1135" s="3" t="str">
        <f t="shared" si="3"/>
        <v/>
      </c>
    </row>
    <row r="1136">
      <c r="C1136" s="3" t="str">
        <f t="shared" si="3"/>
        <v/>
      </c>
    </row>
    <row r="1137">
      <c r="C1137" s="3" t="str">
        <f t="shared" si="3"/>
        <v/>
      </c>
    </row>
    <row r="1138">
      <c r="C1138" s="3" t="str">
        <f t="shared" si="3"/>
        <v/>
      </c>
    </row>
    <row r="1139">
      <c r="C1139" s="3" t="str">
        <f t="shared" si="3"/>
        <v/>
      </c>
    </row>
    <row r="1140">
      <c r="C1140" s="3" t="str">
        <f t="shared" si="3"/>
        <v/>
      </c>
    </row>
    <row r="1141">
      <c r="C1141" s="3" t="str">
        <f t="shared" si="3"/>
        <v/>
      </c>
    </row>
    <row r="1142">
      <c r="C1142" s="3" t="str">
        <f t="shared" si="3"/>
        <v/>
      </c>
    </row>
    <row r="1143">
      <c r="C1143" s="3" t="str">
        <f t="shared" si="3"/>
        <v/>
      </c>
    </row>
    <row r="1144">
      <c r="C1144" s="3" t="str">
        <f t="shared" si="3"/>
        <v/>
      </c>
    </row>
    <row r="1145">
      <c r="C1145" s="3" t="str">
        <f t="shared" si="3"/>
        <v/>
      </c>
    </row>
    <row r="1146">
      <c r="C1146" s="3" t="str">
        <f t="shared" si="3"/>
        <v/>
      </c>
    </row>
    <row r="1147">
      <c r="C1147" s="3" t="str">
        <f t="shared" si="3"/>
        <v/>
      </c>
    </row>
    <row r="1148">
      <c r="C1148" s="3" t="str">
        <f t="shared" si="3"/>
        <v/>
      </c>
    </row>
    <row r="1149">
      <c r="C1149" s="3" t="str">
        <f t="shared" si="3"/>
        <v/>
      </c>
    </row>
    <row r="1150">
      <c r="C1150" s="3" t="str">
        <f t="shared" si="3"/>
        <v/>
      </c>
    </row>
    <row r="1151">
      <c r="C1151" s="3" t="str">
        <f t="shared" si="3"/>
        <v/>
      </c>
    </row>
    <row r="1152">
      <c r="C1152" s="3" t="str">
        <f t="shared" si="3"/>
        <v/>
      </c>
    </row>
    <row r="1153">
      <c r="C1153" s="3" t="str">
        <f t="shared" si="3"/>
        <v/>
      </c>
    </row>
    <row r="1154">
      <c r="C1154" s="3" t="str">
        <f t="shared" si="3"/>
        <v/>
      </c>
    </row>
    <row r="1155">
      <c r="C1155" s="3" t="str">
        <f t="shared" si="3"/>
        <v/>
      </c>
    </row>
    <row r="1156">
      <c r="C1156" s="3" t="str">
        <f t="shared" si="3"/>
        <v/>
      </c>
    </row>
    <row r="1157">
      <c r="C1157" s="3" t="str">
        <f t="shared" si="3"/>
        <v/>
      </c>
    </row>
    <row r="1158">
      <c r="C1158" s="3" t="str">
        <f t="shared" si="3"/>
        <v/>
      </c>
    </row>
    <row r="1159">
      <c r="C1159" s="3" t="str">
        <f t="shared" si="3"/>
        <v/>
      </c>
    </row>
    <row r="1160">
      <c r="C1160" s="3" t="str">
        <f t="shared" si="3"/>
        <v/>
      </c>
    </row>
    <row r="1161">
      <c r="C1161" s="3" t="str">
        <f t="shared" si="3"/>
        <v/>
      </c>
    </row>
    <row r="1162">
      <c r="C1162" s="3" t="str">
        <f t="shared" si="3"/>
        <v/>
      </c>
    </row>
    <row r="1163">
      <c r="C1163" s="3" t="str">
        <f t="shared" si="3"/>
        <v/>
      </c>
    </row>
    <row r="1164">
      <c r="C1164" s="3" t="str">
        <f t="shared" si="3"/>
        <v/>
      </c>
    </row>
    <row r="1165">
      <c r="C1165" s="3" t="str">
        <f t="shared" si="3"/>
        <v/>
      </c>
    </row>
    <row r="1166">
      <c r="C1166" s="3" t="str">
        <f t="shared" si="3"/>
        <v/>
      </c>
    </row>
    <row r="1167">
      <c r="C1167" s="3" t="str">
        <f t="shared" si="3"/>
        <v/>
      </c>
    </row>
    <row r="1168">
      <c r="C1168" s="3" t="str">
        <f t="shared" si="3"/>
        <v/>
      </c>
    </row>
    <row r="1169">
      <c r="C1169" s="3" t="str">
        <f t="shared" si="3"/>
        <v/>
      </c>
    </row>
    <row r="1170">
      <c r="C1170" s="3" t="str">
        <f t="shared" si="3"/>
        <v/>
      </c>
    </row>
    <row r="1171">
      <c r="C1171" s="3" t="str">
        <f t="shared" si="3"/>
        <v/>
      </c>
    </row>
    <row r="1172">
      <c r="C1172" s="3" t="str">
        <f t="shared" si="3"/>
        <v/>
      </c>
    </row>
    <row r="1173">
      <c r="C1173" s="3" t="str">
        <f t="shared" si="3"/>
        <v/>
      </c>
    </row>
    <row r="1174">
      <c r="C1174" s="3" t="str">
        <f t="shared" si="3"/>
        <v/>
      </c>
    </row>
    <row r="1175">
      <c r="C1175" s="3" t="str">
        <f t="shared" si="3"/>
        <v/>
      </c>
    </row>
    <row r="1176">
      <c r="C1176" s="3" t="str">
        <f t="shared" si="3"/>
        <v/>
      </c>
    </row>
    <row r="1177">
      <c r="C1177" s="3" t="str">
        <f t="shared" si="3"/>
        <v/>
      </c>
    </row>
    <row r="1178">
      <c r="C1178" s="3" t="str">
        <f t="shared" si="3"/>
        <v/>
      </c>
    </row>
    <row r="1179">
      <c r="C1179" s="3" t="str">
        <f t="shared" si="3"/>
        <v/>
      </c>
    </row>
    <row r="1180">
      <c r="C1180" s="3" t="str">
        <f t="shared" si="3"/>
        <v/>
      </c>
    </row>
    <row r="1181">
      <c r="C1181" s="3" t="str">
        <f t="shared" si="3"/>
        <v/>
      </c>
    </row>
    <row r="1182">
      <c r="C1182" s="3" t="str">
        <f t="shared" si="3"/>
        <v/>
      </c>
    </row>
    <row r="1183">
      <c r="C1183" s="3" t="str">
        <f t="shared" si="3"/>
        <v/>
      </c>
    </row>
    <row r="1184">
      <c r="C1184" s="3" t="str">
        <f t="shared" si="3"/>
        <v/>
      </c>
    </row>
    <row r="1185">
      <c r="C1185" s="3" t="str">
        <f t="shared" si="3"/>
        <v/>
      </c>
    </row>
    <row r="1186">
      <c r="C1186" s="3" t="str">
        <f t="shared" si="3"/>
        <v/>
      </c>
    </row>
    <row r="1187">
      <c r="C1187" s="3" t="str">
        <f t="shared" si="3"/>
        <v/>
      </c>
    </row>
    <row r="1188">
      <c r="C1188" s="3" t="str">
        <f t="shared" si="3"/>
        <v/>
      </c>
    </row>
    <row r="1189">
      <c r="C1189" s="3" t="str">
        <f t="shared" si="3"/>
        <v/>
      </c>
    </row>
    <row r="1190">
      <c r="C1190" s="3" t="str">
        <f t="shared" si="3"/>
        <v/>
      </c>
    </row>
    <row r="1191">
      <c r="C1191" s="3" t="str">
        <f t="shared" si="3"/>
        <v/>
      </c>
    </row>
    <row r="1192">
      <c r="C1192" s="3" t="str">
        <f t="shared" si="3"/>
        <v/>
      </c>
    </row>
    <row r="1193">
      <c r="C1193" s="3" t="str">
        <f t="shared" si="3"/>
        <v/>
      </c>
    </row>
    <row r="1194">
      <c r="C1194" s="3" t="str">
        <f t="shared" si="3"/>
        <v/>
      </c>
    </row>
    <row r="1195">
      <c r="C1195" s="3" t="str">
        <f t="shared" si="3"/>
        <v/>
      </c>
    </row>
    <row r="1196">
      <c r="C1196" s="3" t="str">
        <f t="shared" si="3"/>
        <v/>
      </c>
    </row>
    <row r="1197">
      <c r="C1197" s="3" t="str">
        <f t="shared" si="3"/>
        <v/>
      </c>
    </row>
    <row r="1198">
      <c r="C1198" s="3" t="str">
        <f t="shared" si="3"/>
        <v/>
      </c>
    </row>
    <row r="1199">
      <c r="C1199" s="3" t="str">
        <f t="shared" si="3"/>
        <v/>
      </c>
    </row>
    <row r="1200">
      <c r="C1200" s="3" t="str">
        <f t="shared" si="3"/>
        <v/>
      </c>
    </row>
    <row r="1201">
      <c r="C1201" s="3" t="str">
        <f t="shared" si="3"/>
        <v/>
      </c>
    </row>
    <row r="1202">
      <c r="C1202" s="3" t="str">
        <f t="shared" si="3"/>
        <v/>
      </c>
    </row>
    <row r="1203">
      <c r="C1203" s="3" t="str">
        <f t="shared" si="3"/>
        <v/>
      </c>
    </row>
    <row r="1204">
      <c r="C1204" s="3" t="str">
        <f t="shared" si="3"/>
        <v/>
      </c>
    </row>
    <row r="1205">
      <c r="C1205" s="3" t="str">
        <f t="shared" si="3"/>
        <v/>
      </c>
    </row>
    <row r="1206">
      <c r="C1206" s="3" t="str">
        <f t="shared" si="3"/>
        <v/>
      </c>
    </row>
    <row r="1207">
      <c r="C1207" s="3" t="str">
        <f t="shared" si="3"/>
        <v/>
      </c>
    </row>
    <row r="1208">
      <c r="C1208" s="3" t="str">
        <f t="shared" si="3"/>
        <v/>
      </c>
    </row>
    <row r="1209">
      <c r="C1209" s="3" t="str">
        <f t="shared" si="3"/>
        <v/>
      </c>
    </row>
    <row r="1210">
      <c r="C1210" s="3" t="str">
        <f t="shared" si="3"/>
        <v/>
      </c>
    </row>
    <row r="1211">
      <c r="C1211" s="3" t="str">
        <f t="shared" si="3"/>
        <v/>
      </c>
    </row>
    <row r="1212">
      <c r="C1212" s="3" t="str">
        <f t="shared" si="3"/>
        <v/>
      </c>
    </row>
    <row r="1213">
      <c r="C1213" s="3" t="str">
        <f t="shared" si="3"/>
        <v/>
      </c>
    </row>
    <row r="1214">
      <c r="C1214" s="3" t="str">
        <f t="shared" si="3"/>
        <v/>
      </c>
    </row>
    <row r="1215">
      <c r="C1215" s="3" t="str">
        <f t="shared" si="3"/>
        <v/>
      </c>
    </row>
    <row r="1216">
      <c r="C1216" s="3" t="str">
        <f t="shared" si="3"/>
        <v/>
      </c>
    </row>
    <row r="1217">
      <c r="C1217" s="3" t="str">
        <f t="shared" si="3"/>
        <v/>
      </c>
    </row>
    <row r="1218">
      <c r="C1218" s="3" t="str">
        <f t="shared" si="3"/>
        <v/>
      </c>
    </row>
    <row r="1219">
      <c r="C1219" s="3" t="str">
        <f t="shared" si="3"/>
        <v/>
      </c>
    </row>
    <row r="1220">
      <c r="C1220" s="3" t="str">
        <f t="shared" si="3"/>
        <v/>
      </c>
    </row>
    <row r="1221">
      <c r="C1221" s="3" t="str">
        <f t="shared" si="3"/>
        <v/>
      </c>
    </row>
    <row r="1222">
      <c r="C1222" s="3" t="str">
        <f t="shared" si="3"/>
        <v/>
      </c>
    </row>
    <row r="1223">
      <c r="C1223" s="3" t="str">
        <f t="shared" si="3"/>
        <v/>
      </c>
    </row>
    <row r="1224">
      <c r="C1224" s="3" t="str">
        <f t="shared" si="3"/>
        <v/>
      </c>
    </row>
    <row r="1225">
      <c r="C1225" s="3" t="str">
        <f t="shared" si="3"/>
        <v/>
      </c>
    </row>
    <row r="1226">
      <c r="C1226" s="3" t="str">
        <f t="shared" si="3"/>
        <v/>
      </c>
    </row>
    <row r="1227">
      <c r="C1227" s="3" t="str">
        <f t="shared" si="3"/>
        <v/>
      </c>
    </row>
    <row r="1228">
      <c r="C1228" s="3" t="str">
        <f t="shared" si="3"/>
        <v/>
      </c>
    </row>
    <row r="1229">
      <c r="C1229" s="3" t="str">
        <f t="shared" si="3"/>
        <v/>
      </c>
    </row>
    <row r="1230">
      <c r="C1230" s="3" t="str">
        <f t="shared" si="3"/>
        <v/>
      </c>
    </row>
    <row r="1231">
      <c r="C1231" s="3" t="str">
        <f t="shared" si="3"/>
        <v/>
      </c>
    </row>
    <row r="1232">
      <c r="C1232" s="3" t="str">
        <f t="shared" si="3"/>
        <v/>
      </c>
    </row>
    <row r="1233">
      <c r="C1233" s="3" t="str">
        <f t="shared" si="3"/>
        <v/>
      </c>
    </row>
    <row r="1234">
      <c r="C1234" s="3" t="str">
        <f t="shared" si="3"/>
        <v/>
      </c>
    </row>
    <row r="1235">
      <c r="C1235" s="3" t="str">
        <f t="shared" si="3"/>
        <v/>
      </c>
    </row>
    <row r="1236">
      <c r="C1236" s="3" t="str">
        <f t="shared" si="3"/>
        <v/>
      </c>
    </row>
    <row r="1237">
      <c r="C1237" s="3" t="str">
        <f t="shared" si="3"/>
        <v/>
      </c>
    </row>
    <row r="1238">
      <c r="C1238" s="3" t="str">
        <f t="shared" si="3"/>
        <v/>
      </c>
    </row>
    <row r="1239">
      <c r="C1239" s="3" t="str">
        <f t="shared" si="3"/>
        <v/>
      </c>
    </row>
    <row r="1240">
      <c r="C1240" s="3" t="str">
        <f t="shared" si="3"/>
        <v/>
      </c>
    </row>
    <row r="1241">
      <c r="C1241" s="3" t="str">
        <f t="shared" si="3"/>
        <v/>
      </c>
    </row>
    <row r="1242">
      <c r="C1242" s="3" t="str">
        <f t="shared" si="3"/>
        <v/>
      </c>
    </row>
    <row r="1243">
      <c r="C1243" s="3" t="str">
        <f t="shared" si="3"/>
        <v/>
      </c>
    </row>
    <row r="1244">
      <c r="C1244" s="3" t="str">
        <f t="shared" si="3"/>
        <v/>
      </c>
    </row>
    <row r="1245">
      <c r="C1245" s="3" t="str">
        <f t="shared" si="3"/>
        <v/>
      </c>
    </row>
    <row r="1246">
      <c r="C1246" s="3" t="str">
        <f t="shared" si="3"/>
        <v/>
      </c>
    </row>
    <row r="1247">
      <c r="C1247" s="3" t="str">
        <f t="shared" si="3"/>
        <v/>
      </c>
    </row>
    <row r="1248">
      <c r="C1248" s="3" t="str">
        <f t="shared" si="3"/>
        <v/>
      </c>
    </row>
    <row r="1249">
      <c r="C1249" s="3" t="str">
        <f t="shared" si="3"/>
        <v/>
      </c>
    </row>
    <row r="1250">
      <c r="C1250" s="3" t="str">
        <f t="shared" si="3"/>
        <v/>
      </c>
    </row>
    <row r="1251">
      <c r="C1251" s="3" t="str">
        <f t="shared" si="3"/>
        <v/>
      </c>
    </row>
    <row r="1252">
      <c r="C1252" s="3" t="str">
        <f t="shared" si="3"/>
        <v/>
      </c>
    </row>
    <row r="1253">
      <c r="C1253" s="3" t="str">
        <f t="shared" si="3"/>
        <v/>
      </c>
    </row>
    <row r="1254">
      <c r="C1254" s="3" t="str">
        <f t="shared" si="3"/>
        <v/>
      </c>
    </row>
    <row r="1255">
      <c r="C1255" s="3" t="str">
        <f t="shared" si="3"/>
        <v/>
      </c>
    </row>
    <row r="1256">
      <c r="C1256" s="3" t="str">
        <f t="shared" si="3"/>
        <v/>
      </c>
    </row>
    <row r="1257">
      <c r="C1257" s="3" t="str">
        <f t="shared" si="3"/>
        <v/>
      </c>
    </row>
    <row r="1258">
      <c r="C1258" s="3" t="str">
        <f t="shared" si="3"/>
        <v/>
      </c>
    </row>
    <row r="1259">
      <c r="C1259" s="3" t="str">
        <f t="shared" si="3"/>
        <v/>
      </c>
    </row>
    <row r="1260">
      <c r="C1260" s="3" t="str">
        <f t="shared" si="3"/>
        <v/>
      </c>
    </row>
    <row r="1261">
      <c r="C1261" s="3" t="str">
        <f t="shared" si="3"/>
        <v/>
      </c>
    </row>
    <row r="1262">
      <c r="C1262" s="3" t="str">
        <f t="shared" si="3"/>
        <v/>
      </c>
    </row>
    <row r="1263">
      <c r="C1263" s="3" t="str">
        <f t="shared" si="3"/>
        <v/>
      </c>
    </row>
    <row r="1264">
      <c r="C1264" s="3" t="str">
        <f t="shared" si="3"/>
        <v/>
      </c>
    </row>
    <row r="1265">
      <c r="C1265" s="3" t="str">
        <f t="shared" si="3"/>
        <v/>
      </c>
    </row>
    <row r="1266">
      <c r="C1266" s="3" t="str">
        <f t="shared" si="3"/>
        <v/>
      </c>
    </row>
    <row r="1267">
      <c r="C1267" s="3" t="str">
        <f t="shared" si="3"/>
        <v/>
      </c>
    </row>
    <row r="1268">
      <c r="C1268" s="3" t="str">
        <f t="shared" si="3"/>
        <v/>
      </c>
    </row>
    <row r="1269">
      <c r="C1269" s="3" t="str">
        <f t="shared" si="3"/>
        <v/>
      </c>
    </row>
    <row r="1270">
      <c r="C1270" s="3" t="str">
        <f t="shared" si="3"/>
        <v/>
      </c>
    </row>
    <row r="1271">
      <c r="C1271" s="3" t="str">
        <f t="shared" si="3"/>
        <v/>
      </c>
    </row>
    <row r="1272">
      <c r="C1272" s="3" t="str">
        <f t="shared" si="3"/>
        <v/>
      </c>
    </row>
    <row r="1273">
      <c r="C1273" s="3" t="str">
        <f t="shared" si="3"/>
        <v/>
      </c>
    </row>
    <row r="1274">
      <c r="C1274" s="3" t="str">
        <f t="shared" si="3"/>
        <v/>
      </c>
    </row>
    <row r="1275">
      <c r="C1275" s="3" t="str">
        <f t="shared" si="3"/>
        <v/>
      </c>
    </row>
    <row r="1276">
      <c r="C1276" s="3" t="str">
        <f t="shared" si="3"/>
        <v/>
      </c>
    </row>
    <row r="1277">
      <c r="C1277" s="3" t="str">
        <f t="shared" si="3"/>
        <v/>
      </c>
    </row>
    <row r="1278">
      <c r="C1278" s="3" t="str">
        <f t="shared" si="3"/>
        <v/>
      </c>
    </row>
    <row r="1279">
      <c r="C1279" s="3" t="str">
        <f t="shared" si="3"/>
        <v/>
      </c>
    </row>
    <row r="1280">
      <c r="C1280" s="3" t="str">
        <f t="shared" si="3"/>
        <v/>
      </c>
    </row>
    <row r="1281">
      <c r="C1281" s="3" t="str">
        <f t="shared" si="3"/>
        <v/>
      </c>
    </row>
    <row r="1282">
      <c r="C1282" s="3" t="str">
        <f t="shared" si="3"/>
        <v/>
      </c>
    </row>
    <row r="1283">
      <c r="C1283" s="3" t="str">
        <f t="shared" si="3"/>
        <v/>
      </c>
    </row>
    <row r="1284">
      <c r="C1284" s="3" t="str">
        <f t="shared" si="3"/>
        <v/>
      </c>
    </row>
    <row r="1285">
      <c r="C1285" s="3" t="str">
        <f t="shared" si="3"/>
        <v/>
      </c>
    </row>
    <row r="1286">
      <c r="C1286" s="3" t="str">
        <f t="shared" si="3"/>
        <v/>
      </c>
    </row>
    <row r="1287">
      <c r="C1287" s="3" t="str">
        <f t="shared" si="3"/>
        <v/>
      </c>
    </row>
    <row r="1288">
      <c r="C1288" s="3" t="str">
        <f t="shared" si="3"/>
        <v/>
      </c>
    </row>
    <row r="1289">
      <c r="C1289" s="3" t="str">
        <f t="shared" si="3"/>
        <v/>
      </c>
    </row>
    <row r="1290">
      <c r="C1290" s="3" t="str">
        <f t="shared" si="3"/>
        <v/>
      </c>
    </row>
    <row r="1291">
      <c r="C1291" s="3" t="str">
        <f t="shared" si="3"/>
        <v/>
      </c>
    </row>
    <row r="1292">
      <c r="C1292" s="3" t="str">
        <f t="shared" si="3"/>
        <v/>
      </c>
    </row>
    <row r="1293">
      <c r="C1293" s="3" t="str">
        <f t="shared" si="3"/>
        <v/>
      </c>
    </row>
    <row r="1294">
      <c r="C1294" s="3" t="str">
        <f t="shared" si="3"/>
        <v/>
      </c>
    </row>
    <row r="1295">
      <c r="C1295" s="3" t="str">
        <f t="shared" si="3"/>
        <v/>
      </c>
    </row>
    <row r="1296">
      <c r="C1296" s="3" t="str">
        <f t="shared" si="3"/>
        <v/>
      </c>
    </row>
    <row r="1297">
      <c r="C1297" s="3" t="str">
        <f t="shared" si="3"/>
        <v/>
      </c>
    </row>
    <row r="1298">
      <c r="C1298" s="3" t="str">
        <f t="shared" si="3"/>
        <v/>
      </c>
    </row>
    <row r="1299">
      <c r="C1299" s="3" t="str">
        <f t="shared" si="3"/>
        <v/>
      </c>
    </row>
    <row r="1300">
      <c r="C1300" s="3" t="str">
        <f t="shared" si="3"/>
        <v/>
      </c>
    </row>
    <row r="1301">
      <c r="C1301" s="3" t="str">
        <f t="shared" si="3"/>
        <v/>
      </c>
    </row>
    <row r="1302">
      <c r="C1302" s="3" t="str">
        <f t="shared" si="3"/>
        <v/>
      </c>
    </row>
    <row r="1303">
      <c r="C1303" s="3" t="str">
        <f t="shared" si="3"/>
        <v/>
      </c>
    </row>
    <row r="1304">
      <c r="C1304" s="3" t="str">
        <f t="shared" si="3"/>
        <v/>
      </c>
    </row>
    <row r="1305">
      <c r="C1305" s="3" t="str">
        <f t="shared" si="3"/>
        <v/>
      </c>
    </row>
    <row r="1306">
      <c r="C1306" s="3" t="str">
        <f t="shared" si="3"/>
        <v/>
      </c>
    </row>
    <row r="1307">
      <c r="C1307" s="3" t="str">
        <f t="shared" si="3"/>
        <v/>
      </c>
    </row>
    <row r="1308">
      <c r="C1308" s="3" t="str">
        <f t="shared" si="3"/>
        <v/>
      </c>
    </row>
    <row r="1309">
      <c r="C1309" s="3" t="str">
        <f t="shared" si="3"/>
        <v/>
      </c>
    </row>
    <row r="1310">
      <c r="C1310" s="3" t="str">
        <f t="shared" si="3"/>
        <v/>
      </c>
    </row>
    <row r="1311">
      <c r="C1311" s="3" t="str">
        <f t="shared" si="3"/>
        <v/>
      </c>
    </row>
    <row r="1312">
      <c r="C1312" s="3" t="str">
        <f t="shared" si="3"/>
        <v/>
      </c>
    </row>
    <row r="1313">
      <c r="C1313" s="3" t="str">
        <f t="shared" si="3"/>
        <v/>
      </c>
    </row>
    <row r="1314">
      <c r="C1314" s="3" t="str">
        <f t="shared" si="3"/>
        <v/>
      </c>
    </row>
    <row r="1315">
      <c r="C1315" s="3" t="str">
        <f t="shared" si="3"/>
        <v/>
      </c>
    </row>
    <row r="1316">
      <c r="C1316" s="3" t="str">
        <f t="shared" si="3"/>
        <v/>
      </c>
    </row>
    <row r="1317">
      <c r="C1317" s="3" t="str">
        <f t="shared" si="3"/>
        <v/>
      </c>
    </row>
    <row r="1318">
      <c r="C1318" s="3" t="str">
        <f t="shared" si="3"/>
        <v/>
      </c>
    </row>
    <row r="1319">
      <c r="C1319" s="3" t="str">
        <f t="shared" si="3"/>
        <v/>
      </c>
    </row>
    <row r="1320">
      <c r="C1320" s="3" t="str">
        <f t="shared" si="3"/>
        <v/>
      </c>
    </row>
    <row r="1321">
      <c r="C1321" s="3" t="str">
        <f t="shared" si="3"/>
        <v/>
      </c>
    </row>
    <row r="1322">
      <c r="C1322" s="3" t="str">
        <f t="shared" si="3"/>
        <v/>
      </c>
    </row>
    <row r="1323">
      <c r="C1323" s="3" t="str">
        <f t="shared" si="3"/>
        <v/>
      </c>
    </row>
    <row r="1324">
      <c r="C1324" s="3" t="str">
        <f t="shared" si="3"/>
        <v/>
      </c>
    </row>
    <row r="1325">
      <c r="C1325" s="3" t="str">
        <f t="shared" si="3"/>
        <v/>
      </c>
    </row>
    <row r="1326">
      <c r="C1326" s="3" t="str">
        <f t="shared" si="3"/>
        <v/>
      </c>
    </row>
    <row r="1327">
      <c r="C1327" s="3" t="str">
        <f t="shared" si="3"/>
        <v/>
      </c>
    </row>
    <row r="1328">
      <c r="C1328" s="3" t="str">
        <f t="shared" si="3"/>
        <v/>
      </c>
    </row>
    <row r="1329">
      <c r="C1329" s="3" t="str">
        <f t="shared" si="3"/>
        <v/>
      </c>
    </row>
    <row r="1330">
      <c r="C1330" s="3" t="str">
        <f t="shared" si="3"/>
        <v/>
      </c>
    </row>
    <row r="1331">
      <c r="C1331" s="3" t="str">
        <f t="shared" si="3"/>
        <v/>
      </c>
    </row>
    <row r="1332">
      <c r="C1332" s="3" t="str">
        <f t="shared" si="3"/>
        <v/>
      </c>
    </row>
    <row r="1333">
      <c r="C1333" s="3" t="str">
        <f t="shared" si="3"/>
        <v/>
      </c>
    </row>
    <row r="1334">
      <c r="C1334" s="3" t="str">
        <f t="shared" si="3"/>
        <v/>
      </c>
    </row>
    <row r="1335">
      <c r="C1335" s="3" t="str">
        <f t="shared" si="3"/>
        <v/>
      </c>
    </row>
    <row r="1336">
      <c r="C1336" s="3" t="str">
        <f t="shared" si="3"/>
        <v/>
      </c>
    </row>
    <row r="1337">
      <c r="C1337" s="3" t="str">
        <f t="shared" si="3"/>
        <v/>
      </c>
    </row>
    <row r="1338">
      <c r="C1338" s="3" t="str">
        <f t="shared" si="3"/>
        <v/>
      </c>
    </row>
    <row r="1339">
      <c r="C1339" s="3" t="str">
        <f t="shared" si="3"/>
        <v/>
      </c>
    </row>
    <row r="1340">
      <c r="C1340" s="3" t="str">
        <f t="shared" si="3"/>
        <v/>
      </c>
    </row>
    <row r="1341">
      <c r="C1341" s="3" t="str">
        <f t="shared" si="3"/>
        <v/>
      </c>
    </row>
    <row r="1342">
      <c r="C1342" s="3" t="str">
        <f t="shared" si="3"/>
        <v/>
      </c>
    </row>
    <row r="1343">
      <c r="C1343" s="3" t="str">
        <f t="shared" si="3"/>
        <v/>
      </c>
    </row>
    <row r="1344">
      <c r="C1344" s="3" t="str">
        <f t="shared" si="3"/>
        <v/>
      </c>
    </row>
    <row r="1345">
      <c r="C1345" s="3" t="str">
        <f t="shared" si="3"/>
        <v/>
      </c>
    </row>
    <row r="1346">
      <c r="C1346" s="3" t="str">
        <f t="shared" si="3"/>
        <v/>
      </c>
    </row>
    <row r="1347">
      <c r="C1347" s="3" t="str">
        <f t="shared" si="3"/>
        <v/>
      </c>
    </row>
    <row r="1348">
      <c r="C1348" s="3" t="str">
        <f t="shared" si="3"/>
        <v/>
      </c>
    </row>
    <row r="1349">
      <c r="C1349" s="3" t="str">
        <f t="shared" si="3"/>
        <v/>
      </c>
    </row>
    <row r="1350">
      <c r="C1350" s="3" t="str">
        <f t="shared" si="3"/>
        <v/>
      </c>
    </row>
    <row r="1351">
      <c r="C1351" s="3" t="str">
        <f t="shared" si="3"/>
        <v/>
      </c>
    </row>
    <row r="1352">
      <c r="C1352" s="3" t="str">
        <f t="shared" si="3"/>
        <v/>
      </c>
    </row>
    <row r="1353">
      <c r="C1353" s="3" t="str">
        <f t="shared" si="3"/>
        <v/>
      </c>
    </row>
    <row r="1354">
      <c r="C1354" s="3" t="str">
        <f t="shared" si="3"/>
        <v/>
      </c>
    </row>
    <row r="1355">
      <c r="C1355" s="3" t="str">
        <f t="shared" si="3"/>
        <v/>
      </c>
    </row>
    <row r="1356">
      <c r="C1356" s="3" t="str">
        <f t="shared" si="3"/>
        <v/>
      </c>
    </row>
    <row r="1357">
      <c r="C1357" s="3" t="str">
        <f t="shared" si="3"/>
        <v/>
      </c>
    </row>
    <row r="1358">
      <c r="C1358" s="3" t="str">
        <f t="shared" si="3"/>
        <v/>
      </c>
    </row>
    <row r="1359">
      <c r="C1359" s="3" t="str">
        <f t="shared" si="3"/>
        <v/>
      </c>
    </row>
    <row r="1360">
      <c r="C1360" s="3" t="str">
        <f t="shared" si="3"/>
        <v/>
      </c>
    </row>
    <row r="1361">
      <c r="C1361" s="3" t="str">
        <f t="shared" si="3"/>
        <v/>
      </c>
    </row>
    <row r="1362">
      <c r="C1362" s="3" t="str">
        <f t="shared" si="3"/>
        <v/>
      </c>
    </row>
    <row r="1363">
      <c r="C1363" s="3" t="str">
        <f t="shared" si="3"/>
        <v/>
      </c>
    </row>
    <row r="1364">
      <c r="C1364" s="3" t="str">
        <f t="shared" si="3"/>
        <v/>
      </c>
    </row>
    <row r="1365">
      <c r="C1365" s="3" t="str">
        <f t="shared" si="3"/>
        <v/>
      </c>
    </row>
    <row r="1366">
      <c r="C1366" s="3" t="str">
        <f t="shared" si="3"/>
        <v/>
      </c>
    </row>
    <row r="1367">
      <c r="C1367" s="3" t="str">
        <f t="shared" si="3"/>
        <v/>
      </c>
    </row>
    <row r="1368">
      <c r="C1368" s="3" t="str">
        <f t="shared" si="3"/>
        <v/>
      </c>
    </row>
    <row r="1369">
      <c r="C1369" s="3" t="str">
        <f t="shared" si="3"/>
        <v/>
      </c>
    </row>
    <row r="1370">
      <c r="C1370" s="3" t="str">
        <f t="shared" si="3"/>
        <v/>
      </c>
    </row>
    <row r="1371">
      <c r="C1371" s="3" t="str">
        <f t="shared" si="3"/>
        <v/>
      </c>
    </row>
    <row r="1372">
      <c r="C1372" s="3" t="str">
        <f t="shared" si="3"/>
        <v/>
      </c>
    </row>
    <row r="1373">
      <c r="C1373" s="3" t="str">
        <f t="shared" si="3"/>
        <v/>
      </c>
    </row>
    <row r="1374">
      <c r="C1374" s="3" t="str">
        <f t="shared" si="3"/>
        <v/>
      </c>
    </row>
    <row r="1375">
      <c r="C1375" s="3" t="str">
        <f t="shared" si="3"/>
        <v/>
      </c>
    </row>
    <row r="1376">
      <c r="C1376" s="3" t="str">
        <f t="shared" si="3"/>
        <v/>
      </c>
    </row>
    <row r="1377">
      <c r="C1377" s="3" t="str">
        <f t="shared" si="3"/>
        <v/>
      </c>
    </row>
    <row r="1378">
      <c r="C1378" s="3" t="str">
        <f t="shared" si="3"/>
        <v/>
      </c>
    </row>
    <row r="1379">
      <c r="C1379" s="3" t="str">
        <f t="shared" si="3"/>
        <v/>
      </c>
    </row>
    <row r="1380">
      <c r="C1380" s="3" t="str">
        <f t="shared" si="3"/>
        <v/>
      </c>
    </row>
    <row r="1381">
      <c r="C1381" s="3" t="str">
        <f t="shared" si="3"/>
        <v/>
      </c>
    </row>
    <row r="1382">
      <c r="C1382" s="3" t="str">
        <f t="shared" si="3"/>
        <v/>
      </c>
    </row>
    <row r="1383">
      <c r="C1383" s="3" t="str">
        <f t="shared" si="3"/>
        <v/>
      </c>
    </row>
    <row r="1384">
      <c r="C1384" s="3" t="str">
        <f t="shared" si="3"/>
        <v/>
      </c>
    </row>
    <row r="1385">
      <c r="C1385" s="3" t="str">
        <f t="shared" si="3"/>
        <v/>
      </c>
    </row>
    <row r="1386">
      <c r="C1386" s="3" t="str">
        <f t="shared" si="3"/>
        <v/>
      </c>
    </row>
    <row r="1387">
      <c r="C1387" s="3" t="str">
        <f t="shared" si="3"/>
        <v/>
      </c>
    </row>
    <row r="1388">
      <c r="C1388" s="3" t="str">
        <f t="shared" si="3"/>
        <v/>
      </c>
    </row>
    <row r="1389">
      <c r="C1389" s="3" t="str">
        <f t="shared" si="3"/>
        <v/>
      </c>
    </row>
    <row r="1390">
      <c r="C1390" s="3" t="str">
        <f t="shared" si="3"/>
        <v/>
      </c>
    </row>
    <row r="1391">
      <c r="C1391" s="3" t="str">
        <f t="shared" si="3"/>
        <v/>
      </c>
    </row>
    <row r="1392">
      <c r="C1392" s="3" t="str">
        <f t="shared" si="3"/>
        <v/>
      </c>
    </row>
    <row r="1393">
      <c r="C1393" s="3" t="str">
        <f t="shared" si="3"/>
        <v/>
      </c>
    </row>
    <row r="1394">
      <c r="C1394" s="3" t="str">
        <f t="shared" si="3"/>
        <v/>
      </c>
    </row>
    <row r="1395">
      <c r="C1395" s="3" t="str">
        <f t="shared" si="3"/>
        <v/>
      </c>
    </row>
    <row r="1396">
      <c r="C1396" s="3" t="str">
        <f t="shared" si="3"/>
        <v/>
      </c>
    </row>
    <row r="1397">
      <c r="C1397" s="3" t="str">
        <f t="shared" si="3"/>
        <v/>
      </c>
    </row>
    <row r="1398">
      <c r="C1398" s="3" t="str">
        <f t="shared" si="3"/>
        <v/>
      </c>
    </row>
    <row r="1399">
      <c r="C1399" s="3" t="str">
        <f t="shared" si="3"/>
        <v/>
      </c>
    </row>
    <row r="1400">
      <c r="C1400" s="3" t="str">
        <f t="shared" si="3"/>
        <v/>
      </c>
    </row>
    <row r="1401">
      <c r="C1401" s="3" t="str">
        <f t="shared" si="3"/>
        <v/>
      </c>
    </row>
    <row r="1402">
      <c r="C1402" s="3" t="str">
        <f t="shared" si="3"/>
        <v/>
      </c>
    </row>
    <row r="1403">
      <c r="C1403" s="3" t="str">
        <f t="shared" si="3"/>
        <v/>
      </c>
    </row>
    <row r="1404">
      <c r="C1404" s="3" t="str">
        <f t="shared" si="3"/>
        <v/>
      </c>
    </row>
    <row r="1405">
      <c r="C1405" s="3" t="str">
        <f t="shared" si="3"/>
        <v/>
      </c>
    </row>
    <row r="1406">
      <c r="C1406" s="3" t="str">
        <f t="shared" si="3"/>
        <v/>
      </c>
    </row>
    <row r="1407">
      <c r="C1407" s="3" t="str">
        <f t="shared" si="3"/>
        <v/>
      </c>
    </row>
    <row r="1408">
      <c r="C1408" s="3" t="str">
        <f t="shared" si="3"/>
        <v/>
      </c>
    </row>
    <row r="1409">
      <c r="C1409" s="3" t="str">
        <f t="shared" si="3"/>
        <v/>
      </c>
    </row>
    <row r="1410">
      <c r="C1410" s="3" t="str">
        <f t="shared" si="3"/>
        <v/>
      </c>
    </row>
    <row r="1411">
      <c r="C1411" s="3" t="str">
        <f t="shared" si="3"/>
        <v/>
      </c>
    </row>
    <row r="1412">
      <c r="C1412" s="3" t="str">
        <f t="shared" si="3"/>
        <v/>
      </c>
    </row>
    <row r="1413">
      <c r="C1413" s="3" t="str">
        <f t="shared" si="3"/>
        <v/>
      </c>
    </row>
    <row r="1414">
      <c r="C1414" s="3" t="str">
        <f t="shared" si="3"/>
        <v/>
      </c>
    </row>
    <row r="1415">
      <c r="C1415" s="3" t="str">
        <f t="shared" si="3"/>
        <v/>
      </c>
    </row>
    <row r="1416">
      <c r="C1416" s="3" t="str">
        <f t="shared" si="3"/>
        <v/>
      </c>
    </row>
    <row r="1417">
      <c r="C1417" s="3" t="str">
        <f t="shared" si="3"/>
        <v/>
      </c>
    </row>
    <row r="1418">
      <c r="C1418" s="3" t="str">
        <f t="shared" si="3"/>
        <v/>
      </c>
    </row>
    <row r="1419">
      <c r="C1419" s="3" t="str">
        <f t="shared" si="3"/>
        <v/>
      </c>
    </row>
    <row r="1420">
      <c r="C1420" s="3" t="str">
        <f t="shared" si="3"/>
        <v/>
      </c>
    </row>
    <row r="1421">
      <c r="C1421" s="3" t="str">
        <f t="shared" si="3"/>
        <v/>
      </c>
    </row>
    <row r="1422">
      <c r="C1422" s="3" t="str">
        <f t="shared" si="3"/>
        <v/>
      </c>
    </row>
    <row r="1423">
      <c r="C1423" s="3" t="str">
        <f t="shared" si="3"/>
        <v/>
      </c>
    </row>
    <row r="1424">
      <c r="C1424" s="3" t="str">
        <f t="shared" si="3"/>
        <v/>
      </c>
    </row>
    <row r="1425">
      <c r="C1425" s="3" t="str">
        <f t="shared" si="3"/>
        <v/>
      </c>
    </row>
    <row r="1426">
      <c r="C1426" s="3" t="str">
        <f t="shared" si="3"/>
        <v/>
      </c>
    </row>
    <row r="1427">
      <c r="C1427" s="3" t="str">
        <f t="shared" si="3"/>
        <v/>
      </c>
    </row>
    <row r="1428">
      <c r="C1428" s="3" t="str">
        <f t="shared" si="3"/>
        <v/>
      </c>
    </row>
    <row r="1429">
      <c r="C1429" s="3" t="str">
        <f t="shared" si="3"/>
        <v/>
      </c>
    </row>
    <row r="1430">
      <c r="C1430" s="3" t="str">
        <f t="shared" si="3"/>
        <v/>
      </c>
    </row>
    <row r="1431">
      <c r="C1431" s="3" t="str">
        <f t="shared" si="3"/>
        <v/>
      </c>
    </row>
    <row r="1432">
      <c r="C1432" s="3" t="str">
        <f t="shared" si="3"/>
        <v/>
      </c>
    </row>
    <row r="1433">
      <c r="C1433" s="3" t="str">
        <f t="shared" si="3"/>
        <v/>
      </c>
    </row>
    <row r="1434">
      <c r="C1434" s="3" t="str">
        <f t="shared" si="3"/>
        <v/>
      </c>
    </row>
    <row r="1435">
      <c r="C1435" s="3" t="str">
        <f t="shared" si="3"/>
        <v/>
      </c>
    </row>
    <row r="1436">
      <c r="C1436" s="3" t="str">
        <f t="shared" si="3"/>
        <v/>
      </c>
    </row>
    <row r="1437">
      <c r="C1437" s="3" t="str">
        <f t="shared" si="3"/>
        <v/>
      </c>
    </row>
    <row r="1438">
      <c r="C1438" s="3" t="str">
        <f t="shared" si="3"/>
        <v/>
      </c>
    </row>
    <row r="1439">
      <c r="C1439" s="3" t="str">
        <f t="shared" si="3"/>
        <v/>
      </c>
    </row>
    <row r="1440">
      <c r="C1440" s="3" t="str">
        <f t="shared" si="3"/>
        <v/>
      </c>
    </row>
    <row r="1441">
      <c r="C1441" s="3" t="str">
        <f t="shared" si="3"/>
        <v/>
      </c>
    </row>
    <row r="1442">
      <c r="C1442" s="3" t="str">
        <f t="shared" si="3"/>
        <v/>
      </c>
    </row>
    <row r="1443">
      <c r="C1443" s="3" t="str">
        <f t="shared" si="3"/>
        <v/>
      </c>
    </row>
    <row r="1444">
      <c r="C1444" s="3" t="str">
        <f t="shared" si="3"/>
        <v/>
      </c>
    </row>
    <row r="1445">
      <c r="C1445" s="3" t="str">
        <f t="shared" si="3"/>
        <v/>
      </c>
    </row>
    <row r="1446">
      <c r="C1446" s="3" t="str">
        <f t="shared" si="3"/>
        <v/>
      </c>
    </row>
    <row r="1447">
      <c r="C1447" s="3" t="str">
        <f t="shared" si="3"/>
        <v/>
      </c>
    </row>
    <row r="1448">
      <c r="C1448" s="3" t="str">
        <f t="shared" si="3"/>
        <v/>
      </c>
    </row>
    <row r="1449">
      <c r="C1449" s="3" t="str">
        <f t="shared" si="3"/>
        <v/>
      </c>
    </row>
    <row r="1450">
      <c r="C1450" s="3" t="str">
        <f t="shared" si="3"/>
        <v/>
      </c>
    </row>
    <row r="1451">
      <c r="C1451" s="3" t="str">
        <f t="shared" si="3"/>
        <v/>
      </c>
    </row>
    <row r="1452">
      <c r="C1452" s="3" t="str">
        <f t="shared" si="3"/>
        <v/>
      </c>
    </row>
    <row r="1453">
      <c r="C1453" s="3" t="str">
        <f t="shared" si="3"/>
        <v/>
      </c>
    </row>
    <row r="1454">
      <c r="C1454" s="3" t="str">
        <f t="shared" si="3"/>
        <v/>
      </c>
    </row>
    <row r="1455">
      <c r="C1455" s="3" t="str">
        <f t="shared" si="3"/>
        <v/>
      </c>
    </row>
    <row r="1456">
      <c r="C1456" s="3" t="str">
        <f t="shared" si="3"/>
        <v/>
      </c>
    </row>
    <row r="1457">
      <c r="C1457" s="3" t="str">
        <f t="shared" si="3"/>
        <v/>
      </c>
    </row>
    <row r="1458">
      <c r="C1458" s="3" t="str">
        <f t="shared" si="3"/>
        <v/>
      </c>
    </row>
    <row r="1459">
      <c r="C1459" s="3" t="str">
        <f t="shared" si="3"/>
        <v/>
      </c>
    </row>
    <row r="1460">
      <c r="C1460" s="3" t="str">
        <f t="shared" si="3"/>
        <v/>
      </c>
    </row>
    <row r="1461">
      <c r="C1461" s="3" t="str">
        <f t="shared" si="3"/>
        <v/>
      </c>
    </row>
    <row r="1462">
      <c r="C1462" s="3" t="str">
        <f t="shared" si="3"/>
        <v/>
      </c>
    </row>
    <row r="1463">
      <c r="C1463" s="3" t="str">
        <f t="shared" si="3"/>
        <v/>
      </c>
    </row>
    <row r="1464">
      <c r="C1464" s="3" t="str">
        <f t="shared" si="3"/>
        <v/>
      </c>
    </row>
    <row r="1465">
      <c r="C1465" s="3" t="str">
        <f t="shared" si="3"/>
        <v/>
      </c>
    </row>
    <row r="1466">
      <c r="C1466" s="3" t="str">
        <f t="shared" si="3"/>
        <v/>
      </c>
    </row>
    <row r="1467">
      <c r="C1467" s="3" t="str">
        <f t="shared" si="3"/>
        <v/>
      </c>
    </row>
    <row r="1468">
      <c r="C1468" s="3" t="str">
        <f t="shared" si="3"/>
        <v/>
      </c>
    </row>
    <row r="1469">
      <c r="C1469" s="3" t="str">
        <f t="shared" si="3"/>
        <v/>
      </c>
    </row>
    <row r="1470">
      <c r="C1470" s="3" t="str">
        <f t="shared" si="3"/>
        <v/>
      </c>
    </row>
    <row r="1471">
      <c r="C1471" s="3" t="str">
        <f t="shared" si="3"/>
        <v/>
      </c>
    </row>
    <row r="1472">
      <c r="C1472" s="3" t="str">
        <f t="shared" si="3"/>
        <v/>
      </c>
    </row>
    <row r="1473">
      <c r="C1473" s="3" t="str">
        <f t="shared" si="3"/>
        <v/>
      </c>
    </row>
    <row r="1474">
      <c r="C1474" s="3" t="str">
        <f t="shared" si="3"/>
        <v/>
      </c>
    </row>
    <row r="1475">
      <c r="C1475" s="3" t="str">
        <f t="shared" si="3"/>
        <v/>
      </c>
    </row>
    <row r="1476">
      <c r="C1476" s="3" t="str">
        <f t="shared" si="3"/>
        <v/>
      </c>
    </row>
    <row r="1477">
      <c r="C1477" s="3" t="str">
        <f t="shared" si="3"/>
        <v/>
      </c>
    </row>
    <row r="1478">
      <c r="C1478" s="3" t="str">
        <f t="shared" si="3"/>
        <v/>
      </c>
    </row>
    <row r="1479">
      <c r="C1479" s="3" t="str">
        <f t="shared" si="3"/>
        <v/>
      </c>
    </row>
    <row r="1480">
      <c r="C1480" s="3" t="str">
        <f t="shared" si="3"/>
        <v/>
      </c>
    </row>
    <row r="1481">
      <c r="C1481" s="3" t="str">
        <f t="shared" si="3"/>
        <v/>
      </c>
    </row>
    <row r="1482">
      <c r="C1482" s="3" t="str">
        <f t="shared" si="3"/>
        <v/>
      </c>
    </row>
    <row r="1483">
      <c r="C1483" s="3" t="str">
        <f t="shared" si="3"/>
        <v/>
      </c>
    </row>
    <row r="1484">
      <c r="C1484" s="3" t="str">
        <f t="shared" si="3"/>
        <v/>
      </c>
    </row>
    <row r="1485">
      <c r="C1485" s="3" t="str">
        <f t="shared" si="3"/>
        <v/>
      </c>
    </row>
    <row r="1486">
      <c r="C1486" s="3" t="str">
        <f t="shared" si="3"/>
        <v/>
      </c>
    </row>
    <row r="1487">
      <c r="C1487" s="3" t="str">
        <f t="shared" si="3"/>
        <v/>
      </c>
    </row>
    <row r="1488">
      <c r="C1488" s="3" t="str">
        <f t="shared" si="3"/>
        <v/>
      </c>
    </row>
    <row r="1489">
      <c r="C1489" s="3" t="str">
        <f t="shared" si="3"/>
        <v/>
      </c>
    </row>
    <row r="1490">
      <c r="C1490" s="3" t="str">
        <f t="shared" si="3"/>
        <v/>
      </c>
    </row>
    <row r="1491">
      <c r="C1491" s="3" t="str">
        <f t="shared" si="3"/>
        <v/>
      </c>
    </row>
    <row r="1492">
      <c r="C1492" s="3" t="str">
        <f t="shared" si="3"/>
        <v/>
      </c>
    </row>
    <row r="1493">
      <c r="C1493" s="3" t="str">
        <f t="shared" si="3"/>
        <v/>
      </c>
    </row>
    <row r="1494">
      <c r="C1494" s="3" t="str">
        <f t="shared" si="3"/>
        <v/>
      </c>
    </row>
    <row r="1495">
      <c r="C1495" s="3" t="str">
        <f t="shared" si="3"/>
        <v/>
      </c>
    </row>
    <row r="1496">
      <c r="C1496" s="3" t="str">
        <f t="shared" si="3"/>
        <v/>
      </c>
    </row>
    <row r="1497">
      <c r="C1497" s="3" t="str">
        <f t="shared" si="3"/>
        <v/>
      </c>
    </row>
    <row r="1498">
      <c r="C1498" s="3" t="str">
        <f t="shared" si="3"/>
        <v/>
      </c>
    </row>
    <row r="1499">
      <c r="C1499" s="3" t="str">
        <f t="shared" si="3"/>
        <v/>
      </c>
    </row>
    <row r="1500">
      <c r="C1500" s="3" t="str">
        <f t="shared" si="3"/>
        <v/>
      </c>
    </row>
    <row r="1501">
      <c r="C1501" s="3" t="str">
        <f t="shared" si="3"/>
        <v/>
      </c>
    </row>
    <row r="1502">
      <c r="C1502" s="3" t="str">
        <f t="shared" si="3"/>
        <v/>
      </c>
    </row>
    <row r="1503">
      <c r="C1503" s="3" t="str">
        <f t="shared" si="3"/>
        <v/>
      </c>
    </row>
    <row r="1504">
      <c r="C1504" s="3" t="str">
        <f t="shared" si="3"/>
        <v/>
      </c>
    </row>
    <row r="1505">
      <c r="C1505" s="3" t="str">
        <f t="shared" si="3"/>
        <v/>
      </c>
    </row>
    <row r="1506">
      <c r="C1506" s="3" t="str">
        <f t="shared" si="3"/>
        <v/>
      </c>
    </row>
    <row r="1507">
      <c r="C1507" s="3" t="str">
        <f t="shared" si="3"/>
        <v/>
      </c>
    </row>
    <row r="1508">
      <c r="C1508" s="3" t="str">
        <f t="shared" si="3"/>
        <v/>
      </c>
    </row>
    <row r="1509">
      <c r="C1509" s="3" t="str">
        <f t="shared" si="3"/>
        <v/>
      </c>
    </row>
    <row r="1510">
      <c r="C1510" s="3" t="str">
        <f t="shared" si="3"/>
        <v/>
      </c>
    </row>
    <row r="1511">
      <c r="C1511" s="3" t="str">
        <f t="shared" si="3"/>
        <v/>
      </c>
    </row>
    <row r="1512">
      <c r="C1512" s="3" t="str">
        <f t="shared" si="3"/>
        <v/>
      </c>
    </row>
    <row r="1513">
      <c r="C1513" s="3" t="str">
        <f t="shared" si="3"/>
        <v/>
      </c>
    </row>
    <row r="1514">
      <c r="C1514" s="3" t="str">
        <f t="shared" si="3"/>
        <v/>
      </c>
    </row>
    <row r="1515">
      <c r="C1515" s="3" t="str">
        <f t="shared" si="3"/>
        <v/>
      </c>
    </row>
    <row r="1516">
      <c r="C1516" s="3" t="str">
        <f t="shared" si="3"/>
        <v/>
      </c>
    </row>
    <row r="1517">
      <c r="C1517" s="3" t="str">
        <f t="shared" si="3"/>
        <v/>
      </c>
    </row>
    <row r="1518">
      <c r="C1518" s="3" t="str">
        <f t="shared" si="3"/>
        <v/>
      </c>
    </row>
    <row r="1519">
      <c r="C1519" s="3" t="str">
        <f t="shared" si="3"/>
        <v/>
      </c>
    </row>
    <row r="1520">
      <c r="C1520" s="3" t="str">
        <f t="shared" si="3"/>
        <v/>
      </c>
    </row>
    <row r="1521">
      <c r="C1521" s="3" t="str">
        <f t="shared" si="3"/>
        <v/>
      </c>
    </row>
    <row r="1522">
      <c r="C1522" s="3" t="str">
        <f t="shared" si="3"/>
        <v/>
      </c>
    </row>
    <row r="1523">
      <c r="C1523" s="3" t="str">
        <f t="shared" si="3"/>
        <v/>
      </c>
    </row>
    <row r="1524">
      <c r="C1524" s="3" t="str">
        <f t="shared" si="3"/>
        <v/>
      </c>
    </row>
    <row r="1525">
      <c r="C1525" s="3" t="str">
        <f t="shared" si="3"/>
        <v/>
      </c>
    </row>
    <row r="1526">
      <c r="C1526" s="3" t="str">
        <f t="shared" si="3"/>
        <v/>
      </c>
    </row>
    <row r="1527">
      <c r="C1527" s="3" t="str">
        <f t="shared" si="3"/>
        <v/>
      </c>
    </row>
    <row r="1528">
      <c r="C1528" s="3" t="str">
        <f t="shared" si="3"/>
        <v/>
      </c>
    </row>
    <row r="1529">
      <c r="C1529" s="3" t="str">
        <f t="shared" si="3"/>
        <v/>
      </c>
    </row>
    <row r="1530">
      <c r="C1530" s="3" t="str">
        <f t="shared" si="3"/>
        <v/>
      </c>
    </row>
    <row r="1531">
      <c r="C1531" s="3" t="str">
        <f t="shared" si="3"/>
        <v/>
      </c>
    </row>
    <row r="1532">
      <c r="C1532" s="3" t="str">
        <f t="shared" si="3"/>
        <v/>
      </c>
    </row>
    <row r="1533">
      <c r="C1533" s="3" t="str">
        <f t="shared" si="3"/>
        <v/>
      </c>
    </row>
    <row r="1534">
      <c r="C1534" s="3" t="str">
        <f t="shared" si="3"/>
        <v/>
      </c>
    </row>
    <row r="1535">
      <c r="C1535" s="3" t="str">
        <f t="shared" si="3"/>
        <v/>
      </c>
    </row>
    <row r="1536">
      <c r="C1536" s="3" t="str">
        <f t="shared" si="3"/>
        <v/>
      </c>
    </row>
    <row r="1537">
      <c r="C1537" s="3" t="str">
        <f t="shared" si="3"/>
        <v/>
      </c>
    </row>
    <row r="1538">
      <c r="C1538" s="3" t="str">
        <f t="shared" si="3"/>
        <v/>
      </c>
    </row>
    <row r="1539">
      <c r="C1539" s="3" t="str">
        <f t="shared" si="3"/>
        <v/>
      </c>
    </row>
    <row r="1540">
      <c r="C1540" s="3" t="str">
        <f t="shared" si="3"/>
        <v/>
      </c>
    </row>
    <row r="1541">
      <c r="C1541" s="3" t="str">
        <f t="shared" si="3"/>
        <v/>
      </c>
    </row>
    <row r="1542">
      <c r="C1542" s="3" t="str">
        <f t="shared" si="3"/>
        <v/>
      </c>
    </row>
    <row r="1543">
      <c r="C1543" s="3" t="str">
        <f t="shared" si="3"/>
        <v/>
      </c>
    </row>
    <row r="1544">
      <c r="C1544" s="3" t="str">
        <f t="shared" si="3"/>
        <v/>
      </c>
    </row>
    <row r="1545">
      <c r="C1545" s="3" t="str">
        <f t="shared" si="3"/>
        <v/>
      </c>
    </row>
    <row r="1546">
      <c r="C1546" s="3" t="str">
        <f t="shared" si="3"/>
        <v/>
      </c>
    </row>
    <row r="1547">
      <c r="C1547" s="3" t="str">
        <f t="shared" si="3"/>
        <v/>
      </c>
    </row>
    <row r="1548">
      <c r="C1548" s="3" t="str">
        <f t="shared" si="3"/>
        <v/>
      </c>
    </row>
    <row r="1549">
      <c r="C1549" s="3" t="str">
        <f t="shared" si="3"/>
        <v/>
      </c>
    </row>
    <row r="1550">
      <c r="C1550" s="3" t="str">
        <f t="shared" si="3"/>
        <v/>
      </c>
    </row>
    <row r="1551">
      <c r="C1551" s="3" t="str">
        <f t="shared" si="3"/>
        <v/>
      </c>
    </row>
    <row r="1552">
      <c r="C1552" s="3" t="str">
        <f t="shared" si="3"/>
        <v/>
      </c>
    </row>
    <row r="1553">
      <c r="C1553" s="3" t="str">
        <f t="shared" si="3"/>
        <v/>
      </c>
    </row>
    <row r="1554">
      <c r="C1554" s="3" t="str">
        <f t="shared" si="3"/>
        <v/>
      </c>
    </row>
    <row r="1555">
      <c r="C1555" s="3" t="str">
        <f t="shared" si="3"/>
        <v/>
      </c>
    </row>
    <row r="1556">
      <c r="C1556" s="3" t="str">
        <f t="shared" si="3"/>
        <v/>
      </c>
    </row>
    <row r="1557">
      <c r="C1557" s="3" t="str">
        <f t="shared" si="3"/>
        <v/>
      </c>
    </row>
    <row r="1558">
      <c r="C1558" s="3" t="str">
        <f t="shared" si="3"/>
        <v/>
      </c>
    </row>
    <row r="1559">
      <c r="C1559" s="3" t="str">
        <f t="shared" si="3"/>
        <v/>
      </c>
    </row>
    <row r="1560">
      <c r="C1560" s="3" t="str">
        <f t="shared" si="3"/>
        <v/>
      </c>
    </row>
    <row r="1561">
      <c r="C1561" s="3" t="str">
        <f t="shared" si="3"/>
        <v/>
      </c>
    </row>
    <row r="1562">
      <c r="C1562" s="3" t="str">
        <f t="shared" si="3"/>
        <v/>
      </c>
    </row>
    <row r="1563">
      <c r="C1563" s="3" t="str">
        <f t="shared" si="3"/>
        <v/>
      </c>
    </row>
    <row r="1564">
      <c r="C1564" s="3" t="str">
        <f t="shared" si="3"/>
        <v/>
      </c>
    </row>
    <row r="1565">
      <c r="C1565" s="3" t="str">
        <f t="shared" si="3"/>
        <v/>
      </c>
    </row>
    <row r="1566">
      <c r="C1566" s="3" t="str">
        <f t="shared" si="3"/>
        <v/>
      </c>
    </row>
    <row r="1567">
      <c r="C1567" s="3" t="str">
        <f t="shared" si="3"/>
        <v/>
      </c>
    </row>
    <row r="1568">
      <c r="C1568" s="3" t="str">
        <f t="shared" si="3"/>
        <v/>
      </c>
    </row>
    <row r="1569">
      <c r="C1569" s="3" t="str">
        <f t="shared" si="3"/>
        <v/>
      </c>
    </row>
    <row r="1570">
      <c r="C1570" s="3" t="str">
        <f t="shared" si="3"/>
        <v/>
      </c>
    </row>
    <row r="1571">
      <c r="C1571" s="3" t="str">
        <f t="shared" si="3"/>
        <v/>
      </c>
    </row>
    <row r="1572">
      <c r="C1572" s="3" t="str">
        <f t="shared" si="3"/>
        <v/>
      </c>
    </row>
    <row r="1573">
      <c r="C1573" s="3" t="str">
        <f t="shared" si="3"/>
        <v/>
      </c>
    </row>
    <row r="1574">
      <c r="C1574" s="3" t="str">
        <f t="shared" si="3"/>
        <v/>
      </c>
    </row>
    <row r="1575">
      <c r="C1575" s="3" t="str">
        <f t="shared" si="3"/>
        <v/>
      </c>
    </row>
    <row r="1576">
      <c r="C1576" s="3" t="str">
        <f t="shared" si="3"/>
        <v/>
      </c>
    </row>
    <row r="1577">
      <c r="C1577" s="3" t="str">
        <f t="shared" si="3"/>
        <v/>
      </c>
    </row>
    <row r="1578">
      <c r="C1578" s="3" t="str">
        <f t="shared" si="3"/>
        <v/>
      </c>
    </row>
    <row r="1579">
      <c r="C1579" s="3" t="str">
        <f t="shared" si="3"/>
        <v/>
      </c>
    </row>
    <row r="1580">
      <c r="C1580" s="3" t="str">
        <f t="shared" si="3"/>
        <v/>
      </c>
    </row>
    <row r="1581">
      <c r="C1581" s="3" t="str">
        <f t="shared" si="3"/>
        <v/>
      </c>
    </row>
    <row r="1582">
      <c r="C1582" s="3" t="str">
        <f t="shared" si="3"/>
        <v/>
      </c>
    </row>
    <row r="1583">
      <c r="C1583" s="3" t="str">
        <f t="shared" si="3"/>
        <v/>
      </c>
    </row>
    <row r="1584">
      <c r="C1584" s="3" t="str">
        <f t="shared" si="3"/>
        <v/>
      </c>
    </row>
    <row r="1585">
      <c r="C1585" s="3" t="str">
        <f t="shared" si="3"/>
        <v/>
      </c>
    </row>
    <row r="1586">
      <c r="C1586" s="3" t="str">
        <f t="shared" si="3"/>
        <v/>
      </c>
    </row>
    <row r="1587">
      <c r="C1587" s="3" t="str">
        <f t="shared" si="3"/>
        <v/>
      </c>
    </row>
    <row r="1588">
      <c r="C1588" s="3" t="str">
        <f t="shared" si="3"/>
        <v/>
      </c>
    </row>
    <row r="1589">
      <c r="C1589" s="3" t="str">
        <f t="shared" si="3"/>
        <v/>
      </c>
    </row>
    <row r="1590">
      <c r="C1590" s="3" t="str">
        <f t="shared" si="3"/>
        <v/>
      </c>
    </row>
    <row r="1591">
      <c r="C1591" s="3" t="str">
        <f t="shared" si="3"/>
        <v/>
      </c>
    </row>
    <row r="1592">
      <c r="C1592" s="3" t="str">
        <f t="shared" si="3"/>
        <v/>
      </c>
    </row>
    <row r="1593">
      <c r="C1593" s="3" t="str">
        <f t="shared" si="3"/>
        <v/>
      </c>
    </row>
    <row r="1594">
      <c r="C1594" s="3" t="str">
        <f t="shared" si="3"/>
        <v/>
      </c>
    </row>
    <row r="1595">
      <c r="C1595" s="3" t="str">
        <f t="shared" si="3"/>
        <v/>
      </c>
    </row>
    <row r="1596">
      <c r="C1596" s="3" t="str">
        <f t="shared" si="3"/>
        <v/>
      </c>
    </row>
    <row r="1597">
      <c r="C1597" s="3" t="str">
        <f t="shared" si="3"/>
        <v/>
      </c>
    </row>
    <row r="1598">
      <c r="C1598" s="3" t="str">
        <f t="shared" si="3"/>
        <v/>
      </c>
    </row>
    <row r="1599">
      <c r="C1599" s="3" t="str">
        <f t="shared" si="3"/>
        <v/>
      </c>
    </row>
    <row r="1600">
      <c r="C1600" s="3" t="str">
        <f t="shared" si="3"/>
        <v/>
      </c>
    </row>
    <row r="1601">
      <c r="C1601" s="3" t="str">
        <f t="shared" si="3"/>
        <v/>
      </c>
    </row>
    <row r="1602">
      <c r="C1602" s="3" t="str">
        <f t="shared" si="3"/>
        <v/>
      </c>
    </row>
    <row r="1603">
      <c r="C1603" s="3" t="str">
        <f t="shared" si="3"/>
        <v/>
      </c>
    </row>
    <row r="1604">
      <c r="C1604" s="3" t="str">
        <f t="shared" si="3"/>
        <v/>
      </c>
    </row>
    <row r="1605">
      <c r="C1605" s="3" t="str">
        <f t="shared" si="3"/>
        <v/>
      </c>
    </row>
    <row r="1606">
      <c r="C1606" s="3" t="str">
        <f t="shared" si="3"/>
        <v/>
      </c>
    </row>
    <row r="1607">
      <c r="C1607" s="3" t="str">
        <f t="shared" si="3"/>
        <v/>
      </c>
    </row>
    <row r="1608">
      <c r="C1608" s="3" t="str">
        <f t="shared" si="3"/>
        <v/>
      </c>
    </row>
    <row r="1609">
      <c r="C1609" s="3" t="str">
        <f t="shared" si="3"/>
        <v/>
      </c>
    </row>
    <row r="1610">
      <c r="C1610" s="3" t="str">
        <f t="shared" si="3"/>
        <v/>
      </c>
    </row>
    <row r="1611">
      <c r="C1611" s="3" t="str">
        <f t="shared" si="3"/>
        <v/>
      </c>
    </row>
    <row r="1612">
      <c r="C1612" s="3" t="str">
        <f t="shared" si="3"/>
        <v/>
      </c>
    </row>
    <row r="1613">
      <c r="C1613" s="3" t="str">
        <f t="shared" si="3"/>
        <v/>
      </c>
    </row>
    <row r="1614">
      <c r="C1614" s="3" t="str">
        <f t="shared" si="3"/>
        <v/>
      </c>
    </row>
    <row r="1615">
      <c r="C1615" s="3" t="str">
        <f t="shared" si="3"/>
        <v/>
      </c>
    </row>
    <row r="1616">
      <c r="C1616" s="3" t="str">
        <f t="shared" si="3"/>
        <v/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2.86"/>
  </cols>
  <sheetData>
    <row r="1">
      <c r="A1" s="96" t="str">
        <f>Data!C1</f>
        <v>Grind Size</v>
      </c>
      <c r="B1" s="96" t="str">
        <f>Data!M1</f>
        <v>Time to Complete</v>
      </c>
      <c r="C1" s="7" t="str">
        <f>IF(B1="","",Data!N1)</f>
        <v>Total Seconds</v>
      </c>
      <c r="D1" s="76"/>
      <c r="E1" s="76"/>
      <c r="F1" s="76"/>
      <c r="G1" s="76"/>
      <c r="H1" s="76"/>
      <c r="I1" s="76"/>
      <c r="J1" s="76"/>
      <c r="K1" s="76"/>
      <c r="L1" s="76"/>
      <c r="M1" s="76"/>
      <c r="N1" s="76"/>
      <c r="O1" s="76"/>
      <c r="P1" s="76"/>
      <c r="Q1" s="76"/>
      <c r="R1" s="76"/>
      <c r="S1" s="76"/>
      <c r="T1" s="76"/>
      <c r="U1" s="76"/>
      <c r="V1" s="76"/>
      <c r="W1" s="76"/>
      <c r="X1" s="76"/>
    </row>
    <row r="2">
      <c r="A2" s="3" t="str">
        <f>IF(AND(Data!$K2='All Types'!$D$2,Data!$L2='All Types'!$D$3),Data!$C2,"")</f>
        <v/>
      </c>
      <c r="B2" s="3" t="str">
        <f>IF(AND(Data!$K2='All Types'!$D$2,Data!$L2='All Types'!$D$3),Data!M2,"")</f>
        <v/>
      </c>
      <c r="C2" s="3" t="str">
        <f>IF(B2="","",Data!N2)</f>
        <v/>
      </c>
    </row>
    <row r="3">
      <c r="A3" s="3" t="str">
        <f>IF(AND(Data!$K3='All Types'!$D$2,Data!$L3='All Types'!$D$3),Data!$C3,"")</f>
        <v/>
      </c>
      <c r="B3" s="3" t="str">
        <f>IF(AND(Data!$K3='All Types'!$D$2,Data!$L3='All Types'!$D$3),Data!M3,"")</f>
        <v/>
      </c>
      <c r="C3" s="3" t="str">
        <f>IF(B3="","",Data!N3)</f>
        <v/>
      </c>
    </row>
    <row r="4">
      <c r="A4" s="3" t="str">
        <f>IF(AND(Data!$K4='All Types'!$D$2,Data!$L4='All Types'!$D$3),Data!$C4,"")</f>
        <v/>
      </c>
      <c r="B4" s="3" t="str">
        <f>IF(AND(Data!$K4='All Types'!$D$2,Data!$L4='All Types'!$D$3),Data!M4,"")</f>
        <v/>
      </c>
      <c r="C4" s="3" t="str">
        <f>IF(B4="","",Data!N4)</f>
        <v/>
      </c>
    </row>
    <row r="5">
      <c r="A5" s="3" t="str">
        <f>IF(AND(Data!$K5='All Types'!$D$2,Data!$L5='All Types'!$D$3),Data!$C5,"")</f>
        <v/>
      </c>
      <c r="B5" s="3" t="str">
        <f>IF(AND(Data!$K5='All Types'!$D$2,Data!$L5='All Types'!$D$3),Data!M5,"")</f>
        <v/>
      </c>
      <c r="C5" s="3" t="str">
        <f>IF(B5="","",Data!N5)</f>
        <v/>
      </c>
    </row>
    <row r="6">
      <c r="A6" s="3" t="str">
        <f>IF(AND(Data!$K6='All Types'!$D$2,Data!$L6='All Types'!$D$3),Data!$C6,"")</f>
        <v/>
      </c>
      <c r="B6" s="3" t="str">
        <f>IF(AND(Data!$K6='All Types'!$D$2,Data!$L6='All Types'!$D$3),Data!M6,"")</f>
        <v/>
      </c>
      <c r="C6" s="3" t="str">
        <f>IF(B6="","",Data!N6)</f>
        <v/>
      </c>
    </row>
    <row r="7">
      <c r="A7" s="3" t="str">
        <f>IF(AND(Data!$K7='All Types'!$D$2,Data!$L7='All Types'!$D$3),Data!$C7,"")</f>
        <v/>
      </c>
      <c r="B7" s="3" t="str">
        <f>IF(AND(Data!$K7='All Types'!$D$2,Data!$L7='All Types'!$D$3),Data!M7,"")</f>
        <v/>
      </c>
      <c r="C7" s="3" t="str">
        <f>IF(B7="","",Data!N7)</f>
        <v/>
      </c>
    </row>
    <row r="8">
      <c r="A8" s="3" t="str">
        <f>IF(AND(Data!$K8='All Types'!$D$2,Data!$L8='All Types'!$D$3),Data!$C8,"")</f>
        <v/>
      </c>
      <c r="B8" s="3" t="str">
        <f>IF(AND(Data!$K8='All Types'!$D$2,Data!$L8='All Types'!$D$3),Data!M8,"")</f>
        <v/>
      </c>
      <c r="C8" s="3" t="str">
        <f>IF(B8="","",Data!N8)</f>
        <v/>
      </c>
    </row>
    <row r="9">
      <c r="A9" s="3" t="str">
        <f>IF(AND(Data!$K9='All Types'!$D$2,Data!$L9='All Types'!$D$3),Data!$C9,"")</f>
        <v/>
      </c>
      <c r="B9" s="3" t="str">
        <f>IF(AND(Data!$K9='All Types'!$D$2,Data!$L9='All Types'!$D$3),Data!M9,"")</f>
        <v/>
      </c>
      <c r="C9" s="3" t="str">
        <f>IF(B9="","",Data!N9)</f>
        <v/>
      </c>
    </row>
    <row r="10">
      <c r="A10" s="3" t="str">
        <f>IF(AND(Data!$K10='All Types'!$D$2,Data!$L10='All Types'!$D$3),Data!$C10,"")</f>
        <v/>
      </c>
      <c r="B10" s="3" t="str">
        <f>IF(AND(Data!$K10='All Types'!$D$2,Data!$L10='All Types'!$D$3),Data!M10,"")</f>
        <v/>
      </c>
      <c r="C10" s="3" t="str">
        <f>IF(B10="","",Data!N10)</f>
        <v/>
      </c>
    </row>
    <row r="11">
      <c r="A11" s="3" t="str">
        <f>IF(AND(Data!$K11='All Types'!$D$2,Data!$L11='All Types'!$D$3),Data!$C11,"")</f>
        <v/>
      </c>
      <c r="B11" s="3" t="str">
        <f>IF(AND(Data!$K11='All Types'!$D$2,Data!$L11='All Types'!$D$3),Data!M11,"")</f>
        <v/>
      </c>
      <c r="C11" s="3" t="str">
        <f>IF(B11="","",Data!N11)</f>
        <v/>
      </c>
    </row>
    <row r="12">
      <c r="A12" s="3" t="str">
        <f>IF(AND(Data!$K12='All Types'!$D$2,Data!$L12='All Types'!$D$3),Data!$C12,"")</f>
        <v/>
      </c>
      <c r="B12" s="3" t="str">
        <f>IF(AND(Data!$K12='All Types'!$D$2,Data!$L12='All Types'!$D$3),Data!M12,"")</f>
        <v/>
      </c>
      <c r="C12" s="3" t="str">
        <f>IF(B12="","",Data!N12)</f>
        <v/>
      </c>
    </row>
    <row r="13">
      <c r="A13" s="3">
        <f>IF(AND(Data!$K13='All Types'!$D$2,Data!$L13='All Types'!$D$3),Data!$C13,"")</f>
        <v>17</v>
      </c>
      <c r="B13" s="2">
        <f>IF(AND(Data!$K13='All Types'!$D$2,Data!$L13='All Types'!$D$3),Data!M13,"")</f>
        <v>0.002511574074</v>
      </c>
      <c r="C13" s="99">
        <f>IF(B13="","",Data!N13)</f>
        <v>217</v>
      </c>
    </row>
    <row r="14">
      <c r="A14" s="3">
        <f>IF(AND(Data!$K14='All Types'!$D$2,Data!$L14='All Types'!$D$3),Data!$C14,"")</f>
        <v>18</v>
      </c>
      <c r="B14" s="2">
        <f>IF(AND(Data!$K14='All Types'!$D$2,Data!$L14='All Types'!$D$3),Data!M14,"")</f>
        <v>0.002395833333</v>
      </c>
      <c r="C14" s="99">
        <f>IF(B14="","",Data!N14)</f>
        <v>207</v>
      </c>
    </row>
    <row r="15">
      <c r="A15" s="3">
        <f>IF(AND(Data!$K15='All Types'!$D$2,Data!$L15='All Types'!$D$3),Data!$C15,"")</f>
        <v>18</v>
      </c>
      <c r="B15" s="2">
        <f>IF(AND(Data!$K15='All Types'!$D$2,Data!$L15='All Types'!$D$3),Data!M15,"")</f>
        <v>0.002546296296</v>
      </c>
      <c r="C15" s="99">
        <f>IF(B15="","",Data!N15)</f>
        <v>220</v>
      </c>
    </row>
    <row r="16">
      <c r="A16" s="3" t="str">
        <f>IF(AND(Data!$K16='All Types'!$D$2,Data!$L16='All Types'!$D$3),Data!$C16,"")</f>
        <v/>
      </c>
      <c r="B16" s="3" t="str">
        <f>IF(AND(Data!$K16='All Types'!$D$2,Data!$L16='All Types'!$D$3),Data!M16,"")</f>
        <v/>
      </c>
      <c r="C16" s="3" t="str">
        <f>IF(B16="","",Data!N16)</f>
        <v/>
      </c>
    </row>
    <row r="17">
      <c r="A17" s="3" t="str">
        <f>IF(AND(Data!$K17='All Types'!$D$2,Data!$L17='All Types'!$D$3),Data!$C17,"")</f>
        <v/>
      </c>
      <c r="B17" s="3" t="str">
        <f>IF(AND(Data!$K17='All Types'!$D$2,Data!$L17='All Types'!$D$3),Data!M17,"")</f>
        <v/>
      </c>
      <c r="C17" s="3" t="str">
        <f>IF(B17="","",Data!N17)</f>
        <v/>
      </c>
    </row>
    <row r="18">
      <c r="A18" s="3" t="str">
        <f>IF(AND(Data!$K18='All Types'!$D$2,Data!$L18='All Types'!$D$3),Data!$C18,"")</f>
        <v/>
      </c>
      <c r="B18" s="3" t="str">
        <f>IF(AND(Data!$K18='All Types'!$D$2,Data!$L18='All Types'!$D$3),Data!M18,"")</f>
        <v/>
      </c>
      <c r="C18" s="3" t="str">
        <f>IF(B18="","",Data!N18)</f>
        <v/>
      </c>
    </row>
    <row r="19">
      <c r="A19" s="3" t="str">
        <f>IF(AND(Data!$K19='All Types'!$D$2,Data!$L19='All Types'!$D$3),Data!$C19,"")</f>
        <v/>
      </c>
      <c r="B19" s="3" t="str">
        <f>IF(AND(Data!$K19='All Types'!$D$2,Data!$L19='All Types'!$D$3),Data!M19,"")</f>
        <v/>
      </c>
      <c r="C19" s="3" t="str">
        <f>IF(B19="","",Data!N19)</f>
        <v/>
      </c>
    </row>
    <row r="20">
      <c r="A20" s="3" t="str">
        <f>IF(AND(Data!$K20='All Types'!$D$2,Data!$L20='All Types'!$D$3),Data!$C20,"")</f>
        <v/>
      </c>
      <c r="B20" s="3" t="str">
        <f>IF(AND(Data!$K20='All Types'!$D$2,Data!$L20='All Types'!$D$3),Data!M20,"")</f>
        <v/>
      </c>
      <c r="C20" s="3" t="str">
        <f>IF(B20="","",Data!N20)</f>
        <v/>
      </c>
    </row>
    <row r="21">
      <c r="A21" s="3" t="str">
        <f>IF(AND(Data!$K21='All Types'!$D$2,Data!$L21='All Types'!$D$3),Data!$C21,"")</f>
        <v/>
      </c>
      <c r="B21" s="3" t="str">
        <f>IF(AND(Data!$K21='All Types'!$D$2,Data!$L21='All Types'!$D$3),Data!M21,"")</f>
        <v/>
      </c>
      <c r="C21" s="3" t="str">
        <f>IF(B21="","",Data!N21)</f>
        <v/>
      </c>
    </row>
    <row r="22">
      <c r="A22" s="3" t="str">
        <f>IF(AND(Data!$K22='All Types'!$D$2,Data!$L22='All Types'!$D$3),Data!$C22,"")</f>
        <v/>
      </c>
      <c r="B22" s="3" t="str">
        <f>IF(AND(Data!$K22='All Types'!$D$2,Data!$L22='All Types'!$D$3),Data!M22,"")</f>
        <v/>
      </c>
      <c r="C22" s="3" t="str">
        <f>IF(B22="","",Data!N22)</f>
        <v/>
      </c>
    </row>
    <row r="23">
      <c r="A23" s="3" t="str">
        <f>IF(AND(Data!$K23='All Types'!$D$2,Data!$L23='All Types'!$D$3),Data!$C23,"")</f>
        <v/>
      </c>
      <c r="B23" s="3" t="str">
        <f>IF(AND(Data!$K23='All Types'!$D$2,Data!$L23='All Types'!$D$3),Data!M23,"")</f>
        <v/>
      </c>
      <c r="C23" s="3" t="str">
        <f>IF(B23="","",Data!N23)</f>
        <v/>
      </c>
    </row>
    <row r="24">
      <c r="A24" s="3" t="str">
        <f>IF(AND(Data!$K24='All Types'!$D$2,Data!$L24='All Types'!$D$3),Data!$C24,"")</f>
        <v/>
      </c>
      <c r="B24" s="3" t="str">
        <f>IF(AND(Data!$K24='All Types'!$D$2,Data!$L24='All Types'!$D$3),Data!M24,"")</f>
        <v/>
      </c>
      <c r="C24" s="3" t="str">
        <f>IF(B24="","",Data!N24)</f>
        <v/>
      </c>
    </row>
    <row r="25">
      <c r="A25" s="3" t="str">
        <f>IF(AND(Data!$K25='All Types'!$D$2,Data!$L25='All Types'!$D$3),Data!$C25,"")</f>
        <v/>
      </c>
      <c r="B25" s="3" t="str">
        <f>IF(AND(Data!$K25='All Types'!$D$2,Data!$L25='All Types'!$D$3),Data!M25,"")</f>
        <v/>
      </c>
      <c r="C25" s="3" t="str">
        <f>IF(B25="","",Data!N25)</f>
        <v/>
      </c>
    </row>
    <row r="26">
      <c r="A26" s="3" t="str">
        <f>IF(AND(Data!$K26='All Types'!$D$2,Data!$L26='All Types'!$D$3),Data!$C26,"")</f>
        <v/>
      </c>
      <c r="B26" s="3" t="str">
        <f>IF(AND(Data!$K26='All Types'!$D$2,Data!$L26='All Types'!$D$3),Data!M26,"")</f>
        <v/>
      </c>
      <c r="C26" s="3" t="str">
        <f>IF(B26="","",Data!N26)</f>
        <v/>
      </c>
    </row>
    <row r="27">
      <c r="A27" s="3" t="str">
        <f>IF(AND(Data!$K27='All Types'!$D$2,Data!$L27='All Types'!$D$3),Data!$C27,"")</f>
        <v/>
      </c>
      <c r="B27" s="3" t="str">
        <f>IF(AND(Data!$K27='All Types'!$D$2,Data!$L27='All Types'!$D$3),Data!M27,"")</f>
        <v/>
      </c>
      <c r="C27" s="3" t="str">
        <f>IF(B27="","",Data!N27)</f>
        <v/>
      </c>
    </row>
    <row r="28">
      <c r="A28" s="3" t="str">
        <f>IF(AND(Data!$K28='All Types'!$D$2,Data!$L28='All Types'!$D$3),Data!$C28,"")</f>
        <v/>
      </c>
      <c r="B28" s="3" t="str">
        <f>IF(AND(Data!$K28='All Types'!$D$2,Data!$L28='All Types'!$D$3),Data!M28,"")</f>
        <v/>
      </c>
      <c r="C28" s="3" t="str">
        <f>IF(B28="","",Data!N28)</f>
        <v/>
      </c>
    </row>
    <row r="29">
      <c r="A29" s="3" t="str">
        <f>IF(AND(Data!$K29='All Types'!$D$2,Data!$L29='All Types'!$D$3),Data!$C29,"")</f>
        <v/>
      </c>
      <c r="B29" s="3" t="str">
        <f>IF(AND(Data!$K29='All Types'!$D$2,Data!$L29='All Types'!$D$3),Data!M29,"")</f>
        <v/>
      </c>
      <c r="C29" s="3" t="str">
        <f>IF(B29="","",Data!N29)</f>
        <v/>
      </c>
    </row>
    <row r="30">
      <c r="A30" s="3" t="str">
        <f>IF(AND(Data!$K30='All Types'!$D$2,Data!$L30='All Types'!$D$3),Data!$C30,"")</f>
        <v/>
      </c>
      <c r="B30" s="3" t="str">
        <f>IF(AND(Data!$K30='All Types'!$D$2,Data!$L30='All Types'!$D$3),Data!M30,"")</f>
        <v/>
      </c>
      <c r="C30" s="3" t="str">
        <f>IF(B30="","",Data!N30)</f>
        <v/>
      </c>
    </row>
    <row r="31">
      <c r="A31" s="3">
        <f>IF(AND(Data!$K31='All Types'!$D$2,Data!$L31='All Types'!$D$3),Data!$C31,"")</f>
        <v>22</v>
      </c>
      <c r="B31" s="2">
        <f>IF(AND(Data!$K31='All Types'!$D$2,Data!$L31='All Types'!$D$3),Data!M31,"")</f>
        <v>0.002546296296</v>
      </c>
      <c r="C31" s="99">
        <f>IF(B31="","",Data!N31)</f>
        <v>220</v>
      </c>
    </row>
    <row r="32">
      <c r="A32" s="3" t="str">
        <f>IF(AND(Data!$K32='All Types'!$D$2,Data!$L32='All Types'!$D$3),Data!$C32,"")</f>
        <v/>
      </c>
      <c r="B32" s="3" t="str">
        <f>IF(AND(Data!$K32='All Types'!$D$2,Data!$L32='All Types'!$D$3),Data!M32,"")</f>
        <v/>
      </c>
      <c r="C32" s="3" t="str">
        <f>IF(B32="","",Data!N32)</f>
        <v/>
      </c>
    </row>
    <row r="33">
      <c r="A33" s="3" t="str">
        <f>IF(AND(Data!$K33='All Types'!$D$2,Data!$L33='All Types'!$D$3),Data!$C33,"")</f>
        <v/>
      </c>
      <c r="B33" s="3" t="str">
        <f>IF(AND(Data!$K33='All Types'!$D$2,Data!$L33='All Types'!$D$3),Data!M33,"")</f>
        <v/>
      </c>
      <c r="C33" s="3" t="str">
        <f>IF(B33="","",Data!N33)</f>
        <v/>
      </c>
    </row>
    <row r="34">
      <c r="A34" s="3">
        <f>IF(AND(Data!$K34='All Types'!$D$2,Data!$L34='All Types'!$D$3),Data!$C34,"")</f>
        <v>20</v>
      </c>
      <c r="B34" s="2">
        <f>IF(AND(Data!$K34='All Types'!$D$2,Data!$L34='All Types'!$D$3),Data!M34,"")</f>
        <v>0.002719907407</v>
      </c>
      <c r="C34" s="99">
        <f>IF(B34="","",Data!N34)</f>
        <v>235</v>
      </c>
    </row>
    <row r="35">
      <c r="A35" s="3">
        <f>IF(AND(Data!$K35='All Types'!$D$2,Data!$L35='All Types'!$D$3),Data!$C35,"")</f>
        <v>22</v>
      </c>
      <c r="B35" s="2">
        <f>IF(AND(Data!$K35='All Types'!$D$2,Data!$L35='All Types'!$D$3),Data!M35,"")</f>
        <v>0.002546296296</v>
      </c>
      <c r="C35" s="99">
        <f>IF(B35="","",Data!N35)</f>
        <v>220</v>
      </c>
    </row>
    <row r="36">
      <c r="A36" s="3">
        <f>IF(AND(Data!$K36='All Types'!$D$2,Data!$L36='All Types'!$D$3),Data!$C36,"")</f>
        <v>18</v>
      </c>
      <c r="B36" s="2">
        <f>IF(AND(Data!$K36='All Types'!$D$2,Data!$L36='All Types'!$D$3),Data!M36,"")</f>
        <v>0.002604166667</v>
      </c>
      <c r="C36" s="99">
        <f>IF(B36="","",Data!N36)</f>
        <v>225</v>
      </c>
    </row>
    <row r="37">
      <c r="A37" s="3">
        <f>IF(AND(Data!$K37='All Types'!$D$2,Data!$L37='All Types'!$D$3),Data!$C37,"")</f>
        <v>22</v>
      </c>
      <c r="B37" s="2">
        <f>IF(AND(Data!$K37='All Types'!$D$2,Data!$L37='All Types'!$D$3),Data!M37,"")</f>
        <v>0.002488425926</v>
      </c>
      <c r="C37" s="99">
        <f>IF(B37="","",Data!N37)</f>
        <v>215</v>
      </c>
    </row>
    <row r="38">
      <c r="A38" s="3">
        <f>IF(AND(Data!$K38='All Types'!$D$2,Data!$L38='All Types'!$D$3),Data!$C38,"")</f>
        <v>23</v>
      </c>
      <c r="B38" s="2">
        <f>IF(AND(Data!$K38='All Types'!$D$2,Data!$L38='All Types'!$D$3),Data!M38,"")</f>
        <v>0.002488425926</v>
      </c>
      <c r="C38" s="99">
        <f>IF(B38="","",Data!N38)</f>
        <v>215</v>
      </c>
    </row>
    <row r="39">
      <c r="A39" s="3">
        <f>IF(AND(Data!$K39='All Types'!$D$2,Data!$L39='All Types'!$D$3),Data!$C39,"")</f>
        <v>19</v>
      </c>
      <c r="B39" s="2">
        <f>IF(AND(Data!$K39='All Types'!$D$2,Data!$L39='All Types'!$D$3),Data!M39,"")</f>
        <v>0.002488425926</v>
      </c>
      <c r="C39" s="99">
        <f>IF(B39="","",Data!N39)</f>
        <v>215</v>
      </c>
    </row>
    <row r="40">
      <c r="A40" s="3">
        <f>IF(AND(Data!$K40='All Types'!$D$2,Data!$L40='All Types'!$D$3),Data!$C40,"")</f>
        <v>21</v>
      </c>
      <c r="B40" s="2">
        <f>IF(AND(Data!$K40='All Types'!$D$2,Data!$L40='All Types'!$D$3),Data!M40,"")</f>
        <v>0.002488425926</v>
      </c>
      <c r="C40" s="99">
        <f>IF(B40="","",Data!N40)</f>
        <v>215</v>
      </c>
    </row>
    <row r="41">
      <c r="A41" s="3">
        <f>IF(AND(Data!$K41='All Types'!$D$2,Data!$L41='All Types'!$D$3),Data!$C41,"")</f>
        <v>19</v>
      </c>
      <c r="B41" s="2">
        <f>IF(AND(Data!$K41='All Types'!$D$2,Data!$L41='All Types'!$D$3),Data!M41,"")</f>
        <v>0.002523148148</v>
      </c>
      <c r="C41" s="99">
        <f>IF(B41="","",Data!N41)</f>
        <v>218</v>
      </c>
    </row>
    <row r="42">
      <c r="A42" s="3">
        <f>IF(AND(Data!$K42='All Types'!$D$2,Data!$L42='All Types'!$D$3),Data!$C42,"")</f>
        <v>21</v>
      </c>
      <c r="B42" s="2">
        <f>IF(AND(Data!$K42='All Types'!$D$2,Data!$L42='All Types'!$D$3),Data!M42,"")</f>
        <v>0.002453703704</v>
      </c>
      <c r="C42" s="99">
        <f>IF(B42="","",Data!N42)</f>
        <v>212</v>
      </c>
    </row>
    <row r="43">
      <c r="A43" s="3">
        <f>IF(AND(Data!$K43='All Types'!$D$2,Data!$L43='All Types'!$D$3),Data!$C43,"")</f>
        <v>23</v>
      </c>
      <c r="B43" s="2">
        <f>IF(AND(Data!$K43='All Types'!$D$2,Data!$L43='All Types'!$D$3),Data!M43,"")</f>
        <v>0.002604166667</v>
      </c>
      <c r="C43" s="99">
        <f>IF(B43="","",Data!N43)</f>
        <v>225</v>
      </c>
    </row>
    <row r="44">
      <c r="A44" s="3">
        <f>IF(AND(Data!$K44='All Types'!$D$2,Data!$L44='All Types'!$D$3),Data!$C44,"")</f>
        <v>23</v>
      </c>
      <c r="B44" s="2">
        <f>IF(AND(Data!$K44='All Types'!$D$2,Data!$L44='All Types'!$D$3),Data!M44,"")</f>
        <v>0.002476851852</v>
      </c>
      <c r="C44" s="99">
        <f>IF(B44="","",Data!N44)</f>
        <v>214</v>
      </c>
    </row>
    <row r="45">
      <c r="A45" s="3">
        <f>IF(AND(Data!$K45='All Types'!$D$2,Data!$L45='All Types'!$D$3),Data!$C45,"")</f>
        <v>20</v>
      </c>
      <c r="B45" s="2">
        <f>IF(AND(Data!$K45='All Types'!$D$2,Data!$L45='All Types'!$D$3),Data!M45,"")</f>
        <v>0.002488425926</v>
      </c>
      <c r="C45" s="99">
        <f>IF(B45="","",Data!N45)</f>
        <v>215</v>
      </c>
    </row>
    <row r="46">
      <c r="A46" s="3">
        <f>IF(AND(Data!$K46='All Types'!$D$2,Data!$L46='All Types'!$D$3),Data!$C46,"")</f>
        <v>20</v>
      </c>
      <c r="B46" s="2">
        <f>IF(AND(Data!$K46='All Types'!$D$2,Data!$L46='All Types'!$D$3),Data!M46,"")</f>
        <v>0.002430555556</v>
      </c>
      <c r="C46" s="99">
        <f>IF(B46="","",Data!N46)</f>
        <v>210</v>
      </c>
    </row>
    <row r="47">
      <c r="A47" s="3">
        <f>IF(AND(Data!$K47='All Types'!$D$2,Data!$L47='All Types'!$D$3),Data!$C47,"")</f>
        <v>20</v>
      </c>
      <c r="B47" s="2">
        <f>IF(AND(Data!$K47='All Types'!$D$2,Data!$L47='All Types'!$D$3),Data!M47,"")</f>
        <v>0.002662037037</v>
      </c>
      <c r="C47" s="99">
        <f>IF(B47="","",Data!N47)</f>
        <v>230</v>
      </c>
    </row>
    <row r="48">
      <c r="A48" s="3" t="str">
        <f>IF(AND(Data!$K48='All Types'!$D$2,Data!$L48='All Types'!$D$3),Data!$C48,"")</f>
        <v/>
      </c>
      <c r="B48" s="3" t="str">
        <f>IF(AND(Data!$K48='All Types'!$D$2,Data!$L48='All Types'!$D$3),Data!M48,"")</f>
        <v/>
      </c>
      <c r="C48" s="3" t="str">
        <f>IF(B48="","",Data!N48)</f>
        <v/>
      </c>
    </row>
    <row r="49">
      <c r="A49" s="3">
        <f>IF(AND(Data!$K49='All Types'!$D$2,Data!$L49='All Types'!$D$3),Data!$C49,"")</f>
        <v>21</v>
      </c>
      <c r="B49" s="2">
        <f>IF(AND(Data!$K49='All Types'!$D$2,Data!$L49='All Types'!$D$3),Data!M49,"")</f>
        <v>0.002569444444</v>
      </c>
      <c r="C49" s="99">
        <f>IF(B49="","",Data!N49)</f>
        <v>222</v>
      </c>
    </row>
    <row r="50">
      <c r="A50" s="3">
        <f>IF(AND(Data!$K50='All Types'!$D$2,Data!$L50='All Types'!$D$3),Data!$C50,"")</f>
        <v>23</v>
      </c>
      <c r="B50" s="2">
        <f>IF(AND(Data!$K50='All Types'!$D$2,Data!$L50='All Types'!$D$3),Data!M50,"")</f>
        <v>0.002569444444</v>
      </c>
      <c r="C50" s="99">
        <f>IF(B50="","",Data!N50)</f>
        <v>222</v>
      </c>
    </row>
    <row r="51">
      <c r="A51" s="3">
        <f>IF(AND(Data!$K51='All Types'!$D$2,Data!$L51='All Types'!$D$3),Data!$C51,"")</f>
        <v>20</v>
      </c>
      <c r="B51" s="2">
        <f>IF(AND(Data!$K51='All Types'!$D$2,Data!$L51='All Types'!$D$3),Data!M51,"")</f>
        <v>0.002627314815</v>
      </c>
      <c r="C51" s="99">
        <f>IF(B51="","",Data!N51)</f>
        <v>227</v>
      </c>
    </row>
    <row r="52">
      <c r="A52" s="3">
        <f>IF(AND(Data!$K52='All Types'!$D$2,Data!$L52='All Types'!$D$3),Data!$C52,"")</f>
        <v>21</v>
      </c>
      <c r="B52" s="2">
        <f>IF(AND(Data!$K52='All Types'!$D$2,Data!$L52='All Types'!$D$3),Data!M52,"")</f>
        <v>0.00244212963</v>
      </c>
      <c r="C52" s="99">
        <f>IF(B52="","",Data!N52)</f>
        <v>211</v>
      </c>
    </row>
    <row r="53">
      <c r="A53" s="3">
        <f>IF(AND(Data!$K53='All Types'!$D$2,Data!$L53='All Types'!$D$3),Data!$C53,"")</f>
        <v>24</v>
      </c>
      <c r="B53" s="2">
        <f>IF(AND(Data!$K53='All Types'!$D$2,Data!$L53='All Types'!$D$3),Data!M53,"")</f>
        <v>0.002673611111</v>
      </c>
      <c r="C53" s="99">
        <f>IF(B53="","",Data!N53)</f>
        <v>231</v>
      </c>
    </row>
    <row r="54">
      <c r="A54" s="3">
        <f>IF(AND(Data!$K54='All Types'!$D$2,Data!$L54='All Types'!$D$3),Data!$C54,"")</f>
        <v>22</v>
      </c>
      <c r="B54" s="2">
        <f>IF(AND(Data!$K54='All Types'!$D$2,Data!$L54='All Types'!$D$3),Data!M54,"")</f>
        <v>0.00255787037</v>
      </c>
      <c r="C54" s="99">
        <f>IF(B54="","",Data!N54)</f>
        <v>221</v>
      </c>
    </row>
    <row r="55">
      <c r="A55" s="3">
        <f>IF(AND(Data!$K55='All Types'!$D$2,Data!$L55='All Types'!$D$3),Data!$C55,"")</f>
        <v>23</v>
      </c>
      <c r="B55" s="2">
        <f>IF(AND(Data!$K55='All Types'!$D$2,Data!$L55='All Types'!$D$3),Data!M55,"")</f>
        <v>0.002488425926</v>
      </c>
      <c r="C55" s="99">
        <f>IF(B55="","",Data!N55)</f>
        <v>215</v>
      </c>
    </row>
    <row r="56">
      <c r="A56" s="3">
        <f>IF(AND(Data!$K56='All Types'!$D$2,Data!$L56='All Types'!$D$3),Data!$C56,"")</f>
        <v>24</v>
      </c>
      <c r="B56" s="2">
        <f>IF(AND(Data!$K56='All Types'!$D$2,Data!$L56='All Types'!$D$3),Data!M56,"")</f>
        <v>0.002453703704</v>
      </c>
      <c r="C56" s="99">
        <f>IF(B56="","",Data!N56)</f>
        <v>212</v>
      </c>
    </row>
    <row r="57">
      <c r="A57" s="3">
        <f>IF(AND(Data!$K57='All Types'!$D$2,Data!$L57='All Types'!$D$3),Data!$C57,"")</f>
        <v>24</v>
      </c>
      <c r="B57" s="2">
        <f>IF(AND(Data!$K57='All Types'!$D$2,Data!$L57='All Types'!$D$3),Data!M57,"")</f>
        <v>0.002511574074</v>
      </c>
      <c r="C57" s="99">
        <f>IF(B57="","",Data!N57)</f>
        <v>217</v>
      </c>
    </row>
    <row r="58">
      <c r="A58" s="3">
        <f>IF(AND(Data!$K58='All Types'!$D$2,Data!$L58='All Types'!$D$3),Data!$C58,"")</f>
        <v>24</v>
      </c>
      <c r="B58" s="2">
        <f>IF(AND(Data!$K58='All Types'!$D$2,Data!$L58='All Types'!$D$3),Data!M58,"")</f>
        <v>0.002430555556</v>
      </c>
      <c r="C58" s="99">
        <f>IF(B58="","",Data!N58)</f>
        <v>210</v>
      </c>
    </row>
    <row r="59">
      <c r="A59" s="3">
        <f>IF(AND(Data!$K59='All Types'!$D$2,Data!$L59='All Types'!$D$3),Data!$C59,"")</f>
        <v>24</v>
      </c>
      <c r="B59" s="2">
        <f>IF(AND(Data!$K59='All Types'!$D$2,Data!$L59='All Types'!$D$3),Data!M59,"")</f>
        <v>0.002476851852</v>
      </c>
      <c r="C59" s="99">
        <f>IF(B59="","",Data!N59)</f>
        <v>214</v>
      </c>
    </row>
    <row r="60">
      <c r="A60" s="3">
        <f>IF(AND(Data!$K60='All Types'!$D$2,Data!$L60='All Types'!$D$3),Data!$C60,"")</f>
        <v>21</v>
      </c>
      <c r="B60" s="2">
        <f>IF(AND(Data!$K60='All Types'!$D$2,Data!$L60='All Types'!$D$3),Data!M60,"")</f>
        <v>0.002372685185</v>
      </c>
      <c r="C60" s="99">
        <f>IF(B60="","",Data!N60)</f>
        <v>205</v>
      </c>
    </row>
    <row r="61">
      <c r="A61" s="3">
        <f>IF(AND(Data!$K61='All Types'!$D$2,Data!$L61='All Types'!$D$3),Data!$C61,"")</f>
        <v>20</v>
      </c>
      <c r="B61" s="2">
        <f>IF(AND(Data!$K61='All Types'!$D$2,Data!$L61='All Types'!$D$3),Data!M61,"")</f>
        <v>0.00244212963</v>
      </c>
      <c r="C61" s="99">
        <f>IF(B61="","",Data!N61)</f>
        <v>211</v>
      </c>
    </row>
    <row r="62">
      <c r="A62" s="3">
        <f>IF(AND(Data!$K62='All Types'!$D$2,Data!$L62='All Types'!$D$3),Data!$C62,"")</f>
        <v>21</v>
      </c>
      <c r="B62" s="2">
        <f>IF(AND(Data!$K62='All Types'!$D$2,Data!$L62='All Types'!$D$3),Data!M62,"")</f>
        <v>0.002430555556</v>
      </c>
      <c r="C62" s="99">
        <f>IF(B62="","",Data!N62)</f>
        <v>210</v>
      </c>
    </row>
    <row r="63">
      <c r="A63" s="3">
        <f>IF(AND(Data!$K63='All Types'!$D$2,Data!$L63='All Types'!$D$3),Data!$C63,"")</f>
        <v>24</v>
      </c>
      <c r="B63" s="2">
        <f>IF(AND(Data!$K63='All Types'!$D$2,Data!$L63='All Types'!$D$3),Data!M63,"")</f>
        <v>0.002430555556</v>
      </c>
      <c r="C63" s="99">
        <f>IF(B63="","",Data!N63)</f>
        <v>210</v>
      </c>
    </row>
    <row r="64">
      <c r="A64" s="3">
        <f>IF(AND(Data!$K64='All Types'!$D$2,Data!$L64='All Types'!$D$3),Data!$C64,"")</f>
        <v>21</v>
      </c>
      <c r="B64" s="2">
        <f>IF(AND(Data!$K64='All Types'!$D$2,Data!$L64='All Types'!$D$3),Data!M64,"")</f>
        <v>0.002430555556</v>
      </c>
      <c r="C64" s="99">
        <f>IF(B64="","",Data!N64)</f>
        <v>210</v>
      </c>
    </row>
    <row r="65">
      <c r="A65" s="3">
        <f>IF(AND(Data!$K65='All Types'!$D$2,Data!$L65='All Types'!$D$3),Data!$C65,"")</f>
        <v>23</v>
      </c>
      <c r="B65" s="2">
        <f>IF(AND(Data!$K65='All Types'!$D$2,Data!$L65='All Types'!$D$3),Data!M65,"")</f>
        <v>0.002384259259</v>
      </c>
      <c r="C65" s="99">
        <f>IF(B65="","",Data!N65)</f>
        <v>206</v>
      </c>
    </row>
    <row r="66">
      <c r="A66" s="3">
        <f>IF(AND(Data!$K66='All Types'!$D$2,Data!$L66='All Types'!$D$3),Data!$C66,"")</f>
        <v>20</v>
      </c>
      <c r="B66" s="2">
        <f>IF(AND(Data!$K66='All Types'!$D$2,Data!$L66='All Types'!$D$3),Data!M66,"")</f>
        <v>0.002418981481</v>
      </c>
      <c r="C66" s="99">
        <f>IF(B66="","",Data!N66)</f>
        <v>209</v>
      </c>
    </row>
    <row r="67">
      <c r="A67" s="3">
        <f>IF(AND(Data!$K67='All Types'!$D$2,Data!$L67='All Types'!$D$3),Data!$C67,"")</f>
        <v>23</v>
      </c>
      <c r="B67" s="2">
        <f>IF(AND(Data!$K67='All Types'!$D$2,Data!$L67='All Types'!$D$3),Data!M67,"")</f>
        <v>0.002476851852</v>
      </c>
      <c r="C67" s="99">
        <f>IF(B67="","",Data!N67)</f>
        <v>214</v>
      </c>
    </row>
    <row r="68">
      <c r="A68" s="3">
        <f>IF(AND(Data!$K68='All Types'!$D$2,Data!$L68='All Types'!$D$3),Data!$C68,"")</f>
        <v>22</v>
      </c>
      <c r="B68" s="2">
        <f>IF(AND(Data!$K68='All Types'!$D$2,Data!$L68='All Types'!$D$3),Data!M68,"")</f>
        <v>0.002488425926</v>
      </c>
      <c r="C68" s="99">
        <f>IF(B68="","",Data!N68)</f>
        <v>215</v>
      </c>
    </row>
    <row r="69">
      <c r="A69" s="3">
        <f>IF(AND(Data!$K69='All Types'!$D$2,Data!$L69='All Types'!$D$3),Data!$C69,"")</f>
        <v>23</v>
      </c>
      <c r="B69" s="2">
        <f>IF(AND(Data!$K69='All Types'!$D$2,Data!$L69='All Types'!$D$3),Data!M69,"")</f>
        <v>0.0025</v>
      </c>
      <c r="C69" s="99">
        <f>IF(B69="","",Data!N69)</f>
        <v>216</v>
      </c>
    </row>
    <row r="70">
      <c r="A70" s="3">
        <f>IF(AND(Data!$K70='All Types'!$D$2,Data!$L70='All Types'!$D$3),Data!$C70,"")</f>
        <v>20</v>
      </c>
      <c r="B70" s="2">
        <f>IF(AND(Data!$K70='All Types'!$D$2,Data!$L70='All Types'!$D$3),Data!M70,"")</f>
        <v>0.002476851852</v>
      </c>
      <c r="C70" s="99">
        <f>IF(B70="","",Data!N70)</f>
        <v>214</v>
      </c>
    </row>
    <row r="71">
      <c r="A71" s="3" t="str">
        <f>IF(AND(Data!$K71='All Types'!$D$2,Data!$L71='All Types'!$D$3),Data!$C71,"")</f>
        <v/>
      </c>
      <c r="B71" s="3" t="str">
        <f>IF(AND(Data!$K71='All Types'!$D$2,Data!$L71='All Types'!$D$3),Data!M71,"")</f>
        <v/>
      </c>
      <c r="C71" s="3" t="str">
        <f>IF(B71="","",Data!N71)</f>
        <v/>
      </c>
    </row>
    <row r="72">
      <c r="A72" s="3" t="str">
        <f>IF(AND(Data!$K72='All Types'!$D$2,Data!$L72='All Types'!$D$3),Data!$C72,"")</f>
        <v/>
      </c>
      <c r="B72" s="3" t="str">
        <f>IF(AND(Data!$K72='All Types'!$D$2,Data!$L72='All Types'!$D$3),Data!M72,"")</f>
        <v/>
      </c>
      <c r="C72" s="3" t="str">
        <f>IF(B72="","",Data!N72)</f>
        <v/>
      </c>
    </row>
    <row r="73">
      <c r="A73" s="3" t="str">
        <f>IF(AND(Data!$K73='All Types'!$D$2,Data!$L73='All Types'!$D$3),Data!$C73,"")</f>
        <v/>
      </c>
      <c r="B73" s="3" t="str">
        <f>IF(AND(Data!$K73='All Types'!$D$2,Data!$L73='All Types'!$D$3),Data!M73,"")</f>
        <v/>
      </c>
      <c r="C73" s="3" t="str">
        <f>IF(B73="","",Data!N73)</f>
        <v/>
      </c>
    </row>
    <row r="74">
      <c r="A74" s="3" t="str">
        <f>IF(AND(Data!$K74='All Types'!$D$2,Data!$L74='All Types'!$D$3),Data!$C74,"")</f>
        <v/>
      </c>
      <c r="B74" s="3" t="str">
        <f>IF(AND(Data!$K74='All Types'!$D$2,Data!$L74='All Types'!$D$3),Data!M74,"")</f>
        <v/>
      </c>
      <c r="C74" s="3" t="str">
        <f>IF(B74="","",Data!N74)</f>
        <v/>
      </c>
    </row>
    <row r="75">
      <c r="A75" s="3" t="str">
        <f>IF(AND(Data!$K75='All Types'!$D$2,Data!$L75='All Types'!$D$3),Data!$C75,"")</f>
        <v/>
      </c>
      <c r="B75" s="3" t="str">
        <f>IF(AND(Data!$K75='All Types'!$D$2,Data!$L75='All Types'!$D$3),Data!M75,"")</f>
        <v/>
      </c>
      <c r="C75" s="3" t="str">
        <f>IF(B75="","",Data!N75)</f>
        <v/>
      </c>
    </row>
    <row r="76">
      <c r="A76" s="3" t="str">
        <f>IF(AND(Data!$K76='All Types'!$D$2,Data!$L76='All Types'!$D$3),Data!$C76,"")</f>
        <v/>
      </c>
      <c r="B76" s="3" t="str">
        <f>IF(AND(Data!$K76='All Types'!$D$2,Data!$L76='All Types'!$D$3),Data!M76,"")</f>
        <v/>
      </c>
      <c r="C76" s="3" t="str">
        <f>IF(B76="","",Data!N76)</f>
        <v/>
      </c>
    </row>
    <row r="77">
      <c r="A77" s="3" t="str">
        <f>IF(AND(Data!$K77='All Types'!$D$2,Data!$L77='All Types'!$D$3),Data!$C77,"")</f>
        <v/>
      </c>
      <c r="B77" s="3" t="str">
        <f>IF(AND(Data!$K77='All Types'!$D$2,Data!$L77='All Types'!$D$3),Data!M77,"")</f>
        <v/>
      </c>
      <c r="C77" s="3" t="str">
        <f>IF(B77="","",Data!N77)</f>
        <v/>
      </c>
    </row>
    <row r="78">
      <c r="A78" s="3" t="str">
        <f>IF(AND(Data!$K78='All Types'!$D$2,Data!$L78='All Types'!$D$3),Data!$C78,"")</f>
        <v/>
      </c>
      <c r="B78" s="3" t="str">
        <f>IF(AND(Data!$K78='All Types'!$D$2,Data!$L78='All Types'!$D$3),Data!M78,"")</f>
        <v/>
      </c>
      <c r="C78" s="3" t="str">
        <f>IF(B78="","",Data!N78)</f>
        <v/>
      </c>
    </row>
    <row r="79">
      <c r="A79" s="3" t="str">
        <f>IF(AND(Data!$K79='All Types'!$D$2,Data!$L79='All Types'!$D$3),Data!$C79,"")</f>
        <v/>
      </c>
      <c r="B79" s="3" t="str">
        <f>IF(AND(Data!$K79='All Types'!$D$2,Data!$L79='All Types'!$D$3),Data!M79,"")</f>
        <v/>
      </c>
      <c r="C79" s="3" t="str">
        <f>IF(B79="","",Data!N79)</f>
        <v/>
      </c>
    </row>
    <row r="80">
      <c r="A80" s="3" t="str">
        <f>IF(AND(Data!$K80='All Types'!$D$2,Data!$L80='All Types'!$D$3),Data!$C80,"")</f>
        <v/>
      </c>
      <c r="B80" s="3" t="str">
        <f>IF(AND(Data!$K80='All Types'!$D$2,Data!$L80='All Types'!$D$3),Data!M80,"")</f>
        <v/>
      </c>
      <c r="C80" s="3" t="str">
        <f>IF(B80="","",Data!N80)</f>
        <v/>
      </c>
    </row>
    <row r="81">
      <c r="A81" s="3" t="str">
        <f>IF(AND(Data!$K81='All Types'!$D$2,Data!$L81='All Types'!$D$3),Data!$C81,"")</f>
        <v/>
      </c>
      <c r="B81" s="3" t="str">
        <f>IF(AND(Data!$K81='All Types'!$D$2,Data!$L81='All Types'!$D$3),Data!M81,"")</f>
        <v/>
      </c>
      <c r="C81" s="3" t="str">
        <f>IF(B81="","",Data!N81)</f>
        <v/>
      </c>
    </row>
    <row r="82">
      <c r="A82" s="3" t="str">
        <f>IF(AND(Data!$K82='All Types'!$D$2,Data!$L82='All Types'!$D$3),Data!$C82,"")</f>
        <v/>
      </c>
      <c r="B82" s="3" t="str">
        <f>IF(AND(Data!$K82='All Types'!$D$2,Data!$L82='All Types'!$D$3),Data!M82,"")</f>
        <v/>
      </c>
      <c r="C82" s="3" t="str">
        <f>IF(B82="","",Data!N82)</f>
        <v/>
      </c>
    </row>
    <row r="83">
      <c r="A83" s="3" t="str">
        <f>IF(AND(Data!$K83='All Types'!$D$2,Data!$L83='All Types'!$D$3),Data!$C83,"")</f>
        <v/>
      </c>
      <c r="B83" s="3" t="str">
        <f>IF(AND(Data!$K83='All Types'!$D$2,Data!$L83='All Types'!$D$3),Data!M83,"")</f>
        <v/>
      </c>
      <c r="C83" s="3" t="str">
        <f>IF(B83="","",Data!N83)</f>
        <v/>
      </c>
    </row>
    <row r="84">
      <c r="A84" s="3" t="str">
        <f>IF(AND(Data!$K84='All Types'!$D$2,Data!$L84='All Types'!$D$3),Data!$C84,"")</f>
        <v/>
      </c>
      <c r="B84" s="3" t="str">
        <f>IF(AND(Data!$K84='All Types'!$D$2,Data!$L84='All Types'!$D$3),Data!M84,"")</f>
        <v/>
      </c>
      <c r="C84" s="3" t="str">
        <f>IF(B84="","",Data!N84)</f>
        <v/>
      </c>
    </row>
    <row r="85">
      <c r="A85" s="3" t="str">
        <f>IF(AND(Data!$K85='All Types'!$D$2,Data!$L85='All Types'!$D$3),Data!$C85,"")</f>
        <v/>
      </c>
      <c r="B85" s="3" t="str">
        <f>IF(AND(Data!$K85='All Types'!$D$2,Data!$L85='All Types'!$D$3),Data!M85,"")</f>
        <v/>
      </c>
      <c r="C85" s="3" t="str">
        <f>IF(B85="","",Data!N85)</f>
        <v/>
      </c>
    </row>
    <row r="86">
      <c r="A86" s="3" t="str">
        <f>IF(AND(Data!$K86='All Types'!$D$2,Data!$L86='All Types'!$D$3),Data!$C86,"")</f>
        <v/>
      </c>
      <c r="B86" s="3" t="str">
        <f>IF(AND(Data!$K86='All Types'!$D$2,Data!$L86='All Types'!$D$3),Data!M86,"")</f>
        <v/>
      </c>
      <c r="C86" s="3" t="str">
        <f>IF(B86="","",Data!N86)</f>
        <v/>
      </c>
    </row>
    <row r="87">
      <c r="A87" s="3" t="str">
        <f>IF(AND(Data!$K87='All Types'!$D$2,Data!$L87='All Types'!$D$3),Data!$C87,"")</f>
        <v/>
      </c>
      <c r="B87" s="3" t="str">
        <f>IF(AND(Data!$K87='All Types'!$D$2,Data!$L87='All Types'!$D$3),Data!M87,"")</f>
        <v/>
      </c>
      <c r="C87" s="3" t="str">
        <f>IF(B87="","",Data!N87)</f>
        <v/>
      </c>
    </row>
    <row r="88">
      <c r="A88" s="3" t="str">
        <f>IF(AND(Data!$K88='All Types'!$D$2,Data!$L88='All Types'!$D$3),Data!$C88,"")</f>
        <v/>
      </c>
      <c r="B88" s="3" t="str">
        <f>IF(AND(Data!$K88='All Types'!$D$2,Data!$L88='All Types'!$D$3),Data!M88,"")</f>
        <v/>
      </c>
      <c r="C88" s="3" t="str">
        <f>IF(B88="","",Data!N88)</f>
        <v/>
      </c>
    </row>
    <row r="89">
      <c r="A89" s="3" t="str">
        <f>IF(AND(Data!$K89='All Types'!$D$2,Data!$L89='All Types'!$D$3),Data!$C89,"")</f>
        <v/>
      </c>
      <c r="B89" s="3" t="str">
        <f>IF(AND(Data!$K89='All Types'!$D$2,Data!$L89='All Types'!$D$3),Data!M89,"")</f>
        <v/>
      </c>
      <c r="C89" s="3" t="str">
        <f>IF(B89="","",Data!N89)</f>
        <v/>
      </c>
    </row>
    <row r="90">
      <c r="A90" s="3" t="str">
        <f>IF(AND(Data!$K90='All Types'!$D$2,Data!$L90='All Types'!$D$3),Data!$C90,"")</f>
        <v/>
      </c>
      <c r="B90" s="3" t="str">
        <f>IF(AND(Data!$K90='All Types'!$D$2,Data!$L90='All Types'!$D$3),Data!M90,"")</f>
        <v/>
      </c>
      <c r="C90" s="3" t="str">
        <f>IF(B90="","",Data!N90)</f>
        <v/>
      </c>
    </row>
    <row r="91">
      <c r="A91" s="3" t="str">
        <f>IF(AND(Data!$K91='All Types'!$D$2,Data!$L91='All Types'!$D$3),Data!$C91,"")</f>
        <v/>
      </c>
      <c r="B91" s="3" t="str">
        <f>IF(AND(Data!$K91='All Types'!$D$2,Data!$L91='All Types'!$D$3),Data!M91,"")</f>
        <v/>
      </c>
      <c r="C91" s="3" t="str">
        <f>IF(B91="","",Data!N91)</f>
        <v/>
      </c>
    </row>
    <row r="92">
      <c r="A92" s="3" t="str">
        <f>IF(AND(Data!$K92='All Types'!$D$2,Data!$L92='All Types'!$D$3),Data!$C92,"")</f>
        <v/>
      </c>
      <c r="B92" s="3" t="str">
        <f>IF(AND(Data!$K92='All Types'!$D$2,Data!$L92='All Types'!$D$3),Data!M92,"")</f>
        <v/>
      </c>
      <c r="C92" s="3" t="str">
        <f>IF(B92="","",Data!N92)</f>
        <v/>
      </c>
    </row>
    <row r="93">
      <c r="A93" s="3" t="str">
        <f>IF(AND(Data!$K93='All Types'!$D$2,Data!$L93='All Types'!$D$3),Data!$C93,"")</f>
        <v/>
      </c>
      <c r="B93" s="3" t="str">
        <f>IF(AND(Data!$K93='All Types'!$D$2,Data!$L93='All Types'!$D$3),Data!M93,"")</f>
        <v/>
      </c>
      <c r="C93" s="3" t="str">
        <f>IF(B93="","",Data!N93)</f>
        <v/>
      </c>
    </row>
    <row r="94">
      <c r="A94" s="3" t="str">
        <f>IF(AND(Data!$K94='All Types'!$D$2,Data!$L94='All Types'!$D$3),Data!$C94,"")</f>
        <v/>
      </c>
      <c r="B94" s="3" t="str">
        <f>IF(AND(Data!$K94='All Types'!$D$2,Data!$L94='All Types'!$D$3),Data!M94,"")</f>
        <v/>
      </c>
      <c r="C94" s="3" t="str">
        <f>IF(B94="","",Data!N94)</f>
        <v/>
      </c>
    </row>
    <row r="95">
      <c r="A95" s="3" t="str">
        <f>IF(AND(Data!$K95='All Types'!$D$2,Data!$L95='All Types'!$D$3),Data!$C95,"")</f>
        <v/>
      </c>
      <c r="B95" s="3" t="str">
        <f>IF(AND(Data!$K95='All Types'!$D$2,Data!$L95='All Types'!$D$3),Data!M95,"")</f>
        <v/>
      </c>
      <c r="C95" s="3" t="str">
        <f>IF(B95="","",Data!N95)</f>
        <v/>
      </c>
    </row>
    <row r="96">
      <c r="A96" s="3" t="str">
        <f>IF(AND(Data!$K96='All Types'!$D$2,Data!$L96='All Types'!$D$3),Data!$C96,"")</f>
        <v/>
      </c>
      <c r="B96" s="3" t="str">
        <f>IF(AND(Data!$K96='All Types'!$D$2,Data!$L96='All Types'!$D$3),Data!M96,"")</f>
        <v/>
      </c>
      <c r="C96" s="3" t="str">
        <f>IF(B96="","",Data!N96)</f>
        <v/>
      </c>
    </row>
    <row r="97">
      <c r="A97" s="3" t="str">
        <f>IF(AND(Data!$K97='All Types'!$D$2,Data!$L97='All Types'!$D$3),Data!$C97,"")</f>
        <v/>
      </c>
      <c r="B97" s="3" t="str">
        <f>IF(AND(Data!$K97='All Types'!$D$2,Data!$L97='All Types'!$D$3),Data!M97,"")</f>
        <v/>
      </c>
      <c r="C97" s="3" t="str">
        <f>IF(B97="","",Data!N97)</f>
        <v/>
      </c>
    </row>
    <row r="98">
      <c r="A98" s="3" t="str">
        <f>IF(AND(Data!$K98='All Types'!$D$2,Data!$L98='All Types'!$D$3),Data!$C98,"")</f>
        <v/>
      </c>
      <c r="B98" s="3" t="str">
        <f>IF(AND(Data!$K98='All Types'!$D$2,Data!$L98='All Types'!$D$3),Data!M98,"")</f>
        <v/>
      </c>
      <c r="C98" s="3" t="str">
        <f>IF(B98="","",Data!N98)</f>
        <v/>
      </c>
    </row>
    <row r="99">
      <c r="A99" s="3" t="str">
        <f>IF(AND(Data!$K99='All Types'!$D$2,Data!$L99='All Types'!$D$3),Data!$C99,"")</f>
        <v/>
      </c>
      <c r="B99" s="3" t="str">
        <f>IF(AND(Data!$K99='All Types'!$D$2,Data!$L99='All Types'!$D$3),Data!M99,"")</f>
        <v/>
      </c>
      <c r="C99" s="3" t="str">
        <f>IF(B99="","",Data!N99)</f>
        <v/>
      </c>
    </row>
    <row r="100">
      <c r="A100" s="3" t="str">
        <f>IF(AND(Data!$K100='All Types'!$D$2,Data!$L100='All Types'!$D$3),Data!$C100,"")</f>
        <v/>
      </c>
      <c r="B100" s="3" t="str">
        <f>IF(AND(Data!$K100='All Types'!$D$2,Data!$L100='All Types'!$D$3),Data!M100,"")</f>
        <v/>
      </c>
      <c r="C100" s="3" t="str">
        <f>IF(B100="","",Data!N100)</f>
        <v/>
      </c>
    </row>
    <row r="101">
      <c r="A101" s="3" t="str">
        <f>IF(AND(Data!$K101='All Types'!$D$2,Data!$L101='All Types'!$D$3),Data!$C101,"")</f>
        <v/>
      </c>
      <c r="B101" s="3" t="str">
        <f>IF(AND(Data!$K101='All Types'!$D$2,Data!$L101='All Types'!$D$3),Data!M101,"")</f>
        <v/>
      </c>
      <c r="C101" s="3" t="str">
        <f>IF(B101="","",Data!N101)</f>
        <v/>
      </c>
    </row>
    <row r="102">
      <c r="A102" s="3" t="str">
        <f>IF(AND(Data!$K102='All Types'!$D$2,Data!$L102='All Types'!$D$3),Data!$C102,"")</f>
        <v/>
      </c>
      <c r="B102" s="3" t="str">
        <f>IF(AND(Data!$K102='All Types'!$D$2,Data!$L102='All Types'!$D$3),Data!M102,"")</f>
        <v/>
      </c>
      <c r="C102" s="3" t="str">
        <f>IF(B102="","",Data!N102)</f>
        <v/>
      </c>
    </row>
    <row r="103">
      <c r="A103" s="3" t="str">
        <f>IF(AND(Data!$K103='All Types'!$D$2,Data!$L103='All Types'!$D$3),Data!$C103,"")</f>
        <v/>
      </c>
      <c r="B103" s="3" t="str">
        <f>IF(AND(Data!$K103='All Types'!$D$2,Data!$L103='All Types'!$D$3),Data!M103,"")</f>
        <v/>
      </c>
      <c r="C103" s="3" t="str">
        <f>IF(B103="","",Data!N103)</f>
        <v/>
      </c>
    </row>
    <row r="104">
      <c r="A104" s="3" t="str">
        <f>IF(AND(Data!$K104='All Types'!$D$2,Data!$L104='All Types'!$D$3),Data!$C104,"")</f>
        <v/>
      </c>
      <c r="B104" s="3" t="str">
        <f>IF(AND(Data!$K104='All Types'!$D$2,Data!$L104='All Types'!$D$3),Data!M104,"")</f>
        <v/>
      </c>
      <c r="C104" s="3" t="str">
        <f>IF(B104="","",Data!N104)</f>
        <v/>
      </c>
    </row>
    <row r="105">
      <c r="A105" s="3" t="str">
        <f>IF(AND(Data!$K105='All Types'!$D$2,Data!$L105='All Types'!$D$3),Data!$C105,"")</f>
        <v/>
      </c>
      <c r="B105" s="3" t="str">
        <f>IF(AND(Data!$K105='All Types'!$D$2,Data!$L105='All Types'!$D$3),Data!M105,"")</f>
        <v/>
      </c>
      <c r="C105" s="3" t="str">
        <f>IF(B105="","",Data!N105)</f>
        <v/>
      </c>
    </row>
    <row r="106">
      <c r="A106" s="3" t="str">
        <f>IF(AND(Data!$K106='All Types'!$D$2,Data!$L106='All Types'!$D$3),Data!$C106,"")</f>
        <v/>
      </c>
      <c r="B106" s="3" t="str">
        <f>IF(AND(Data!$K106='All Types'!$D$2,Data!$L106='All Types'!$D$3),Data!M106,"")</f>
        <v/>
      </c>
      <c r="C106" s="3" t="str">
        <f>IF(B106="","",Data!N106)</f>
        <v/>
      </c>
    </row>
    <row r="107">
      <c r="A107" s="3" t="str">
        <f>IF(AND(Data!$K107='All Types'!$D$2,Data!$L107='All Types'!$D$3),Data!$C107,"")</f>
        <v/>
      </c>
      <c r="B107" s="3" t="str">
        <f>IF(AND(Data!$K107='All Types'!$D$2,Data!$L107='All Types'!$D$3),Data!M107,"")</f>
        <v/>
      </c>
      <c r="C107" s="3" t="str">
        <f>IF(B107="","",Data!N107)</f>
        <v/>
      </c>
    </row>
    <row r="108">
      <c r="A108" s="3" t="str">
        <f>IF(AND(Data!$K108='All Types'!$D$2,Data!$L108='All Types'!$D$3),Data!$C108,"")</f>
        <v/>
      </c>
      <c r="B108" s="3" t="str">
        <f>IF(AND(Data!$K108='All Types'!$D$2,Data!$L108='All Types'!$D$3),Data!M108,"")</f>
        <v/>
      </c>
      <c r="C108" s="3" t="str">
        <f>IF(B108="","",Data!N108)</f>
        <v/>
      </c>
    </row>
    <row r="109">
      <c r="A109" s="3" t="str">
        <f>IF(AND(Data!$K109='All Types'!$D$2,Data!$L109='All Types'!$D$3),Data!$C109,"")</f>
        <v/>
      </c>
      <c r="B109" s="3" t="str">
        <f>IF(AND(Data!$K109='All Types'!$D$2,Data!$L109='All Types'!$D$3),Data!M109,"")</f>
        <v/>
      </c>
      <c r="C109" s="3" t="str">
        <f>IF(B109="","",Data!N109)</f>
        <v/>
      </c>
    </row>
    <row r="110">
      <c r="A110" s="3" t="str">
        <f>IF(AND(Data!$K110='All Types'!$D$2,Data!$L110='All Types'!$D$3),Data!$C110,"")</f>
        <v/>
      </c>
      <c r="B110" s="3" t="str">
        <f>IF(AND(Data!$K110='All Types'!$D$2,Data!$L110='All Types'!$D$3),Data!M110,"")</f>
        <v/>
      </c>
      <c r="C110" s="3" t="str">
        <f>IF(B110="","",Data!N110)</f>
        <v/>
      </c>
    </row>
    <row r="111">
      <c r="A111" s="3" t="str">
        <f>IF(AND(Data!$K111='All Types'!$D$2,Data!$L111='All Types'!$D$3),Data!$C111,"")</f>
        <v/>
      </c>
      <c r="B111" s="3" t="str">
        <f>IF(AND(Data!$K111='All Types'!$D$2,Data!$L111='All Types'!$D$3),Data!M111,"")</f>
        <v/>
      </c>
      <c r="C111" s="3" t="str">
        <f>IF(B111="","",Data!N111)</f>
        <v/>
      </c>
    </row>
    <row r="112">
      <c r="A112" s="3" t="str">
        <f>IF(AND(Data!$K112='All Types'!$D$2,Data!$L112='All Types'!$D$3),Data!$C112,"")</f>
        <v/>
      </c>
      <c r="B112" s="3" t="str">
        <f>IF(AND(Data!$K112='All Types'!$D$2,Data!$L112='All Types'!$D$3),Data!M112,"")</f>
        <v/>
      </c>
      <c r="C112" s="3" t="str">
        <f>IF(B112="","",Data!N112)</f>
        <v/>
      </c>
    </row>
    <row r="113">
      <c r="A113" s="3" t="str">
        <f>IF(AND(Data!$K113='All Types'!$D$2,Data!$L113='All Types'!$D$3),Data!$C113,"")</f>
        <v/>
      </c>
      <c r="B113" s="3" t="str">
        <f>IF(AND(Data!$K113='All Types'!$D$2,Data!$L113='All Types'!$D$3),Data!M113,"")</f>
        <v/>
      </c>
      <c r="C113" s="3" t="str">
        <f>IF(B113="","",Data!N113)</f>
        <v/>
      </c>
    </row>
    <row r="114">
      <c r="A114" s="3" t="str">
        <f>IF(AND(Data!$K114='All Types'!$D$2,Data!$L114='All Types'!$D$3),Data!$C114,"")</f>
        <v/>
      </c>
      <c r="B114" s="3" t="str">
        <f>IF(AND(Data!$K114='All Types'!$D$2,Data!$L114='All Types'!$D$3),Data!M114,"")</f>
        <v/>
      </c>
      <c r="C114" s="3" t="str">
        <f>IF(B114="","",Data!N114)</f>
        <v/>
      </c>
    </row>
    <row r="115">
      <c r="A115" s="3" t="str">
        <f>IF(AND(Data!$K115='All Types'!$D$2,Data!$L115='All Types'!$D$3),Data!$C115,"")</f>
        <v/>
      </c>
      <c r="B115" s="3" t="str">
        <f>IF(AND(Data!$K115='All Types'!$D$2,Data!$L115='All Types'!$D$3),Data!M115,"")</f>
        <v/>
      </c>
      <c r="C115" s="3" t="str">
        <f>IF(B115="","",Data!N115)</f>
        <v/>
      </c>
    </row>
    <row r="116">
      <c r="A116" s="3" t="str">
        <f>IF(AND(Data!$K116='All Types'!$D$2,Data!$L116='All Types'!$D$3),Data!$C116,"")</f>
        <v/>
      </c>
      <c r="B116" s="3" t="str">
        <f>IF(AND(Data!$K116='All Types'!$D$2,Data!$L116='All Types'!$D$3),Data!M116,"")</f>
        <v/>
      </c>
      <c r="C116" s="3" t="str">
        <f>IF(B116="","",Data!N116)</f>
        <v/>
      </c>
    </row>
    <row r="117">
      <c r="A117" s="3" t="str">
        <f>IF(AND(Data!$K117='All Types'!$D$2,Data!$L117='All Types'!$D$3),Data!$C117,"")</f>
        <v/>
      </c>
      <c r="B117" s="3" t="str">
        <f>IF(AND(Data!$K117='All Types'!$D$2,Data!$L117='All Types'!$D$3),Data!M117,"")</f>
        <v/>
      </c>
      <c r="C117" s="3" t="str">
        <f>IF(B117="","",Data!N117)</f>
        <v/>
      </c>
    </row>
    <row r="118">
      <c r="A118" s="3" t="str">
        <f>IF(AND(Data!$K118='All Types'!$D$2,Data!$L118='All Types'!$D$3),Data!$C118,"")</f>
        <v/>
      </c>
      <c r="B118" s="3" t="str">
        <f>IF(AND(Data!$K118='All Types'!$D$2,Data!$L118='All Types'!$D$3),Data!M118,"")</f>
        <v/>
      </c>
      <c r="C118" s="3" t="str">
        <f>IF(B118="","",Data!N118)</f>
        <v/>
      </c>
    </row>
    <row r="119">
      <c r="A119" s="3" t="str">
        <f>IF(AND(Data!$K119='All Types'!$D$2,Data!$L119='All Types'!$D$3),Data!$C119,"")</f>
        <v/>
      </c>
      <c r="B119" s="3" t="str">
        <f>IF(AND(Data!$K119='All Types'!$D$2,Data!$L119='All Types'!$D$3),Data!M119,"")</f>
        <v/>
      </c>
      <c r="C119" s="3" t="str">
        <f>IF(B119="","",Data!N119)</f>
        <v/>
      </c>
    </row>
    <row r="120">
      <c r="A120" s="3" t="str">
        <f>IF(AND(Data!$K120='All Types'!$D$2,Data!$L120='All Types'!$D$3),Data!$C120,"")</f>
        <v/>
      </c>
      <c r="B120" s="3" t="str">
        <f>IF(AND(Data!$K120='All Types'!$D$2,Data!$L120='All Types'!$D$3),Data!M120,"")</f>
        <v/>
      </c>
      <c r="C120" s="3" t="str">
        <f>IF(B120="","",Data!N120)</f>
        <v/>
      </c>
    </row>
    <row r="121">
      <c r="A121" s="3" t="str">
        <f>IF(AND(Data!$K121='All Types'!$D$2,Data!$L121='All Types'!$D$3),Data!$C121,"")</f>
        <v/>
      </c>
      <c r="B121" s="3" t="str">
        <f>IF(AND(Data!$K121='All Types'!$D$2,Data!$L121='All Types'!$D$3),Data!M121,"")</f>
        <v/>
      </c>
      <c r="C121" s="3" t="str">
        <f>IF(B121="","",Data!N121)</f>
        <v/>
      </c>
    </row>
    <row r="122">
      <c r="A122" s="3" t="str">
        <f>IF(AND(Data!$K122='All Types'!$D$2,Data!$L122='All Types'!$D$3),Data!$C122,"")</f>
        <v/>
      </c>
      <c r="B122" s="3" t="str">
        <f>IF(AND(Data!$K122='All Types'!$D$2,Data!$L122='All Types'!$D$3),Data!M122,"")</f>
        <v/>
      </c>
      <c r="C122" s="3" t="str">
        <f>IF(B122="","",Data!N122)</f>
        <v/>
      </c>
    </row>
    <row r="123">
      <c r="A123" s="3" t="str">
        <f>IF(AND(Data!$K123='All Types'!$D$2,Data!$L123='All Types'!$D$3),Data!$C123,"")</f>
        <v/>
      </c>
      <c r="B123" s="3" t="str">
        <f>IF(AND(Data!$K123='All Types'!$D$2,Data!$L123='All Types'!$D$3),Data!M123,"")</f>
        <v/>
      </c>
      <c r="C123" s="3" t="str">
        <f>IF(B123="","",Data!N123)</f>
        <v/>
      </c>
    </row>
    <row r="124">
      <c r="A124" s="3" t="str">
        <f>IF(AND(Data!$K124='All Types'!$D$2,Data!$L124='All Types'!$D$3),Data!$C124,"")</f>
        <v/>
      </c>
      <c r="B124" s="3" t="str">
        <f>IF(AND(Data!$K124='All Types'!$D$2,Data!$L124='All Types'!$D$3),Data!M124,"")</f>
        <v/>
      </c>
      <c r="C124" s="3" t="str">
        <f>IF(B124="","",Data!N124)</f>
        <v/>
      </c>
    </row>
    <row r="125">
      <c r="A125" s="3" t="str">
        <f>IF(AND(Data!$K125='All Types'!$D$2,Data!$L125='All Types'!$D$3),Data!$C125,"")</f>
        <v/>
      </c>
      <c r="B125" s="3" t="str">
        <f>IF(AND(Data!$K125='All Types'!$D$2,Data!$L125='All Types'!$D$3),Data!M125,"")</f>
        <v/>
      </c>
      <c r="C125" s="3" t="str">
        <f>IF(B125="","",Data!N125)</f>
        <v/>
      </c>
    </row>
    <row r="126">
      <c r="A126" s="3" t="str">
        <f>IF(AND(Data!$K126='All Types'!$D$2,Data!$L126='All Types'!$D$3),Data!$C126,"")</f>
        <v/>
      </c>
      <c r="B126" s="3" t="str">
        <f>IF(AND(Data!$K126='All Types'!$D$2,Data!$L126='All Types'!$D$3),Data!M126,"")</f>
        <v/>
      </c>
      <c r="C126" s="3" t="str">
        <f>IF(B126="","",Data!N126)</f>
        <v/>
      </c>
    </row>
    <row r="127">
      <c r="A127" s="3" t="str">
        <f>IF(AND(Data!$K127='All Types'!$D$2,Data!$L127='All Types'!$D$3),Data!$C127,"")</f>
        <v/>
      </c>
      <c r="B127" s="3" t="str">
        <f>IF(AND(Data!$K127='All Types'!$D$2,Data!$L127='All Types'!$D$3),Data!M127,"")</f>
        <v/>
      </c>
      <c r="C127" s="3" t="str">
        <f>IF(B127="","",Data!N127)</f>
        <v/>
      </c>
    </row>
    <row r="128">
      <c r="A128" s="3" t="str">
        <f>IF(AND(Data!$K128='All Types'!$D$2,Data!$L128='All Types'!$D$3),Data!$C128,"")</f>
        <v/>
      </c>
      <c r="B128" s="3" t="str">
        <f>IF(AND(Data!$K128='All Types'!$D$2,Data!$L128='All Types'!$D$3),Data!M128,"")</f>
        <v/>
      </c>
      <c r="C128" s="3" t="str">
        <f>IF(B128="","",Data!N128)</f>
        <v/>
      </c>
    </row>
    <row r="129">
      <c r="A129" s="3" t="str">
        <f>IF(AND(Data!$K129='All Types'!$D$2,Data!$L129='All Types'!$D$3),Data!$C129,"")</f>
        <v/>
      </c>
      <c r="B129" s="3" t="str">
        <f>IF(AND(Data!$K129='All Types'!$D$2,Data!$L129='All Types'!$D$3),Data!M129,"")</f>
        <v/>
      </c>
      <c r="C129" s="3" t="str">
        <f>IF(B129="","",Data!N129)</f>
        <v/>
      </c>
    </row>
    <row r="130">
      <c r="A130" s="3" t="str">
        <f>IF(AND(Data!$K130='All Types'!$D$2,Data!$L130='All Types'!$D$3),Data!$C130,"")</f>
        <v/>
      </c>
      <c r="B130" s="3" t="str">
        <f>IF(AND(Data!$K130='All Types'!$D$2,Data!$L130='All Types'!$D$3),Data!M130,"")</f>
        <v/>
      </c>
      <c r="C130" s="3" t="str">
        <f>IF(B130="","",Data!N130)</f>
        <v/>
      </c>
    </row>
    <row r="131">
      <c r="A131" s="3" t="str">
        <f>IF(AND(Data!$K131='All Types'!$D$2,Data!$L131='All Types'!$D$3),Data!$C131,"")</f>
        <v/>
      </c>
      <c r="B131" s="3" t="str">
        <f>IF(AND(Data!$K131='All Types'!$D$2,Data!$L131='All Types'!$D$3),Data!M131,"")</f>
        <v/>
      </c>
      <c r="C131" s="3" t="str">
        <f>IF(B131="","",Data!N131)</f>
        <v/>
      </c>
    </row>
    <row r="132">
      <c r="A132" s="3" t="str">
        <f>IF(AND(Data!$K132='All Types'!$D$2,Data!$L132='All Types'!$D$3),Data!$C132,"")</f>
        <v/>
      </c>
      <c r="B132" s="3" t="str">
        <f>IF(AND(Data!$K132='All Types'!$D$2,Data!$L132='All Types'!$D$3),Data!M132,"")</f>
        <v/>
      </c>
      <c r="C132" s="3" t="str">
        <f>IF(B132="","",Data!N132)</f>
        <v/>
      </c>
    </row>
    <row r="133">
      <c r="A133" s="3" t="str">
        <f>IF(AND(Data!$K133='All Types'!$D$2,Data!$L133='All Types'!$D$3),Data!$C133,"")</f>
        <v/>
      </c>
      <c r="B133" s="3" t="str">
        <f>IF(AND(Data!$K133='All Types'!$D$2,Data!$L133='All Types'!$D$3),Data!M133,"")</f>
        <v/>
      </c>
      <c r="C133" s="3" t="str">
        <f>IF(B133="","",Data!N133)</f>
        <v/>
      </c>
    </row>
    <row r="134">
      <c r="A134" s="3" t="str">
        <f>IF(AND(Data!$K134='All Types'!$D$2,Data!$L134='All Types'!$D$3),Data!$C134,"")</f>
        <v/>
      </c>
      <c r="B134" s="3" t="str">
        <f>IF(AND(Data!$K134='All Types'!$D$2,Data!$L134='All Types'!$D$3),Data!M134,"")</f>
        <v/>
      </c>
      <c r="C134" s="3" t="str">
        <f>IF(B134="","",Data!N134)</f>
        <v/>
      </c>
    </row>
    <row r="135">
      <c r="A135" s="3" t="str">
        <f>IF(AND(Data!$K135='All Types'!$D$2,Data!$L135='All Types'!$D$3),Data!$C135,"")</f>
        <v/>
      </c>
      <c r="B135" s="3" t="str">
        <f>IF(AND(Data!$K135='All Types'!$D$2,Data!$L135='All Types'!$D$3),Data!M135,"")</f>
        <v/>
      </c>
      <c r="C135" s="3" t="str">
        <f>IF(B135="","",Data!N135)</f>
        <v/>
      </c>
    </row>
    <row r="136">
      <c r="A136" s="3" t="str">
        <f>IF(AND(Data!$K136='All Types'!$D$2,Data!$L136='All Types'!$D$3),Data!$C136,"")</f>
        <v/>
      </c>
      <c r="B136" s="3" t="str">
        <f>IF(AND(Data!$K136='All Types'!$D$2,Data!$L136='All Types'!$D$3),Data!M136,"")</f>
        <v/>
      </c>
      <c r="C136" s="3" t="str">
        <f>IF(B136="","",Data!N136)</f>
        <v/>
      </c>
    </row>
    <row r="137">
      <c r="A137" s="3" t="str">
        <f>IF(AND(Data!$K137='All Types'!$D$2,Data!$L137='All Types'!$D$3),Data!$C137,"")</f>
        <v/>
      </c>
      <c r="B137" s="3" t="str">
        <f>IF(AND(Data!$K137='All Types'!$D$2,Data!$L137='All Types'!$D$3),Data!M137,"")</f>
        <v/>
      </c>
      <c r="C137" s="3" t="str">
        <f>IF(B137="","",Data!N137)</f>
        <v/>
      </c>
    </row>
    <row r="138">
      <c r="A138" s="3" t="str">
        <f>IF(AND(Data!$K138='All Types'!$D$2,Data!$L138='All Types'!$D$3),Data!$C138,"")</f>
        <v/>
      </c>
      <c r="B138" s="3" t="str">
        <f>IF(AND(Data!$K138='All Types'!$D$2,Data!$L138='All Types'!$D$3),Data!M138,"")</f>
        <v/>
      </c>
      <c r="C138" s="3" t="str">
        <f>IF(B138="","",Data!N138)</f>
        <v/>
      </c>
    </row>
    <row r="139">
      <c r="A139" s="3" t="str">
        <f>IF(AND(Data!$K139='All Types'!$D$2,Data!$L139='All Types'!$D$3),Data!$C139,"")</f>
        <v/>
      </c>
      <c r="B139" s="3" t="str">
        <f>IF(AND(Data!$K139='All Types'!$D$2,Data!$L139='All Types'!$D$3),Data!M139,"")</f>
        <v/>
      </c>
      <c r="C139" s="3" t="str">
        <f>IF(B139="","",Data!N139)</f>
        <v/>
      </c>
    </row>
    <row r="140">
      <c r="A140" s="3" t="str">
        <f>IF(AND(Data!$K140='All Types'!$D$2,Data!$L140='All Types'!$D$3),Data!$C140,"")</f>
        <v/>
      </c>
      <c r="B140" s="3" t="str">
        <f>IF(AND(Data!$K140='All Types'!$D$2,Data!$L140='All Types'!$D$3),Data!M140,"")</f>
        <v/>
      </c>
      <c r="C140" s="3" t="str">
        <f>IF(B140="","",Data!N140)</f>
        <v/>
      </c>
    </row>
    <row r="141">
      <c r="A141" s="3" t="str">
        <f>IF(AND(Data!$K141='All Types'!$D$2,Data!$L141='All Types'!$D$3),Data!$C141,"")</f>
        <v/>
      </c>
      <c r="B141" s="3" t="str">
        <f>IF(AND(Data!$K141='All Types'!$D$2,Data!$L141='All Types'!$D$3),Data!M141,"")</f>
        <v/>
      </c>
      <c r="C141" s="3" t="str">
        <f>IF(B141="","",Data!N141)</f>
        <v/>
      </c>
    </row>
    <row r="142">
      <c r="A142" s="3" t="str">
        <f>IF(AND(Data!$K142='All Types'!$D$2,Data!$L142='All Types'!$D$3),Data!$C142,"")</f>
        <v/>
      </c>
      <c r="B142" s="3" t="str">
        <f>IF(AND(Data!$K142='All Types'!$D$2,Data!$L142='All Types'!$D$3),Data!M142,"")</f>
        <v/>
      </c>
      <c r="C142" s="3" t="str">
        <f>IF(B142="","",Data!N142)</f>
        <v/>
      </c>
    </row>
    <row r="143">
      <c r="A143" s="3" t="str">
        <f>IF(AND(Data!$K143='All Types'!$D$2,Data!$L143='All Types'!$D$3),Data!$C143,"")</f>
        <v/>
      </c>
      <c r="B143" s="3" t="str">
        <f>IF(AND(Data!$K143='All Types'!$D$2,Data!$L143='All Types'!$D$3),Data!M143,"")</f>
        <v/>
      </c>
      <c r="C143" s="3" t="str">
        <f>IF(B143="","",Data!N143)</f>
        <v/>
      </c>
    </row>
    <row r="144">
      <c r="A144" s="3" t="str">
        <f>IF(AND(Data!$K144='All Types'!$D$2,Data!$L144='All Types'!$D$3),Data!$C144,"")</f>
        <v/>
      </c>
      <c r="B144" s="3" t="str">
        <f>IF(AND(Data!$K144='All Types'!$D$2,Data!$L144='All Types'!$D$3),Data!M144,"")</f>
        <v/>
      </c>
      <c r="C144" s="3" t="str">
        <f>IF(B144="","",Data!N144)</f>
        <v/>
      </c>
    </row>
    <row r="145">
      <c r="A145" s="3" t="str">
        <f>IF(AND(Data!$K145='All Types'!$D$2,Data!$L145='All Types'!$D$3),Data!$C145,"")</f>
        <v/>
      </c>
      <c r="B145" s="3" t="str">
        <f>IF(AND(Data!$K145='All Types'!$D$2,Data!$L145='All Types'!$D$3),Data!M145,"")</f>
        <v/>
      </c>
      <c r="C145" s="3" t="str">
        <f>IF(B145="","",Data!N145)</f>
        <v/>
      </c>
    </row>
    <row r="146">
      <c r="A146" s="3" t="str">
        <f>IF(AND(Data!$K146='All Types'!$D$2,Data!$L146='All Types'!$D$3),Data!$C146,"")</f>
        <v/>
      </c>
      <c r="B146" s="3" t="str">
        <f>IF(AND(Data!$K146='All Types'!$D$2,Data!$L146='All Types'!$D$3),Data!M146,"")</f>
        <v/>
      </c>
      <c r="C146" s="3" t="str">
        <f>IF(B146="","",Data!N146)</f>
        <v/>
      </c>
    </row>
    <row r="147">
      <c r="A147" s="3" t="str">
        <f>IF(AND(Data!$K147='All Types'!$D$2,Data!$L147='All Types'!$D$3),Data!$C147,"")</f>
        <v/>
      </c>
      <c r="B147" s="3" t="str">
        <f>IF(AND(Data!$K147='All Types'!$D$2,Data!$L147='All Types'!$D$3),Data!M147,"")</f>
        <v/>
      </c>
      <c r="C147" s="3" t="str">
        <f>IF(B147="","",Data!N147)</f>
        <v/>
      </c>
    </row>
    <row r="148">
      <c r="A148" s="3" t="str">
        <f>IF(AND(Data!$K148='All Types'!$D$2,Data!$L148='All Types'!$D$3),Data!$C148,"")</f>
        <v/>
      </c>
      <c r="B148" s="3" t="str">
        <f>IF(AND(Data!$K148='All Types'!$D$2,Data!$L148='All Types'!$D$3),Data!M148,"")</f>
        <v/>
      </c>
      <c r="C148" s="3" t="str">
        <f>IF(B148="","",Data!N148)</f>
        <v/>
      </c>
    </row>
    <row r="149">
      <c r="A149" s="3" t="str">
        <f>IF(AND(Data!$K149='All Types'!$D$2,Data!$L149='All Types'!$D$3),Data!$C149,"")</f>
        <v/>
      </c>
      <c r="B149" s="3" t="str">
        <f>IF(AND(Data!$K149='All Types'!$D$2,Data!$L149='All Types'!$D$3),Data!M149,"")</f>
        <v/>
      </c>
      <c r="C149" s="3" t="str">
        <f>IF(B149="","",Data!N149)</f>
        <v/>
      </c>
    </row>
    <row r="150">
      <c r="A150" s="3" t="str">
        <f>IF(AND(Data!$K150='All Types'!$D$2,Data!$L150='All Types'!$D$3),Data!$C150,"")</f>
        <v/>
      </c>
      <c r="B150" s="3" t="str">
        <f>IF(AND(Data!$K150='All Types'!$D$2,Data!$L150='All Types'!$D$3),Data!M150,"")</f>
        <v/>
      </c>
      <c r="C150" s="3" t="str">
        <f>IF(B150="","",Data!N150)</f>
        <v/>
      </c>
    </row>
    <row r="151">
      <c r="A151" s="3" t="str">
        <f>IF(AND(Data!$K151='All Types'!$D$2,Data!$L151='All Types'!$D$3),Data!$C151,"")</f>
        <v/>
      </c>
      <c r="B151" s="3" t="str">
        <f>IF(AND(Data!$K151='All Types'!$D$2,Data!$L151='All Types'!$D$3),Data!M151,"")</f>
        <v/>
      </c>
      <c r="C151" s="3" t="str">
        <f>IF(B151="","",Data!N151)</f>
        <v/>
      </c>
    </row>
    <row r="152">
      <c r="A152" s="3" t="str">
        <f>IF(AND(Data!$K152='All Types'!$D$2,Data!$L152='All Types'!$D$3),Data!$C152,"")</f>
        <v/>
      </c>
      <c r="B152" s="3" t="str">
        <f>IF(AND(Data!$K152='All Types'!$D$2,Data!$L152='All Types'!$D$3),Data!M152,"")</f>
        <v/>
      </c>
      <c r="C152" s="3" t="str">
        <f>IF(B152="","",Data!N152)</f>
        <v/>
      </c>
    </row>
    <row r="153">
      <c r="A153" s="3" t="str">
        <f>IF(AND(Data!$K153='All Types'!$D$2,Data!$L153='All Types'!$D$3),Data!$C153,"")</f>
        <v/>
      </c>
      <c r="B153" s="3" t="str">
        <f>IF(AND(Data!$K153='All Types'!$D$2,Data!$L153='All Types'!$D$3),Data!M153,"")</f>
        <v/>
      </c>
      <c r="C153" s="3" t="str">
        <f>IF(B153="","",Data!N153)</f>
        <v/>
      </c>
    </row>
    <row r="154">
      <c r="A154" s="3" t="str">
        <f>IF(AND(Data!$K154='All Types'!$D$2,Data!$L154='All Types'!$D$3),Data!$C154,"")</f>
        <v/>
      </c>
      <c r="B154" s="3" t="str">
        <f>IF(AND(Data!$K154='All Types'!$D$2,Data!$L154='All Types'!$D$3),Data!M154,"")</f>
        <v/>
      </c>
      <c r="C154" s="3" t="str">
        <f>IF(B154="","",Data!N154)</f>
        <v/>
      </c>
    </row>
    <row r="155">
      <c r="A155" s="3" t="str">
        <f>IF(AND(Data!$K155='All Types'!$D$2,Data!$L155='All Types'!$D$3),Data!$C155,"")</f>
        <v/>
      </c>
      <c r="B155" s="3" t="str">
        <f>IF(AND(Data!$K155='All Types'!$D$2,Data!$L155='All Types'!$D$3),Data!M155,"")</f>
        <v/>
      </c>
      <c r="C155" s="3" t="str">
        <f>IF(B155="","",Data!N155)</f>
        <v/>
      </c>
    </row>
    <row r="156">
      <c r="A156" s="3" t="str">
        <f>IF(AND(Data!$K156='All Types'!$D$2,Data!$L156='All Types'!$D$3),Data!$C156,"")</f>
        <v/>
      </c>
      <c r="B156" s="3" t="str">
        <f>IF(AND(Data!$K156='All Types'!$D$2,Data!$L156='All Types'!$D$3),Data!M156,"")</f>
        <v/>
      </c>
      <c r="C156" s="3" t="str">
        <f>IF(B156="","",Data!N156)</f>
        <v/>
      </c>
    </row>
    <row r="157">
      <c r="A157" s="3" t="str">
        <f>IF(AND(Data!$K157='All Types'!$D$2,Data!$L157='All Types'!$D$3),Data!$C157,"")</f>
        <v/>
      </c>
      <c r="B157" s="3" t="str">
        <f>IF(AND(Data!$K157='All Types'!$D$2,Data!$L157='All Types'!$D$3),Data!M157,"")</f>
        <v/>
      </c>
      <c r="C157" s="3" t="str">
        <f>IF(B157="","",Data!N157)</f>
        <v/>
      </c>
    </row>
    <row r="158">
      <c r="A158" s="3" t="str">
        <f>IF(AND(Data!$K158='All Types'!$D$2,Data!$L158='All Types'!$D$3),Data!$C158,"")</f>
        <v/>
      </c>
      <c r="B158" s="3" t="str">
        <f>IF(AND(Data!$K158='All Types'!$D$2,Data!$L158='All Types'!$D$3),Data!M158,"")</f>
        <v/>
      </c>
      <c r="C158" s="3" t="str">
        <f>IF(B158="","",Data!N158)</f>
        <v/>
      </c>
    </row>
    <row r="159">
      <c r="A159" s="3" t="str">
        <f>IF(AND(Data!$K159='All Types'!$D$2,Data!$L159='All Types'!$D$3),Data!$C159,"")</f>
        <v/>
      </c>
      <c r="B159" s="3" t="str">
        <f>IF(AND(Data!$K159='All Types'!$D$2,Data!$L159='All Types'!$D$3),Data!M159,"")</f>
        <v/>
      </c>
      <c r="C159" s="3" t="str">
        <f>IF(B159="","",Data!N159)</f>
        <v/>
      </c>
    </row>
    <row r="160">
      <c r="A160" s="3" t="str">
        <f>IF(AND(Data!$K160='All Types'!$D$2,Data!$L160='All Types'!$D$3),Data!$C160,"")</f>
        <v/>
      </c>
      <c r="B160" s="3" t="str">
        <f>IF(AND(Data!$K160='All Types'!$D$2,Data!$L160='All Types'!$D$3),Data!M160,"")</f>
        <v/>
      </c>
      <c r="C160" s="3" t="str">
        <f>IF(B160="","",Data!N160)</f>
        <v/>
      </c>
    </row>
    <row r="161">
      <c r="A161" s="3" t="str">
        <f>IF(AND(Data!$K161='All Types'!$D$2,Data!$L161='All Types'!$D$3),Data!$C161,"")</f>
        <v/>
      </c>
      <c r="B161" s="3" t="str">
        <f>IF(AND(Data!$K161='All Types'!$D$2,Data!$L161='All Types'!$D$3),Data!M161,"")</f>
        <v/>
      </c>
      <c r="C161" s="3" t="str">
        <f>IF(B161="","",Data!N161)</f>
        <v/>
      </c>
    </row>
    <row r="162">
      <c r="A162" s="3" t="str">
        <f>IF(AND(Data!$K162='All Types'!$D$2,Data!$L162='All Types'!$D$3),Data!$C162,"")</f>
        <v/>
      </c>
      <c r="B162" s="3" t="str">
        <f>IF(AND(Data!$K162='All Types'!$D$2,Data!$L162='All Types'!$D$3),Data!M162,"")</f>
        <v/>
      </c>
      <c r="C162" s="3" t="str">
        <f>IF(B162="","",Data!N162)</f>
        <v/>
      </c>
    </row>
    <row r="163">
      <c r="A163" s="3" t="str">
        <f>IF(AND(Data!$K163='All Types'!$D$2,Data!$L163='All Types'!$D$3),Data!$C163,"")</f>
        <v/>
      </c>
      <c r="B163" s="3" t="str">
        <f>IF(AND(Data!$K163='All Types'!$D$2,Data!$L163='All Types'!$D$3),Data!M163,"")</f>
        <v/>
      </c>
      <c r="C163" s="3" t="str">
        <f>IF(B163="","",Data!N163)</f>
        <v/>
      </c>
    </row>
    <row r="164">
      <c r="A164" s="3" t="str">
        <f>IF(AND(Data!$K164='All Types'!$D$2,Data!$L164='All Types'!$D$3),Data!$C164,"")</f>
        <v/>
      </c>
      <c r="B164" s="3" t="str">
        <f>IF(AND(Data!$K164='All Types'!$D$2,Data!$L164='All Types'!$D$3),Data!M164,"")</f>
        <v/>
      </c>
      <c r="C164" s="3" t="str">
        <f>IF(B164="","",Data!N164)</f>
        <v/>
      </c>
    </row>
    <row r="165">
      <c r="A165" s="3" t="str">
        <f>IF(AND(Data!$K165='All Types'!$D$2,Data!$L165='All Types'!$D$3),Data!$C165,"")</f>
        <v/>
      </c>
      <c r="B165" s="3" t="str">
        <f>IF(AND(Data!$K165='All Types'!$D$2,Data!$L165='All Types'!$D$3),Data!M165,"")</f>
        <v/>
      </c>
      <c r="C165" s="3" t="str">
        <f>IF(B165="","",Data!N165)</f>
        <v/>
      </c>
    </row>
    <row r="166">
      <c r="A166" s="3" t="str">
        <f>IF(AND(Data!$K166='All Types'!$D$2,Data!$L166='All Types'!$D$3),Data!$C166,"")</f>
        <v/>
      </c>
      <c r="B166" s="3" t="str">
        <f>IF(AND(Data!$K166='All Types'!$D$2,Data!$L166='All Types'!$D$3),Data!M166,"")</f>
        <v/>
      </c>
      <c r="C166" s="3" t="str">
        <f>IF(B166="","",Data!N166)</f>
        <v/>
      </c>
    </row>
    <row r="167">
      <c r="A167" s="3" t="str">
        <f>IF(AND(Data!$K167='All Types'!$D$2,Data!$L167='All Types'!$D$3),Data!$C167,"")</f>
        <v/>
      </c>
      <c r="B167" s="3" t="str">
        <f>IF(AND(Data!$K167='All Types'!$D$2,Data!$L167='All Types'!$D$3),Data!M167,"")</f>
        <v/>
      </c>
      <c r="C167" s="3" t="str">
        <f>IF(B167="","",Data!N167)</f>
        <v/>
      </c>
    </row>
    <row r="168">
      <c r="A168" s="3" t="str">
        <f>IF(AND(Data!$K168='All Types'!$D$2,Data!$L168='All Types'!$D$3),Data!$C168,"")</f>
        <v/>
      </c>
      <c r="B168" s="3" t="str">
        <f>IF(AND(Data!$K168='All Types'!$D$2,Data!$L168='All Types'!$D$3),Data!M168,"")</f>
        <v/>
      </c>
      <c r="C168" s="3" t="str">
        <f>IF(B168="","",Data!N168)</f>
        <v/>
      </c>
    </row>
    <row r="169">
      <c r="A169" s="3" t="str">
        <f>IF(AND(Data!$K169='All Types'!$D$2,Data!$L169='All Types'!$D$3),Data!$C169,"")</f>
        <v/>
      </c>
      <c r="B169" s="3" t="str">
        <f>IF(AND(Data!$K169='All Types'!$D$2,Data!$L169='All Types'!$D$3),Data!M169,"")</f>
        <v/>
      </c>
      <c r="C169" s="3" t="str">
        <f>IF(B169="","",Data!N169)</f>
        <v/>
      </c>
    </row>
    <row r="170">
      <c r="A170" s="3" t="str">
        <f>IF(AND(Data!$K170='All Types'!$D$2,Data!$L170='All Types'!$D$3),Data!$C170,"")</f>
        <v/>
      </c>
      <c r="B170" s="3" t="str">
        <f>IF(AND(Data!$K170='All Types'!$D$2,Data!$L170='All Types'!$D$3),Data!M170,"")</f>
        <v/>
      </c>
      <c r="C170" s="3" t="str">
        <f>IF(B170="","",Data!N170)</f>
        <v/>
      </c>
    </row>
    <row r="171">
      <c r="A171" s="3" t="str">
        <f>IF(AND(Data!$K171='All Types'!$D$2,Data!$L171='All Types'!$D$3),Data!$C171,"")</f>
        <v/>
      </c>
      <c r="B171" s="3" t="str">
        <f>IF(AND(Data!$K171='All Types'!$D$2,Data!$L171='All Types'!$D$3),Data!M171,"")</f>
        <v/>
      </c>
      <c r="C171" s="3" t="str">
        <f>IF(B171="","",Data!N171)</f>
        <v/>
      </c>
    </row>
    <row r="172">
      <c r="A172" s="3" t="str">
        <f>IF(AND(Data!$K172='All Types'!$D$2,Data!$L172='All Types'!$D$3),Data!$C172,"")</f>
        <v/>
      </c>
      <c r="B172" s="3" t="str">
        <f>IF(AND(Data!$K172='All Types'!$D$2,Data!$L172='All Types'!$D$3),Data!M172,"")</f>
        <v/>
      </c>
      <c r="C172" s="3" t="str">
        <f>IF(B172="","",Data!N172)</f>
        <v/>
      </c>
    </row>
    <row r="173">
      <c r="A173" s="3" t="str">
        <f>IF(AND(Data!$K173='All Types'!$D$2,Data!$L173='All Types'!$D$3),Data!$C173,"")</f>
        <v/>
      </c>
      <c r="B173" s="3" t="str">
        <f>IF(AND(Data!$K173='All Types'!$D$2,Data!$L173='All Types'!$D$3),Data!M173,"")</f>
        <v/>
      </c>
      <c r="C173" s="3" t="str">
        <f>IF(B173="","",Data!N173)</f>
        <v/>
      </c>
    </row>
    <row r="174">
      <c r="A174" s="3" t="str">
        <f>IF(AND(Data!$K174='All Types'!$D$2,Data!$L174='All Types'!$D$3),Data!$C174,"")</f>
        <v/>
      </c>
      <c r="B174" s="3" t="str">
        <f>IF(AND(Data!$K174='All Types'!$D$2,Data!$L174='All Types'!$D$3),Data!M174,"")</f>
        <v/>
      </c>
      <c r="C174" s="3" t="str">
        <f>IF(B174="","",Data!N174)</f>
        <v/>
      </c>
    </row>
    <row r="175">
      <c r="A175" s="3" t="str">
        <f>IF(AND(Data!$K175='All Types'!$D$2,Data!$L175='All Types'!$D$3),Data!$C175,"")</f>
        <v/>
      </c>
      <c r="B175" s="3" t="str">
        <f>IF(AND(Data!$K175='All Types'!$D$2,Data!$L175='All Types'!$D$3),Data!M175,"")</f>
        <v/>
      </c>
      <c r="C175" s="3" t="str">
        <f>IF(B175="","",Data!N175)</f>
        <v/>
      </c>
    </row>
    <row r="176">
      <c r="A176" s="3" t="str">
        <f>IF(AND(Data!$K176='All Types'!$D$2,Data!$L176='All Types'!$D$3),Data!$C176,"")</f>
        <v/>
      </c>
      <c r="B176" s="3" t="str">
        <f>IF(AND(Data!$K176='All Types'!$D$2,Data!$L176='All Types'!$D$3),Data!M176,"")</f>
        <v/>
      </c>
      <c r="C176" s="3" t="str">
        <f>IF(B176="","",Data!N176)</f>
        <v/>
      </c>
    </row>
    <row r="177">
      <c r="A177" s="3" t="str">
        <f>IF(AND(Data!$K177='All Types'!$D$2,Data!$L177='All Types'!$D$3),Data!$C177,"")</f>
        <v/>
      </c>
      <c r="B177" s="3" t="str">
        <f>IF(AND(Data!$K177='All Types'!$D$2,Data!$L177='All Types'!$D$3),Data!M177,"")</f>
        <v/>
      </c>
      <c r="C177" s="3" t="str">
        <f>IF(B177="","",Data!N177)</f>
        <v/>
      </c>
    </row>
    <row r="178">
      <c r="A178" s="3" t="str">
        <f>IF(AND(Data!$K178='All Types'!$D$2,Data!$L178='All Types'!$D$3),Data!$C178,"")</f>
        <v/>
      </c>
      <c r="B178" s="3" t="str">
        <f>IF(AND(Data!$K178='All Types'!$D$2,Data!$L178='All Types'!$D$3),Data!M178,"")</f>
        <v/>
      </c>
      <c r="C178" s="3" t="str">
        <f>IF(B178="","",Data!N178)</f>
        <v/>
      </c>
    </row>
    <row r="179">
      <c r="A179" s="3" t="str">
        <f>IF(AND(Data!$K179='All Types'!$D$2,Data!$L179='All Types'!$D$3),Data!$C179,"")</f>
        <v/>
      </c>
      <c r="B179" s="3" t="str">
        <f>IF(AND(Data!$K179='All Types'!$D$2,Data!$L179='All Types'!$D$3),Data!M179,"")</f>
        <v/>
      </c>
      <c r="C179" s="3" t="str">
        <f>IF(B179="","",Data!N179)</f>
        <v/>
      </c>
    </row>
    <row r="180">
      <c r="A180" s="3" t="str">
        <f>IF(AND(Data!$K180='All Types'!$D$2,Data!$L180='All Types'!$D$3),Data!$C180,"")</f>
        <v/>
      </c>
      <c r="B180" s="3" t="str">
        <f>IF(AND(Data!$K180='All Types'!$D$2,Data!$L180='All Types'!$D$3),Data!M180,"")</f>
        <v/>
      </c>
      <c r="C180" s="3" t="str">
        <f>IF(B180="","",Data!N180)</f>
        <v/>
      </c>
    </row>
    <row r="181">
      <c r="A181" s="3" t="str">
        <f>IF(AND(Data!$K181='All Types'!$D$2,Data!$L181='All Types'!$D$3),Data!$C181,"")</f>
        <v/>
      </c>
      <c r="B181" s="3" t="str">
        <f>IF(AND(Data!$K181='All Types'!$D$2,Data!$L181='All Types'!$D$3),Data!M181,"")</f>
        <v/>
      </c>
      <c r="C181" s="3" t="str">
        <f>IF(B181="","",Data!N181)</f>
        <v/>
      </c>
    </row>
    <row r="182">
      <c r="A182" s="3" t="str">
        <f>IF(AND(Data!$K182='All Types'!$D$2,Data!$L182='All Types'!$D$3),Data!$C182,"")</f>
        <v/>
      </c>
      <c r="B182" s="3" t="str">
        <f>IF(AND(Data!$K182='All Types'!$D$2,Data!$L182='All Types'!$D$3),Data!M182,"")</f>
        <v/>
      </c>
      <c r="C182" s="3" t="str">
        <f>IF(B182="","",Data!N182)</f>
        <v/>
      </c>
    </row>
    <row r="183">
      <c r="A183" s="3" t="str">
        <f>IF(AND(Data!$K183='All Types'!$D$2,Data!$L183='All Types'!$D$3),Data!$C183,"")</f>
        <v/>
      </c>
      <c r="B183" s="3" t="str">
        <f>IF(AND(Data!$K183='All Types'!$D$2,Data!$L183='All Types'!$D$3),Data!M183,"")</f>
        <v/>
      </c>
      <c r="C183" s="3" t="str">
        <f>IF(B183="","",Data!N183)</f>
        <v/>
      </c>
    </row>
    <row r="184">
      <c r="A184" s="3" t="str">
        <f>IF(AND(Data!$K184='All Types'!$D$2,Data!$L184='All Types'!$D$3),Data!$C184,"")</f>
        <v/>
      </c>
      <c r="B184" s="3" t="str">
        <f>IF(AND(Data!$K184='All Types'!$D$2,Data!$L184='All Types'!$D$3),Data!M184,"")</f>
        <v/>
      </c>
      <c r="C184" s="3" t="str">
        <f>IF(B184="","",Data!N184)</f>
        <v/>
      </c>
    </row>
    <row r="185">
      <c r="A185" s="3" t="str">
        <f>IF(AND(Data!$K185='All Types'!$D$2,Data!$L185='All Types'!$D$3),Data!$C185,"")</f>
        <v/>
      </c>
      <c r="B185" s="3" t="str">
        <f>IF(AND(Data!$K185='All Types'!$D$2,Data!$L185='All Types'!$D$3),Data!M185,"")</f>
        <v/>
      </c>
      <c r="C185" s="3" t="str">
        <f>IF(B185="","",Data!N185)</f>
        <v/>
      </c>
    </row>
    <row r="186">
      <c r="A186" s="3" t="str">
        <f>IF(AND(Data!$K186='All Types'!$D$2,Data!$L186='All Types'!$D$3),Data!$C186,"")</f>
        <v/>
      </c>
      <c r="B186" s="3" t="str">
        <f>IF(AND(Data!$K186='All Types'!$D$2,Data!$L186='All Types'!$D$3),Data!M186,"")</f>
        <v/>
      </c>
      <c r="C186" s="3" t="str">
        <f>IF(B186="","",Data!N186)</f>
        <v/>
      </c>
    </row>
    <row r="187">
      <c r="A187" s="3" t="str">
        <f>IF(AND(Data!$K187='All Types'!$D$2,Data!$L187='All Types'!$D$3),Data!$C187,"")</f>
        <v/>
      </c>
      <c r="B187" s="3" t="str">
        <f>IF(AND(Data!$K187='All Types'!$D$2,Data!$L187='All Types'!$D$3),Data!M187,"")</f>
        <v/>
      </c>
      <c r="C187" s="3" t="str">
        <f>IF(B187="","",Data!N187)</f>
        <v/>
      </c>
    </row>
    <row r="188">
      <c r="A188" s="3" t="str">
        <f>IF(AND(Data!$K188='All Types'!$D$2,Data!$L188='All Types'!$D$3),Data!$C188,"")</f>
        <v/>
      </c>
      <c r="B188" s="3" t="str">
        <f>IF(AND(Data!$K188='All Types'!$D$2,Data!$L188='All Types'!$D$3),Data!M188,"")</f>
        <v/>
      </c>
      <c r="C188" s="3" t="str">
        <f>IF(B188="","",Data!N188)</f>
        <v/>
      </c>
    </row>
    <row r="189">
      <c r="A189" s="3" t="str">
        <f>IF(AND(Data!$K189='All Types'!$D$2,Data!$L189='All Types'!$D$3),Data!$C189,"")</f>
        <v/>
      </c>
      <c r="B189" s="3" t="str">
        <f>IF(AND(Data!$K189='All Types'!$D$2,Data!$L189='All Types'!$D$3),Data!M189,"")</f>
        <v/>
      </c>
      <c r="C189" s="3" t="str">
        <f>IF(B189="","",Data!N189)</f>
        <v/>
      </c>
    </row>
    <row r="190">
      <c r="A190" s="3" t="str">
        <f>IF(AND(Data!$K190='All Types'!$D$2,Data!$L190='All Types'!$D$3),Data!$C190,"")</f>
        <v/>
      </c>
      <c r="B190" s="3" t="str">
        <f>IF(AND(Data!$K190='All Types'!$D$2,Data!$L190='All Types'!$D$3),Data!M190,"")</f>
        <v/>
      </c>
      <c r="C190" s="3" t="str">
        <f>IF(B190="","",Data!N190)</f>
        <v/>
      </c>
    </row>
    <row r="191">
      <c r="A191" s="3" t="str">
        <f>IF(AND(Data!$K191='All Types'!$D$2,Data!$L191='All Types'!$D$3),Data!$C191,"")</f>
        <v/>
      </c>
      <c r="B191" s="3" t="str">
        <f>IF(AND(Data!$K191='All Types'!$D$2,Data!$L191='All Types'!$D$3),Data!M191,"")</f>
        <v/>
      </c>
      <c r="C191" s="3" t="str">
        <f>IF(B191="","",Data!N191)</f>
        <v/>
      </c>
    </row>
    <row r="192">
      <c r="A192" s="3" t="str">
        <f>IF(AND(Data!$K192='All Types'!$D$2,Data!$L192='All Types'!$D$3),Data!$C192,"")</f>
        <v/>
      </c>
      <c r="B192" s="3" t="str">
        <f>IF(AND(Data!$K192='All Types'!$D$2,Data!$L192='All Types'!$D$3),Data!M192,"")</f>
        <v/>
      </c>
      <c r="C192" s="3" t="str">
        <f>IF(B192="","",Data!N192)</f>
        <v/>
      </c>
    </row>
    <row r="193">
      <c r="A193" s="3" t="str">
        <f>IF(AND(Data!$K193='All Types'!$D$2,Data!$L193='All Types'!$D$3),Data!$C193,"")</f>
        <v/>
      </c>
      <c r="B193" s="3" t="str">
        <f>IF(AND(Data!$K193='All Types'!$D$2,Data!$L193='All Types'!$D$3),Data!M193,"")</f>
        <v/>
      </c>
      <c r="C193" s="3" t="str">
        <f>IF(B193="","",Data!N193)</f>
        <v/>
      </c>
    </row>
    <row r="194">
      <c r="A194" s="3" t="str">
        <f>IF(AND(Data!$K194='All Types'!$D$2,Data!$L194='All Types'!$D$3),Data!$C194,"")</f>
        <v/>
      </c>
      <c r="B194" s="3" t="str">
        <f>IF(AND(Data!$K194='All Types'!$D$2,Data!$L194='All Types'!$D$3),Data!M194,"")</f>
        <v/>
      </c>
      <c r="C194" s="3" t="str">
        <f>IF(B194="","",Data!N194)</f>
        <v/>
      </c>
    </row>
    <row r="195">
      <c r="A195" s="3" t="str">
        <f>IF(AND(Data!$K195='All Types'!$D$2,Data!$L195='All Types'!$D$3),Data!$C195,"")</f>
        <v/>
      </c>
      <c r="B195" s="3" t="str">
        <f>IF(AND(Data!$K195='All Types'!$D$2,Data!$L195='All Types'!$D$3),Data!M195,"")</f>
        <v/>
      </c>
      <c r="C195" s="3" t="str">
        <f>IF(B195="","",Data!N195)</f>
        <v/>
      </c>
    </row>
    <row r="196">
      <c r="A196" s="3" t="str">
        <f>IF(AND(Data!$K196='All Types'!$D$2,Data!$L196='All Types'!$D$3),Data!$C196,"")</f>
        <v/>
      </c>
      <c r="B196" s="3" t="str">
        <f>IF(AND(Data!$K196='All Types'!$D$2,Data!$L196='All Types'!$D$3),Data!M196,"")</f>
        <v/>
      </c>
      <c r="C196" s="3" t="str">
        <f>IF(B196="","",Data!N196)</f>
        <v/>
      </c>
    </row>
    <row r="197">
      <c r="A197" s="3" t="str">
        <f>IF(AND(Data!$K197='All Types'!$D$2,Data!$L197='All Types'!$D$3),Data!$C197,"")</f>
        <v/>
      </c>
      <c r="B197" s="3" t="str">
        <f>IF(AND(Data!$K197='All Types'!$D$2,Data!$L197='All Types'!$D$3),Data!M197,"")</f>
        <v/>
      </c>
      <c r="C197" s="3" t="str">
        <f>IF(B197="","",Data!N197)</f>
        <v/>
      </c>
    </row>
    <row r="198">
      <c r="A198" s="3" t="str">
        <f>IF(AND(Data!$K198='All Types'!$D$2,Data!$L198='All Types'!$D$3),Data!$C198,"")</f>
        <v/>
      </c>
      <c r="B198" s="3" t="str">
        <f>IF(AND(Data!$K198='All Types'!$D$2,Data!$L198='All Types'!$D$3),Data!M198,"")</f>
        <v/>
      </c>
      <c r="C198" s="3" t="str">
        <f>IF(B198="","",Data!N198)</f>
        <v/>
      </c>
    </row>
    <row r="199">
      <c r="A199" s="3" t="str">
        <f>IF(AND(Data!$K199='All Types'!$D$2,Data!$L199='All Types'!$D$3),Data!$C199,"")</f>
        <v/>
      </c>
      <c r="B199" s="3" t="str">
        <f>IF(AND(Data!$K199='All Types'!$D$2,Data!$L199='All Types'!$D$3),Data!M199,"")</f>
        <v/>
      </c>
      <c r="C199" s="3" t="str">
        <f>IF(B199="","",Data!N199)</f>
        <v/>
      </c>
    </row>
    <row r="200">
      <c r="A200" s="3" t="str">
        <f>IF(AND(Data!$K200='All Types'!$D$2,Data!$L200='All Types'!$D$3),Data!$C200,"")</f>
        <v/>
      </c>
      <c r="B200" s="3" t="str">
        <f>IF(AND(Data!$K200='All Types'!$D$2,Data!$L200='All Types'!$D$3),Data!M200,"")</f>
        <v/>
      </c>
      <c r="C200" s="3" t="str">
        <f>IF(B200="","",Data!N200)</f>
        <v/>
      </c>
    </row>
    <row r="201">
      <c r="A201" s="3" t="str">
        <f>IF(AND(Data!$K201='All Types'!$D$2,Data!$L201='All Types'!$D$3),Data!$C201,"")</f>
        <v/>
      </c>
      <c r="B201" s="3" t="str">
        <f>IF(AND(Data!$K201='All Types'!$D$2,Data!$L201='All Types'!$D$3),Data!M201,"")</f>
        <v/>
      </c>
      <c r="C201" s="3" t="str">
        <f>IF(B201="","",Data!N201)</f>
        <v/>
      </c>
    </row>
    <row r="202">
      <c r="A202" s="3" t="str">
        <f>IF(AND(Data!$K202='All Types'!$D$2,Data!$L202='All Types'!$D$3),Data!$C202,"")</f>
        <v/>
      </c>
      <c r="B202" s="3" t="str">
        <f>IF(AND(Data!$K202='All Types'!$D$2,Data!$L202='All Types'!$D$3),Data!M202,"")</f>
        <v/>
      </c>
      <c r="C202" s="3" t="str">
        <f>IF(B202="","",Data!N202)</f>
        <v/>
      </c>
    </row>
    <row r="203">
      <c r="A203" s="3" t="str">
        <f>IF(AND(Data!$K203='All Types'!$D$2,Data!$L203='All Types'!$D$3),Data!$C203,"")</f>
        <v/>
      </c>
      <c r="B203" s="3" t="str">
        <f>IF(AND(Data!$K203='All Types'!$D$2,Data!$L203='All Types'!$D$3),Data!M203,"")</f>
        <v/>
      </c>
      <c r="C203" s="3" t="str">
        <f>IF(B203="","",Data!N203)</f>
        <v/>
      </c>
    </row>
    <row r="204">
      <c r="A204" s="3" t="str">
        <f>IF(AND(Data!$K204='All Types'!$D$2,Data!$L204='All Types'!$D$3),Data!$C204,"")</f>
        <v/>
      </c>
      <c r="B204" s="3" t="str">
        <f>IF(AND(Data!$K204='All Types'!$D$2,Data!$L204='All Types'!$D$3),Data!M204,"")</f>
        <v/>
      </c>
      <c r="C204" s="3" t="str">
        <f>IF(B204="","",Data!N204)</f>
        <v/>
      </c>
    </row>
    <row r="205">
      <c r="A205" s="3" t="str">
        <f>IF(AND(Data!$K205='All Types'!$D$2,Data!$L205='All Types'!$D$3),Data!$C205,"")</f>
        <v/>
      </c>
      <c r="B205" s="3" t="str">
        <f>IF(AND(Data!$K205='All Types'!$D$2,Data!$L205='All Types'!$D$3),Data!M205,"")</f>
        <v/>
      </c>
      <c r="C205" s="3" t="str">
        <f>IF(B205="","",Data!N205)</f>
        <v/>
      </c>
    </row>
    <row r="206">
      <c r="A206" s="3" t="str">
        <f>IF(AND(Data!$K206='All Types'!$D$2,Data!$L206='All Types'!$D$3),Data!$C206,"")</f>
        <v/>
      </c>
      <c r="B206" s="3" t="str">
        <f>IF(AND(Data!$K206='All Types'!$D$2,Data!$L206='All Types'!$D$3),Data!M206,"")</f>
        <v/>
      </c>
      <c r="C206" s="3" t="str">
        <f>IF(B206="","",Data!N206)</f>
        <v/>
      </c>
    </row>
    <row r="207">
      <c r="A207" s="3" t="str">
        <f>IF(AND(Data!$K207='All Types'!$D$2,Data!$L207='All Types'!$D$3),Data!$C207,"")</f>
        <v/>
      </c>
      <c r="B207" s="3" t="str">
        <f>IF(AND(Data!$K207='All Types'!$D$2,Data!$L207='All Types'!$D$3),Data!M207,"")</f>
        <v/>
      </c>
      <c r="C207" s="3" t="str">
        <f>IF(B207="","",Data!N207)</f>
        <v/>
      </c>
    </row>
    <row r="208">
      <c r="A208" s="3" t="str">
        <f>IF(AND(Data!$K208='All Types'!$D$2,Data!$L208='All Types'!$D$3),Data!$C208,"")</f>
        <v/>
      </c>
      <c r="B208" s="3" t="str">
        <f>IF(AND(Data!$K208='All Types'!$D$2,Data!$L208='All Types'!$D$3),Data!M208,"")</f>
        <v/>
      </c>
      <c r="C208" s="3" t="str">
        <f>IF(B208="","",Data!N208)</f>
        <v/>
      </c>
    </row>
    <row r="209">
      <c r="A209" s="3" t="str">
        <f>IF(AND(Data!$K209='All Types'!$D$2,Data!$L209='All Types'!$D$3),Data!$C209,"")</f>
        <v/>
      </c>
      <c r="B209" s="3" t="str">
        <f>IF(AND(Data!$K209='All Types'!$D$2,Data!$L209='All Types'!$D$3),Data!M209,"")</f>
        <v/>
      </c>
      <c r="C209" s="3" t="str">
        <f>IF(B209="","",Data!N209)</f>
        <v/>
      </c>
    </row>
    <row r="210">
      <c r="A210" s="3" t="str">
        <f>IF(AND(Data!$K210='All Types'!$D$2,Data!$L210='All Types'!$D$3),Data!$C210,"")</f>
        <v/>
      </c>
      <c r="B210" s="3" t="str">
        <f>IF(AND(Data!$K210='All Types'!$D$2,Data!$L210='All Types'!$D$3),Data!M210,"")</f>
        <v/>
      </c>
      <c r="C210" s="3" t="str">
        <f>IF(B210="","",Data!N210)</f>
        <v/>
      </c>
    </row>
    <row r="211">
      <c r="A211" s="3" t="str">
        <f>IF(AND(Data!$K211='All Types'!$D$2,Data!$L211='All Types'!$D$3),Data!$C211,"")</f>
        <v/>
      </c>
      <c r="B211" s="3" t="str">
        <f>IF(AND(Data!$K211='All Types'!$D$2,Data!$L211='All Types'!$D$3),Data!M211,"")</f>
        <v/>
      </c>
      <c r="C211" s="3" t="str">
        <f>IF(B211="","",Data!N211)</f>
        <v/>
      </c>
    </row>
    <row r="212">
      <c r="A212" s="3" t="str">
        <f>IF(AND(Data!$K212='All Types'!$D$2,Data!$L212='All Types'!$D$3),Data!$C212,"")</f>
        <v/>
      </c>
      <c r="B212" s="3" t="str">
        <f>IF(AND(Data!$K212='All Types'!$D$2,Data!$L212='All Types'!$D$3),Data!M212,"")</f>
        <v/>
      </c>
      <c r="C212" s="3" t="str">
        <f>IF(B212="","",Data!N212)</f>
        <v/>
      </c>
    </row>
    <row r="213">
      <c r="A213" s="3" t="str">
        <f>IF(AND(Data!$K213='All Types'!$D$2,Data!$L213='All Types'!$D$3),Data!$C213,"")</f>
        <v/>
      </c>
      <c r="B213" s="3" t="str">
        <f>IF(AND(Data!$K213='All Types'!$D$2,Data!$L213='All Types'!$D$3),Data!M213,"")</f>
        <v/>
      </c>
      <c r="C213" s="3" t="str">
        <f>IF(B213="","",Data!N213)</f>
        <v/>
      </c>
    </row>
    <row r="214">
      <c r="A214" s="3" t="str">
        <f>IF(AND(Data!$K214='All Types'!$D$2,Data!$L214='All Types'!$D$3),Data!$C214,"")</f>
        <v/>
      </c>
      <c r="B214" s="3" t="str">
        <f>IF(AND(Data!$K214='All Types'!$D$2,Data!$L214='All Types'!$D$3),Data!M214,"")</f>
        <v/>
      </c>
      <c r="C214" s="3" t="str">
        <f>IF(B214="","",Data!N214)</f>
        <v/>
      </c>
    </row>
    <row r="215">
      <c r="A215" s="3" t="str">
        <f>IF(AND(Data!$K215='All Types'!$D$2,Data!$L215='All Types'!$D$3),Data!$C215,"")</f>
        <v/>
      </c>
      <c r="B215" s="3" t="str">
        <f>IF(AND(Data!$K215='All Types'!$D$2,Data!$L215='All Types'!$D$3),Data!M215,"")</f>
        <v/>
      </c>
      <c r="C215" s="3" t="str">
        <f>IF(B215="","",Data!N215)</f>
        <v/>
      </c>
    </row>
    <row r="216">
      <c r="A216" s="3" t="str">
        <f>IF(AND(Data!$K216='All Types'!$D$2,Data!$L216='All Types'!$D$3),Data!$C216,"")</f>
        <v/>
      </c>
      <c r="B216" s="3" t="str">
        <f>IF(AND(Data!$K216='All Types'!$D$2,Data!$L216='All Types'!$D$3),Data!M216,"")</f>
        <v/>
      </c>
      <c r="C216" s="3" t="str">
        <f>IF(B216="","",Data!N216)</f>
        <v/>
      </c>
    </row>
    <row r="217">
      <c r="A217" s="3" t="str">
        <f>IF(AND(Data!$K217='All Types'!$D$2,Data!$L217='All Types'!$D$3),Data!$C217,"")</f>
        <v/>
      </c>
      <c r="B217" s="3" t="str">
        <f>IF(AND(Data!$K217='All Types'!$D$2,Data!$L217='All Types'!$D$3),Data!M217,"")</f>
        <v/>
      </c>
      <c r="C217" s="3" t="str">
        <f>IF(B217="","",Data!N217)</f>
        <v/>
      </c>
    </row>
    <row r="218">
      <c r="A218" s="3" t="str">
        <f>IF(AND(Data!$K218='All Types'!$D$2,Data!$L218='All Types'!$D$3),Data!$C218,"")</f>
        <v/>
      </c>
      <c r="B218" s="3" t="str">
        <f>IF(AND(Data!$K218='All Types'!$D$2,Data!$L218='All Types'!$D$3),Data!M218,"")</f>
        <v/>
      </c>
      <c r="C218" s="3" t="str">
        <f>IF(B218="","",Data!N218)</f>
        <v/>
      </c>
    </row>
    <row r="219">
      <c r="A219" s="3" t="str">
        <f>IF(AND(Data!$K219='All Types'!$D$2,Data!$L219='All Types'!$D$3),Data!$C219,"")</f>
        <v/>
      </c>
      <c r="B219" s="3" t="str">
        <f>IF(AND(Data!$K219='All Types'!$D$2,Data!$L219='All Types'!$D$3),Data!M219,"")</f>
        <v/>
      </c>
      <c r="C219" s="3" t="str">
        <f>IF(B219="","",Data!N219)</f>
        <v/>
      </c>
    </row>
    <row r="220">
      <c r="A220" s="3" t="str">
        <f>IF(AND(Data!$K220='All Types'!$D$2,Data!$L220='All Types'!$D$3),Data!$C220,"")</f>
        <v/>
      </c>
      <c r="B220" s="3" t="str">
        <f>IF(AND(Data!$K220='All Types'!$D$2,Data!$L220='All Types'!$D$3),Data!M220,"")</f>
        <v/>
      </c>
      <c r="C220" s="3" t="str">
        <f>IF(B220="","",Data!N220)</f>
        <v/>
      </c>
    </row>
    <row r="221">
      <c r="A221" s="3" t="str">
        <f>IF(AND(Data!$K221='All Types'!$D$2,Data!$L221='All Types'!$D$3),Data!$C221,"")</f>
        <v/>
      </c>
      <c r="B221" s="3" t="str">
        <f>IF(AND(Data!$K221='All Types'!$D$2,Data!$L221='All Types'!$D$3),Data!M221,"")</f>
        <v/>
      </c>
      <c r="C221" s="3" t="str">
        <f>IF(B221="","",Data!N221)</f>
        <v/>
      </c>
    </row>
    <row r="222">
      <c r="A222" s="3" t="str">
        <f>IF(AND(Data!$K222='All Types'!$D$2,Data!$L222='All Types'!$D$3),Data!$C222,"")</f>
        <v/>
      </c>
      <c r="B222" s="3" t="str">
        <f>IF(AND(Data!$K222='All Types'!$D$2,Data!$L222='All Types'!$D$3),Data!M222,"")</f>
        <v/>
      </c>
      <c r="C222" s="3" t="str">
        <f>IF(B222="","",Data!N222)</f>
        <v/>
      </c>
    </row>
    <row r="223">
      <c r="A223" s="3" t="str">
        <f>IF(AND(Data!$K223='All Types'!$D$2,Data!$L223='All Types'!$D$3),Data!$C223,"")</f>
        <v/>
      </c>
      <c r="B223" s="3" t="str">
        <f>IF(AND(Data!$K223='All Types'!$D$2,Data!$L223='All Types'!$D$3),Data!M223,"")</f>
        <v/>
      </c>
      <c r="C223" s="3" t="str">
        <f>IF(B223="","",Data!N223)</f>
        <v/>
      </c>
    </row>
    <row r="224">
      <c r="A224" s="3" t="str">
        <f>IF(AND(Data!$K224='All Types'!$D$2,Data!$L224='All Types'!$D$3),Data!$C224,"")</f>
        <v/>
      </c>
      <c r="B224" s="3" t="str">
        <f>IF(AND(Data!$K224='All Types'!$D$2,Data!$L224='All Types'!$D$3),Data!M224,"")</f>
        <v/>
      </c>
      <c r="C224" s="3" t="str">
        <f>IF(B224="","",Data!N224)</f>
        <v/>
      </c>
    </row>
    <row r="225">
      <c r="A225" s="3" t="str">
        <f>IF(AND(Data!$K225='All Types'!$D$2,Data!$L225='All Types'!$D$3),Data!$C225,"")</f>
        <v/>
      </c>
      <c r="B225" s="3" t="str">
        <f>IF(AND(Data!$K225='All Types'!$D$2,Data!$L225='All Types'!$D$3),Data!M225,"")</f>
        <v/>
      </c>
      <c r="C225" s="3" t="str">
        <f>IF(B225="","",Data!N225)</f>
        <v/>
      </c>
    </row>
    <row r="226">
      <c r="A226" s="3" t="str">
        <f>IF(AND(Data!$K226='All Types'!$D$2,Data!$L226='All Types'!$D$3),Data!$C226,"")</f>
        <v/>
      </c>
      <c r="B226" s="3" t="str">
        <f>IF(AND(Data!$K226='All Types'!$D$2,Data!$L226='All Types'!$D$3),Data!M226,"")</f>
        <v/>
      </c>
      <c r="C226" s="3" t="str">
        <f>IF(B226="","",Data!N226)</f>
        <v/>
      </c>
    </row>
    <row r="227">
      <c r="A227" s="3" t="str">
        <f>IF(AND(Data!$K227='All Types'!$D$2,Data!$L227='All Types'!$D$3),Data!$C227,"")</f>
        <v/>
      </c>
      <c r="B227" s="3" t="str">
        <f>IF(AND(Data!$K227='All Types'!$D$2,Data!$L227='All Types'!$D$3),Data!M227,"")</f>
        <v/>
      </c>
      <c r="C227" s="3" t="str">
        <f>IF(B227="","",Data!N227)</f>
        <v/>
      </c>
    </row>
    <row r="228">
      <c r="A228" s="3" t="str">
        <f>IF(AND(Data!$K228='All Types'!$D$2,Data!$L228='All Types'!$D$3),Data!$C228,"")</f>
        <v/>
      </c>
      <c r="B228" s="3" t="str">
        <f>IF(AND(Data!$K228='All Types'!$D$2,Data!$L228='All Types'!$D$3),Data!M228,"")</f>
        <v/>
      </c>
      <c r="C228" s="3" t="str">
        <f>IF(B228="","",Data!N228)</f>
        <v/>
      </c>
    </row>
    <row r="229">
      <c r="A229" s="3" t="str">
        <f>IF(AND(Data!$K229='All Types'!$D$2,Data!$L229='All Types'!$D$3),Data!$C229,"")</f>
        <v/>
      </c>
      <c r="B229" s="3" t="str">
        <f>IF(AND(Data!$K229='All Types'!$D$2,Data!$L229='All Types'!$D$3),Data!M229,"")</f>
        <v/>
      </c>
      <c r="C229" s="3" t="str">
        <f>IF(B229="","",Data!N229)</f>
        <v/>
      </c>
    </row>
    <row r="230">
      <c r="A230" s="3" t="str">
        <f>IF(AND(Data!$K230='All Types'!$D$2,Data!$L230='All Types'!$D$3),Data!$C230,"")</f>
        <v/>
      </c>
      <c r="B230" s="3" t="str">
        <f>IF(AND(Data!$K230='All Types'!$D$2,Data!$L230='All Types'!$D$3),Data!M230,"")</f>
        <v/>
      </c>
      <c r="C230" s="3" t="str">
        <f>IF(B230="","",Data!N230)</f>
        <v/>
      </c>
    </row>
    <row r="231">
      <c r="A231" s="3" t="str">
        <f>IF(AND(Data!$K231='All Types'!$D$2,Data!$L231='All Types'!$D$3),Data!$C231,"")</f>
        <v/>
      </c>
      <c r="B231" s="3" t="str">
        <f>IF(AND(Data!$K231='All Types'!$D$2,Data!$L231='All Types'!$D$3),Data!M231,"")</f>
        <v/>
      </c>
      <c r="C231" s="3" t="str">
        <f>IF(B231="","",Data!N231)</f>
        <v/>
      </c>
    </row>
    <row r="232">
      <c r="A232" s="3" t="str">
        <f>IF(AND(Data!$K232='All Types'!$D$2,Data!$L232='All Types'!$D$3),Data!$C232,"")</f>
        <v/>
      </c>
      <c r="B232" s="3" t="str">
        <f>IF(AND(Data!$K232='All Types'!$D$2,Data!$L232='All Types'!$D$3),Data!M232,"")</f>
        <v/>
      </c>
      <c r="C232" s="3" t="str">
        <f>IF(B232="","",Data!N232)</f>
        <v/>
      </c>
    </row>
    <row r="233">
      <c r="A233" s="3" t="str">
        <f>IF(AND(Data!$K233='All Types'!$D$2,Data!$L233='All Types'!$D$3),Data!$C233,"")</f>
        <v/>
      </c>
      <c r="B233" s="3" t="str">
        <f>IF(AND(Data!$K233='All Types'!$D$2,Data!$L233='All Types'!$D$3),Data!M233,"")</f>
        <v/>
      </c>
      <c r="C233" s="3" t="str">
        <f>IF(B233="","",Data!N233)</f>
        <v/>
      </c>
    </row>
    <row r="234">
      <c r="A234" s="3" t="str">
        <f>IF(AND(Data!$K234='All Types'!$D$2,Data!$L234='All Types'!$D$3),Data!$C234,"")</f>
        <v/>
      </c>
      <c r="B234" s="3" t="str">
        <f>IF(AND(Data!$K234='All Types'!$D$2,Data!$L234='All Types'!$D$3),Data!M234,"")</f>
        <v/>
      </c>
      <c r="C234" s="3" t="str">
        <f>IF(B234="","",Data!N234)</f>
        <v/>
      </c>
    </row>
    <row r="235">
      <c r="A235" s="3" t="str">
        <f>IF(AND(Data!$K235='All Types'!$D$2,Data!$L235='All Types'!$D$3),Data!$C235,"")</f>
        <v/>
      </c>
      <c r="B235" s="3" t="str">
        <f>IF(AND(Data!$K235='All Types'!$D$2,Data!$L235='All Types'!$D$3),Data!M235,"")</f>
        <v/>
      </c>
      <c r="C235" s="3" t="str">
        <f>IF(B235="","",Data!N235)</f>
        <v/>
      </c>
    </row>
    <row r="236">
      <c r="A236" s="3" t="str">
        <f>IF(AND(Data!$K236='All Types'!$D$2,Data!$L236='All Types'!$D$3),Data!$C236,"")</f>
        <v/>
      </c>
      <c r="B236" s="3" t="str">
        <f>IF(AND(Data!$K236='All Types'!$D$2,Data!$L236='All Types'!$D$3),Data!M236,"")</f>
        <v/>
      </c>
      <c r="C236" s="3" t="str">
        <f>IF(B236="","",Data!N236)</f>
        <v/>
      </c>
    </row>
    <row r="237">
      <c r="A237" s="3" t="str">
        <f>IF(AND(Data!$K237='All Types'!$D$2,Data!$L237='All Types'!$D$3),Data!$C237,"")</f>
        <v/>
      </c>
      <c r="B237" s="3" t="str">
        <f>IF(AND(Data!$K237='All Types'!$D$2,Data!$L237='All Types'!$D$3),Data!M237,"")</f>
        <v/>
      </c>
      <c r="C237" s="3" t="str">
        <f>IF(B237="","",Data!N237)</f>
        <v/>
      </c>
    </row>
    <row r="238">
      <c r="A238" s="3" t="str">
        <f>IF(AND(Data!$K238='All Types'!$D$2,Data!$L238='All Types'!$D$3),Data!$C238,"")</f>
        <v/>
      </c>
      <c r="B238" s="3" t="str">
        <f>IF(AND(Data!$K238='All Types'!$D$2,Data!$L238='All Types'!$D$3),Data!M238,"")</f>
        <v/>
      </c>
      <c r="C238" s="3" t="str">
        <f>IF(B238="","",Data!N238)</f>
        <v/>
      </c>
    </row>
    <row r="239">
      <c r="A239" s="3" t="str">
        <f>IF(AND(Data!$K239='All Types'!$D$2,Data!$L239='All Types'!$D$3),Data!$C239,"")</f>
        <v/>
      </c>
      <c r="B239" s="3" t="str">
        <f>IF(AND(Data!$K239='All Types'!$D$2,Data!$L239='All Types'!$D$3),Data!M239,"")</f>
        <v/>
      </c>
      <c r="C239" s="3" t="str">
        <f>IF(B239="","",Data!N239)</f>
        <v/>
      </c>
    </row>
    <row r="240">
      <c r="A240" s="3" t="str">
        <f>IF(AND(Data!$K240='All Types'!$D$2,Data!$L240='All Types'!$D$3),Data!$C240,"")</f>
        <v/>
      </c>
      <c r="B240" s="3" t="str">
        <f>IF(AND(Data!$K240='All Types'!$D$2,Data!$L240='All Types'!$D$3),Data!M240,"")</f>
        <v/>
      </c>
      <c r="C240" s="3" t="str">
        <f>IF(B240="","",Data!N240)</f>
        <v/>
      </c>
    </row>
    <row r="241">
      <c r="A241" s="3" t="str">
        <f>IF(AND(Data!$K241='All Types'!$D$2,Data!$L241='All Types'!$D$3),Data!$C241,"")</f>
        <v/>
      </c>
      <c r="B241" s="3" t="str">
        <f>IF(AND(Data!$K241='All Types'!$D$2,Data!$L241='All Types'!$D$3),Data!M241,"")</f>
        <v/>
      </c>
      <c r="C241" s="3" t="str">
        <f>IF(B241="","",Data!N241)</f>
        <v/>
      </c>
    </row>
    <row r="242">
      <c r="A242" s="3" t="str">
        <f>IF(AND(Data!$K242='All Types'!$D$2,Data!$L242='All Types'!$D$3),Data!$C242,"")</f>
        <v/>
      </c>
      <c r="B242" s="3" t="str">
        <f>IF(AND(Data!$K242='All Types'!$D$2,Data!$L242='All Types'!$D$3),Data!M242,"")</f>
        <v/>
      </c>
      <c r="C242" s="3" t="str">
        <f>IF(B242="","",Data!N242)</f>
        <v/>
      </c>
    </row>
    <row r="243">
      <c r="A243" s="3" t="str">
        <f>IF(AND(Data!$K243='All Types'!$D$2,Data!$L243='All Types'!$D$3),Data!$C243,"")</f>
        <v/>
      </c>
      <c r="B243" s="3" t="str">
        <f>IF(AND(Data!$K243='All Types'!$D$2,Data!$L243='All Types'!$D$3),Data!M243,"")</f>
        <v/>
      </c>
      <c r="C243" s="3" t="str">
        <f>IF(B243="","",Data!N243)</f>
        <v/>
      </c>
    </row>
    <row r="244">
      <c r="A244" s="3" t="str">
        <f>IF(AND(Data!$K244='All Types'!$D$2,Data!$L244='All Types'!$D$3),Data!$C244,"")</f>
        <v/>
      </c>
      <c r="B244" s="3" t="str">
        <f>IF(AND(Data!$K244='All Types'!$D$2,Data!$L244='All Types'!$D$3),Data!M244,"")</f>
        <v/>
      </c>
      <c r="C244" s="3" t="str">
        <f>IF(B244="","",Data!N244)</f>
        <v/>
      </c>
    </row>
    <row r="245">
      <c r="A245" s="3" t="str">
        <f>IF(AND(Data!$K245='All Types'!$D$2,Data!$L245='All Types'!$D$3),Data!$C245,"")</f>
        <v/>
      </c>
      <c r="B245" s="3" t="str">
        <f>IF(AND(Data!$K245='All Types'!$D$2,Data!$L245='All Types'!$D$3),Data!M245,"")</f>
        <v/>
      </c>
      <c r="C245" s="3" t="str">
        <f>IF(B245="","",Data!N245)</f>
        <v/>
      </c>
    </row>
    <row r="246">
      <c r="A246" s="3" t="str">
        <f>IF(AND(Data!$K246='All Types'!$D$2,Data!$L246='All Types'!$D$3),Data!$C246,"")</f>
        <v/>
      </c>
      <c r="B246" s="3" t="str">
        <f>IF(AND(Data!$K246='All Types'!$D$2,Data!$L246='All Types'!$D$3),Data!M246,"")</f>
        <v/>
      </c>
      <c r="C246" s="3" t="str">
        <f>IF(B246="","",Data!N246)</f>
        <v/>
      </c>
    </row>
    <row r="247">
      <c r="A247" s="3" t="str">
        <f>IF(AND(Data!$K247='All Types'!$D$2,Data!$L247='All Types'!$D$3),Data!$C247,"")</f>
        <v/>
      </c>
      <c r="B247" s="3" t="str">
        <f>IF(AND(Data!$K247='All Types'!$D$2,Data!$L247='All Types'!$D$3),Data!M247,"")</f>
        <v/>
      </c>
      <c r="C247" s="3" t="str">
        <f>IF(B247="","",Data!N247)</f>
        <v/>
      </c>
    </row>
    <row r="248">
      <c r="A248" s="3" t="str">
        <f>IF(AND(Data!$K248='All Types'!$D$2,Data!$L248='All Types'!$D$3),Data!$C248,"")</f>
        <v/>
      </c>
      <c r="B248" s="3" t="str">
        <f>IF(AND(Data!$K248='All Types'!$D$2,Data!$L248='All Types'!$D$3),Data!M248,"")</f>
        <v/>
      </c>
      <c r="C248" s="3" t="str">
        <f>IF(B248="","",Data!N248)</f>
        <v/>
      </c>
    </row>
    <row r="249">
      <c r="A249" s="3" t="str">
        <f>IF(AND(Data!$K249='All Types'!$D$2,Data!$L249='All Types'!$D$3),Data!$C249,"")</f>
        <v/>
      </c>
      <c r="B249" s="3" t="str">
        <f>IF(AND(Data!$K249='All Types'!$D$2,Data!$L249='All Types'!$D$3),Data!M249,"")</f>
        <v/>
      </c>
      <c r="C249" s="3" t="str">
        <f>IF(B249="","",Data!N249)</f>
        <v/>
      </c>
    </row>
    <row r="250">
      <c r="A250" s="3" t="str">
        <f>IF(AND(Data!$K250='All Types'!$D$2,Data!$L250='All Types'!$D$3),Data!$C250,"")</f>
        <v/>
      </c>
      <c r="B250" s="3" t="str">
        <f>IF(AND(Data!$K250='All Types'!$D$2,Data!$L250='All Types'!$D$3),Data!M250,"")</f>
        <v/>
      </c>
      <c r="C250" s="3" t="str">
        <f>IF(B250="","",Data!N250)</f>
        <v/>
      </c>
    </row>
    <row r="251">
      <c r="A251" s="3" t="str">
        <f>IF(AND(Data!$K251='All Types'!$D$2,Data!$L251='All Types'!$D$3),Data!$C251,"")</f>
        <v/>
      </c>
      <c r="B251" s="3" t="str">
        <f>IF(AND(Data!$K251='All Types'!$D$2,Data!$L251='All Types'!$D$3),Data!M251,"")</f>
        <v/>
      </c>
      <c r="C251" s="3" t="str">
        <f>IF(B251="","",Data!N251)</f>
        <v/>
      </c>
    </row>
    <row r="252">
      <c r="A252" s="3" t="str">
        <f>IF(AND(Data!$K252='All Types'!$D$2,Data!$L252='All Types'!$D$3),Data!$C252,"")</f>
        <v/>
      </c>
      <c r="B252" s="3" t="str">
        <f>IF(AND(Data!$K252='All Types'!$D$2,Data!$L252='All Types'!$D$3),Data!M252,"")</f>
        <v/>
      </c>
      <c r="C252" s="3" t="str">
        <f>IF(B252="","",Data!N252)</f>
        <v/>
      </c>
    </row>
    <row r="253">
      <c r="A253" s="3" t="str">
        <f>IF(AND(Data!$K253='All Types'!$D$2,Data!$L253='All Types'!$D$3),Data!$C253,"")</f>
        <v/>
      </c>
      <c r="B253" s="3" t="str">
        <f>IF(AND(Data!$K253='All Types'!$D$2,Data!$L253='All Types'!$D$3),Data!M253,"")</f>
        <v/>
      </c>
      <c r="C253" s="3" t="str">
        <f>IF(B253="","",Data!N253)</f>
        <v/>
      </c>
    </row>
    <row r="254">
      <c r="A254" s="3" t="str">
        <f>IF(AND(Data!$K254='All Types'!$D$2,Data!$L254='All Types'!$D$3),Data!$C254,"")</f>
        <v/>
      </c>
      <c r="B254" s="3" t="str">
        <f>IF(AND(Data!$K254='All Types'!$D$2,Data!$L254='All Types'!$D$3),Data!M254,"")</f>
        <v/>
      </c>
      <c r="C254" s="3" t="str">
        <f>IF(B254="","",Data!N254)</f>
        <v/>
      </c>
    </row>
    <row r="255">
      <c r="A255" s="3" t="str">
        <f>IF(AND(Data!$K255='All Types'!$D$2,Data!$L255='All Types'!$D$3),Data!$C255,"")</f>
        <v/>
      </c>
      <c r="B255" s="3" t="str">
        <f>IF(AND(Data!$K255='All Types'!$D$2,Data!$L255='All Types'!$D$3),Data!M255,"")</f>
        <v/>
      </c>
      <c r="C255" s="3" t="str">
        <f>IF(B255="","",Data!N255)</f>
        <v/>
      </c>
    </row>
    <row r="256">
      <c r="A256" s="3" t="str">
        <f>IF(AND(Data!$K256='All Types'!$D$2,Data!$L256='All Types'!$D$3),Data!$C256,"")</f>
        <v/>
      </c>
      <c r="B256" s="3" t="str">
        <f>IF(AND(Data!$K256='All Types'!$D$2,Data!$L256='All Types'!$D$3),Data!M256,"")</f>
        <v/>
      </c>
      <c r="C256" s="3" t="str">
        <f>IF(B256="","",Data!N256)</f>
        <v/>
      </c>
    </row>
    <row r="257">
      <c r="A257" s="3" t="str">
        <f>IF(AND(Data!$K257='All Types'!$D$2,Data!$L257='All Types'!$D$3),Data!$C257,"")</f>
        <v/>
      </c>
      <c r="B257" s="3" t="str">
        <f>IF(AND(Data!$K257='All Types'!$D$2,Data!$L257='All Types'!$D$3),Data!M257,"")</f>
        <v/>
      </c>
      <c r="C257" s="3" t="str">
        <f>IF(B257="","",Data!N257)</f>
        <v/>
      </c>
    </row>
    <row r="258">
      <c r="A258" s="3" t="str">
        <f>IF(AND(Data!$K258='All Types'!$D$2,Data!$L258='All Types'!$D$3),Data!$C258,"")</f>
        <v/>
      </c>
      <c r="B258" s="3" t="str">
        <f>IF(AND(Data!$K258='All Types'!$D$2,Data!$L258='All Types'!$D$3),Data!M258,"")</f>
        <v/>
      </c>
      <c r="C258" s="3" t="str">
        <f>IF(B258="","",Data!N258)</f>
        <v/>
      </c>
    </row>
    <row r="259">
      <c r="A259" s="3" t="str">
        <f>IF(AND(Data!$K259='All Types'!$D$2,Data!$L259='All Types'!$D$3),Data!$C259,"")</f>
        <v/>
      </c>
      <c r="B259" s="3" t="str">
        <f>IF(AND(Data!$K259='All Types'!$D$2,Data!$L259='All Types'!$D$3),Data!M259,"")</f>
        <v/>
      </c>
      <c r="C259" s="3" t="str">
        <f>IF(B259="","",Data!N259)</f>
        <v/>
      </c>
    </row>
    <row r="260">
      <c r="A260" s="3" t="str">
        <f>IF(AND(Data!$K260='All Types'!$D$2,Data!$L260='All Types'!$D$3),Data!$C260,"")</f>
        <v/>
      </c>
      <c r="B260" s="3" t="str">
        <f>IF(AND(Data!$K260='All Types'!$D$2,Data!$L260='All Types'!$D$3),Data!M260,"")</f>
        <v/>
      </c>
      <c r="C260" s="3" t="str">
        <f>IF(B260="","",Data!N260)</f>
        <v/>
      </c>
    </row>
    <row r="261">
      <c r="A261" s="3" t="str">
        <f>IF(AND(Data!$K261='All Types'!$D$2,Data!$L261='All Types'!$D$3),Data!$C261,"")</f>
        <v/>
      </c>
      <c r="B261" s="3" t="str">
        <f>IF(AND(Data!$K261='All Types'!$D$2,Data!$L261='All Types'!$D$3),Data!M261,"")</f>
        <v/>
      </c>
      <c r="C261" s="3" t="str">
        <f>IF(B261="","",Data!N261)</f>
        <v/>
      </c>
    </row>
    <row r="262">
      <c r="A262" s="3" t="str">
        <f>IF(AND(Data!$K262='All Types'!$D$2,Data!$L262='All Types'!$D$3),Data!$C262,"")</f>
        <v/>
      </c>
      <c r="B262" s="3" t="str">
        <f>IF(AND(Data!$K262='All Types'!$D$2,Data!$L262='All Types'!$D$3),Data!M262,"")</f>
        <v/>
      </c>
      <c r="C262" s="3" t="str">
        <f>IF(B262="","",Data!N262)</f>
        <v/>
      </c>
    </row>
    <row r="263">
      <c r="A263" s="3" t="str">
        <f>IF(AND(Data!$K263='All Types'!$D$2,Data!$L263='All Types'!$D$3),Data!$C263,"")</f>
        <v/>
      </c>
      <c r="B263" s="3" t="str">
        <f>IF(AND(Data!$K263='All Types'!$D$2,Data!$L263='All Types'!$D$3),Data!M263,"")</f>
        <v/>
      </c>
      <c r="C263" s="3" t="str">
        <f>IF(B263="","",Data!N263)</f>
        <v/>
      </c>
    </row>
    <row r="264">
      <c r="A264" s="3" t="str">
        <f>IF(AND(Data!$K264='All Types'!$D$2,Data!$L264='All Types'!$D$3),Data!$C264,"")</f>
        <v/>
      </c>
      <c r="B264" s="3" t="str">
        <f>IF(AND(Data!$K264='All Types'!$D$2,Data!$L264='All Types'!$D$3),Data!M264,"")</f>
        <v/>
      </c>
      <c r="C264" s="3" t="str">
        <f>IF(B264="","",Data!N264)</f>
        <v/>
      </c>
    </row>
    <row r="265">
      <c r="A265" s="3" t="str">
        <f>IF(AND(Data!$K265='All Types'!$D$2,Data!$L265='All Types'!$D$3),Data!$C265,"")</f>
        <v/>
      </c>
      <c r="B265" s="3" t="str">
        <f>IF(AND(Data!$K265='All Types'!$D$2,Data!$L265='All Types'!$D$3),Data!M265,"")</f>
        <v/>
      </c>
      <c r="C265" s="3" t="str">
        <f>IF(B265="","",Data!N265)</f>
        <v/>
      </c>
    </row>
    <row r="266">
      <c r="A266" s="3" t="str">
        <f>IF(AND(Data!$K266='All Types'!$D$2,Data!$L266='All Types'!$D$3),Data!$C266,"")</f>
        <v/>
      </c>
      <c r="B266" s="3" t="str">
        <f>IF(AND(Data!$K266='All Types'!$D$2,Data!$L266='All Types'!$D$3),Data!M266,"")</f>
        <v/>
      </c>
      <c r="C266" s="3" t="str">
        <f>IF(B266="","",Data!N266)</f>
        <v/>
      </c>
    </row>
    <row r="267">
      <c r="A267" s="3" t="str">
        <f>IF(AND(Data!$K267='All Types'!$D$2,Data!$L267='All Types'!$D$3),Data!$C267,"")</f>
        <v/>
      </c>
      <c r="B267" s="3" t="str">
        <f>IF(AND(Data!$K267='All Types'!$D$2,Data!$L267='All Types'!$D$3),Data!M267,"")</f>
        <v/>
      </c>
      <c r="C267" s="3" t="str">
        <f>IF(B267="","",Data!N267)</f>
        <v/>
      </c>
    </row>
    <row r="268">
      <c r="A268" s="3" t="str">
        <f>IF(AND(Data!$K268='All Types'!$D$2,Data!$L268='All Types'!$D$3),Data!$C268,"")</f>
        <v/>
      </c>
      <c r="B268" s="3" t="str">
        <f>IF(AND(Data!$K268='All Types'!$D$2,Data!$L268='All Types'!$D$3),Data!M268,"")</f>
        <v/>
      </c>
      <c r="C268" s="3" t="str">
        <f>IF(B268="","",Data!N268)</f>
        <v/>
      </c>
    </row>
    <row r="269">
      <c r="A269" s="3" t="str">
        <f>IF(AND(Data!$K269='All Types'!$D$2,Data!$L269='All Types'!$D$3),Data!$C269,"")</f>
        <v/>
      </c>
      <c r="B269" s="3" t="str">
        <f>IF(AND(Data!$K269='All Types'!$D$2,Data!$L269='All Types'!$D$3),Data!M269,"")</f>
        <v/>
      </c>
      <c r="C269" s="3" t="str">
        <f>IF(B269="","",Data!N269)</f>
        <v/>
      </c>
    </row>
    <row r="270">
      <c r="A270" s="3" t="str">
        <f>IF(AND(Data!$K270='All Types'!$D$2,Data!$L270='All Types'!$D$3),Data!$C270,"")</f>
        <v/>
      </c>
      <c r="B270" s="3" t="str">
        <f>IF(AND(Data!$K270='All Types'!$D$2,Data!$L270='All Types'!$D$3),Data!M270,"")</f>
        <v/>
      </c>
      <c r="C270" s="3" t="str">
        <f>IF(B270="","",Data!N270)</f>
        <v/>
      </c>
    </row>
    <row r="271">
      <c r="A271" s="3" t="str">
        <f>IF(AND(Data!$K271='All Types'!$D$2,Data!$L271='All Types'!$D$3),Data!$C271,"")</f>
        <v/>
      </c>
      <c r="B271" s="3" t="str">
        <f>IF(AND(Data!$K271='All Types'!$D$2,Data!$L271='All Types'!$D$3),Data!M271,"")</f>
        <v/>
      </c>
      <c r="C271" s="3" t="str">
        <f>IF(B271="","",Data!N271)</f>
        <v/>
      </c>
    </row>
    <row r="272">
      <c r="A272" s="3" t="str">
        <f>IF(AND(Data!$K272='All Types'!$D$2,Data!$L272='All Types'!$D$3),Data!$C272,"")</f>
        <v/>
      </c>
      <c r="B272" s="3" t="str">
        <f>IF(AND(Data!$K272='All Types'!$D$2,Data!$L272='All Types'!$D$3),Data!M272,"")</f>
        <v/>
      </c>
      <c r="C272" s="3" t="str">
        <f>IF(B272="","",Data!N272)</f>
        <v/>
      </c>
    </row>
    <row r="273">
      <c r="A273" s="3" t="str">
        <f>IF(AND(Data!$K273='All Types'!$D$2,Data!$L273='All Types'!$D$3),Data!$C273,"")</f>
        <v/>
      </c>
      <c r="B273" s="3" t="str">
        <f>IF(AND(Data!$K273='All Types'!$D$2,Data!$L273='All Types'!$D$3),Data!M273,"")</f>
        <v/>
      </c>
      <c r="C273" s="3" t="str">
        <f>IF(B273="","",Data!N273)</f>
        <v/>
      </c>
    </row>
    <row r="274">
      <c r="A274" s="3" t="str">
        <f>IF(AND(Data!$K274='All Types'!$D$2,Data!$L274='All Types'!$D$3),Data!$C274,"")</f>
        <v/>
      </c>
      <c r="B274" s="3" t="str">
        <f>IF(AND(Data!$K274='All Types'!$D$2,Data!$L274='All Types'!$D$3),Data!M274,"")</f>
        <v/>
      </c>
      <c r="C274" s="3" t="str">
        <f>IF(B274="","",Data!N274)</f>
        <v/>
      </c>
    </row>
    <row r="275">
      <c r="A275" s="3" t="str">
        <f>IF(AND(Data!$K275='All Types'!$D$2,Data!$L275='All Types'!$D$3),Data!$C275,"")</f>
        <v/>
      </c>
      <c r="B275" s="3" t="str">
        <f>IF(AND(Data!$K275='All Types'!$D$2,Data!$L275='All Types'!$D$3),Data!M275,"")</f>
        <v/>
      </c>
      <c r="C275" s="3" t="str">
        <f>IF(B275="","",Data!N275)</f>
        <v/>
      </c>
    </row>
    <row r="276">
      <c r="A276" s="3" t="str">
        <f>IF(AND(Data!$K276='All Types'!$D$2,Data!$L276='All Types'!$D$3),Data!$C276,"")</f>
        <v/>
      </c>
      <c r="B276" s="3" t="str">
        <f>IF(AND(Data!$K276='All Types'!$D$2,Data!$L276='All Types'!$D$3),Data!M276,"")</f>
        <v/>
      </c>
      <c r="C276" s="3" t="str">
        <f>IF(B276="","",Data!N276)</f>
        <v/>
      </c>
    </row>
    <row r="277">
      <c r="A277" s="3" t="str">
        <f>IF(AND(Data!$K277='All Types'!$D$2,Data!$L277='All Types'!$D$3),Data!$C277,"")</f>
        <v/>
      </c>
      <c r="B277" s="3" t="str">
        <f>IF(AND(Data!$K277='All Types'!$D$2,Data!$L277='All Types'!$D$3),Data!M277,"")</f>
        <v/>
      </c>
      <c r="C277" s="3" t="str">
        <f>IF(B277="","",Data!N277)</f>
        <v/>
      </c>
    </row>
    <row r="278">
      <c r="A278" s="3" t="str">
        <f>IF(AND(Data!$K278='All Types'!$D$2,Data!$L278='All Types'!$D$3),Data!$C278,"")</f>
        <v/>
      </c>
      <c r="B278" s="3" t="str">
        <f>IF(AND(Data!$K278='All Types'!$D$2,Data!$L278='All Types'!$D$3),Data!M278,"")</f>
        <v/>
      </c>
      <c r="C278" s="3" t="str">
        <f>IF(B278="","",Data!N278)</f>
        <v/>
      </c>
    </row>
    <row r="279">
      <c r="A279" s="3" t="str">
        <f>IF(AND(Data!$K279='All Types'!$D$2,Data!$L279='All Types'!$D$3),Data!$C279,"")</f>
        <v/>
      </c>
      <c r="B279" s="3" t="str">
        <f>IF(AND(Data!$K279='All Types'!$D$2,Data!$L279='All Types'!$D$3),Data!M279,"")</f>
        <v/>
      </c>
      <c r="C279" s="3" t="str">
        <f>IF(B279="","",Data!N279)</f>
        <v/>
      </c>
    </row>
    <row r="280">
      <c r="A280" s="3" t="str">
        <f>IF(AND(Data!$K280='All Types'!$D$2,Data!$L280='All Types'!$D$3),Data!$C280,"")</f>
        <v/>
      </c>
      <c r="B280" s="3" t="str">
        <f>IF(AND(Data!$K280='All Types'!$D$2,Data!$L280='All Types'!$D$3),Data!M280,"")</f>
        <v/>
      </c>
      <c r="C280" s="3" t="str">
        <f>IF(B280="","",Data!N280)</f>
        <v/>
      </c>
    </row>
    <row r="281">
      <c r="A281" s="3" t="str">
        <f>IF(AND(Data!$K281='All Types'!$D$2,Data!$L281='All Types'!$D$3),Data!$C281,"")</f>
        <v/>
      </c>
      <c r="B281" s="3" t="str">
        <f>IF(AND(Data!$K281='All Types'!$D$2,Data!$L281='All Types'!$D$3),Data!M281,"")</f>
        <v/>
      </c>
      <c r="C281" s="3" t="str">
        <f>IF(B281="","",Data!N281)</f>
        <v/>
      </c>
    </row>
    <row r="282">
      <c r="A282" s="3" t="str">
        <f>IF(AND(Data!$K282='All Types'!$D$2,Data!$L282='All Types'!$D$3),Data!$C282,"")</f>
        <v/>
      </c>
      <c r="B282" s="3" t="str">
        <f>IF(AND(Data!$K282='All Types'!$D$2,Data!$L282='All Types'!$D$3),Data!M282,"")</f>
        <v/>
      </c>
      <c r="C282" s="3" t="str">
        <f>IF(B282="","",Data!N282)</f>
        <v/>
      </c>
    </row>
    <row r="283">
      <c r="A283" s="3" t="str">
        <f>IF(AND(Data!$K283='All Types'!$D$2,Data!$L283='All Types'!$D$3),Data!$C283,"")</f>
        <v/>
      </c>
      <c r="B283" s="3" t="str">
        <f>IF(AND(Data!$K283='All Types'!$D$2,Data!$L283='All Types'!$D$3),Data!M283,"")</f>
        <v/>
      </c>
      <c r="C283" s="3" t="str">
        <f>IF(B283="","",Data!N283)</f>
        <v/>
      </c>
    </row>
    <row r="284">
      <c r="A284" s="3" t="str">
        <f>IF(AND(Data!$K284='All Types'!$D$2,Data!$L284='All Types'!$D$3),Data!$C284,"")</f>
        <v/>
      </c>
      <c r="B284" s="3" t="str">
        <f>IF(AND(Data!$K284='All Types'!$D$2,Data!$L284='All Types'!$D$3),Data!M284,"")</f>
        <v/>
      </c>
      <c r="C284" s="3" t="str">
        <f>IF(B284="","",Data!N284)</f>
        <v/>
      </c>
    </row>
    <row r="285">
      <c r="A285" s="3" t="str">
        <f>IF(AND(Data!$K285='All Types'!$D$2,Data!$L285='All Types'!$D$3),Data!$C285,"")</f>
        <v/>
      </c>
      <c r="B285" s="3" t="str">
        <f>IF(AND(Data!$K285='All Types'!$D$2,Data!$L285='All Types'!$D$3),Data!M285,"")</f>
        <v/>
      </c>
      <c r="C285" s="3" t="str">
        <f>IF(B285="","",Data!N285)</f>
        <v/>
      </c>
    </row>
    <row r="286">
      <c r="A286" s="3" t="str">
        <f>IF(AND(Data!$K286='All Types'!$D$2,Data!$L286='All Types'!$D$3),Data!$C286,"")</f>
        <v/>
      </c>
      <c r="B286" s="3" t="str">
        <f>IF(AND(Data!$K286='All Types'!$D$2,Data!$L286='All Types'!$D$3),Data!M286,"")</f>
        <v/>
      </c>
      <c r="C286" s="3" t="str">
        <f>IF(B286="","",Data!N286)</f>
        <v/>
      </c>
    </row>
    <row r="287">
      <c r="A287" s="3" t="str">
        <f>IF(AND(Data!$K287='All Types'!$D$2,Data!$L287='All Types'!$D$3),Data!$C287,"")</f>
        <v/>
      </c>
      <c r="B287" s="3" t="str">
        <f>IF(AND(Data!$K287='All Types'!$D$2,Data!$L287='All Types'!$D$3),Data!M287,"")</f>
        <v/>
      </c>
      <c r="C287" s="3" t="str">
        <f>IF(B287="","",Data!N287)</f>
        <v/>
      </c>
    </row>
    <row r="288">
      <c r="A288" s="3" t="str">
        <f>IF(AND(Data!$K288='All Types'!$D$2,Data!$L288='All Types'!$D$3),Data!$C288,"")</f>
        <v/>
      </c>
      <c r="B288" s="3" t="str">
        <f>IF(AND(Data!$K288='All Types'!$D$2,Data!$L288='All Types'!$D$3),Data!M288,"")</f>
        <v/>
      </c>
      <c r="C288" s="3" t="str">
        <f>IF(B288="","",Data!N288)</f>
        <v/>
      </c>
    </row>
    <row r="289">
      <c r="A289" s="3" t="str">
        <f>IF(AND(Data!$K289='All Types'!$D$2,Data!$L289='All Types'!$D$3),Data!$C289,"")</f>
        <v/>
      </c>
      <c r="B289" s="3" t="str">
        <f>IF(AND(Data!$K289='All Types'!$D$2,Data!$L289='All Types'!$D$3),Data!M289,"")</f>
        <v/>
      </c>
      <c r="C289" s="3" t="str">
        <f>IF(B289="","",Data!N289)</f>
        <v/>
      </c>
    </row>
    <row r="290">
      <c r="A290" s="3" t="str">
        <f>IF(AND(Data!$K290='All Types'!$D$2,Data!$L290='All Types'!$D$3),Data!$C290,"")</f>
        <v/>
      </c>
      <c r="B290" s="3" t="str">
        <f>IF(AND(Data!$K290='All Types'!$D$2,Data!$L290='All Types'!$D$3),Data!M290,"")</f>
        <v/>
      </c>
      <c r="C290" s="3" t="str">
        <f>IF(B290="","",Data!N290)</f>
        <v/>
      </c>
    </row>
    <row r="291">
      <c r="A291" s="3" t="str">
        <f>IF(AND(Data!$K291='All Types'!$D$2,Data!$L291='All Types'!$D$3),Data!$C291,"")</f>
        <v/>
      </c>
      <c r="B291" s="3" t="str">
        <f>IF(AND(Data!$K291='All Types'!$D$2,Data!$L291='All Types'!$D$3),Data!M291,"")</f>
        <v/>
      </c>
      <c r="C291" s="3" t="str">
        <f>IF(B291="","",Data!N291)</f>
        <v/>
      </c>
    </row>
    <row r="292">
      <c r="A292" s="3" t="str">
        <f>IF(AND(Data!$K292='All Types'!$D$2,Data!$L292='All Types'!$D$3),Data!$C292,"")</f>
        <v/>
      </c>
      <c r="B292" s="3" t="str">
        <f>IF(AND(Data!$K292='All Types'!$D$2,Data!$L292='All Types'!$D$3),Data!M292,"")</f>
        <v/>
      </c>
      <c r="C292" s="3" t="str">
        <f>IF(B292="","",Data!N292)</f>
        <v/>
      </c>
    </row>
    <row r="293">
      <c r="A293" s="3" t="str">
        <f>IF(AND(Data!$K293='All Types'!$D$2,Data!$L293='All Types'!$D$3),Data!$C293,"")</f>
        <v/>
      </c>
      <c r="B293" s="3" t="str">
        <f>IF(AND(Data!$K293='All Types'!$D$2,Data!$L293='All Types'!$D$3),Data!M293,"")</f>
        <v/>
      </c>
      <c r="C293" s="3" t="str">
        <f>IF(B293="","",Data!N293)</f>
        <v/>
      </c>
    </row>
    <row r="294">
      <c r="A294" s="3" t="str">
        <f>IF(AND(Data!$K294='All Types'!$D$2,Data!$L294='All Types'!$D$3),Data!$C294,"")</f>
        <v/>
      </c>
      <c r="B294" s="3" t="str">
        <f>IF(AND(Data!$K294='All Types'!$D$2,Data!$L294='All Types'!$D$3),Data!M294,"")</f>
        <v/>
      </c>
      <c r="C294" s="3" t="str">
        <f>IF(B294="","",Data!N294)</f>
        <v/>
      </c>
    </row>
    <row r="295">
      <c r="A295" s="3" t="str">
        <f>IF(AND(Data!$K295='All Types'!$D$2,Data!$L295='All Types'!$D$3),Data!$C295,"")</f>
        <v/>
      </c>
      <c r="B295" s="3" t="str">
        <f>IF(AND(Data!$K295='All Types'!$D$2,Data!$L295='All Types'!$D$3),Data!M295,"")</f>
        <v/>
      </c>
      <c r="C295" s="3" t="str">
        <f>IF(B295="","",Data!N295)</f>
        <v/>
      </c>
    </row>
    <row r="296">
      <c r="A296" s="3" t="str">
        <f>IF(AND(Data!$K296='All Types'!$D$2,Data!$L296='All Types'!$D$3),Data!$C296,"")</f>
        <v/>
      </c>
      <c r="B296" s="3" t="str">
        <f>IF(AND(Data!$K296='All Types'!$D$2,Data!$L296='All Types'!$D$3),Data!M296,"")</f>
        <v/>
      </c>
      <c r="C296" s="3" t="str">
        <f>IF(B296="","",Data!N296)</f>
        <v/>
      </c>
    </row>
    <row r="297">
      <c r="A297" s="3" t="str">
        <f>IF(AND(Data!$K297='All Types'!$D$2,Data!$L297='All Types'!$D$3),Data!$C297,"")</f>
        <v/>
      </c>
      <c r="B297" s="3" t="str">
        <f>IF(AND(Data!$K297='All Types'!$D$2,Data!$L297='All Types'!$D$3),Data!M297,"")</f>
        <v/>
      </c>
      <c r="C297" s="3" t="str">
        <f>IF(B297="","",Data!N297)</f>
        <v/>
      </c>
    </row>
    <row r="298">
      <c r="A298" s="3" t="str">
        <f>IF(AND(Data!$K298='All Types'!$D$2,Data!$L298='All Types'!$D$3),Data!$C298,"")</f>
        <v/>
      </c>
      <c r="B298" s="3" t="str">
        <f>IF(AND(Data!$K298='All Types'!$D$2,Data!$L298='All Types'!$D$3),Data!M298,"")</f>
        <v/>
      </c>
      <c r="C298" s="3" t="str">
        <f>IF(B298="","",Data!N298)</f>
        <v/>
      </c>
    </row>
    <row r="299">
      <c r="A299" s="3" t="str">
        <f>IF(AND(Data!$K299='All Types'!$D$2,Data!$L299='All Types'!$D$3),Data!$C299,"")</f>
        <v/>
      </c>
      <c r="B299" s="3" t="str">
        <f>IF(AND(Data!$K299='All Types'!$D$2,Data!$L299='All Types'!$D$3),Data!M299,"")</f>
        <v/>
      </c>
      <c r="C299" s="3" t="str">
        <f>IF(B299="","",Data!N299)</f>
        <v/>
      </c>
    </row>
    <row r="300">
      <c r="A300" s="3" t="str">
        <f>IF(AND(Data!$K300='All Types'!$D$2,Data!$L300='All Types'!$D$3),Data!$C300,"")</f>
        <v/>
      </c>
      <c r="B300" s="3" t="str">
        <f>IF(AND(Data!$K300='All Types'!$D$2,Data!$L300='All Types'!$D$3),Data!M300,"")</f>
        <v/>
      </c>
      <c r="C300" s="3" t="str">
        <f>IF(B300="","",Data!N300)</f>
        <v/>
      </c>
    </row>
    <row r="301">
      <c r="A301" s="3" t="str">
        <f>IF(AND(Data!$K301='All Types'!$D$2,Data!$L301='All Types'!$D$3),Data!$C301,"")</f>
        <v/>
      </c>
      <c r="B301" s="3" t="str">
        <f>IF(AND(Data!$K301='All Types'!$D$2,Data!$L301='All Types'!$D$3),Data!M301,"")</f>
        <v/>
      </c>
      <c r="C301" s="3" t="str">
        <f>IF(B301="","",Data!N301)</f>
        <v/>
      </c>
    </row>
    <row r="302">
      <c r="A302" s="3" t="str">
        <f>IF(AND(Data!$K302='All Types'!$D$2,Data!$L302='All Types'!$D$3),Data!$C302,"")</f>
        <v/>
      </c>
      <c r="B302" s="3" t="str">
        <f>IF(AND(Data!$K302='All Types'!$D$2,Data!$L302='All Types'!$D$3),Data!M302,"")</f>
        <v/>
      </c>
      <c r="C302" s="3" t="str">
        <f>IF(B302="","",Data!N302)</f>
        <v/>
      </c>
    </row>
    <row r="303">
      <c r="A303" s="3" t="str">
        <f>IF(AND(Data!$K303='All Types'!$D$2,Data!$L303='All Types'!$D$3),Data!$C303,"")</f>
        <v/>
      </c>
      <c r="B303" s="3" t="str">
        <f>IF(AND(Data!$K303='All Types'!$D$2,Data!$L303='All Types'!$D$3),Data!M303,"")</f>
        <v/>
      </c>
      <c r="C303" s="3" t="str">
        <f>IF(B303="","",Data!N303)</f>
        <v/>
      </c>
    </row>
    <row r="304">
      <c r="A304" s="3" t="str">
        <f>IF(AND(Data!$K304='All Types'!$D$2,Data!$L304='All Types'!$D$3),Data!$C304,"")</f>
        <v/>
      </c>
      <c r="B304" s="3" t="str">
        <f>IF(AND(Data!$K304='All Types'!$D$2,Data!$L304='All Types'!$D$3),Data!M304,"")</f>
        <v/>
      </c>
      <c r="C304" s="3" t="str">
        <f>IF(B304="","",Data!N304)</f>
        <v/>
      </c>
    </row>
    <row r="305">
      <c r="A305" s="3" t="str">
        <f>IF(AND(Data!$K305='All Types'!$D$2,Data!$L305='All Types'!$D$3),Data!$C305,"")</f>
        <v/>
      </c>
      <c r="B305" s="3" t="str">
        <f>IF(AND(Data!$K305='All Types'!$D$2,Data!$L305='All Types'!$D$3),Data!M305,"")</f>
        <v/>
      </c>
      <c r="C305" s="3" t="str">
        <f>IF(B305="","",Data!N305)</f>
        <v/>
      </c>
    </row>
    <row r="306">
      <c r="A306" s="3" t="str">
        <f>IF(AND(Data!$K306='All Types'!$D$2,Data!$L306='All Types'!$D$3),Data!$C306,"")</f>
        <v/>
      </c>
      <c r="B306" s="3" t="str">
        <f>IF(AND(Data!$K306='All Types'!$D$2,Data!$L306='All Types'!$D$3),Data!M306,"")</f>
        <v/>
      </c>
      <c r="C306" s="3" t="str">
        <f>IF(B306="","",Data!N306)</f>
        <v/>
      </c>
    </row>
    <row r="307">
      <c r="A307" s="3" t="str">
        <f>IF(AND(Data!$K307='All Types'!$D$2,Data!$L307='All Types'!$D$3),Data!$C307,"")</f>
        <v/>
      </c>
      <c r="B307" s="3" t="str">
        <f>IF(AND(Data!$K307='All Types'!$D$2,Data!$L307='All Types'!$D$3),Data!M307,"")</f>
        <v/>
      </c>
      <c r="C307" s="3" t="str">
        <f>IF(B307="","",Data!N307)</f>
        <v/>
      </c>
    </row>
    <row r="308">
      <c r="A308" s="3" t="str">
        <f>IF(AND(Data!$K308='All Types'!$D$2,Data!$L308='All Types'!$D$3),Data!$C308,"")</f>
        <v/>
      </c>
      <c r="B308" s="3" t="str">
        <f>IF(AND(Data!$K308='All Types'!$D$2,Data!$L308='All Types'!$D$3),Data!M308,"")</f>
        <v/>
      </c>
      <c r="C308" s="3" t="str">
        <f>IF(B308="","",Data!N308)</f>
        <v/>
      </c>
    </row>
    <row r="309">
      <c r="A309" s="3" t="str">
        <f>IF(AND(Data!$K309='All Types'!$D$2,Data!$L309='All Types'!$D$3),Data!$C309,"")</f>
        <v/>
      </c>
      <c r="B309" s="3" t="str">
        <f>IF(AND(Data!$K309='All Types'!$D$2,Data!$L309='All Types'!$D$3),Data!M309,"")</f>
        <v/>
      </c>
      <c r="C309" s="3" t="str">
        <f>IF(B309="","",Data!N309)</f>
        <v/>
      </c>
    </row>
    <row r="310">
      <c r="A310" s="3" t="str">
        <f>IF(AND(Data!$K310='All Types'!$D$2,Data!$L310='All Types'!$D$3),Data!$C310,"")</f>
        <v/>
      </c>
      <c r="B310" s="3" t="str">
        <f>IF(AND(Data!$K310='All Types'!$D$2,Data!$L310='All Types'!$D$3),Data!M310,"")</f>
        <v/>
      </c>
      <c r="C310" s="3" t="str">
        <f>IF(B310="","",Data!N310)</f>
        <v/>
      </c>
    </row>
    <row r="311">
      <c r="A311" s="3" t="str">
        <f>IF(AND(Data!$K311='All Types'!$D$2,Data!$L311='All Types'!$D$3),Data!$C311,"")</f>
        <v/>
      </c>
      <c r="B311" s="3" t="str">
        <f>IF(AND(Data!$K311='All Types'!$D$2,Data!$L311='All Types'!$D$3),Data!M311,"")</f>
        <v/>
      </c>
      <c r="C311" s="3" t="str">
        <f>IF(B311="","",Data!N311)</f>
        <v/>
      </c>
    </row>
    <row r="312">
      <c r="A312" s="3" t="str">
        <f>IF(AND(Data!$K312='All Types'!$D$2,Data!$L312='All Types'!$D$3),Data!$C312,"")</f>
        <v/>
      </c>
      <c r="B312" s="3" t="str">
        <f>IF(AND(Data!$K312='All Types'!$D$2,Data!$L312='All Types'!$D$3),Data!M312,"")</f>
        <v/>
      </c>
      <c r="C312" s="3" t="str">
        <f>IF(B312="","",Data!N312)</f>
        <v/>
      </c>
    </row>
    <row r="313">
      <c r="A313" s="3" t="str">
        <f>IF(AND(Data!$K313='All Types'!$D$2,Data!$L313='All Types'!$D$3),Data!$C313,"")</f>
        <v/>
      </c>
      <c r="B313" s="3" t="str">
        <f>IF(AND(Data!$K313='All Types'!$D$2,Data!$L313='All Types'!$D$3),Data!M313,"")</f>
        <v/>
      </c>
      <c r="C313" s="3" t="str">
        <f>IF(B313="","",Data!N313)</f>
        <v/>
      </c>
    </row>
    <row r="314">
      <c r="A314" s="3" t="str">
        <f>IF(AND(Data!$K314='All Types'!$D$2,Data!$L314='All Types'!$D$3),Data!$C314,"")</f>
        <v/>
      </c>
      <c r="B314" s="3" t="str">
        <f>IF(AND(Data!$K314='All Types'!$D$2,Data!$L314='All Types'!$D$3),Data!M314,"")</f>
        <v/>
      </c>
      <c r="C314" s="3" t="str">
        <f>IF(B314="","",Data!N314)</f>
        <v/>
      </c>
    </row>
    <row r="315">
      <c r="A315" s="3" t="str">
        <f>IF(AND(Data!$K315='All Types'!$D$2,Data!$L315='All Types'!$D$3),Data!$C315,"")</f>
        <v/>
      </c>
      <c r="B315" s="3" t="str">
        <f>IF(AND(Data!$K315='All Types'!$D$2,Data!$L315='All Types'!$D$3),Data!M315,"")</f>
        <v/>
      </c>
      <c r="C315" s="3" t="str">
        <f>IF(B315="","",Data!N315)</f>
        <v/>
      </c>
    </row>
    <row r="316">
      <c r="A316" s="3" t="str">
        <f>IF(AND(Data!$K316='All Types'!$D$2,Data!$L316='All Types'!$D$3),Data!$C316,"")</f>
        <v/>
      </c>
      <c r="B316" s="3" t="str">
        <f>IF(AND(Data!$K316='All Types'!$D$2,Data!$L316='All Types'!$D$3),Data!M316,"")</f>
        <v/>
      </c>
      <c r="C316" s="3" t="str">
        <f>IF(B316="","",Data!N316)</f>
        <v/>
      </c>
    </row>
    <row r="317">
      <c r="A317" s="3" t="str">
        <f>IF(AND(Data!$K317='All Types'!$D$2,Data!$L317='All Types'!$D$3),Data!$C317,"")</f>
        <v/>
      </c>
      <c r="B317" s="3" t="str">
        <f>IF(AND(Data!$K317='All Types'!$D$2,Data!$L317='All Types'!$D$3),Data!M317,"")</f>
        <v/>
      </c>
      <c r="C317" s="3" t="str">
        <f>IF(B317="","",Data!N317)</f>
        <v/>
      </c>
    </row>
    <row r="318">
      <c r="A318" s="3" t="str">
        <f>IF(AND(Data!$K318='All Types'!$D$2,Data!$L318='All Types'!$D$3),Data!$C318,"")</f>
        <v/>
      </c>
      <c r="B318" s="3" t="str">
        <f>IF(AND(Data!$K318='All Types'!$D$2,Data!$L318='All Types'!$D$3),Data!M318,"")</f>
        <v/>
      </c>
      <c r="C318" s="3" t="str">
        <f>IF(B318="","",Data!N318)</f>
        <v/>
      </c>
    </row>
    <row r="319">
      <c r="A319" s="3" t="str">
        <f>IF(AND(Data!$K319='All Types'!$D$2,Data!$L319='All Types'!$D$3),Data!$C319,"")</f>
        <v/>
      </c>
      <c r="B319" s="3" t="str">
        <f>IF(AND(Data!$K319='All Types'!$D$2,Data!$L319='All Types'!$D$3),Data!M319,"")</f>
        <v/>
      </c>
      <c r="C319" s="3" t="str">
        <f>IF(B319="","",Data!N319)</f>
        <v/>
      </c>
    </row>
    <row r="320">
      <c r="A320" s="3" t="str">
        <f>IF(AND(Data!$K320='All Types'!$D$2,Data!$L320='All Types'!$D$3),Data!$C320,"")</f>
        <v/>
      </c>
      <c r="B320" s="3" t="str">
        <f>IF(AND(Data!$K320='All Types'!$D$2,Data!$L320='All Types'!$D$3),Data!M320,"")</f>
        <v/>
      </c>
      <c r="C320" s="3" t="str">
        <f>IF(B320="","",Data!N320)</f>
        <v/>
      </c>
    </row>
    <row r="321">
      <c r="A321" s="3" t="str">
        <f>IF(AND(Data!$K321='All Types'!$D$2,Data!$L321='All Types'!$D$3),Data!$C321,"")</f>
        <v/>
      </c>
      <c r="B321" s="3" t="str">
        <f>IF(AND(Data!$K321='All Types'!$D$2,Data!$L321='All Types'!$D$3),Data!M321,"")</f>
        <v/>
      </c>
      <c r="C321" s="3" t="str">
        <f>IF(B321="","",Data!N321)</f>
        <v/>
      </c>
    </row>
    <row r="322">
      <c r="A322" s="3" t="str">
        <f>IF(AND(Data!$K322='All Types'!$D$2,Data!$L322='All Types'!$D$3),Data!$C322,"")</f>
        <v/>
      </c>
      <c r="B322" s="3" t="str">
        <f>IF(AND(Data!$K322='All Types'!$D$2,Data!$L322='All Types'!$D$3),Data!M322,"")</f>
        <v/>
      </c>
      <c r="C322" s="3" t="str">
        <f>IF(B322="","",Data!N322)</f>
        <v/>
      </c>
    </row>
    <row r="323">
      <c r="A323" s="3" t="str">
        <f>IF(AND(Data!$K323='All Types'!$D$2,Data!$L323='All Types'!$D$3),Data!$C323,"")</f>
        <v/>
      </c>
      <c r="B323" s="3" t="str">
        <f>IF(AND(Data!$K323='All Types'!$D$2,Data!$L323='All Types'!$D$3),Data!M323,"")</f>
        <v/>
      </c>
      <c r="C323" s="3" t="str">
        <f>IF(B323="","",Data!N323)</f>
        <v/>
      </c>
    </row>
    <row r="324">
      <c r="A324" s="3" t="str">
        <f>IF(AND(Data!$K324='All Types'!$D$2,Data!$L324='All Types'!$D$3),Data!$C324,"")</f>
        <v/>
      </c>
      <c r="B324" s="3" t="str">
        <f>IF(AND(Data!$K324='All Types'!$D$2,Data!$L324='All Types'!$D$3),Data!M324,"")</f>
        <v/>
      </c>
      <c r="C324" s="3" t="str">
        <f>IF(B324="","",Data!N324)</f>
        <v/>
      </c>
    </row>
    <row r="325">
      <c r="A325" s="3" t="str">
        <f>IF(AND(Data!$K325='All Types'!$D$2,Data!$L325='All Types'!$D$3),Data!$C325,"")</f>
        <v/>
      </c>
      <c r="B325" s="3" t="str">
        <f>IF(AND(Data!$K325='All Types'!$D$2,Data!$L325='All Types'!$D$3),Data!M325,"")</f>
        <v/>
      </c>
      <c r="C325" s="3" t="str">
        <f>IF(B325="","",Data!N325)</f>
        <v/>
      </c>
    </row>
    <row r="326">
      <c r="A326" s="3" t="str">
        <f>IF(AND(Data!$K326='All Types'!$D$2,Data!$L326='All Types'!$D$3),Data!$C326,"")</f>
        <v/>
      </c>
      <c r="B326" s="3" t="str">
        <f>IF(AND(Data!$K326='All Types'!$D$2,Data!$L326='All Types'!$D$3),Data!M326,"")</f>
        <v/>
      </c>
      <c r="C326" s="3" t="str">
        <f>IF(B326="","",Data!N326)</f>
        <v/>
      </c>
    </row>
    <row r="327">
      <c r="A327" s="3" t="str">
        <f>IF(AND(Data!$K327='All Types'!$D$2,Data!$L327='All Types'!$D$3),Data!$C327,"")</f>
        <v/>
      </c>
      <c r="B327" s="3" t="str">
        <f>IF(AND(Data!$K327='All Types'!$D$2,Data!$L327='All Types'!$D$3),Data!M327,"")</f>
        <v/>
      </c>
      <c r="C327" s="3" t="str">
        <f>IF(B327="","",Data!N327)</f>
        <v/>
      </c>
    </row>
    <row r="328">
      <c r="A328" s="3" t="str">
        <f>IF(AND(Data!$K328='All Types'!$D$2,Data!$L328='All Types'!$D$3),Data!$C328,"")</f>
        <v/>
      </c>
      <c r="B328" s="3" t="str">
        <f>IF(AND(Data!$K328='All Types'!$D$2,Data!$L328='All Types'!$D$3),Data!M328,"")</f>
        <v/>
      </c>
      <c r="C328" s="3" t="str">
        <f>IF(B328="","",Data!N328)</f>
        <v/>
      </c>
    </row>
    <row r="329">
      <c r="A329" s="3" t="str">
        <f>IF(AND(Data!$K329='All Types'!$D$2,Data!$L329='All Types'!$D$3),Data!$C329,"")</f>
        <v/>
      </c>
      <c r="B329" s="3" t="str">
        <f>IF(AND(Data!$K329='All Types'!$D$2,Data!$L329='All Types'!$D$3),Data!M329,"")</f>
        <v/>
      </c>
      <c r="C329" s="3" t="str">
        <f>IF(B329="","",Data!N329)</f>
        <v/>
      </c>
    </row>
    <row r="330">
      <c r="A330" s="3" t="str">
        <f>IF(AND(Data!$K330='All Types'!$D$2,Data!$L330='All Types'!$D$3),Data!$C330,"")</f>
        <v/>
      </c>
      <c r="B330" s="3" t="str">
        <f>IF(AND(Data!$K330='All Types'!$D$2,Data!$L330='All Types'!$D$3),Data!M330,"")</f>
        <v/>
      </c>
      <c r="C330" s="3" t="str">
        <f>IF(B330="","",Data!N330)</f>
        <v/>
      </c>
    </row>
    <row r="331">
      <c r="A331" s="3" t="str">
        <f>IF(AND(Data!$K331='All Types'!$D$2,Data!$L331='All Types'!$D$3),Data!$C331,"")</f>
        <v/>
      </c>
      <c r="B331" s="3" t="str">
        <f>IF(AND(Data!$K331='All Types'!$D$2,Data!$L331='All Types'!$D$3),Data!M331,"")</f>
        <v/>
      </c>
      <c r="C331" s="3" t="str">
        <f>IF(B331="","",Data!N331)</f>
        <v/>
      </c>
    </row>
    <row r="332">
      <c r="A332" s="3" t="str">
        <f>IF(AND(Data!$K332='All Types'!$D$2,Data!$L332='All Types'!$D$3),Data!$C332,"")</f>
        <v/>
      </c>
      <c r="B332" s="3" t="str">
        <f>IF(AND(Data!$K332='All Types'!$D$2,Data!$L332='All Types'!$D$3),Data!M332,"")</f>
        <v/>
      </c>
      <c r="C332" s="3" t="str">
        <f>IF(B332="","",Data!N332)</f>
        <v/>
      </c>
    </row>
    <row r="333">
      <c r="A333" s="3" t="str">
        <f>IF(AND(Data!$K333='All Types'!$D$2,Data!$L333='All Types'!$D$3),Data!$C333,"")</f>
        <v/>
      </c>
      <c r="B333" s="3" t="str">
        <f>IF(AND(Data!$K333='All Types'!$D$2,Data!$L333='All Types'!$D$3),Data!M333,"")</f>
        <v/>
      </c>
      <c r="C333" s="3" t="str">
        <f>IF(B333="","",Data!N333)</f>
        <v/>
      </c>
    </row>
    <row r="334">
      <c r="A334" s="3" t="str">
        <f>IF(AND(Data!$K334='All Types'!$D$2,Data!$L334='All Types'!$D$3),Data!$C334,"")</f>
        <v/>
      </c>
      <c r="B334" s="3" t="str">
        <f>IF(AND(Data!$K334='All Types'!$D$2,Data!$L334='All Types'!$D$3),Data!M334,"")</f>
        <v/>
      </c>
      <c r="C334" s="3" t="str">
        <f>IF(B334="","",Data!N334)</f>
        <v/>
      </c>
    </row>
    <row r="335">
      <c r="A335" s="3" t="str">
        <f>IF(AND(Data!$K335='All Types'!$D$2,Data!$L335='All Types'!$D$3),Data!$C335,"")</f>
        <v/>
      </c>
      <c r="B335" s="3" t="str">
        <f>IF(AND(Data!$K335='All Types'!$D$2,Data!$L335='All Types'!$D$3),Data!M335,"")</f>
        <v/>
      </c>
      <c r="C335" s="3" t="str">
        <f>IF(B335="","",Data!N335)</f>
        <v/>
      </c>
    </row>
    <row r="336">
      <c r="A336" s="3" t="str">
        <f>IF(AND(Data!$K336='All Types'!$D$2,Data!$L336='All Types'!$D$3),Data!$C336,"")</f>
        <v/>
      </c>
      <c r="B336" s="3" t="str">
        <f>IF(AND(Data!$K336='All Types'!$D$2,Data!$L336='All Types'!$D$3),Data!M336,"")</f>
        <v/>
      </c>
      <c r="C336" s="3" t="str">
        <f>IF(B336="","",Data!N336)</f>
        <v/>
      </c>
    </row>
    <row r="337">
      <c r="A337" s="3" t="str">
        <f>IF(AND(Data!$K337='All Types'!$D$2,Data!$L337='All Types'!$D$3),Data!$C337,"")</f>
        <v/>
      </c>
      <c r="B337" s="3" t="str">
        <f>IF(AND(Data!$K337='All Types'!$D$2,Data!$L337='All Types'!$D$3),Data!M337,"")</f>
        <v/>
      </c>
      <c r="C337" s="3" t="str">
        <f>IF(B337="","",Data!N337)</f>
        <v/>
      </c>
    </row>
    <row r="338">
      <c r="A338" s="3" t="str">
        <f>IF(AND(Data!$K338='All Types'!$D$2,Data!$L338='All Types'!$D$3),Data!$C338,"")</f>
        <v/>
      </c>
      <c r="B338" s="3" t="str">
        <f>IF(AND(Data!$K338='All Types'!$D$2,Data!$L338='All Types'!$D$3),Data!M338,"")</f>
        <v/>
      </c>
      <c r="C338" s="3" t="str">
        <f>IF(B338="","",Data!N338)</f>
        <v/>
      </c>
    </row>
    <row r="339">
      <c r="A339" s="3" t="str">
        <f>IF(AND(Data!$K339='All Types'!$D$2,Data!$L339='All Types'!$D$3),Data!$C339,"")</f>
        <v/>
      </c>
      <c r="B339" s="3" t="str">
        <f>IF(AND(Data!$K339='All Types'!$D$2,Data!$L339='All Types'!$D$3),Data!M339,"")</f>
        <v/>
      </c>
      <c r="C339" s="3" t="str">
        <f>IF(B339="","",Data!N339)</f>
        <v/>
      </c>
    </row>
    <row r="340">
      <c r="A340" s="3" t="str">
        <f>IF(AND(Data!$K340='All Types'!$D$2,Data!$L340='All Types'!$D$3),Data!$C340,"")</f>
        <v/>
      </c>
      <c r="B340" s="3" t="str">
        <f>IF(AND(Data!$K340='All Types'!$D$2,Data!$L340='All Types'!$D$3),Data!M340,"")</f>
        <v/>
      </c>
      <c r="C340" s="3" t="str">
        <f>IF(B340="","",Data!N340)</f>
        <v/>
      </c>
    </row>
    <row r="341">
      <c r="A341" s="3" t="str">
        <f>IF(AND(Data!$K341='All Types'!$D$2,Data!$L341='All Types'!$D$3),Data!$C341,"")</f>
        <v/>
      </c>
      <c r="B341" s="3" t="str">
        <f>IF(AND(Data!$K341='All Types'!$D$2,Data!$L341='All Types'!$D$3),Data!M341,"")</f>
        <v/>
      </c>
      <c r="C341" s="3" t="str">
        <f>IF(B341="","",Data!N341)</f>
        <v/>
      </c>
    </row>
    <row r="342">
      <c r="A342" s="3" t="str">
        <f>IF(AND(Data!$K342='All Types'!$D$2,Data!$L342='All Types'!$D$3),Data!$C342,"")</f>
        <v/>
      </c>
      <c r="B342" s="3" t="str">
        <f>IF(AND(Data!$K342='All Types'!$D$2,Data!$L342='All Types'!$D$3),Data!M342,"")</f>
        <v/>
      </c>
      <c r="C342" s="3" t="str">
        <f>IF(B342="","",Data!N342)</f>
        <v/>
      </c>
    </row>
    <row r="343">
      <c r="A343" s="3" t="str">
        <f>IF(AND(Data!$K343='All Types'!$D$2,Data!$L343='All Types'!$D$3),Data!$C343,"")</f>
        <v/>
      </c>
      <c r="B343" s="3" t="str">
        <f>IF(AND(Data!$K343='All Types'!$D$2,Data!$L343='All Types'!$D$3),Data!M343,"")</f>
        <v/>
      </c>
      <c r="C343" s="3" t="str">
        <f>IF(B343="","",Data!N343)</f>
        <v/>
      </c>
    </row>
    <row r="344">
      <c r="A344" s="3" t="str">
        <f>IF(AND(Data!$K344='All Types'!$D$2,Data!$L344='All Types'!$D$3),Data!$C344,"")</f>
        <v/>
      </c>
      <c r="B344" s="3" t="str">
        <f>IF(AND(Data!$K344='All Types'!$D$2,Data!$L344='All Types'!$D$3),Data!M344,"")</f>
        <v/>
      </c>
      <c r="C344" s="3" t="str">
        <f>IF(B344="","",Data!N344)</f>
        <v/>
      </c>
    </row>
    <row r="345">
      <c r="A345" s="3" t="str">
        <f>IF(AND(Data!$K345='All Types'!$D$2,Data!$L345='All Types'!$D$3),Data!$C345,"")</f>
        <v/>
      </c>
      <c r="B345" s="3" t="str">
        <f>IF(AND(Data!$K345='All Types'!$D$2,Data!$L345='All Types'!$D$3),Data!M345,"")</f>
        <v/>
      </c>
      <c r="C345" s="3" t="str">
        <f>IF(B345="","",Data!N345)</f>
        <v/>
      </c>
    </row>
    <row r="346">
      <c r="A346" s="3" t="str">
        <f>IF(AND(Data!$K346='All Types'!$D$2,Data!$L346='All Types'!$D$3),Data!$C346,"")</f>
        <v/>
      </c>
      <c r="B346" s="3" t="str">
        <f>IF(AND(Data!$K346='All Types'!$D$2,Data!$L346='All Types'!$D$3),Data!M346,"")</f>
        <v/>
      </c>
      <c r="C346" s="3" t="str">
        <f>IF(B346="","",Data!N346)</f>
        <v/>
      </c>
    </row>
    <row r="347">
      <c r="A347" s="3" t="str">
        <f>IF(AND(Data!$K347='All Types'!$D$2,Data!$L347='All Types'!$D$3),Data!$C347,"")</f>
        <v/>
      </c>
      <c r="B347" s="3" t="str">
        <f>IF(AND(Data!$K347='All Types'!$D$2,Data!$L347='All Types'!$D$3),Data!M347,"")</f>
        <v/>
      </c>
      <c r="C347" s="3" t="str">
        <f>IF(B347="","",Data!N347)</f>
        <v/>
      </c>
    </row>
    <row r="348">
      <c r="A348" s="3" t="str">
        <f>IF(AND(Data!$K348='All Types'!$D$2,Data!$L348='All Types'!$D$3),Data!$C348,"")</f>
        <v/>
      </c>
      <c r="B348" s="3" t="str">
        <f>IF(AND(Data!$K348='All Types'!$D$2,Data!$L348='All Types'!$D$3),Data!M348,"")</f>
        <v/>
      </c>
      <c r="C348" s="3" t="str">
        <f>IF(B348="","",Data!N348)</f>
        <v/>
      </c>
    </row>
    <row r="349">
      <c r="A349" s="3" t="str">
        <f>IF(AND(Data!$K349='All Types'!$D$2,Data!$L349='All Types'!$D$3),Data!$C349,"")</f>
        <v/>
      </c>
      <c r="B349" s="3" t="str">
        <f>IF(AND(Data!$K349='All Types'!$D$2,Data!$L349='All Types'!$D$3),Data!M349,"")</f>
        <v/>
      </c>
      <c r="C349" s="3" t="str">
        <f>IF(B349="","",Data!N349)</f>
        <v/>
      </c>
    </row>
    <row r="350">
      <c r="A350" s="3" t="str">
        <f>IF(AND(Data!$K350='All Types'!$D$2,Data!$L350='All Types'!$D$3),Data!$C350,"")</f>
        <v/>
      </c>
      <c r="B350" s="3" t="str">
        <f>IF(AND(Data!$K350='All Types'!$D$2,Data!$L350='All Types'!$D$3),Data!M350,"")</f>
        <v/>
      </c>
      <c r="C350" s="3" t="str">
        <f>IF(B350="","",Data!N350)</f>
        <v/>
      </c>
    </row>
    <row r="351">
      <c r="A351" s="3" t="str">
        <f>IF(AND(Data!$K351='All Types'!$D$2,Data!$L351='All Types'!$D$3),Data!$C351,"")</f>
        <v/>
      </c>
      <c r="B351" s="3" t="str">
        <f>IF(AND(Data!$K351='All Types'!$D$2,Data!$L351='All Types'!$D$3),Data!M351,"")</f>
        <v/>
      </c>
      <c r="C351" s="3" t="str">
        <f>IF(B351="","",Data!N351)</f>
        <v/>
      </c>
    </row>
    <row r="352">
      <c r="A352" s="3" t="str">
        <f>IF(AND(Data!$K352='All Types'!$D$2,Data!$L352='All Types'!$D$3),Data!$C352,"")</f>
        <v/>
      </c>
      <c r="B352" s="3" t="str">
        <f>IF(AND(Data!$K352='All Types'!$D$2,Data!$L352='All Types'!$D$3),Data!M352,"")</f>
        <v/>
      </c>
      <c r="C352" s="3" t="str">
        <f>IF(B352="","",Data!N352)</f>
        <v/>
      </c>
    </row>
    <row r="353">
      <c r="A353" s="3" t="str">
        <f>IF(AND(Data!$K353='All Types'!$D$2,Data!$L353='All Types'!$D$3),Data!$C353,"")</f>
        <v/>
      </c>
      <c r="B353" s="3" t="str">
        <f>IF(AND(Data!$K353='All Types'!$D$2,Data!$L353='All Types'!$D$3),Data!M353,"")</f>
        <v/>
      </c>
      <c r="C353" s="3" t="str">
        <f>IF(B353="","",Data!N353)</f>
        <v/>
      </c>
    </row>
    <row r="354">
      <c r="A354" s="3" t="str">
        <f>IF(AND(Data!$K354='All Types'!$D$2,Data!$L354='All Types'!$D$3),Data!$C354,"")</f>
        <v/>
      </c>
      <c r="B354" s="3" t="str">
        <f>IF(AND(Data!$K354='All Types'!$D$2,Data!$L354='All Types'!$D$3),Data!M354,"")</f>
        <v/>
      </c>
      <c r="C354" s="3" t="str">
        <f>IF(B354="","",Data!N354)</f>
        <v/>
      </c>
    </row>
    <row r="355">
      <c r="A355" s="3" t="str">
        <f>IF(AND(Data!$K355='All Types'!$D$2,Data!$L355='All Types'!$D$3),Data!$C355,"")</f>
        <v/>
      </c>
      <c r="B355" s="3" t="str">
        <f>IF(AND(Data!$K355='All Types'!$D$2,Data!$L355='All Types'!$D$3),Data!M355,"")</f>
        <v/>
      </c>
      <c r="C355" s="3" t="str">
        <f>IF(B355="","",Data!N355)</f>
        <v/>
      </c>
    </row>
    <row r="356">
      <c r="A356" s="3" t="str">
        <f>IF(AND(Data!$K356='All Types'!$D$2,Data!$L356='All Types'!$D$3),Data!$C356,"")</f>
        <v/>
      </c>
      <c r="B356" s="3" t="str">
        <f>IF(AND(Data!$K356='All Types'!$D$2,Data!$L356='All Types'!$D$3),Data!M356,"")</f>
        <v/>
      </c>
      <c r="C356" s="3" t="str">
        <f>IF(B356="","",Data!N356)</f>
        <v/>
      </c>
    </row>
    <row r="357">
      <c r="A357" s="3" t="str">
        <f>IF(AND(Data!$K357='All Types'!$D$2,Data!$L357='All Types'!$D$3),Data!$C357,"")</f>
        <v/>
      </c>
      <c r="B357" s="3" t="str">
        <f>IF(AND(Data!$K357='All Types'!$D$2,Data!$L357='All Types'!$D$3),Data!M357,"")</f>
        <v/>
      </c>
      <c r="C357" s="3" t="str">
        <f>IF(B357="","",Data!N357)</f>
        <v/>
      </c>
    </row>
    <row r="358">
      <c r="A358" s="3" t="str">
        <f>IF(AND(Data!$K358='All Types'!$D$2,Data!$L358='All Types'!$D$3),Data!$C358,"")</f>
        <v/>
      </c>
      <c r="B358" s="3" t="str">
        <f>IF(AND(Data!$K358='All Types'!$D$2,Data!$L358='All Types'!$D$3),Data!M358,"")</f>
        <v/>
      </c>
      <c r="C358" s="3" t="str">
        <f>IF(B358="","",Data!N358)</f>
        <v/>
      </c>
    </row>
    <row r="359">
      <c r="A359" s="3" t="str">
        <f>IF(AND(Data!$K359='All Types'!$D$2,Data!$L359='All Types'!$D$3),Data!$C359,"")</f>
        <v/>
      </c>
      <c r="B359" s="3" t="str">
        <f>IF(AND(Data!$K359='All Types'!$D$2,Data!$L359='All Types'!$D$3),Data!M359,"")</f>
        <v/>
      </c>
      <c r="C359" s="3" t="str">
        <f>IF(B359="","",Data!N359)</f>
        <v/>
      </c>
    </row>
    <row r="360">
      <c r="A360" s="3" t="str">
        <f>IF(AND(Data!$K360='All Types'!$D$2,Data!$L360='All Types'!$D$3),Data!$C360,"")</f>
        <v/>
      </c>
      <c r="B360" s="3" t="str">
        <f>IF(AND(Data!$K360='All Types'!$D$2,Data!$L360='All Types'!$D$3),Data!M360,"")</f>
        <v/>
      </c>
      <c r="C360" s="3" t="str">
        <f>IF(B360="","",Data!N360)</f>
        <v/>
      </c>
    </row>
    <row r="361">
      <c r="A361" s="3" t="str">
        <f>IF(AND(Data!$K361='All Types'!$D$2,Data!$L361='All Types'!$D$3),Data!$C361,"")</f>
        <v/>
      </c>
      <c r="B361" s="3" t="str">
        <f>IF(AND(Data!$K361='All Types'!$D$2,Data!$L361='All Types'!$D$3),Data!M361,"")</f>
        <v/>
      </c>
      <c r="C361" s="3" t="str">
        <f>IF(B361="","",Data!N361)</f>
        <v/>
      </c>
    </row>
    <row r="362">
      <c r="A362" s="3" t="str">
        <f>IF(AND(Data!$K362='All Types'!$D$2,Data!$L362='All Types'!$D$3),Data!$C362,"")</f>
        <v/>
      </c>
      <c r="B362" s="3" t="str">
        <f>IF(AND(Data!$K362='All Types'!$D$2,Data!$L362='All Types'!$D$3),Data!M362,"")</f>
        <v/>
      </c>
      <c r="C362" s="3" t="str">
        <f>IF(B362="","",Data!N362)</f>
        <v/>
      </c>
    </row>
    <row r="363">
      <c r="A363" s="3" t="str">
        <f>IF(AND(Data!$K363='All Types'!$D$2,Data!$L363='All Types'!$D$3),Data!$C363,"")</f>
        <v/>
      </c>
      <c r="B363" s="3" t="str">
        <f>IF(AND(Data!$K363='All Types'!$D$2,Data!$L363='All Types'!$D$3),Data!M363,"")</f>
        <v/>
      </c>
      <c r="C363" s="3" t="str">
        <f>IF(B363="","",Data!N363)</f>
        <v/>
      </c>
    </row>
    <row r="364">
      <c r="A364" s="3" t="str">
        <f>IF(AND(Data!$K364='All Types'!$D$2,Data!$L364='All Types'!$D$3),Data!$C364,"")</f>
        <v/>
      </c>
      <c r="B364" s="3" t="str">
        <f>IF(AND(Data!$K364='All Types'!$D$2,Data!$L364='All Types'!$D$3),Data!M364,"")</f>
        <v/>
      </c>
      <c r="C364" s="3" t="str">
        <f>IF(B364="","",Data!N364)</f>
        <v/>
      </c>
    </row>
    <row r="365">
      <c r="A365" s="3" t="str">
        <f>IF(AND(Data!$K365='All Types'!$D$2,Data!$L365='All Types'!$D$3),Data!$C365,"")</f>
        <v/>
      </c>
      <c r="B365" s="3" t="str">
        <f>IF(AND(Data!$K365='All Types'!$D$2,Data!$L365='All Types'!$D$3),Data!M365,"")</f>
        <v/>
      </c>
      <c r="C365" s="3" t="str">
        <f>IF(B365="","",Data!N365)</f>
        <v/>
      </c>
    </row>
    <row r="366">
      <c r="A366" s="3" t="str">
        <f>IF(AND(Data!$K366='All Types'!$D$2,Data!$L366='All Types'!$D$3),Data!$C366,"")</f>
        <v/>
      </c>
      <c r="B366" s="3" t="str">
        <f>IF(AND(Data!$K366='All Types'!$D$2,Data!$L366='All Types'!$D$3),Data!M366,"")</f>
        <v/>
      </c>
      <c r="C366" s="3" t="str">
        <f>IF(B366="","",Data!N366)</f>
        <v/>
      </c>
    </row>
    <row r="367">
      <c r="A367" s="3" t="str">
        <f>IF(AND(Data!$K367='All Types'!$D$2,Data!$L367='All Types'!$D$3),Data!$C367,"")</f>
        <v/>
      </c>
      <c r="B367" s="3" t="str">
        <f>IF(AND(Data!$K367='All Types'!$D$2,Data!$L367='All Types'!$D$3),Data!M367,"")</f>
        <v/>
      </c>
      <c r="C367" s="3" t="str">
        <f>IF(B367="","",Data!N367)</f>
        <v/>
      </c>
    </row>
    <row r="368">
      <c r="A368" s="3" t="str">
        <f>IF(AND(Data!$K368='All Types'!$D$2,Data!$L368='All Types'!$D$3),Data!$C368,"")</f>
        <v/>
      </c>
      <c r="B368" s="3" t="str">
        <f>IF(AND(Data!$K368='All Types'!$D$2,Data!$L368='All Types'!$D$3),Data!M368,"")</f>
        <v/>
      </c>
      <c r="C368" s="3" t="str">
        <f>IF(B368="","",Data!N368)</f>
        <v/>
      </c>
    </row>
    <row r="369">
      <c r="A369" s="3" t="str">
        <f>IF(AND(Data!$K369='All Types'!$D$2,Data!$L369='All Types'!$D$3),Data!$C369,"")</f>
        <v/>
      </c>
      <c r="B369" s="3" t="str">
        <f>IF(AND(Data!$K369='All Types'!$D$2,Data!$L369='All Types'!$D$3),Data!M369,"")</f>
        <v/>
      </c>
      <c r="C369" s="3" t="str">
        <f>IF(B369="","",Data!N369)</f>
        <v/>
      </c>
    </row>
    <row r="370">
      <c r="A370" s="3" t="str">
        <f>IF(AND(Data!$K370='All Types'!$D$2,Data!$L370='All Types'!$D$3),Data!$C370,"")</f>
        <v/>
      </c>
      <c r="B370" s="3" t="str">
        <f>IF(AND(Data!$K370='All Types'!$D$2,Data!$L370='All Types'!$D$3),Data!M370,"")</f>
        <v/>
      </c>
      <c r="C370" s="3" t="str">
        <f>IF(B370="","",Data!N370)</f>
        <v/>
      </c>
    </row>
    <row r="371">
      <c r="A371" s="3" t="str">
        <f>IF(AND(Data!$K371='All Types'!$D$2,Data!$L371='All Types'!$D$3),Data!$C371,"")</f>
        <v/>
      </c>
      <c r="B371" s="3" t="str">
        <f>IF(AND(Data!$K371='All Types'!$D$2,Data!$L371='All Types'!$D$3),Data!M371,"")</f>
        <v/>
      </c>
      <c r="C371" s="3" t="str">
        <f>IF(B371="","",Data!N371)</f>
        <v/>
      </c>
    </row>
    <row r="372">
      <c r="A372" s="3" t="str">
        <f>IF(AND(Data!$K372='All Types'!$D$2,Data!$L372='All Types'!$D$3),Data!$C372,"")</f>
        <v/>
      </c>
      <c r="B372" s="3" t="str">
        <f>IF(AND(Data!$K372='All Types'!$D$2,Data!$L372='All Types'!$D$3),Data!M372,"")</f>
        <v/>
      </c>
      <c r="C372" s="3" t="str">
        <f>IF(B372="","",Data!N372)</f>
        <v/>
      </c>
    </row>
    <row r="373">
      <c r="A373" s="3" t="str">
        <f>IF(AND(Data!$K373='All Types'!$D$2,Data!$L373='All Types'!$D$3),Data!$C373,"")</f>
        <v/>
      </c>
      <c r="B373" s="3" t="str">
        <f>IF(AND(Data!$K373='All Types'!$D$2,Data!$L373='All Types'!$D$3),Data!M373,"")</f>
        <v/>
      </c>
      <c r="C373" s="3" t="str">
        <f>IF(B373="","",Data!N373)</f>
        <v/>
      </c>
    </row>
    <row r="374">
      <c r="A374" s="3" t="str">
        <f>IF(AND(Data!$K374='All Types'!$D$2,Data!$L374='All Types'!$D$3),Data!$C374,"")</f>
        <v/>
      </c>
      <c r="B374" s="3" t="str">
        <f>IF(AND(Data!$K374='All Types'!$D$2,Data!$L374='All Types'!$D$3),Data!M374,"")</f>
        <v/>
      </c>
      <c r="C374" s="3" t="str">
        <f>IF(B374="","",Data!N374)</f>
        <v/>
      </c>
    </row>
    <row r="375">
      <c r="A375" s="3" t="str">
        <f>IF(AND(Data!$K375='All Types'!$D$2,Data!$L375='All Types'!$D$3),Data!$C375,"")</f>
        <v/>
      </c>
      <c r="B375" s="3" t="str">
        <f>IF(AND(Data!$K375='All Types'!$D$2,Data!$L375='All Types'!$D$3),Data!M375,"")</f>
        <v/>
      </c>
      <c r="C375" s="3" t="str">
        <f>IF(B375="","",Data!N375)</f>
        <v/>
      </c>
    </row>
    <row r="376">
      <c r="A376" s="3" t="str">
        <f>IF(AND(Data!$K376='All Types'!$D$2,Data!$L376='All Types'!$D$3),Data!$C376,"")</f>
        <v/>
      </c>
      <c r="B376" s="3" t="str">
        <f>IF(AND(Data!$K376='All Types'!$D$2,Data!$L376='All Types'!$D$3),Data!M376,"")</f>
        <v/>
      </c>
      <c r="C376" s="3" t="str">
        <f>IF(B376="","",Data!N376)</f>
        <v/>
      </c>
    </row>
    <row r="377">
      <c r="A377" s="3" t="str">
        <f>IF(AND(Data!$K377='All Types'!$D$2,Data!$L377='All Types'!$D$3),Data!$C377,"")</f>
        <v/>
      </c>
      <c r="B377" s="3" t="str">
        <f>IF(AND(Data!$K377='All Types'!$D$2,Data!$L377='All Types'!$D$3),Data!M377,"")</f>
        <v/>
      </c>
      <c r="C377" s="3" t="str">
        <f>IF(B377="","",Data!N377)</f>
        <v/>
      </c>
    </row>
    <row r="378">
      <c r="A378" s="3" t="str">
        <f>IF(AND(Data!$K378='All Types'!$D$2,Data!$L378='All Types'!$D$3),Data!$C378,"")</f>
        <v/>
      </c>
      <c r="B378" s="3" t="str">
        <f>IF(AND(Data!$K378='All Types'!$D$2,Data!$L378='All Types'!$D$3),Data!M378,"")</f>
        <v/>
      </c>
      <c r="C378" s="3" t="str">
        <f>IF(B378="","",Data!N378)</f>
        <v/>
      </c>
    </row>
    <row r="379">
      <c r="A379" s="3" t="str">
        <f>IF(AND(Data!$K379='All Types'!$D$2,Data!$L379='All Types'!$D$3),Data!$C379,"")</f>
        <v/>
      </c>
      <c r="B379" s="3" t="str">
        <f>IF(AND(Data!$K379='All Types'!$D$2,Data!$L379='All Types'!$D$3),Data!M379,"")</f>
        <v/>
      </c>
      <c r="C379" s="3" t="str">
        <f>IF(B379="","",Data!N379)</f>
        <v/>
      </c>
    </row>
    <row r="380">
      <c r="A380" s="3" t="str">
        <f>IF(AND(Data!$K380='All Types'!$D$2,Data!$L380='All Types'!$D$3),Data!$C380,"")</f>
        <v/>
      </c>
      <c r="B380" s="3" t="str">
        <f>IF(AND(Data!$K380='All Types'!$D$2,Data!$L380='All Types'!$D$3),Data!M380,"")</f>
        <v/>
      </c>
      <c r="C380" s="3" t="str">
        <f>IF(B380="","",Data!N380)</f>
        <v/>
      </c>
    </row>
    <row r="381">
      <c r="A381" s="3" t="str">
        <f>IF(AND(Data!$K381='All Types'!$D$2,Data!$L381='All Types'!$D$3),Data!$C381,"")</f>
        <v/>
      </c>
      <c r="B381" s="3" t="str">
        <f>IF(AND(Data!$K381='All Types'!$D$2,Data!$L381='All Types'!$D$3),Data!M381,"")</f>
        <v/>
      </c>
      <c r="C381" s="3" t="str">
        <f>IF(B381="","",Data!N381)</f>
        <v/>
      </c>
    </row>
    <row r="382">
      <c r="A382" s="3" t="str">
        <f>IF(AND(Data!$K382='All Types'!$D$2,Data!$L382='All Types'!$D$3),Data!$C382,"")</f>
        <v/>
      </c>
      <c r="B382" s="3" t="str">
        <f>IF(AND(Data!$K382='All Types'!$D$2,Data!$L382='All Types'!$D$3),Data!M382,"")</f>
        <v/>
      </c>
      <c r="C382" s="3" t="str">
        <f>IF(B382="","",Data!N382)</f>
        <v/>
      </c>
    </row>
    <row r="383">
      <c r="A383" s="3" t="str">
        <f>IF(AND(Data!$K383='All Types'!$D$2,Data!$L383='All Types'!$D$3),Data!$C383,"")</f>
        <v/>
      </c>
      <c r="B383" s="3" t="str">
        <f>IF(AND(Data!$K383='All Types'!$D$2,Data!$L383='All Types'!$D$3),Data!M383,"")</f>
        <v/>
      </c>
      <c r="C383" s="3" t="str">
        <f>IF(B383="","",Data!N383)</f>
        <v/>
      </c>
    </row>
    <row r="384">
      <c r="A384" s="3" t="str">
        <f>IF(AND(Data!$K384='All Types'!$D$2,Data!$L384='All Types'!$D$3),Data!$C384,"")</f>
        <v/>
      </c>
      <c r="B384" s="3" t="str">
        <f>IF(AND(Data!$K384='All Types'!$D$2,Data!$L384='All Types'!$D$3),Data!M384,"")</f>
        <v/>
      </c>
      <c r="C384" s="3" t="str">
        <f>IF(B384="","",Data!N384)</f>
        <v/>
      </c>
    </row>
    <row r="385">
      <c r="A385" s="3" t="str">
        <f>IF(AND(Data!$K385='All Types'!$D$2,Data!$L385='All Types'!$D$3),Data!$C385,"")</f>
        <v/>
      </c>
      <c r="B385" s="3" t="str">
        <f>IF(AND(Data!$K385='All Types'!$D$2,Data!$L385='All Types'!$D$3),Data!M385,"")</f>
        <v/>
      </c>
      <c r="C385" s="3" t="str">
        <f>IF(B385="","",Data!N385)</f>
        <v/>
      </c>
    </row>
    <row r="386">
      <c r="A386" s="3" t="str">
        <f>IF(AND(Data!$K386='All Types'!$D$2,Data!$L386='All Types'!$D$3),Data!$C386,"")</f>
        <v/>
      </c>
      <c r="B386" s="3" t="str">
        <f>IF(AND(Data!$K386='All Types'!$D$2,Data!$L386='All Types'!$D$3),Data!M386,"")</f>
        <v/>
      </c>
      <c r="C386" s="3" t="str">
        <f>IF(B386="","",Data!N386)</f>
        <v/>
      </c>
    </row>
    <row r="387">
      <c r="A387" s="3" t="str">
        <f>IF(AND(Data!$K387='All Types'!$D$2,Data!$L387='All Types'!$D$3),Data!$C387,"")</f>
        <v/>
      </c>
      <c r="B387" s="3" t="str">
        <f>IF(AND(Data!$K387='All Types'!$D$2,Data!$L387='All Types'!$D$3),Data!M387,"")</f>
        <v/>
      </c>
      <c r="C387" s="3" t="str">
        <f>IF(B387="","",Data!N387)</f>
        <v/>
      </c>
    </row>
    <row r="388">
      <c r="A388" s="3" t="str">
        <f>IF(AND(Data!$K388='All Types'!$D$2,Data!$L388='All Types'!$D$3),Data!$C388,"")</f>
        <v/>
      </c>
      <c r="B388" s="3" t="str">
        <f>IF(AND(Data!$K388='All Types'!$D$2,Data!$L388='All Types'!$D$3),Data!M388,"")</f>
        <v/>
      </c>
      <c r="C388" s="3" t="str">
        <f>IF(B388="","",Data!N388)</f>
        <v/>
      </c>
    </row>
    <row r="389">
      <c r="A389" s="3" t="str">
        <f>IF(AND(Data!$K389='All Types'!$D$2,Data!$L389='All Types'!$D$3),Data!$C389,"")</f>
        <v/>
      </c>
      <c r="B389" s="3" t="str">
        <f>IF(AND(Data!$K389='All Types'!$D$2,Data!$L389='All Types'!$D$3),Data!M389,"")</f>
        <v/>
      </c>
      <c r="C389" s="3" t="str">
        <f>IF(B389="","",Data!N389)</f>
        <v/>
      </c>
    </row>
    <row r="390">
      <c r="A390" s="3" t="str">
        <f>IF(AND(Data!$K390='All Types'!$D$2,Data!$L390='All Types'!$D$3),Data!$C390,"")</f>
        <v/>
      </c>
      <c r="B390" s="3" t="str">
        <f>IF(AND(Data!$K390='All Types'!$D$2,Data!$L390='All Types'!$D$3),Data!M390,"")</f>
        <v/>
      </c>
      <c r="C390" s="3" t="str">
        <f>IF(B390="","",Data!N390)</f>
        <v/>
      </c>
    </row>
    <row r="391">
      <c r="A391" s="3" t="str">
        <f>IF(AND(Data!$K391='All Types'!$D$2,Data!$L391='All Types'!$D$3),Data!$C391,"")</f>
        <v/>
      </c>
      <c r="B391" s="3" t="str">
        <f>IF(AND(Data!$K391='All Types'!$D$2,Data!$L391='All Types'!$D$3),Data!M391,"")</f>
        <v/>
      </c>
      <c r="C391" s="3" t="str">
        <f>IF(B391="","",Data!N391)</f>
        <v/>
      </c>
    </row>
    <row r="392">
      <c r="A392" s="3" t="str">
        <f>IF(AND(Data!$K392='All Types'!$D$2,Data!$L392='All Types'!$D$3),Data!$C392,"")</f>
        <v/>
      </c>
      <c r="B392" s="3" t="str">
        <f>IF(AND(Data!$K392='All Types'!$D$2,Data!$L392='All Types'!$D$3),Data!M392,"")</f>
        <v/>
      </c>
      <c r="C392" s="3" t="str">
        <f>IF(B392="","",Data!N392)</f>
        <v/>
      </c>
    </row>
    <row r="393">
      <c r="A393" s="3" t="str">
        <f>IF(AND(Data!$K393='All Types'!$D$2,Data!$L393='All Types'!$D$3),Data!$C393,"")</f>
        <v/>
      </c>
      <c r="B393" s="3" t="str">
        <f>IF(AND(Data!$K393='All Types'!$D$2,Data!$L393='All Types'!$D$3),Data!M393,"")</f>
        <v/>
      </c>
      <c r="C393" s="3" t="str">
        <f>IF(B393="","",Data!N393)</f>
        <v/>
      </c>
    </row>
    <row r="394">
      <c r="A394" s="3" t="str">
        <f>IF(AND(Data!$K394='All Types'!$D$2,Data!$L394='All Types'!$D$3),Data!$C394,"")</f>
        <v/>
      </c>
      <c r="B394" s="3" t="str">
        <f>IF(AND(Data!$K394='All Types'!$D$2,Data!$L394='All Types'!$D$3),Data!M394,"")</f>
        <v/>
      </c>
      <c r="C394" s="3" t="str">
        <f>IF(B394="","",Data!N394)</f>
        <v/>
      </c>
    </row>
    <row r="395">
      <c r="A395" s="3" t="str">
        <f>IF(AND(Data!$K395='All Types'!$D$2,Data!$L395='All Types'!$D$3),Data!$C395,"")</f>
        <v/>
      </c>
      <c r="B395" s="3" t="str">
        <f>IF(AND(Data!$K395='All Types'!$D$2,Data!$L395='All Types'!$D$3),Data!M395,"")</f>
        <v/>
      </c>
      <c r="C395" s="3" t="str">
        <f>IF(B395="","",Data!N395)</f>
        <v/>
      </c>
    </row>
    <row r="396">
      <c r="A396" s="3" t="str">
        <f>IF(AND(Data!$K396='All Types'!$D$2,Data!$L396='All Types'!$D$3),Data!$C396,"")</f>
        <v/>
      </c>
      <c r="B396" s="3" t="str">
        <f>IF(AND(Data!$K396='All Types'!$D$2,Data!$L396='All Types'!$D$3),Data!M396,"")</f>
        <v/>
      </c>
      <c r="C396" s="3" t="str">
        <f>IF(B396="","",Data!N396)</f>
        <v/>
      </c>
    </row>
    <row r="397">
      <c r="A397" s="3" t="str">
        <f>IF(AND(Data!$K397='All Types'!$D$2,Data!$L397='All Types'!$D$3),Data!$C397,"")</f>
        <v/>
      </c>
      <c r="B397" s="3" t="str">
        <f>IF(AND(Data!$K397='All Types'!$D$2,Data!$L397='All Types'!$D$3),Data!M397,"")</f>
        <v/>
      </c>
      <c r="C397" s="3" t="str">
        <f>IF(B397="","",Data!N397)</f>
        <v/>
      </c>
    </row>
    <row r="398">
      <c r="A398" s="3" t="str">
        <f>IF(AND(Data!$K398='All Types'!$D$2,Data!$L398='All Types'!$D$3),Data!$C398,"")</f>
        <v/>
      </c>
      <c r="B398" s="3" t="str">
        <f>IF(AND(Data!$K398='All Types'!$D$2,Data!$L398='All Types'!$D$3),Data!M398,"")</f>
        <v/>
      </c>
      <c r="C398" s="3" t="str">
        <f>IF(B398="","",Data!N398)</f>
        <v/>
      </c>
    </row>
    <row r="399">
      <c r="A399" s="3" t="str">
        <f>IF(AND(Data!$K399='All Types'!$D$2,Data!$L399='All Types'!$D$3),Data!$C399,"")</f>
        <v/>
      </c>
      <c r="B399" s="3" t="str">
        <f>IF(AND(Data!$K399='All Types'!$D$2,Data!$L399='All Types'!$D$3),Data!M399,"")</f>
        <v/>
      </c>
      <c r="C399" s="3" t="str">
        <f>IF(B399="","",Data!N399)</f>
        <v/>
      </c>
    </row>
    <row r="400">
      <c r="A400" s="3" t="str">
        <f>IF(AND(Data!$K400='All Types'!$D$2,Data!$L400='All Types'!$D$3),Data!$C400,"")</f>
        <v/>
      </c>
      <c r="B400" s="3" t="str">
        <f>IF(AND(Data!$K400='All Types'!$D$2,Data!$L400='All Types'!$D$3),Data!M400,"")</f>
        <v/>
      </c>
      <c r="C400" s="3" t="str">
        <f>IF(B400="","",Data!N400)</f>
        <v/>
      </c>
    </row>
    <row r="401">
      <c r="A401" s="3" t="str">
        <f>IF(AND(Data!$K401='All Types'!$D$2,Data!$L401='All Types'!$D$3),Data!$C401,"")</f>
        <v/>
      </c>
      <c r="B401" s="3" t="str">
        <f>IF(AND(Data!$K401='All Types'!$D$2,Data!$L401='All Types'!$D$3),Data!M401,"")</f>
        <v/>
      </c>
      <c r="C401" s="3" t="str">
        <f>IF(B401="","",Data!N401)</f>
        <v/>
      </c>
    </row>
    <row r="402">
      <c r="A402" s="3" t="str">
        <f>IF(AND(Data!$K402='All Types'!$D$2,Data!$L402='All Types'!$D$3),Data!$C402,"")</f>
        <v/>
      </c>
      <c r="B402" s="3" t="str">
        <f>IF(AND(Data!$K402='All Types'!$D$2,Data!$L402='All Types'!$D$3),Data!M402,"")</f>
        <v/>
      </c>
      <c r="C402" s="3" t="str">
        <f>IF(B402="","",Data!N402)</f>
        <v/>
      </c>
    </row>
    <row r="403">
      <c r="A403" s="3" t="str">
        <f>IF(AND(Data!$K403='All Types'!$D$2,Data!$L403='All Types'!$D$3),Data!$C403,"")</f>
        <v/>
      </c>
      <c r="B403" s="3" t="str">
        <f>IF(AND(Data!$K403='All Types'!$D$2,Data!$L403='All Types'!$D$3),Data!M403,"")</f>
        <v/>
      </c>
      <c r="C403" s="3" t="str">
        <f>IF(B403="","",Data!N403)</f>
        <v/>
      </c>
    </row>
    <row r="404">
      <c r="A404" s="3" t="str">
        <f>IF(AND(Data!$K404='All Types'!$D$2,Data!$L404='All Types'!$D$3),Data!$C404,"")</f>
        <v/>
      </c>
      <c r="B404" s="3" t="str">
        <f>IF(AND(Data!$K404='All Types'!$D$2,Data!$L404='All Types'!$D$3),Data!M404,"")</f>
        <v/>
      </c>
      <c r="C404" s="3" t="str">
        <f>IF(B404="","",Data!N404)</f>
        <v/>
      </c>
    </row>
    <row r="405">
      <c r="A405" s="3" t="str">
        <f>IF(AND(Data!$K405='All Types'!$D$2,Data!$L405='All Types'!$D$3),Data!$C405,"")</f>
        <v/>
      </c>
      <c r="B405" s="3" t="str">
        <f>IF(AND(Data!$K405='All Types'!$D$2,Data!$L405='All Types'!$D$3),Data!M405,"")</f>
        <v/>
      </c>
      <c r="C405" s="3" t="str">
        <f>IF(B405="","",Data!N405)</f>
        <v/>
      </c>
    </row>
    <row r="406">
      <c r="A406" s="3" t="str">
        <f>IF(AND(Data!$K406='All Types'!$D$2,Data!$L406='All Types'!$D$3),Data!$C406,"")</f>
        <v/>
      </c>
      <c r="B406" s="3" t="str">
        <f>IF(AND(Data!$K406='All Types'!$D$2,Data!$L406='All Types'!$D$3),Data!M406,"")</f>
        <v/>
      </c>
      <c r="C406" s="3" t="str">
        <f>IF(B406="","",Data!N406)</f>
        <v/>
      </c>
    </row>
    <row r="407">
      <c r="A407" s="3" t="str">
        <f>IF(AND(Data!$K407='All Types'!$D$2,Data!$L407='All Types'!$D$3),Data!$C407,"")</f>
        <v/>
      </c>
      <c r="B407" s="3" t="str">
        <f>IF(AND(Data!$K407='All Types'!$D$2,Data!$L407='All Types'!$D$3),Data!M407,"")</f>
        <v/>
      </c>
      <c r="C407" s="3" t="str">
        <f>IF(B407="","",Data!N407)</f>
        <v/>
      </c>
    </row>
    <row r="408">
      <c r="A408" s="3" t="str">
        <f>IF(AND(Data!$K408='All Types'!$D$2,Data!$L408='All Types'!$D$3),Data!$C408,"")</f>
        <v/>
      </c>
      <c r="B408" s="3" t="str">
        <f>IF(AND(Data!$K408='All Types'!$D$2,Data!$L408='All Types'!$D$3),Data!M408,"")</f>
        <v/>
      </c>
      <c r="C408" s="3" t="str">
        <f>IF(B408="","",Data!N408)</f>
        <v/>
      </c>
    </row>
    <row r="409">
      <c r="A409" s="3" t="str">
        <f>IF(AND(Data!$K409='All Types'!$D$2,Data!$L409='All Types'!$D$3),Data!$C409,"")</f>
        <v/>
      </c>
      <c r="B409" s="3" t="str">
        <f>IF(AND(Data!$K409='All Types'!$D$2,Data!$L409='All Types'!$D$3),Data!M409,"")</f>
        <v/>
      </c>
      <c r="C409" s="3" t="str">
        <f>IF(B409="","",Data!N409)</f>
        <v/>
      </c>
    </row>
    <row r="410">
      <c r="A410" s="3" t="str">
        <f>IF(AND(Data!$K410='All Types'!$D$2,Data!$L410='All Types'!$D$3),Data!$C410,"")</f>
        <v/>
      </c>
      <c r="B410" s="3" t="str">
        <f>IF(AND(Data!$K410='All Types'!$D$2,Data!$L410='All Types'!$D$3),Data!M410,"")</f>
        <v/>
      </c>
      <c r="C410" s="3" t="str">
        <f>IF(B410="","",Data!N410)</f>
        <v/>
      </c>
    </row>
    <row r="411">
      <c r="A411" s="3" t="str">
        <f>IF(AND(Data!$K411='All Types'!$D$2,Data!$L411='All Types'!$D$3),Data!$C411,"")</f>
        <v/>
      </c>
      <c r="B411" s="3" t="str">
        <f>IF(AND(Data!$K411='All Types'!$D$2,Data!$L411='All Types'!$D$3),Data!M411,"")</f>
        <v/>
      </c>
      <c r="C411" s="3" t="str">
        <f>IF(B411="","",Data!N411)</f>
        <v/>
      </c>
    </row>
    <row r="412">
      <c r="A412" s="3" t="str">
        <f>IF(AND(Data!$K412='All Types'!$D$2,Data!$L412='All Types'!$D$3),Data!$C412,"")</f>
        <v/>
      </c>
      <c r="B412" s="3" t="str">
        <f>IF(AND(Data!$K412='All Types'!$D$2,Data!$L412='All Types'!$D$3),Data!M412,"")</f>
        <v/>
      </c>
      <c r="C412" s="3" t="str">
        <f>IF(B412="","",Data!N412)</f>
        <v/>
      </c>
    </row>
    <row r="413">
      <c r="A413" s="3" t="str">
        <f>IF(AND(Data!$K413='All Types'!$D$2,Data!$L413='All Types'!$D$3),Data!$C413,"")</f>
        <v/>
      </c>
      <c r="B413" s="3" t="str">
        <f>IF(AND(Data!$K413='All Types'!$D$2,Data!$L413='All Types'!$D$3),Data!M413,"")</f>
        <v/>
      </c>
      <c r="C413" s="3" t="str">
        <f>IF(B413="","",Data!N413)</f>
        <v/>
      </c>
    </row>
    <row r="414">
      <c r="A414" s="3" t="str">
        <f>IF(AND(Data!$K414='All Types'!$D$2,Data!$L414='All Types'!$D$3),Data!$C414,"")</f>
        <v/>
      </c>
      <c r="B414" s="3" t="str">
        <f>IF(AND(Data!$K414='All Types'!$D$2,Data!$L414='All Types'!$D$3),Data!M414,"")</f>
        <v/>
      </c>
      <c r="C414" s="3" t="str">
        <f>IF(B414="","",Data!N414)</f>
        <v/>
      </c>
    </row>
    <row r="415">
      <c r="A415" s="3" t="str">
        <f>IF(AND(Data!$K415='All Types'!$D$2,Data!$L415='All Types'!$D$3),Data!$C415,"")</f>
        <v/>
      </c>
      <c r="B415" s="3" t="str">
        <f>IF(AND(Data!$K415='All Types'!$D$2,Data!$L415='All Types'!$D$3),Data!M415,"")</f>
        <v/>
      </c>
      <c r="C415" s="3" t="str">
        <f>IF(B415="","",Data!N415)</f>
        <v/>
      </c>
    </row>
    <row r="416">
      <c r="A416" s="3" t="str">
        <f>IF(AND(Data!$K416='All Types'!$D$2,Data!$L416='All Types'!$D$3),Data!$C416,"")</f>
        <v/>
      </c>
      <c r="B416" s="3" t="str">
        <f>IF(AND(Data!$K416='All Types'!$D$2,Data!$L416='All Types'!$D$3),Data!M416,"")</f>
        <v/>
      </c>
      <c r="C416" s="3" t="str">
        <f>IF(B416="","",Data!N416)</f>
        <v/>
      </c>
    </row>
    <row r="417">
      <c r="A417" s="3" t="str">
        <f>IF(AND(Data!$K417='All Types'!$D$2,Data!$L417='All Types'!$D$3),Data!$C417,"")</f>
        <v/>
      </c>
      <c r="B417" s="3" t="str">
        <f>IF(AND(Data!$K417='All Types'!$D$2,Data!$L417='All Types'!$D$3),Data!M417,"")</f>
        <v/>
      </c>
      <c r="C417" s="3" t="str">
        <f>IF(B417="","",Data!N417)</f>
        <v/>
      </c>
    </row>
    <row r="418">
      <c r="A418" s="3" t="str">
        <f>IF(AND(Data!$K418='All Types'!$D$2,Data!$L418='All Types'!$D$3),Data!$C418,"")</f>
        <v/>
      </c>
      <c r="B418" s="3" t="str">
        <f>IF(AND(Data!$K418='All Types'!$D$2,Data!$L418='All Types'!$D$3),Data!M418,"")</f>
        <v/>
      </c>
      <c r="C418" s="3" t="str">
        <f>IF(B418="","",Data!N418)</f>
        <v/>
      </c>
    </row>
    <row r="419">
      <c r="A419" s="3" t="str">
        <f>IF(AND(Data!$K419='All Types'!$D$2,Data!$L419='All Types'!$D$3),Data!$C419,"")</f>
        <v/>
      </c>
      <c r="B419" s="3" t="str">
        <f>IF(AND(Data!$K419='All Types'!$D$2,Data!$L419='All Types'!$D$3),Data!M419,"")</f>
        <v/>
      </c>
      <c r="C419" s="3" t="str">
        <f>IF(B419="","",Data!N419)</f>
        <v/>
      </c>
    </row>
    <row r="420">
      <c r="A420" s="3" t="str">
        <f>IF(AND(Data!$K420='All Types'!$D$2,Data!$L420='All Types'!$D$3),Data!$C420,"")</f>
        <v/>
      </c>
      <c r="B420" s="3" t="str">
        <f>IF(AND(Data!$K420='All Types'!$D$2,Data!$L420='All Types'!$D$3),Data!M420,"")</f>
        <v/>
      </c>
      <c r="C420" s="3" t="str">
        <f>IF(B420="","",Data!N420)</f>
        <v/>
      </c>
    </row>
    <row r="421">
      <c r="A421" s="3" t="str">
        <f>IF(AND(Data!$K421='All Types'!$D$2,Data!$L421='All Types'!$D$3),Data!$C421,"")</f>
        <v/>
      </c>
      <c r="B421" s="3" t="str">
        <f>IF(AND(Data!$K421='All Types'!$D$2,Data!$L421='All Types'!$D$3),Data!M421,"")</f>
        <v/>
      </c>
      <c r="C421" s="3" t="str">
        <f>IF(B421="","",Data!N421)</f>
        <v/>
      </c>
    </row>
    <row r="422">
      <c r="A422" s="3" t="str">
        <f>IF(AND(Data!$K422='All Types'!$D$2,Data!$L422='All Types'!$D$3),Data!$C422,"")</f>
        <v/>
      </c>
      <c r="B422" s="3" t="str">
        <f>IF(AND(Data!$K422='All Types'!$D$2,Data!$L422='All Types'!$D$3),Data!M422,"")</f>
        <v/>
      </c>
      <c r="C422" s="3" t="str">
        <f>IF(B422="","",Data!N422)</f>
        <v/>
      </c>
    </row>
    <row r="423">
      <c r="A423" s="3" t="str">
        <f>IF(AND(Data!$K423='All Types'!$D$2,Data!$L423='All Types'!$D$3),Data!$C423,"")</f>
        <v/>
      </c>
      <c r="B423" s="3" t="str">
        <f>IF(AND(Data!$K423='All Types'!$D$2,Data!$L423='All Types'!$D$3),Data!M423,"")</f>
        <v/>
      </c>
      <c r="C423" s="3" t="str">
        <f>IF(B423="","",Data!N423)</f>
        <v/>
      </c>
    </row>
    <row r="424">
      <c r="A424" s="3" t="str">
        <f>IF(AND(Data!$K424='All Types'!$D$2,Data!$L424='All Types'!$D$3),Data!$C424,"")</f>
        <v/>
      </c>
      <c r="B424" s="3" t="str">
        <f>IF(AND(Data!$K424='All Types'!$D$2,Data!$L424='All Types'!$D$3),Data!M424,"")</f>
        <v/>
      </c>
      <c r="C424" s="3" t="str">
        <f>IF(B424="","",Data!N424)</f>
        <v/>
      </c>
    </row>
    <row r="425">
      <c r="A425" s="3" t="str">
        <f>IF(AND(Data!$K425='All Types'!$D$2,Data!$L425='All Types'!$D$3),Data!$C425,"")</f>
        <v/>
      </c>
      <c r="B425" s="3" t="str">
        <f>IF(AND(Data!$K425='All Types'!$D$2,Data!$L425='All Types'!$D$3),Data!M425,"")</f>
        <v/>
      </c>
      <c r="C425" s="3" t="str">
        <f>IF(B425="","",Data!N425)</f>
        <v/>
      </c>
    </row>
    <row r="426">
      <c r="A426" s="3" t="str">
        <f>IF(AND(Data!$K426='All Types'!$D$2,Data!$L426='All Types'!$D$3),Data!$C426,"")</f>
        <v/>
      </c>
      <c r="B426" s="3" t="str">
        <f>IF(AND(Data!$K426='All Types'!$D$2,Data!$L426='All Types'!$D$3),Data!M426,"")</f>
        <v/>
      </c>
      <c r="C426" s="3" t="str">
        <f>IF(B426="","",Data!N426)</f>
        <v/>
      </c>
    </row>
    <row r="427">
      <c r="A427" s="3" t="str">
        <f>IF(AND(Data!$K427='All Types'!$D$2,Data!$L427='All Types'!$D$3),Data!$C427,"")</f>
        <v/>
      </c>
      <c r="B427" s="3" t="str">
        <f>IF(AND(Data!$K427='All Types'!$D$2,Data!$L427='All Types'!$D$3),Data!M427,"")</f>
        <v/>
      </c>
      <c r="C427" s="3" t="str">
        <f>IF(B427="","",Data!N427)</f>
        <v/>
      </c>
    </row>
    <row r="428">
      <c r="A428" s="3" t="str">
        <f>IF(AND(Data!$K428='All Types'!$D$2,Data!$L428='All Types'!$D$3),Data!$C428,"")</f>
        <v/>
      </c>
      <c r="B428" s="3" t="str">
        <f>IF(AND(Data!$K428='All Types'!$D$2,Data!$L428='All Types'!$D$3),Data!M428,"")</f>
        <v/>
      </c>
      <c r="C428" s="3" t="str">
        <f>IF(B428="","",Data!N428)</f>
        <v/>
      </c>
    </row>
    <row r="429">
      <c r="A429" s="3" t="str">
        <f>IF(AND(Data!$K429='All Types'!$D$2,Data!$L429='All Types'!$D$3),Data!$C429,"")</f>
        <v/>
      </c>
      <c r="B429" s="3" t="str">
        <f>IF(AND(Data!$K429='All Types'!$D$2,Data!$L429='All Types'!$D$3),Data!M429,"")</f>
        <v/>
      </c>
      <c r="C429" s="3" t="str">
        <f>IF(B429="","",Data!N429)</f>
        <v/>
      </c>
    </row>
    <row r="430">
      <c r="A430" s="3" t="str">
        <f>IF(AND(Data!$K430='All Types'!$D$2,Data!$L430='All Types'!$D$3),Data!$C430,"")</f>
        <v/>
      </c>
      <c r="B430" s="3" t="str">
        <f>IF(AND(Data!$K430='All Types'!$D$2,Data!$L430='All Types'!$D$3),Data!M430,"")</f>
        <v/>
      </c>
      <c r="C430" s="3" t="str">
        <f>IF(B430="","",Data!N430)</f>
        <v/>
      </c>
    </row>
    <row r="431">
      <c r="A431" s="3" t="str">
        <f>IF(AND(Data!$K431='All Types'!$D$2,Data!$L431='All Types'!$D$3),Data!$C431,"")</f>
        <v/>
      </c>
      <c r="B431" s="3" t="str">
        <f>IF(AND(Data!$K431='All Types'!$D$2,Data!$L431='All Types'!$D$3),Data!M431,"")</f>
        <v/>
      </c>
      <c r="C431" s="3" t="str">
        <f>IF(B431="","",Data!N431)</f>
        <v/>
      </c>
    </row>
    <row r="432">
      <c r="A432" s="3" t="str">
        <f>IF(AND(Data!$K432='All Types'!$D$2,Data!$L432='All Types'!$D$3),Data!$C432,"")</f>
        <v/>
      </c>
      <c r="B432" s="3" t="str">
        <f>IF(AND(Data!$K432='All Types'!$D$2,Data!$L432='All Types'!$D$3),Data!M432,"")</f>
        <v/>
      </c>
      <c r="C432" s="3" t="str">
        <f>IF(B432="","",Data!N432)</f>
        <v/>
      </c>
    </row>
    <row r="433">
      <c r="A433" s="3" t="str">
        <f>IF(AND(Data!$K433='All Types'!$D$2,Data!$L433='All Types'!$D$3),Data!$C433,"")</f>
        <v/>
      </c>
      <c r="B433" s="3" t="str">
        <f>IF(AND(Data!$K433='All Types'!$D$2,Data!$L433='All Types'!$D$3),Data!M433,"")</f>
        <v/>
      </c>
      <c r="C433" s="3" t="str">
        <f>IF(B433="","",Data!N433)</f>
        <v/>
      </c>
    </row>
    <row r="434">
      <c r="A434" s="3" t="str">
        <f>IF(AND(Data!$K434='All Types'!$D$2,Data!$L434='All Types'!$D$3),Data!$C434,"")</f>
        <v/>
      </c>
      <c r="B434" s="3" t="str">
        <f>IF(AND(Data!$K434='All Types'!$D$2,Data!$L434='All Types'!$D$3),Data!M434,"")</f>
        <v/>
      </c>
      <c r="C434" s="3" t="str">
        <f>IF(B434="","",Data!N434)</f>
        <v/>
      </c>
    </row>
    <row r="435">
      <c r="A435" s="3" t="str">
        <f>IF(AND(Data!$K435='All Types'!$D$2,Data!$L435='All Types'!$D$3),Data!$C435,"")</f>
        <v/>
      </c>
      <c r="B435" s="3" t="str">
        <f>IF(AND(Data!$K435='All Types'!$D$2,Data!$L435='All Types'!$D$3),Data!M435,"")</f>
        <v/>
      </c>
      <c r="C435" s="3" t="str">
        <f>IF(B435="","",Data!N435)</f>
        <v/>
      </c>
    </row>
    <row r="436">
      <c r="A436" s="3" t="str">
        <f>IF(AND(Data!$K436='All Types'!$D$2,Data!$L436='All Types'!$D$3),Data!$C436,"")</f>
        <v/>
      </c>
      <c r="B436" s="3" t="str">
        <f>IF(AND(Data!$K436='All Types'!$D$2,Data!$L436='All Types'!$D$3),Data!M436,"")</f>
        <v/>
      </c>
      <c r="C436" s="3" t="str">
        <f>IF(B436="","",Data!N436)</f>
        <v/>
      </c>
    </row>
    <row r="437">
      <c r="A437" s="3" t="str">
        <f>IF(AND(Data!$K437='All Types'!$D$2,Data!$L437='All Types'!$D$3),Data!$C437,"")</f>
        <v/>
      </c>
      <c r="B437" s="3" t="str">
        <f>IF(AND(Data!$K437='All Types'!$D$2,Data!$L437='All Types'!$D$3),Data!M437,"")</f>
        <v/>
      </c>
      <c r="C437" s="3" t="str">
        <f>IF(B437="","",Data!N437)</f>
        <v/>
      </c>
    </row>
    <row r="438">
      <c r="A438" s="3" t="str">
        <f>IF(AND(Data!$K438='All Types'!$D$2,Data!$L438='All Types'!$D$3),Data!$C438,"")</f>
        <v/>
      </c>
      <c r="B438" s="3" t="str">
        <f>IF(AND(Data!$K438='All Types'!$D$2,Data!$L438='All Types'!$D$3),Data!M438,"")</f>
        <v/>
      </c>
      <c r="C438" s="3" t="str">
        <f>IF(B438="","",Data!N438)</f>
        <v/>
      </c>
    </row>
    <row r="439">
      <c r="A439" s="3" t="str">
        <f>IF(AND(Data!$K439='All Types'!$D$2,Data!$L439='All Types'!$D$3),Data!$C439,"")</f>
        <v/>
      </c>
      <c r="B439" s="3" t="str">
        <f>IF(AND(Data!$K439='All Types'!$D$2,Data!$L439='All Types'!$D$3),Data!M439,"")</f>
        <v/>
      </c>
      <c r="C439" s="3" t="str">
        <f>IF(B439="","",Data!N439)</f>
        <v/>
      </c>
    </row>
    <row r="440">
      <c r="A440" s="3" t="str">
        <f>IF(AND(Data!$K440='All Types'!$D$2,Data!$L440='All Types'!$D$3),Data!$C440,"")</f>
        <v/>
      </c>
      <c r="B440" s="3" t="str">
        <f>IF(AND(Data!$K440='All Types'!$D$2,Data!$L440='All Types'!$D$3),Data!M440,"")</f>
        <v/>
      </c>
      <c r="C440" s="3" t="str">
        <f>IF(B440="","",Data!N440)</f>
        <v/>
      </c>
    </row>
    <row r="441">
      <c r="A441" s="3" t="str">
        <f>IF(AND(Data!$K441='All Types'!$D$2,Data!$L441='All Types'!$D$3),Data!$C441,"")</f>
        <v/>
      </c>
      <c r="B441" s="3" t="str">
        <f>IF(AND(Data!$K441='All Types'!$D$2,Data!$L441='All Types'!$D$3),Data!M441,"")</f>
        <v/>
      </c>
      <c r="C441" s="3" t="str">
        <f>IF(B441="","",Data!N441)</f>
        <v/>
      </c>
    </row>
    <row r="442">
      <c r="A442" s="3" t="str">
        <f>IF(AND(Data!$K442='All Types'!$D$2,Data!$L442='All Types'!$D$3),Data!$C442,"")</f>
        <v/>
      </c>
      <c r="B442" s="3" t="str">
        <f>IF(AND(Data!$K442='All Types'!$D$2,Data!$L442='All Types'!$D$3),Data!M442,"")</f>
        <v/>
      </c>
      <c r="C442" s="3" t="str">
        <f>IF(B442="","",Data!N442)</f>
        <v/>
      </c>
    </row>
    <row r="443">
      <c r="A443" s="3" t="str">
        <f>IF(AND(Data!$K443='All Types'!$D$2,Data!$L443='All Types'!$D$3),Data!$C443,"")</f>
        <v/>
      </c>
      <c r="B443" s="3" t="str">
        <f>IF(AND(Data!$K443='All Types'!$D$2,Data!$L443='All Types'!$D$3),Data!M443,"")</f>
        <v/>
      </c>
      <c r="C443" s="3" t="str">
        <f>IF(B443="","",Data!N443)</f>
        <v/>
      </c>
    </row>
    <row r="444">
      <c r="A444" s="3" t="str">
        <f>IF(AND(Data!$K444='All Types'!$D$2,Data!$L444='All Types'!$D$3),Data!$C444,"")</f>
        <v/>
      </c>
      <c r="B444" s="3" t="str">
        <f>IF(AND(Data!$K444='All Types'!$D$2,Data!$L444='All Types'!$D$3),Data!M444,"")</f>
        <v/>
      </c>
      <c r="C444" s="3" t="str">
        <f>IF(B444="","",Data!N444)</f>
        <v/>
      </c>
    </row>
    <row r="445">
      <c r="A445" s="3" t="str">
        <f>IF(AND(Data!$K445='All Types'!$D$2,Data!$L445='All Types'!$D$3),Data!$C445,"")</f>
        <v/>
      </c>
      <c r="B445" s="3" t="str">
        <f>IF(AND(Data!$K445='All Types'!$D$2,Data!$L445='All Types'!$D$3),Data!M445,"")</f>
        <v/>
      </c>
      <c r="C445" s="3" t="str">
        <f>IF(B445="","",Data!N445)</f>
        <v/>
      </c>
    </row>
    <row r="446">
      <c r="A446" s="3" t="str">
        <f>IF(AND(Data!$K446='All Types'!$D$2,Data!$L446='All Types'!$D$3),Data!$C446,"")</f>
        <v/>
      </c>
      <c r="B446" s="3" t="str">
        <f>IF(AND(Data!$K446='All Types'!$D$2,Data!$L446='All Types'!$D$3),Data!M446,"")</f>
        <v/>
      </c>
      <c r="C446" s="3" t="str">
        <f>IF(B446="","",Data!N446)</f>
        <v/>
      </c>
    </row>
    <row r="447">
      <c r="A447" s="3" t="str">
        <f>IF(AND(Data!$K447='All Types'!$D$2,Data!$L447='All Types'!$D$3),Data!$C447,"")</f>
        <v/>
      </c>
      <c r="B447" s="3" t="str">
        <f>IF(AND(Data!$K447='All Types'!$D$2,Data!$L447='All Types'!$D$3),Data!M447,"")</f>
        <v/>
      </c>
      <c r="C447" s="3" t="str">
        <f>IF(B447="","",Data!N447)</f>
        <v/>
      </c>
    </row>
    <row r="448">
      <c r="A448" s="3" t="str">
        <f>IF(AND(Data!$K448='All Types'!$D$2,Data!$L448='All Types'!$D$3),Data!$C448,"")</f>
        <v/>
      </c>
      <c r="B448" s="3" t="str">
        <f>IF(AND(Data!$K448='All Types'!$D$2,Data!$L448='All Types'!$D$3),Data!M448,"")</f>
        <v/>
      </c>
      <c r="C448" s="3" t="str">
        <f>IF(B448="","",Data!N448)</f>
        <v/>
      </c>
    </row>
    <row r="449">
      <c r="A449" s="3" t="str">
        <f>IF(AND(Data!$K449='All Types'!$D$2,Data!$L449='All Types'!$D$3),Data!$C449,"")</f>
        <v/>
      </c>
      <c r="B449" s="3" t="str">
        <f>IF(AND(Data!$K449='All Types'!$D$2,Data!$L449='All Types'!$D$3),Data!M449,"")</f>
        <v/>
      </c>
      <c r="C449" s="3" t="str">
        <f>IF(B449="","",Data!N449)</f>
        <v/>
      </c>
    </row>
    <row r="450">
      <c r="A450" s="3" t="str">
        <f>IF(AND(Data!$K450='All Types'!$D$2,Data!$L450='All Types'!$D$3),Data!$C450,"")</f>
        <v/>
      </c>
      <c r="B450" s="3" t="str">
        <f>IF(AND(Data!$K450='All Types'!$D$2,Data!$L450='All Types'!$D$3),Data!M450,"")</f>
        <v/>
      </c>
      <c r="C450" s="3" t="str">
        <f>IF(B450="","",Data!N450)</f>
        <v/>
      </c>
    </row>
    <row r="451">
      <c r="A451" s="3" t="str">
        <f>IF(AND(Data!$K451='All Types'!$D$2,Data!$L451='All Types'!$D$3),Data!$C451,"")</f>
        <v/>
      </c>
      <c r="B451" s="3" t="str">
        <f>IF(AND(Data!$K451='All Types'!$D$2,Data!$L451='All Types'!$D$3),Data!M451,"")</f>
        <v/>
      </c>
      <c r="C451" s="3" t="str">
        <f>IF(B451="","",Data!N451)</f>
        <v/>
      </c>
    </row>
    <row r="452">
      <c r="A452" s="3" t="str">
        <f>IF(AND(Data!$K452='All Types'!$D$2,Data!$L452='All Types'!$D$3),Data!$C452,"")</f>
        <v/>
      </c>
      <c r="B452" s="3" t="str">
        <f>IF(AND(Data!$K452='All Types'!$D$2,Data!$L452='All Types'!$D$3),Data!M452,"")</f>
        <v/>
      </c>
      <c r="C452" s="3" t="str">
        <f>IF(B452="","",Data!N452)</f>
        <v/>
      </c>
    </row>
    <row r="453">
      <c r="A453" s="3" t="str">
        <f>IF(AND(Data!$K453='All Types'!$D$2,Data!$L453='All Types'!$D$3),Data!$C453,"")</f>
        <v/>
      </c>
      <c r="B453" s="3" t="str">
        <f>IF(AND(Data!$K453='All Types'!$D$2,Data!$L453='All Types'!$D$3),Data!M453,"")</f>
        <v/>
      </c>
      <c r="C453" s="3" t="str">
        <f>IF(B453="","",Data!N453)</f>
        <v/>
      </c>
    </row>
    <row r="454">
      <c r="A454" s="3" t="str">
        <f>IF(AND(Data!$K454='All Types'!$D$2,Data!$L454='All Types'!$D$3),Data!$C454,"")</f>
        <v/>
      </c>
      <c r="B454" s="3" t="str">
        <f>IF(AND(Data!$K454='All Types'!$D$2,Data!$L454='All Types'!$D$3),Data!M454,"")</f>
        <v/>
      </c>
      <c r="C454" s="3" t="str">
        <f>IF(B454="","",Data!N454)</f>
        <v/>
      </c>
    </row>
    <row r="455">
      <c r="A455" s="3" t="str">
        <f>IF(AND(Data!$K455='All Types'!$D$2,Data!$L455='All Types'!$D$3),Data!$C455,"")</f>
        <v/>
      </c>
      <c r="B455" s="3" t="str">
        <f>IF(AND(Data!$K455='All Types'!$D$2,Data!$L455='All Types'!$D$3),Data!M455,"")</f>
        <v/>
      </c>
      <c r="C455" s="3" t="str">
        <f>IF(B455="","",Data!N455)</f>
        <v/>
      </c>
    </row>
    <row r="456">
      <c r="A456" s="3" t="str">
        <f>IF(AND(Data!$K456='All Types'!$D$2,Data!$L456='All Types'!$D$3),Data!$C456,"")</f>
        <v/>
      </c>
      <c r="B456" s="3" t="str">
        <f>IF(AND(Data!$K456='All Types'!$D$2,Data!$L456='All Types'!$D$3),Data!M456,"")</f>
        <v/>
      </c>
      <c r="C456" s="3" t="str">
        <f>IF(B456="","",Data!N456)</f>
        <v/>
      </c>
    </row>
    <row r="457">
      <c r="A457" s="3" t="str">
        <f>IF(AND(Data!$K457='All Types'!$D$2,Data!$L457='All Types'!$D$3),Data!$C457,"")</f>
        <v/>
      </c>
      <c r="B457" s="3" t="str">
        <f>IF(AND(Data!$K457='All Types'!$D$2,Data!$L457='All Types'!$D$3),Data!M457,"")</f>
        <v/>
      </c>
      <c r="C457" s="3" t="str">
        <f>IF(B457="","",Data!N457)</f>
        <v/>
      </c>
    </row>
    <row r="458">
      <c r="A458" s="3" t="str">
        <f>IF(AND(Data!$K458='All Types'!$D$2,Data!$L458='All Types'!$D$3),Data!$C458,"")</f>
        <v/>
      </c>
      <c r="B458" s="3" t="str">
        <f>IF(AND(Data!$K458='All Types'!$D$2,Data!$L458='All Types'!$D$3),Data!M458,"")</f>
        <v/>
      </c>
      <c r="C458" s="3" t="str">
        <f>IF(B458="","",Data!N458)</f>
        <v/>
      </c>
    </row>
    <row r="459">
      <c r="A459" s="3" t="str">
        <f>IF(AND(Data!$K459='All Types'!$D$2,Data!$L459='All Types'!$D$3),Data!$C459,"")</f>
        <v/>
      </c>
      <c r="B459" s="3" t="str">
        <f>IF(AND(Data!$K459='All Types'!$D$2,Data!$L459='All Types'!$D$3),Data!M459,"")</f>
        <v/>
      </c>
      <c r="C459" s="3" t="str">
        <f>IF(B459="","",Data!N459)</f>
        <v/>
      </c>
    </row>
    <row r="460">
      <c r="A460" s="3" t="str">
        <f>IF(AND(Data!$K460='All Types'!$D$2,Data!$L460='All Types'!$D$3),Data!$C460,"")</f>
        <v/>
      </c>
      <c r="B460" s="3" t="str">
        <f>IF(AND(Data!$K460='All Types'!$D$2,Data!$L460='All Types'!$D$3),Data!M460,"")</f>
        <v/>
      </c>
      <c r="C460" s="3" t="str">
        <f>IF(B460="","",Data!N460)</f>
        <v/>
      </c>
    </row>
    <row r="461">
      <c r="A461" s="3" t="str">
        <f>IF(AND(Data!$K461='All Types'!$D$2,Data!$L461='All Types'!$D$3),Data!$C461,"")</f>
        <v/>
      </c>
      <c r="B461" s="3" t="str">
        <f>IF(AND(Data!$K461='All Types'!$D$2,Data!$L461='All Types'!$D$3),Data!M461,"")</f>
        <v/>
      </c>
      <c r="C461" s="3" t="str">
        <f>IF(B461="","",Data!N461)</f>
        <v/>
      </c>
    </row>
    <row r="462">
      <c r="A462" s="3" t="str">
        <f>IF(AND(Data!$K462='All Types'!$D$2,Data!$L462='All Types'!$D$3),Data!$C462,"")</f>
        <v/>
      </c>
      <c r="B462" s="3" t="str">
        <f>IF(AND(Data!$K462='All Types'!$D$2,Data!$L462='All Types'!$D$3),Data!M462,"")</f>
        <v/>
      </c>
      <c r="C462" s="3" t="str">
        <f>IF(B462="","",Data!N462)</f>
        <v/>
      </c>
    </row>
    <row r="463">
      <c r="A463" s="3" t="str">
        <f>IF(AND(Data!$K463='All Types'!$D$2,Data!$L463='All Types'!$D$3),Data!$C463,"")</f>
        <v/>
      </c>
      <c r="B463" s="3" t="str">
        <f>IF(AND(Data!$K463='All Types'!$D$2,Data!$L463='All Types'!$D$3),Data!M463,"")</f>
        <v/>
      </c>
      <c r="C463" s="3" t="str">
        <f>IF(B463="","",Data!N463)</f>
        <v/>
      </c>
    </row>
    <row r="464">
      <c r="A464" s="3" t="str">
        <f>IF(AND(Data!$K464='All Types'!$D$2,Data!$L464='All Types'!$D$3),Data!$C464,"")</f>
        <v/>
      </c>
      <c r="B464" s="3" t="str">
        <f>IF(AND(Data!$K464='All Types'!$D$2,Data!$L464='All Types'!$D$3),Data!M464,"")</f>
        <v/>
      </c>
      <c r="C464" s="3" t="str">
        <f>IF(B464="","",Data!N464)</f>
        <v/>
      </c>
    </row>
    <row r="465">
      <c r="A465" s="3" t="str">
        <f>IF(AND(Data!$K465='All Types'!$D$2,Data!$L465='All Types'!$D$3),Data!$C465,"")</f>
        <v/>
      </c>
      <c r="B465" s="3" t="str">
        <f>IF(AND(Data!$K465='All Types'!$D$2,Data!$L465='All Types'!$D$3),Data!M465,"")</f>
        <v/>
      </c>
      <c r="C465" s="3" t="str">
        <f>IF(B465="","",Data!N465)</f>
        <v/>
      </c>
    </row>
    <row r="466">
      <c r="A466" s="3" t="str">
        <f>IF(AND(Data!$K466='All Types'!$D$2,Data!$L466='All Types'!$D$3),Data!$C466,"")</f>
        <v/>
      </c>
      <c r="B466" s="3" t="str">
        <f>IF(AND(Data!$K466='All Types'!$D$2,Data!$L466='All Types'!$D$3),Data!M466,"")</f>
        <v/>
      </c>
      <c r="C466" s="3" t="str">
        <f>IF(B466="","",Data!N466)</f>
        <v/>
      </c>
    </row>
    <row r="467">
      <c r="A467" s="3" t="str">
        <f>IF(AND(Data!$K467='All Types'!$D$2,Data!$L467='All Types'!$D$3),Data!$C467,"")</f>
        <v/>
      </c>
      <c r="B467" s="3" t="str">
        <f>IF(AND(Data!$K467='All Types'!$D$2,Data!$L467='All Types'!$D$3),Data!M467,"")</f>
        <v/>
      </c>
      <c r="C467" s="3" t="str">
        <f>IF(B467="","",Data!N467)</f>
        <v/>
      </c>
    </row>
    <row r="468">
      <c r="A468" s="3" t="str">
        <f>IF(AND(Data!$K468='All Types'!$D$2,Data!$L468='All Types'!$D$3),Data!$C468,"")</f>
        <v/>
      </c>
      <c r="B468" s="3" t="str">
        <f>IF(AND(Data!$K468='All Types'!$D$2,Data!$L468='All Types'!$D$3),Data!M468,"")</f>
        <v/>
      </c>
      <c r="C468" s="3" t="str">
        <f>IF(B468="","",Data!N468)</f>
        <v/>
      </c>
    </row>
    <row r="469">
      <c r="A469" s="3" t="str">
        <f>IF(AND(Data!$K469='All Types'!$D$2,Data!$L469='All Types'!$D$3),Data!$C469,"")</f>
        <v/>
      </c>
      <c r="B469" s="3" t="str">
        <f>IF(AND(Data!$K469='All Types'!$D$2,Data!$L469='All Types'!$D$3),Data!M469,"")</f>
        <v/>
      </c>
      <c r="C469" s="3" t="str">
        <f>IF(B469="","",Data!N469)</f>
        <v/>
      </c>
    </row>
    <row r="470">
      <c r="A470" s="3" t="str">
        <f>IF(AND(Data!$K470='All Types'!$D$2,Data!$L470='All Types'!$D$3),Data!$C470,"")</f>
        <v/>
      </c>
      <c r="B470" s="3" t="str">
        <f>IF(AND(Data!$K470='All Types'!$D$2,Data!$L470='All Types'!$D$3),Data!M470,"")</f>
        <v/>
      </c>
      <c r="C470" s="3" t="str">
        <f>IF(B470="","",Data!N470)</f>
        <v/>
      </c>
    </row>
    <row r="471">
      <c r="A471" s="3" t="str">
        <f>IF(AND(Data!$K471='All Types'!$D$2,Data!$L471='All Types'!$D$3),Data!$C471,"")</f>
        <v/>
      </c>
      <c r="B471" s="3" t="str">
        <f>IF(AND(Data!$K471='All Types'!$D$2,Data!$L471='All Types'!$D$3),Data!M471,"")</f>
        <v/>
      </c>
      <c r="C471" s="3" t="str">
        <f>IF(B471="","",Data!N471)</f>
        <v/>
      </c>
    </row>
    <row r="472">
      <c r="A472" s="3" t="str">
        <f>IF(AND(Data!$K472='All Types'!$D$2,Data!$L472='All Types'!$D$3),Data!$C472,"")</f>
        <v/>
      </c>
      <c r="B472" s="3" t="str">
        <f>IF(AND(Data!$K472='All Types'!$D$2,Data!$L472='All Types'!$D$3),Data!M472,"")</f>
        <v/>
      </c>
      <c r="C472" s="3" t="str">
        <f>IF(B472="","",Data!N472)</f>
        <v/>
      </c>
    </row>
    <row r="473">
      <c r="A473" s="3" t="str">
        <f>IF(AND(Data!$K473='All Types'!$D$2,Data!$L473='All Types'!$D$3),Data!$C473,"")</f>
        <v/>
      </c>
      <c r="B473" s="3" t="str">
        <f>IF(AND(Data!$K473='All Types'!$D$2,Data!$L473='All Types'!$D$3),Data!M473,"")</f>
        <v/>
      </c>
      <c r="C473" s="3" t="str">
        <f>IF(B473="","",Data!N473)</f>
        <v/>
      </c>
    </row>
    <row r="474">
      <c r="A474" s="3" t="str">
        <f>IF(AND(Data!$K474='All Types'!$D$2,Data!$L474='All Types'!$D$3),Data!$C474,"")</f>
        <v/>
      </c>
      <c r="B474" s="3" t="str">
        <f>IF(AND(Data!$K474='All Types'!$D$2,Data!$L474='All Types'!$D$3),Data!M474,"")</f>
        <v/>
      </c>
      <c r="C474" s="3" t="str">
        <f>IF(B474="","",Data!N474)</f>
        <v/>
      </c>
    </row>
    <row r="475">
      <c r="A475" s="3" t="str">
        <f>IF(AND(Data!$K475='All Types'!$D$2,Data!$L475='All Types'!$D$3),Data!$C475,"")</f>
        <v/>
      </c>
      <c r="B475" s="3" t="str">
        <f>IF(AND(Data!$K475='All Types'!$D$2,Data!$L475='All Types'!$D$3),Data!M475,"")</f>
        <v/>
      </c>
      <c r="C475" s="3" t="str">
        <f>IF(B475="","",Data!N475)</f>
        <v/>
      </c>
    </row>
    <row r="476">
      <c r="A476" s="3" t="str">
        <f>IF(AND(Data!$K476='All Types'!$D$2,Data!$L476='All Types'!$D$3),Data!$C476,"")</f>
        <v/>
      </c>
      <c r="B476" s="3" t="str">
        <f>IF(AND(Data!$K476='All Types'!$D$2,Data!$L476='All Types'!$D$3),Data!M476,"")</f>
        <v/>
      </c>
      <c r="C476" s="3" t="str">
        <f>IF(B476="","",Data!N476)</f>
        <v/>
      </c>
    </row>
    <row r="477">
      <c r="A477" s="3" t="str">
        <f>IF(AND(Data!$K477='All Types'!$D$2,Data!$L477='All Types'!$D$3),Data!$C477,"")</f>
        <v/>
      </c>
      <c r="B477" s="3" t="str">
        <f>IF(AND(Data!$K477='All Types'!$D$2,Data!$L477='All Types'!$D$3),Data!M477,"")</f>
        <v/>
      </c>
      <c r="C477" s="3" t="str">
        <f>IF(B477="","",Data!N477)</f>
        <v/>
      </c>
    </row>
    <row r="478">
      <c r="A478" s="3" t="str">
        <f>IF(AND(Data!$K478='All Types'!$D$2,Data!$L478='All Types'!$D$3),Data!$C478,"")</f>
        <v/>
      </c>
      <c r="B478" s="3" t="str">
        <f>IF(AND(Data!$K478='All Types'!$D$2,Data!$L478='All Types'!$D$3),Data!M478,"")</f>
        <v/>
      </c>
      <c r="C478" s="3" t="str">
        <f>IF(B478="","",Data!N478)</f>
        <v/>
      </c>
    </row>
    <row r="479">
      <c r="A479" s="3" t="str">
        <f>IF(AND(Data!$K479='All Types'!$D$2,Data!$L479='All Types'!$D$3),Data!$C479,"")</f>
        <v/>
      </c>
      <c r="B479" s="3" t="str">
        <f>IF(AND(Data!$K479='All Types'!$D$2,Data!$L479='All Types'!$D$3),Data!M479,"")</f>
        <v/>
      </c>
      <c r="C479" s="3" t="str">
        <f>IF(B479="","",Data!N479)</f>
        <v/>
      </c>
    </row>
    <row r="480">
      <c r="A480" s="3" t="str">
        <f>IF(AND(Data!$K480='All Types'!$D$2,Data!$L480='All Types'!$D$3),Data!$C480,"")</f>
        <v/>
      </c>
      <c r="B480" s="3" t="str">
        <f>IF(AND(Data!$K480='All Types'!$D$2,Data!$L480='All Types'!$D$3),Data!M480,"")</f>
        <v/>
      </c>
      <c r="C480" s="3" t="str">
        <f>IF(B480="","",Data!N480)</f>
        <v/>
      </c>
    </row>
    <row r="481">
      <c r="A481" s="3" t="str">
        <f>IF(AND(Data!$K481='All Types'!$D$2,Data!$L481='All Types'!$D$3),Data!$C481,"")</f>
        <v/>
      </c>
      <c r="B481" s="3" t="str">
        <f>IF(AND(Data!$K481='All Types'!$D$2,Data!$L481='All Types'!$D$3),Data!M481,"")</f>
        <v/>
      </c>
      <c r="C481" s="3" t="str">
        <f>IF(B481="","",Data!N481)</f>
        <v/>
      </c>
    </row>
    <row r="482">
      <c r="A482" s="3" t="str">
        <f>IF(AND(Data!$K482='All Types'!$D$2,Data!$L482='All Types'!$D$3),Data!$C482,"")</f>
        <v/>
      </c>
      <c r="B482" s="3" t="str">
        <f>IF(AND(Data!$K482='All Types'!$D$2,Data!$L482='All Types'!$D$3),Data!M482,"")</f>
        <v/>
      </c>
      <c r="C482" s="3" t="str">
        <f>IF(B482="","",Data!N482)</f>
        <v/>
      </c>
    </row>
    <row r="483">
      <c r="A483" s="3" t="str">
        <f>IF(AND(Data!$K483='All Types'!$D$2,Data!$L483='All Types'!$D$3),Data!$C483,"")</f>
        <v/>
      </c>
      <c r="B483" s="3" t="str">
        <f>IF(AND(Data!$K483='All Types'!$D$2,Data!$L483='All Types'!$D$3),Data!M483,"")</f>
        <v/>
      </c>
      <c r="C483" s="3" t="str">
        <f>IF(B483="","",Data!N483)</f>
        <v/>
      </c>
    </row>
    <row r="484">
      <c r="A484" s="3" t="str">
        <f>IF(AND(Data!$K484='All Types'!$D$2,Data!$L484='All Types'!$D$3),Data!$C484,"")</f>
        <v/>
      </c>
      <c r="B484" s="3" t="str">
        <f>IF(AND(Data!$K484='All Types'!$D$2,Data!$L484='All Types'!$D$3),Data!M484,"")</f>
        <v/>
      </c>
      <c r="C484" s="3" t="str">
        <f>IF(B484="","",Data!N484)</f>
        <v/>
      </c>
    </row>
    <row r="485">
      <c r="A485" s="3" t="str">
        <f>IF(AND(Data!$K485='All Types'!$D$2,Data!$L485='All Types'!$D$3),Data!$C485,"")</f>
        <v/>
      </c>
      <c r="B485" s="3" t="str">
        <f>IF(AND(Data!$K485='All Types'!$D$2,Data!$L485='All Types'!$D$3),Data!M485,"")</f>
        <v/>
      </c>
      <c r="C485" s="3" t="str">
        <f>IF(B485="","",Data!N485)</f>
        <v/>
      </c>
    </row>
    <row r="486">
      <c r="A486" s="3" t="str">
        <f>IF(AND(Data!$K486='All Types'!$D$2,Data!$L486='All Types'!$D$3),Data!$C486,"")</f>
        <v/>
      </c>
      <c r="B486" s="3" t="str">
        <f>IF(AND(Data!$K486='All Types'!$D$2,Data!$L486='All Types'!$D$3),Data!M486,"")</f>
        <v/>
      </c>
      <c r="C486" s="3" t="str">
        <f>IF(B486="","",Data!N486)</f>
        <v/>
      </c>
    </row>
    <row r="487">
      <c r="A487" s="3" t="str">
        <f>IF(AND(Data!$K487='All Types'!$D$2,Data!$L487='All Types'!$D$3),Data!$C487,"")</f>
        <v/>
      </c>
      <c r="B487" s="3" t="str">
        <f>IF(AND(Data!$K487='All Types'!$D$2,Data!$L487='All Types'!$D$3),Data!M487,"")</f>
        <v/>
      </c>
      <c r="C487" s="3" t="str">
        <f>IF(B487="","",Data!N487)</f>
        <v/>
      </c>
    </row>
    <row r="488">
      <c r="A488" s="3" t="str">
        <f>IF(AND(Data!$K488='All Types'!$D$2,Data!$L488='All Types'!$D$3),Data!$C488,"")</f>
        <v/>
      </c>
      <c r="B488" s="3" t="str">
        <f>IF(AND(Data!$K488='All Types'!$D$2,Data!$L488='All Types'!$D$3),Data!M488,"")</f>
        <v/>
      </c>
      <c r="C488" s="3" t="str">
        <f>IF(B488="","",Data!N488)</f>
        <v/>
      </c>
    </row>
    <row r="489">
      <c r="A489" s="3" t="str">
        <f>IF(AND(Data!$K489='All Types'!$D$2,Data!$L489='All Types'!$D$3),Data!$C489,"")</f>
        <v/>
      </c>
      <c r="B489" s="3" t="str">
        <f>IF(AND(Data!$K489='All Types'!$D$2,Data!$L489='All Types'!$D$3),Data!M489,"")</f>
        <v/>
      </c>
      <c r="C489" s="3" t="str">
        <f>IF(B489="","",Data!N489)</f>
        <v/>
      </c>
    </row>
    <row r="490">
      <c r="A490" s="3" t="str">
        <f>IF(AND(Data!$K490='All Types'!$D$2,Data!$L490='All Types'!$D$3),Data!$C490,"")</f>
        <v/>
      </c>
      <c r="B490" s="3" t="str">
        <f>IF(AND(Data!$K490='All Types'!$D$2,Data!$L490='All Types'!$D$3),Data!M490,"")</f>
        <v/>
      </c>
      <c r="C490" s="3" t="str">
        <f>IF(B490="","",Data!N490)</f>
        <v/>
      </c>
    </row>
    <row r="491">
      <c r="A491" s="3" t="str">
        <f>IF(AND(Data!$K491='All Types'!$D$2,Data!$L491='All Types'!$D$3),Data!$C491,"")</f>
        <v/>
      </c>
      <c r="B491" s="3" t="str">
        <f>IF(AND(Data!$K491='All Types'!$D$2,Data!$L491='All Types'!$D$3),Data!M491,"")</f>
        <v/>
      </c>
      <c r="C491" s="3" t="str">
        <f>IF(B491="","",Data!N491)</f>
        <v/>
      </c>
    </row>
    <row r="492">
      <c r="A492" s="3" t="str">
        <f>IF(AND(Data!$K492='All Types'!$D$2,Data!$L492='All Types'!$D$3),Data!$C492,"")</f>
        <v/>
      </c>
      <c r="B492" s="3" t="str">
        <f>IF(AND(Data!$K492='All Types'!$D$2,Data!$L492='All Types'!$D$3),Data!M492,"")</f>
        <v/>
      </c>
      <c r="C492" s="3" t="str">
        <f>IF(B492="","",Data!N492)</f>
        <v/>
      </c>
    </row>
    <row r="493">
      <c r="A493" s="3" t="str">
        <f>IF(AND(Data!$K493='All Types'!$D$2,Data!$L493='All Types'!$D$3),Data!$C493,"")</f>
        <v/>
      </c>
      <c r="B493" s="3" t="str">
        <f>IF(AND(Data!$K493='All Types'!$D$2,Data!$L493='All Types'!$D$3),Data!M493,"")</f>
        <v/>
      </c>
      <c r="C493" s="3" t="str">
        <f>IF(B493="","",Data!N493)</f>
        <v/>
      </c>
    </row>
    <row r="494">
      <c r="A494" s="3" t="str">
        <f>IF(AND(Data!$K494='All Types'!$D$2,Data!$L494='All Types'!$D$3),Data!$C494,"")</f>
        <v/>
      </c>
      <c r="B494" s="3" t="str">
        <f>IF(AND(Data!$K494='All Types'!$D$2,Data!$L494='All Types'!$D$3),Data!M494,"")</f>
        <v/>
      </c>
      <c r="C494" s="3" t="str">
        <f>IF(B494="","",Data!N494)</f>
        <v/>
      </c>
    </row>
    <row r="495">
      <c r="A495" s="3" t="str">
        <f>IF(AND(Data!$K495='All Types'!$D$2,Data!$L495='All Types'!$D$3),Data!$C495,"")</f>
        <v/>
      </c>
      <c r="B495" s="3" t="str">
        <f>IF(AND(Data!$K495='All Types'!$D$2,Data!$L495='All Types'!$D$3),Data!M495,"")</f>
        <v/>
      </c>
      <c r="C495" s="3" t="str">
        <f>IF(B495="","",Data!N495)</f>
        <v/>
      </c>
    </row>
    <row r="496">
      <c r="A496" s="3" t="str">
        <f>IF(AND(Data!$K496='All Types'!$D$2,Data!$L496='All Types'!$D$3),Data!$C496,"")</f>
        <v/>
      </c>
      <c r="B496" s="3" t="str">
        <f>IF(AND(Data!$K496='All Types'!$D$2,Data!$L496='All Types'!$D$3),Data!M496,"")</f>
        <v/>
      </c>
      <c r="C496" s="3" t="str">
        <f>IF(B496="","",Data!N496)</f>
        <v/>
      </c>
    </row>
    <row r="497">
      <c r="A497" s="3" t="str">
        <f>IF(AND(Data!$K497='All Types'!$D$2,Data!$L497='All Types'!$D$3),Data!$C497,"")</f>
        <v/>
      </c>
      <c r="B497" s="3" t="str">
        <f>IF(AND(Data!$K497='All Types'!$D$2,Data!$L497='All Types'!$D$3),Data!M497,"")</f>
        <v/>
      </c>
      <c r="C497" s="3" t="str">
        <f>IF(B497="","",Data!N497)</f>
        <v/>
      </c>
    </row>
    <row r="498">
      <c r="A498" s="3" t="str">
        <f>IF(AND(Data!$K498='All Types'!$D$2,Data!$L498='All Types'!$D$3),Data!$C498,"")</f>
        <v/>
      </c>
      <c r="B498" s="3" t="str">
        <f>IF(AND(Data!$K498='All Types'!$D$2,Data!$L498='All Types'!$D$3),Data!M498,"")</f>
        <v/>
      </c>
      <c r="C498" s="3" t="str">
        <f>IF(B498="","",Data!N498)</f>
        <v/>
      </c>
    </row>
    <row r="499">
      <c r="A499" s="3" t="str">
        <f>IF(AND(Data!$K499='All Types'!$D$2,Data!$L499='All Types'!$D$3),Data!$C499,"")</f>
        <v/>
      </c>
      <c r="B499" s="3" t="str">
        <f>IF(AND(Data!$K499='All Types'!$D$2,Data!$L499='All Types'!$D$3),Data!M499,"")</f>
        <v/>
      </c>
      <c r="C499" s="3" t="str">
        <f>IF(B499="","",Data!N499)</f>
        <v/>
      </c>
    </row>
    <row r="500">
      <c r="A500" s="3" t="str">
        <f>IF(AND(Data!$K500='All Types'!$D$2,Data!$L500='All Types'!$D$3),Data!$C500,"")</f>
        <v/>
      </c>
      <c r="B500" s="3" t="str">
        <f>IF(AND(Data!$K500='All Types'!$D$2,Data!$L500='All Types'!$D$3),Data!M500,"")</f>
        <v/>
      </c>
      <c r="C500" s="3" t="str">
        <f>IF(B500="","",Data!N500)</f>
        <v/>
      </c>
    </row>
    <row r="501">
      <c r="A501" s="3" t="str">
        <f>IF(AND(Data!$K501='All Types'!$D$2,Data!$L501='All Types'!$D$3),Data!$C501,"")</f>
        <v/>
      </c>
      <c r="B501" s="3" t="str">
        <f>IF(AND(Data!$K501='All Types'!$D$2,Data!$L501='All Types'!$D$3),Data!M501,"")</f>
        <v/>
      </c>
      <c r="C501" s="3" t="str">
        <f>IF(B501="","",Data!N501)</f>
        <v/>
      </c>
    </row>
    <row r="502">
      <c r="A502" s="3" t="str">
        <f>IF(AND(Data!$K502='All Types'!$D$2,Data!$L502='All Types'!$D$3),Data!$C502,"")</f>
        <v/>
      </c>
      <c r="B502" s="3" t="str">
        <f>IF(AND(Data!$K502='All Types'!$D$2,Data!$L502='All Types'!$D$3),Data!M502,"")</f>
        <v/>
      </c>
      <c r="C502" s="3" t="str">
        <f>IF(B502="","",Data!N502)</f>
        <v/>
      </c>
    </row>
    <row r="503">
      <c r="A503" s="3" t="str">
        <f>IF(AND(Data!$K503='All Types'!$D$2,Data!$L503='All Types'!$D$3),Data!$C503,"")</f>
        <v/>
      </c>
      <c r="B503" s="3" t="str">
        <f>IF(AND(Data!$K503='All Types'!$D$2,Data!$L503='All Types'!$D$3),Data!M503,"")</f>
        <v/>
      </c>
      <c r="C503" s="3" t="str">
        <f>IF(B503="","",Data!N503)</f>
        <v/>
      </c>
    </row>
    <row r="504">
      <c r="A504" s="3" t="str">
        <f>IF(AND(Data!$K504='All Types'!$D$2,Data!$L504='All Types'!$D$3),Data!$C504,"")</f>
        <v/>
      </c>
      <c r="B504" s="3" t="str">
        <f>IF(AND(Data!$K504='All Types'!$D$2,Data!$L504='All Types'!$D$3),Data!M504,"")</f>
        <v/>
      </c>
      <c r="C504" s="3" t="str">
        <f>IF(B504="","",Data!N504)</f>
        <v/>
      </c>
    </row>
    <row r="505">
      <c r="A505" s="3" t="str">
        <f>IF(AND(Data!$K505='All Types'!$D$2,Data!$L505='All Types'!$D$3),Data!$C505,"")</f>
        <v/>
      </c>
      <c r="B505" s="3" t="str">
        <f>IF(AND(Data!$K505='All Types'!$D$2,Data!$L505='All Types'!$D$3),Data!M505,"")</f>
        <v/>
      </c>
      <c r="C505" s="3" t="str">
        <f>IF(B505="","",Data!N505)</f>
        <v/>
      </c>
    </row>
    <row r="506">
      <c r="A506" s="3" t="str">
        <f>IF(AND(Data!$K506='All Types'!$D$2,Data!$L506='All Types'!$D$3),Data!$C506,"")</f>
        <v/>
      </c>
      <c r="B506" s="3" t="str">
        <f>IF(AND(Data!$K506='All Types'!$D$2,Data!$L506='All Types'!$D$3),Data!M506,"")</f>
        <v/>
      </c>
      <c r="C506" s="3" t="str">
        <f>IF(B506="","",Data!N506)</f>
        <v/>
      </c>
    </row>
    <row r="507">
      <c r="A507" s="3" t="str">
        <f>IF(AND(Data!$K507='All Types'!$D$2,Data!$L507='All Types'!$D$3),Data!$C507,"")</f>
        <v/>
      </c>
      <c r="B507" s="3" t="str">
        <f>IF(AND(Data!$K507='All Types'!$D$2,Data!$L507='All Types'!$D$3),Data!M507,"")</f>
        <v/>
      </c>
      <c r="C507" s="3" t="str">
        <f>IF(B507="","",Data!N507)</f>
        <v/>
      </c>
    </row>
    <row r="508">
      <c r="A508" s="3" t="str">
        <f>IF(AND(Data!$K508='All Types'!$D$2,Data!$L508='All Types'!$D$3),Data!$C508,"")</f>
        <v/>
      </c>
      <c r="B508" s="3" t="str">
        <f>IF(AND(Data!$K508='All Types'!$D$2,Data!$L508='All Types'!$D$3),Data!M508,"")</f>
        <v/>
      </c>
      <c r="C508" s="3" t="str">
        <f>IF(B508="","",Data!N508)</f>
        <v/>
      </c>
    </row>
    <row r="509">
      <c r="A509" s="3" t="str">
        <f>IF(AND(Data!$K509='All Types'!$D$2,Data!$L509='All Types'!$D$3),Data!$C509,"")</f>
        <v/>
      </c>
      <c r="B509" s="3" t="str">
        <f>IF(AND(Data!$K509='All Types'!$D$2,Data!$L509='All Types'!$D$3),Data!M509,"")</f>
        <v/>
      </c>
      <c r="C509" s="3" t="str">
        <f>IF(B509="","",Data!N509)</f>
        <v/>
      </c>
    </row>
    <row r="510">
      <c r="A510" s="3" t="str">
        <f>IF(AND(Data!$K510='All Types'!$D$2,Data!$L510='All Types'!$D$3),Data!$C510,"")</f>
        <v/>
      </c>
      <c r="B510" s="3" t="str">
        <f>IF(AND(Data!$K510='All Types'!$D$2,Data!$L510='All Types'!$D$3),Data!M510,"")</f>
        <v/>
      </c>
      <c r="C510" s="3" t="str">
        <f>IF(B510="","",Data!N510)</f>
        <v/>
      </c>
    </row>
    <row r="511">
      <c r="A511" s="3" t="str">
        <f>IF(AND(Data!$K511='All Types'!$D$2,Data!$L511='All Types'!$D$3),Data!$C511,"")</f>
        <v/>
      </c>
      <c r="B511" s="3" t="str">
        <f>IF(AND(Data!$K511='All Types'!$D$2,Data!$L511='All Types'!$D$3),Data!M511,"")</f>
        <v/>
      </c>
      <c r="C511" s="3" t="str">
        <f>IF(B511="","",Data!N511)</f>
        <v/>
      </c>
    </row>
    <row r="512">
      <c r="A512" s="3" t="str">
        <f>IF(AND(Data!$K512='All Types'!$D$2,Data!$L512='All Types'!$D$3),Data!$C512,"")</f>
        <v/>
      </c>
      <c r="B512" s="3" t="str">
        <f>IF(AND(Data!$K512='All Types'!$D$2,Data!$L512='All Types'!$D$3),Data!M512,"")</f>
        <v/>
      </c>
      <c r="C512" s="3" t="str">
        <f>IF(B512="","",Data!N512)</f>
        <v/>
      </c>
    </row>
    <row r="513">
      <c r="A513" s="3" t="str">
        <f>IF(AND(Data!$K513='All Types'!$D$2,Data!$L513='All Types'!$D$3),Data!$C513,"")</f>
        <v/>
      </c>
      <c r="B513" s="3" t="str">
        <f>IF(AND(Data!$K513='All Types'!$D$2,Data!$L513='All Types'!$D$3),Data!M513,"")</f>
        <v/>
      </c>
      <c r="C513" s="3" t="str">
        <f>IF(B513="","",Data!N513)</f>
        <v/>
      </c>
    </row>
    <row r="514">
      <c r="A514" s="3" t="str">
        <f>IF(AND(Data!$K514='All Types'!$D$2,Data!$L514='All Types'!$D$3),Data!$C514,"")</f>
        <v/>
      </c>
      <c r="B514" s="3" t="str">
        <f>IF(AND(Data!$K514='All Types'!$D$2,Data!$L514='All Types'!$D$3),Data!M514,"")</f>
        <v/>
      </c>
      <c r="C514" s="3" t="str">
        <f>IF(B514="","",Data!N514)</f>
        <v/>
      </c>
    </row>
    <row r="515">
      <c r="A515" s="3" t="str">
        <f>IF(AND(Data!$K515='All Types'!$D$2,Data!$L515='All Types'!$D$3),Data!$C515,"")</f>
        <v/>
      </c>
      <c r="B515" s="3" t="str">
        <f>IF(AND(Data!$K515='All Types'!$D$2,Data!$L515='All Types'!$D$3),Data!M515,"")</f>
        <v/>
      </c>
      <c r="C515" s="3" t="str">
        <f>IF(B515="","",Data!N515)</f>
        <v/>
      </c>
    </row>
    <row r="516">
      <c r="A516" s="3" t="str">
        <f>IF(AND(Data!$K516='All Types'!$D$2,Data!$L516='All Types'!$D$3),Data!$C516,"")</f>
        <v/>
      </c>
      <c r="B516" s="3" t="str">
        <f>IF(AND(Data!$K516='All Types'!$D$2,Data!$L516='All Types'!$D$3),Data!M516,"")</f>
        <v/>
      </c>
      <c r="C516" s="3" t="str">
        <f>IF(B516="","",Data!N516)</f>
        <v/>
      </c>
    </row>
    <row r="517">
      <c r="A517" s="3" t="str">
        <f>IF(AND(Data!$K517='All Types'!$D$2,Data!$L517='All Types'!$D$3),Data!$C517,"")</f>
        <v/>
      </c>
      <c r="B517" s="3" t="str">
        <f>IF(AND(Data!$K517='All Types'!$D$2,Data!$L517='All Types'!$D$3),Data!M517,"")</f>
        <v/>
      </c>
      <c r="C517" s="3" t="str">
        <f>IF(B517="","",Data!N517)</f>
        <v/>
      </c>
    </row>
    <row r="518">
      <c r="A518" s="3" t="str">
        <f>IF(AND(Data!$K518='All Types'!$D$2,Data!$L518='All Types'!$D$3),Data!$C518,"")</f>
        <v/>
      </c>
      <c r="B518" s="3" t="str">
        <f>IF(AND(Data!$K518='All Types'!$D$2,Data!$L518='All Types'!$D$3),Data!M518,"")</f>
        <v/>
      </c>
      <c r="C518" s="3" t="str">
        <f>IF(B518="","",Data!N518)</f>
        <v/>
      </c>
    </row>
    <row r="519">
      <c r="A519" s="3" t="str">
        <f>IF(AND(Data!$K519='All Types'!$D$2,Data!$L519='All Types'!$D$3),Data!$C519,"")</f>
        <v/>
      </c>
      <c r="B519" s="3" t="str">
        <f>IF(AND(Data!$K519='All Types'!$D$2,Data!$L519='All Types'!$D$3),Data!M519,"")</f>
        <v/>
      </c>
      <c r="C519" s="3" t="str">
        <f>IF(B519="","",Data!N519)</f>
        <v/>
      </c>
    </row>
    <row r="520">
      <c r="A520" s="3" t="str">
        <f>IF(AND(Data!$K520='All Types'!$D$2,Data!$L520='All Types'!$D$3),Data!$C520,"")</f>
        <v/>
      </c>
      <c r="B520" s="3" t="str">
        <f>IF(AND(Data!$K520='All Types'!$D$2,Data!$L520='All Types'!$D$3),Data!M520,"")</f>
        <v/>
      </c>
      <c r="C520" s="3" t="str">
        <f>IF(B520="","",Data!N520)</f>
        <v/>
      </c>
    </row>
    <row r="521">
      <c r="A521" s="3" t="str">
        <f>IF(AND(Data!$K521='All Types'!$D$2,Data!$L521='All Types'!$D$3),Data!$C521,"")</f>
        <v/>
      </c>
      <c r="B521" s="3" t="str">
        <f>IF(AND(Data!$K521='All Types'!$D$2,Data!$L521='All Types'!$D$3),Data!M521,"")</f>
        <v/>
      </c>
      <c r="C521" s="3" t="str">
        <f>IF(B521="","",Data!N521)</f>
        <v/>
      </c>
    </row>
    <row r="522">
      <c r="A522" s="3" t="str">
        <f>IF(AND(Data!$K522='All Types'!$D$2,Data!$L522='All Types'!$D$3),Data!$C522,"")</f>
        <v/>
      </c>
      <c r="B522" s="3" t="str">
        <f>IF(AND(Data!$K522='All Types'!$D$2,Data!$L522='All Types'!$D$3),Data!M522,"")</f>
        <v/>
      </c>
      <c r="C522" s="3" t="str">
        <f>IF(B522="","",Data!N522)</f>
        <v/>
      </c>
    </row>
    <row r="523">
      <c r="A523" s="3" t="str">
        <f>IF(AND(Data!$K523='All Types'!$D$2,Data!$L523='All Types'!$D$3),Data!$C523,"")</f>
        <v/>
      </c>
      <c r="B523" s="3" t="str">
        <f>IF(AND(Data!$K523='All Types'!$D$2,Data!$L523='All Types'!$D$3),Data!M523,"")</f>
        <v/>
      </c>
      <c r="C523" s="3" t="str">
        <f>IF(B523="","",Data!N523)</f>
        <v/>
      </c>
    </row>
    <row r="524">
      <c r="A524" s="3" t="str">
        <f>IF(AND(Data!$K524='All Types'!$D$2,Data!$L524='All Types'!$D$3),Data!$C524,"")</f>
        <v/>
      </c>
      <c r="B524" s="3" t="str">
        <f>IF(AND(Data!$K524='All Types'!$D$2,Data!$L524='All Types'!$D$3),Data!M524,"")</f>
        <v/>
      </c>
      <c r="C524" s="3" t="str">
        <f>IF(B524="","",Data!N524)</f>
        <v/>
      </c>
    </row>
    <row r="525">
      <c r="A525" s="3" t="str">
        <f>IF(AND(Data!$K525='All Types'!$D$2,Data!$L525='All Types'!$D$3),Data!$C525,"")</f>
        <v/>
      </c>
      <c r="B525" s="3" t="str">
        <f>IF(AND(Data!$K525='All Types'!$D$2,Data!$L525='All Types'!$D$3),Data!M525,"")</f>
        <v/>
      </c>
      <c r="C525" s="3" t="str">
        <f>IF(B525="","",Data!N525)</f>
        <v/>
      </c>
    </row>
    <row r="526">
      <c r="A526" s="3" t="str">
        <f>IF(AND(Data!$K526='All Types'!$D$2,Data!$L526='All Types'!$D$3),Data!$C526,"")</f>
        <v/>
      </c>
      <c r="B526" s="3" t="str">
        <f>IF(AND(Data!$K526='All Types'!$D$2,Data!$L526='All Types'!$D$3),Data!M526,"")</f>
        <v/>
      </c>
      <c r="C526" s="3" t="str">
        <f>IF(B526="","",Data!N526)</f>
        <v/>
      </c>
    </row>
    <row r="527">
      <c r="A527" s="3" t="str">
        <f>IF(AND(Data!$K527='All Types'!$D$2,Data!$L527='All Types'!$D$3),Data!$C527,"")</f>
        <v/>
      </c>
      <c r="B527" s="3" t="str">
        <f>IF(AND(Data!$K527='All Types'!$D$2,Data!$L527='All Types'!$D$3),Data!M527,"")</f>
        <v/>
      </c>
      <c r="C527" s="3" t="str">
        <f>IF(B527="","",Data!N527)</f>
        <v/>
      </c>
    </row>
    <row r="528">
      <c r="A528" s="3" t="str">
        <f>IF(AND(Data!$K528='All Types'!$D$2,Data!$L528='All Types'!$D$3),Data!$C528,"")</f>
        <v/>
      </c>
      <c r="B528" s="3" t="str">
        <f>IF(AND(Data!$K528='All Types'!$D$2,Data!$L528='All Types'!$D$3),Data!M528,"")</f>
        <v/>
      </c>
      <c r="C528" s="3" t="str">
        <f>IF(B528="","",Data!N528)</f>
        <v/>
      </c>
    </row>
    <row r="529">
      <c r="A529" s="3" t="str">
        <f>IF(AND(Data!$K529='All Types'!$D$2,Data!$L529='All Types'!$D$3),Data!$C529,"")</f>
        <v/>
      </c>
      <c r="B529" s="3" t="str">
        <f>IF(AND(Data!$K529='All Types'!$D$2,Data!$L529='All Types'!$D$3),Data!M529,"")</f>
        <v/>
      </c>
      <c r="C529" s="3" t="str">
        <f>IF(B529="","",Data!N529)</f>
        <v/>
      </c>
    </row>
    <row r="530">
      <c r="A530" s="3" t="str">
        <f>IF(AND(Data!$K530='All Types'!$D$2,Data!$L530='All Types'!$D$3),Data!$C530,"")</f>
        <v/>
      </c>
      <c r="B530" s="3" t="str">
        <f>IF(AND(Data!$K530='All Types'!$D$2,Data!$L530='All Types'!$D$3),Data!M530,"")</f>
        <v/>
      </c>
      <c r="C530" s="3" t="str">
        <f>IF(B530="","",Data!N530)</f>
        <v/>
      </c>
    </row>
    <row r="531">
      <c r="A531" s="3" t="str">
        <f>IF(AND(Data!$K531='All Types'!$D$2,Data!$L531='All Types'!$D$3),Data!$C531,"")</f>
        <v/>
      </c>
      <c r="B531" s="3" t="str">
        <f>IF(AND(Data!$K531='All Types'!$D$2,Data!$L531='All Types'!$D$3),Data!M531,"")</f>
        <v/>
      </c>
      <c r="C531" s="3" t="str">
        <f>IF(B531="","",Data!N531)</f>
        <v/>
      </c>
    </row>
    <row r="532">
      <c r="A532" s="3" t="str">
        <f>IF(AND(Data!$K532='All Types'!$D$2,Data!$L532='All Types'!$D$3),Data!$C532,"")</f>
        <v/>
      </c>
      <c r="B532" s="3" t="str">
        <f>IF(AND(Data!$K532='All Types'!$D$2,Data!$L532='All Types'!$D$3),Data!M532,"")</f>
        <v/>
      </c>
      <c r="C532" s="3" t="str">
        <f>IF(B532="","",Data!N532)</f>
        <v/>
      </c>
    </row>
    <row r="533">
      <c r="A533" s="3" t="str">
        <f>IF(AND(Data!$K533='All Types'!$D$2,Data!$L533='All Types'!$D$3),Data!$C533,"")</f>
        <v/>
      </c>
      <c r="B533" s="3" t="str">
        <f>IF(AND(Data!$K533='All Types'!$D$2,Data!$L533='All Types'!$D$3),Data!M533,"")</f>
        <v/>
      </c>
      <c r="C533" s="3" t="str">
        <f>IF(B533="","",Data!N533)</f>
        <v/>
      </c>
    </row>
    <row r="534">
      <c r="A534" s="3" t="str">
        <f>IF(AND(Data!$K534='All Types'!$D$2,Data!$L534='All Types'!$D$3),Data!$C534,"")</f>
        <v/>
      </c>
      <c r="B534" s="3" t="str">
        <f>IF(AND(Data!$K534='All Types'!$D$2,Data!$L534='All Types'!$D$3),Data!M534,"")</f>
        <v/>
      </c>
      <c r="C534" s="3" t="str">
        <f>IF(B534="","",Data!N534)</f>
        <v/>
      </c>
    </row>
    <row r="535">
      <c r="A535" s="3" t="str">
        <f>IF(AND(Data!$K535='All Types'!$D$2,Data!$L535='All Types'!$D$3),Data!$C535,"")</f>
        <v/>
      </c>
      <c r="B535" s="3" t="str">
        <f>IF(AND(Data!$K535='All Types'!$D$2,Data!$L535='All Types'!$D$3),Data!M535,"")</f>
        <v/>
      </c>
      <c r="C535" s="3" t="str">
        <f>IF(B535="","",Data!N535)</f>
        <v/>
      </c>
    </row>
    <row r="536">
      <c r="A536" s="3" t="str">
        <f>IF(AND(Data!$K536='All Types'!$D$2,Data!$L536='All Types'!$D$3),Data!$C536,"")</f>
        <v/>
      </c>
      <c r="B536" s="3" t="str">
        <f>IF(AND(Data!$K536='All Types'!$D$2,Data!$L536='All Types'!$D$3),Data!M536,"")</f>
        <v/>
      </c>
      <c r="C536" s="3" t="str">
        <f>IF(B536="","",Data!N536)</f>
        <v/>
      </c>
    </row>
    <row r="537">
      <c r="A537" s="3" t="str">
        <f>IF(AND(Data!$K537='All Types'!$D$2,Data!$L537='All Types'!$D$3),Data!$C537,"")</f>
        <v/>
      </c>
      <c r="B537" s="3" t="str">
        <f>IF(AND(Data!$K537='All Types'!$D$2,Data!$L537='All Types'!$D$3),Data!M537,"")</f>
        <v/>
      </c>
      <c r="C537" s="3" t="str">
        <f>IF(B537="","",Data!N537)</f>
        <v/>
      </c>
    </row>
    <row r="538">
      <c r="A538" s="3" t="str">
        <f>IF(AND(Data!$K538='All Types'!$D$2,Data!$L538='All Types'!$D$3),Data!$C538,"")</f>
        <v/>
      </c>
      <c r="B538" s="3" t="str">
        <f>IF(AND(Data!$K538='All Types'!$D$2,Data!$L538='All Types'!$D$3),Data!M538,"")</f>
        <v/>
      </c>
      <c r="C538" s="3" t="str">
        <f>IF(B538="","",Data!N538)</f>
        <v/>
      </c>
    </row>
    <row r="539">
      <c r="A539" s="3" t="str">
        <f>IF(AND(Data!$K539='All Types'!$D$2,Data!$L539='All Types'!$D$3),Data!$C539,"")</f>
        <v/>
      </c>
      <c r="B539" s="3" t="str">
        <f>IF(AND(Data!$K539='All Types'!$D$2,Data!$L539='All Types'!$D$3),Data!M539,"")</f>
        <v/>
      </c>
      <c r="C539" s="3" t="str">
        <f>IF(B539="","",Data!N539)</f>
        <v/>
      </c>
    </row>
    <row r="540">
      <c r="A540" s="3" t="str">
        <f>IF(AND(Data!$K540='All Types'!$D$2,Data!$L540='All Types'!$D$3),Data!$C540,"")</f>
        <v/>
      </c>
      <c r="B540" s="3" t="str">
        <f>IF(AND(Data!$K540='All Types'!$D$2,Data!$L540='All Types'!$D$3),Data!M540,"")</f>
        <v/>
      </c>
      <c r="C540" s="3" t="str">
        <f>IF(B540="","",Data!N540)</f>
        <v/>
      </c>
    </row>
    <row r="541">
      <c r="A541" s="3" t="str">
        <f>IF(AND(Data!$K541='All Types'!$D$2,Data!$L541='All Types'!$D$3),Data!$C541,"")</f>
        <v/>
      </c>
      <c r="B541" s="3" t="str">
        <f>IF(AND(Data!$K541='All Types'!$D$2,Data!$L541='All Types'!$D$3),Data!M541,"")</f>
        <v/>
      </c>
      <c r="C541" s="3" t="str">
        <f>IF(B541="","",Data!N541)</f>
        <v/>
      </c>
    </row>
    <row r="542">
      <c r="A542" s="3" t="str">
        <f>IF(AND(Data!$K542='All Types'!$D$2,Data!$L542='All Types'!$D$3),Data!$C542,"")</f>
        <v/>
      </c>
      <c r="B542" s="3" t="str">
        <f>IF(AND(Data!$K542='All Types'!$D$2,Data!$L542='All Types'!$D$3),Data!M542,"")</f>
        <v/>
      </c>
      <c r="C542" s="3" t="str">
        <f>IF(B542="","",Data!N542)</f>
        <v/>
      </c>
    </row>
    <row r="543">
      <c r="A543" s="3" t="str">
        <f>IF(AND(Data!$K543='All Types'!$D$2,Data!$L543='All Types'!$D$3),Data!$C543,"")</f>
        <v/>
      </c>
      <c r="B543" s="3" t="str">
        <f>IF(AND(Data!$K543='All Types'!$D$2,Data!$L543='All Types'!$D$3),Data!M543,"")</f>
        <v/>
      </c>
      <c r="C543" s="3" t="str">
        <f>IF(B543="","",Data!N543)</f>
        <v/>
      </c>
    </row>
    <row r="544">
      <c r="A544" s="3" t="str">
        <f>IF(AND(Data!$K544='All Types'!$D$2,Data!$L544='All Types'!$D$3),Data!$C544,"")</f>
        <v/>
      </c>
      <c r="B544" s="3" t="str">
        <f>IF(AND(Data!$K544='All Types'!$D$2,Data!$L544='All Types'!$D$3),Data!M544,"")</f>
        <v/>
      </c>
      <c r="C544" s="3" t="str">
        <f>IF(B544="","",Data!N544)</f>
        <v/>
      </c>
    </row>
    <row r="545">
      <c r="A545" s="3" t="str">
        <f>IF(AND(Data!$K545='All Types'!$D$2,Data!$L545='All Types'!$D$3),Data!$C545,"")</f>
        <v/>
      </c>
      <c r="B545" s="3" t="str">
        <f>IF(AND(Data!$K545='All Types'!$D$2,Data!$L545='All Types'!$D$3),Data!M545,"")</f>
        <v/>
      </c>
      <c r="C545" s="3" t="str">
        <f>IF(B545="","",Data!N545)</f>
        <v/>
      </c>
    </row>
    <row r="546">
      <c r="A546" s="3" t="str">
        <f>IF(AND(Data!$K546='All Types'!$D$2,Data!$L546='All Types'!$D$3),Data!$C546,"")</f>
        <v/>
      </c>
      <c r="B546" s="3" t="str">
        <f>IF(AND(Data!$K546='All Types'!$D$2,Data!$L546='All Types'!$D$3),Data!M546,"")</f>
        <v/>
      </c>
      <c r="C546" s="3" t="str">
        <f>IF(B546="","",Data!N546)</f>
        <v/>
      </c>
    </row>
    <row r="547">
      <c r="A547" s="3" t="str">
        <f>IF(AND(Data!$K547='All Types'!$D$2,Data!$L547='All Types'!$D$3),Data!$C547,"")</f>
        <v/>
      </c>
      <c r="B547" s="3" t="str">
        <f>IF(AND(Data!$K547='All Types'!$D$2,Data!$L547='All Types'!$D$3),Data!M547,"")</f>
        <v/>
      </c>
      <c r="C547" s="3" t="str">
        <f>IF(B547="","",Data!N547)</f>
        <v/>
      </c>
    </row>
    <row r="548">
      <c r="A548" s="3" t="str">
        <f>IF(AND(Data!$K548='All Types'!$D$2,Data!$L548='All Types'!$D$3),Data!$C548,"")</f>
        <v/>
      </c>
      <c r="B548" s="3" t="str">
        <f>IF(AND(Data!$K548='All Types'!$D$2,Data!$L548='All Types'!$D$3),Data!M548,"")</f>
        <v/>
      </c>
      <c r="C548" s="3" t="str">
        <f>IF(B548="","",Data!N548)</f>
        <v/>
      </c>
    </row>
    <row r="549">
      <c r="A549" s="3" t="str">
        <f>IF(AND(Data!$K549='All Types'!$D$2,Data!$L549='All Types'!$D$3),Data!$C549,"")</f>
        <v/>
      </c>
      <c r="B549" s="3" t="str">
        <f>IF(AND(Data!$K549='All Types'!$D$2,Data!$L549='All Types'!$D$3),Data!M549,"")</f>
        <v/>
      </c>
      <c r="C549" s="3" t="str">
        <f>IF(B549="","",Data!N549)</f>
        <v/>
      </c>
    </row>
    <row r="550">
      <c r="A550" s="3" t="str">
        <f>IF(AND(Data!$K550='All Types'!$D$2,Data!$L550='All Types'!$D$3),Data!$C550,"")</f>
        <v/>
      </c>
      <c r="B550" s="3" t="str">
        <f>IF(AND(Data!$K550='All Types'!$D$2,Data!$L550='All Types'!$D$3),Data!M550,"")</f>
        <v/>
      </c>
      <c r="C550" s="3" t="str">
        <f>IF(B550="","",Data!N550)</f>
        <v/>
      </c>
    </row>
    <row r="551">
      <c r="A551" s="3" t="str">
        <f>IF(AND(Data!$K551='All Types'!$D$2,Data!$L551='All Types'!$D$3),Data!$C551,"")</f>
        <v/>
      </c>
      <c r="B551" s="3" t="str">
        <f>IF(AND(Data!$K551='All Types'!$D$2,Data!$L551='All Types'!$D$3),Data!M551,"")</f>
        <v/>
      </c>
      <c r="C551" s="3" t="str">
        <f>IF(B551="","",Data!N551)</f>
        <v/>
      </c>
    </row>
    <row r="552">
      <c r="A552" s="3" t="str">
        <f>IF(AND(Data!$K552='All Types'!$D$2,Data!$L552='All Types'!$D$3),Data!$C552,"")</f>
        <v/>
      </c>
      <c r="B552" s="3" t="str">
        <f>IF(AND(Data!$K552='All Types'!$D$2,Data!$L552='All Types'!$D$3),Data!M552,"")</f>
        <v/>
      </c>
      <c r="C552" s="3" t="str">
        <f>IF(B552="","",Data!N552)</f>
        <v/>
      </c>
    </row>
    <row r="553">
      <c r="A553" s="3" t="str">
        <f>IF(AND(Data!$K553='All Types'!$D$2,Data!$L553='All Types'!$D$3),Data!$C553,"")</f>
        <v/>
      </c>
      <c r="B553" s="3" t="str">
        <f>IF(AND(Data!$K553='All Types'!$D$2,Data!$L553='All Types'!$D$3),Data!M553,"")</f>
        <v/>
      </c>
      <c r="C553" s="3" t="str">
        <f>IF(B553="","",Data!N553)</f>
        <v/>
      </c>
    </row>
    <row r="554">
      <c r="A554" s="3" t="str">
        <f>IF(AND(Data!$K554='All Types'!$D$2,Data!$L554='All Types'!$D$3),Data!$C554,"")</f>
        <v/>
      </c>
      <c r="B554" s="3" t="str">
        <f>IF(AND(Data!$K554='All Types'!$D$2,Data!$L554='All Types'!$D$3),Data!M554,"")</f>
        <v/>
      </c>
      <c r="C554" s="3" t="str">
        <f>IF(B554="","",Data!N554)</f>
        <v/>
      </c>
    </row>
    <row r="555">
      <c r="A555" s="3" t="str">
        <f>IF(AND(Data!$K555='All Types'!$D$2,Data!$L555='All Types'!$D$3),Data!$C555,"")</f>
        <v/>
      </c>
      <c r="B555" s="3" t="str">
        <f>IF(AND(Data!$K555='All Types'!$D$2,Data!$L555='All Types'!$D$3),Data!M555,"")</f>
        <v/>
      </c>
      <c r="C555" s="3" t="str">
        <f>IF(B555="","",Data!N555)</f>
        <v/>
      </c>
    </row>
    <row r="556">
      <c r="A556" s="3" t="str">
        <f>IF(AND(Data!$K556='All Types'!$D$2,Data!$L556='All Types'!$D$3),Data!$C556,"")</f>
        <v/>
      </c>
      <c r="B556" s="3" t="str">
        <f>IF(AND(Data!$K556='All Types'!$D$2,Data!$L556='All Types'!$D$3),Data!M556,"")</f>
        <v/>
      </c>
      <c r="C556" s="3" t="str">
        <f>IF(B556="","",Data!N556)</f>
        <v/>
      </c>
    </row>
    <row r="557">
      <c r="A557" s="3" t="str">
        <f>IF(AND(Data!$K557='All Types'!$D$2,Data!$L557='All Types'!$D$3),Data!$C557,"")</f>
        <v/>
      </c>
      <c r="B557" s="3" t="str">
        <f>IF(AND(Data!$K557='All Types'!$D$2,Data!$L557='All Types'!$D$3),Data!M557,"")</f>
        <v/>
      </c>
      <c r="C557" s="3" t="str">
        <f>IF(B557="","",Data!N557)</f>
        <v/>
      </c>
    </row>
    <row r="558">
      <c r="A558" s="3" t="str">
        <f>IF(AND(Data!$K558='All Types'!$D$2,Data!$L558='All Types'!$D$3),Data!$C558,"")</f>
        <v/>
      </c>
      <c r="B558" s="3" t="str">
        <f>IF(AND(Data!$K558='All Types'!$D$2,Data!$L558='All Types'!$D$3),Data!M558,"")</f>
        <v/>
      </c>
      <c r="C558" s="3" t="str">
        <f>IF(B558="","",Data!N558)</f>
        <v/>
      </c>
    </row>
    <row r="559">
      <c r="A559" s="3" t="str">
        <f>IF(AND(Data!$K559='All Types'!$D$2,Data!$L559='All Types'!$D$3),Data!$C559,"")</f>
        <v/>
      </c>
      <c r="B559" s="3" t="str">
        <f>IF(AND(Data!$K559='All Types'!$D$2,Data!$L559='All Types'!$D$3),Data!M559,"")</f>
        <v/>
      </c>
      <c r="C559" s="3" t="str">
        <f>IF(B559="","",Data!N559)</f>
        <v/>
      </c>
    </row>
    <row r="560">
      <c r="A560" s="3" t="str">
        <f>IF(AND(Data!$K560='All Types'!$D$2,Data!$L560='All Types'!$D$3),Data!$C560,"")</f>
        <v/>
      </c>
      <c r="B560" s="3" t="str">
        <f>IF(AND(Data!$K560='All Types'!$D$2,Data!$L560='All Types'!$D$3),Data!M560,"")</f>
        <v/>
      </c>
      <c r="C560" s="3" t="str">
        <f>IF(B560="","",Data!N560)</f>
        <v/>
      </c>
    </row>
    <row r="561">
      <c r="A561" s="3" t="str">
        <f>IF(AND(Data!$K561='All Types'!$D$2,Data!$L561='All Types'!$D$3),Data!$C561,"")</f>
        <v/>
      </c>
      <c r="B561" s="3" t="str">
        <f>IF(AND(Data!$K561='All Types'!$D$2,Data!$L561='All Types'!$D$3),Data!M561,"")</f>
        <v/>
      </c>
      <c r="C561" s="3" t="str">
        <f>IF(B561="","",Data!N561)</f>
        <v/>
      </c>
    </row>
    <row r="562">
      <c r="A562" s="3" t="str">
        <f>IF(AND(Data!$K562='All Types'!$D$2,Data!$L562='All Types'!$D$3),Data!$C562,"")</f>
        <v/>
      </c>
      <c r="B562" s="3" t="str">
        <f>IF(AND(Data!$K562='All Types'!$D$2,Data!$L562='All Types'!$D$3),Data!M562,"")</f>
        <v/>
      </c>
      <c r="C562" s="3" t="str">
        <f>IF(B562="","",Data!N562)</f>
        <v/>
      </c>
    </row>
    <row r="563">
      <c r="A563" s="3" t="str">
        <f>IF(AND(Data!$K563='All Types'!$D$2,Data!$L563='All Types'!$D$3),Data!$C563,"")</f>
        <v/>
      </c>
      <c r="B563" s="3" t="str">
        <f>IF(AND(Data!$K563='All Types'!$D$2,Data!$L563='All Types'!$D$3),Data!M563,"")</f>
        <v/>
      </c>
      <c r="C563" s="3" t="str">
        <f>IF(B563="","",Data!N563)</f>
        <v/>
      </c>
    </row>
    <row r="564">
      <c r="A564" s="3" t="str">
        <f>IF(AND(Data!$K564='All Types'!$D$2,Data!$L564='All Types'!$D$3),Data!$C564,"")</f>
        <v/>
      </c>
      <c r="B564" s="3" t="str">
        <f>IF(AND(Data!$K564='All Types'!$D$2,Data!$L564='All Types'!$D$3),Data!M564,"")</f>
        <v/>
      </c>
      <c r="C564" s="3" t="str">
        <f>IF(B564="","",Data!N564)</f>
        <v/>
      </c>
    </row>
    <row r="565">
      <c r="A565" s="3" t="str">
        <f>IF(AND(Data!$K565='All Types'!$D$2,Data!$L565='All Types'!$D$3),Data!$C565,"")</f>
        <v/>
      </c>
      <c r="B565" s="3" t="str">
        <f>IF(AND(Data!$K565='All Types'!$D$2,Data!$L565='All Types'!$D$3),Data!M565,"")</f>
        <v/>
      </c>
      <c r="C565" s="3" t="str">
        <f>IF(B565="","",Data!N565)</f>
        <v/>
      </c>
    </row>
    <row r="566">
      <c r="A566" s="3" t="str">
        <f>IF(AND(Data!$K566='All Types'!$D$2,Data!$L566='All Types'!$D$3),Data!$C566,"")</f>
        <v/>
      </c>
      <c r="B566" s="3" t="str">
        <f>IF(AND(Data!$K566='All Types'!$D$2,Data!$L566='All Types'!$D$3),Data!M566,"")</f>
        <v/>
      </c>
      <c r="C566" s="3" t="str">
        <f>IF(B566="","",Data!N566)</f>
        <v/>
      </c>
    </row>
    <row r="567">
      <c r="A567" s="3" t="str">
        <f>IF(AND(Data!$K567='All Types'!$D$2,Data!$L567='All Types'!$D$3),Data!$C567,"")</f>
        <v/>
      </c>
      <c r="B567" s="3" t="str">
        <f>IF(AND(Data!$K567='All Types'!$D$2,Data!$L567='All Types'!$D$3),Data!M567,"")</f>
        <v/>
      </c>
      <c r="C567" s="3" t="str">
        <f>IF(B567="","",Data!N567)</f>
        <v/>
      </c>
    </row>
    <row r="568">
      <c r="A568" s="3" t="str">
        <f>IF(AND(Data!$K568='All Types'!$D$2,Data!$L568='All Types'!$D$3),Data!$C568,"")</f>
        <v/>
      </c>
      <c r="B568" s="3" t="str">
        <f>IF(AND(Data!$K568='All Types'!$D$2,Data!$L568='All Types'!$D$3),Data!M568,"")</f>
        <v/>
      </c>
      <c r="C568" s="3" t="str">
        <f>IF(B568="","",Data!N568)</f>
        <v/>
      </c>
    </row>
    <row r="569">
      <c r="A569" s="3" t="str">
        <f>IF(AND(Data!$K569='All Types'!$D$2,Data!$L569='All Types'!$D$3),Data!$C569,"")</f>
        <v/>
      </c>
      <c r="B569" s="3" t="str">
        <f>IF(AND(Data!$K569='All Types'!$D$2,Data!$L569='All Types'!$D$3),Data!M569,"")</f>
        <v/>
      </c>
      <c r="C569" s="3" t="str">
        <f>IF(B569="","",Data!N569)</f>
        <v/>
      </c>
    </row>
    <row r="570">
      <c r="A570" s="3" t="str">
        <f>IF(AND(Data!$K570='All Types'!$D$2,Data!$L570='All Types'!$D$3),Data!$C570,"")</f>
        <v/>
      </c>
      <c r="B570" s="3" t="str">
        <f>IF(AND(Data!$K570='All Types'!$D$2,Data!$L570='All Types'!$D$3),Data!M570,"")</f>
        <v/>
      </c>
      <c r="C570" s="3" t="str">
        <f>IF(B570="","",Data!N570)</f>
        <v/>
      </c>
    </row>
    <row r="571">
      <c r="A571" s="3" t="str">
        <f>IF(AND(Data!$K571='All Types'!$D$2,Data!$L571='All Types'!$D$3),Data!$C571,"")</f>
        <v/>
      </c>
      <c r="B571" s="3" t="str">
        <f>IF(AND(Data!$K571='All Types'!$D$2,Data!$L571='All Types'!$D$3),Data!M571,"")</f>
        <v/>
      </c>
      <c r="C571" s="3" t="str">
        <f>IF(B571="","",Data!N571)</f>
        <v/>
      </c>
    </row>
    <row r="572">
      <c r="A572" s="3" t="str">
        <f>IF(AND(Data!$K572='All Types'!$D$2,Data!$L572='All Types'!$D$3),Data!$C572,"")</f>
        <v/>
      </c>
      <c r="B572" s="3" t="str">
        <f>IF(AND(Data!$K572='All Types'!$D$2,Data!$L572='All Types'!$D$3),Data!M572,"")</f>
        <v/>
      </c>
      <c r="C572" s="3" t="str">
        <f>IF(B572="","",Data!N572)</f>
        <v/>
      </c>
    </row>
    <row r="573">
      <c r="A573" s="3" t="str">
        <f>IF(AND(Data!$K573='All Types'!$D$2,Data!$L573='All Types'!$D$3),Data!$C573,"")</f>
        <v/>
      </c>
      <c r="B573" s="3" t="str">
        <f>IF(AND(Data!$K573='All Types'!$D$2,Data!$L573='All Types'!$D$3),Data!M573,"")</f>
        <v/>
      </c>
      <c r="C573" s="3" t="str">
        <f>IF(B573="","",Data!N573)</f>
        <v/>
      </c>
    </row>
    <row r="574">
      <c r="A574" s="3" t="str">
        <f>IF(AND(Data!$K574='All Types'!$D$2,Data!$L574='All Types'!$D$3),Data!$C574,"")</f>
        <v/>
      </c>
      <c r="B574" s="3" t="str">
        <f>IF(AND(Data!$K574='All Types'!$D$2,Data!$L574='All Types'!$D$3),Data!M574,"")</f>
        <v/>
      </c>
      <c r="C574" s="3" t="str">
        <f>IF(B574="","",Data!N574)</f>
        <v/>
      </c>
    </row>
    <row r="575">
      <c r="A575" s="3" t="str">
        <f>IF(AND(Data!$K575='All Types'!$D$2,Data!$L575='All Types'!$D$3),Data!$C575,"")</f>
        <v/>
      </c>
      <c r="B575" s="3" t="str">
        <f>IF(AND(Data!$K575='All Types'!$D$2,Data!$L575='All Types'!$D$3),Data!M575,"")</f>
        <v/>
      </c>
      <c r="C575" s="3" t="str">
        <f>IF(B575="","",Data!N575)</f>
        <v/>
      </c>
    </row>
    <row r="576">
      <c r="A576" s="3" t="str">
        <f>IF(AND(Data!$K576='All Types'!$D$2,Data!$L576='All Types'!$D$3),Data!$C576,"")</f>
        <v/>
      </c>
      <c r="B576" s="3" t="str">
        <f>IF(AND(Data!$K576='All Types'!$D$2,Data!$L576='All Types'!$D$3),Data!M576,"")</f>
        <v/>
      </c>
      <c r="C576" s="3" t="str">
        <f>IF(B576="","",Data!N576)</f>
        <v/>
      </c>
    </row>
    <row r="577">
      <c r="A577" s="3" t="str">
        <f>IF(AND(Data!$K577='All Types'!$D$2,Data!$L577='All Types'!$D$3),Data!$C577,"")</f>
        <v/>
      </c>
      <c r="B577" s="3" t="str">
        <f>IF(AND(Data!$K577='All Types'!$D$2,Data!$L577='All Types'!$D$3),Data!M577,"")</f>
        <v/>
      </c>
      <c r="C577" s="3" t="str">
        <f>IF(B577="","",Data!N577)</f>
        <v/>
      </c>
    </row>
    <row r="578">
      <c r="A578" s="3" t="str">
        <f>IF(AND(Data!$K578='All Types'!$D$2,Data!$L578='All Types'!$D$3),Data!$C578,"")</f>
        <v/>
      </c>
      <c r="B578" s="3" t="str">
        <f>IF(AND(Data!$K578='All Types'!$D$2,Data!$L578='All Types'!$D$3),Data!M578,"")</f>
        <v/>
      </c>
      <c r="C578" s="3" t="str">
        <f>IF(B578="","",Data!N578)</f>
        <v/>
      </c>
    </row>
    <row r="579">
      <c r="A579" s="3" t="str">
        <f>IF(AND(Data!$K579='All Types'!$D$2,Data!$L579='All Types'!$D$3),Data!$C579,"")</f>
        <v/>
      </c>
      <c r="B579" s="3" t="str">
        <f>IF(AND(Data!$K579='All Types'!$D$2,Data!$L579='All Types'!$D$3),Data!M579,"")</f>
        <v/>
      </c>
      <c r="C579" s="3" t="str">
        <f>IF(B579="","",Data!N579)</f>
        <v/>
      </c>
    </row>
    <row r="580">
      <c r="A580" s="3" t="str">
        <f>IF(AND(Data!$K580='All Types'!$D$2,Data!$L580='All Types'!$D$3),Data!$C580,"")</f>
        <v/>
      </c>
      <c r="B580" s="3" t="str">
        <f>IF(AND(Data!$K580='All Types'!$D$2,Data!$L580='All Types'!$D$3),Data!M580,"")</f>
        <v/>
      </c>
      <c r="C580" s="3" t="str">
        <f>IF(B580="","",Data!N580)</f>
        <v/>
      </c>
    </row>
    <row r="581">
      <c r="A581" s="3" t="str">
        <f>IF(AND(Data!$K581='All Types'!$D$2,Data!$L581='All Types'!$D$3),Data!$C581,"")</f>
        <v/>
      </c>
      <c r="B581" s="3" t="str">
        <f>IF(AND(Data!$K581='All Types'!$D$2,Data!$L581='All Types'!$D$3),Data!M581,"")</f>
        <v/>
      </c>
      <c r="C581" s="3" t="str">
        <f>IF(B581="","",Data!N581)</f>
        <v/>
      </c>
    </row>
    <row r="582">
      <c r="A582" s="3" t="str">
        <f>IF(AND(Data!$K582='All Types'!$D$2,Data!$L582='All Types'!$D$3),Data!$C582,"")</f>
        <v/>
      </c>
      <c r="B582" s="3" t="str">
        <f>IF(AND(Data!$K582='All Types'!$D$2,Data!$L582='All Types'!$D$3),Data!M582,"")</f>
        <v/>
      </c>
      <c r="C582" s="3" t="str">
        <f>IF(B582="","",Data!N582)</f>
        <v/>
      </c>
    </row>
    <row r="583">
      <c r="A583" s="3" t="str">
        <f>IF(AND(Data!$K583='All Types'!$D$2,Data!$L583='All Types'!$D$3),Data!$C583,"")</f>
        <v/>
      </c>
      <c r="B583" s="3" t="str">
        <f>IF(AND(Data!$K583='All Types'!$D$2,Data!$L583='All Types'!$D$3),Data!M583,"")</f>
        <v/>
      </c>
      <c r="C583" s="3" t="str">
        <f>IF(B583="","",Data!N583)</f>
        <v/>
      </c>
    </row>
    <row r="584">
      <c r="A584" s="3" t="str">
        <f>IF(AND(Data!$K584='All Types'!$D$2,Data!$L584='All Types'!$D$3),Data!$C584,"")</f>
        <v/>
      </c>
      <c r="B584" s="3" t="str">
        <f>IF(AND(Data!$K584='All Types'!$D$2,Data!$L584='All Types'!$D$3),Data!M584,"")</f>
        <v/>
      </c>
      <c r="C584" s="3" t="str">
        <f>IF(B584="","",Data!N584)</f>
        <v/>
      </c>
    </row>
    <row r="585">
      <c r="A585" s="3" t="str">
        <f>IF(AND(Data!$K585='All Types'!$D$2,Data!$L585='All Types'!$D$3),Data!$C585,"")</f>
        <v/>
      </c>
      <c r="B585" s="3" t="str">
        <f>IF(AND(Data!$K585='All Types'!$D$2,Data!$L585='All Types'!$D$3),Data!M585,"")</f>
        <v/>
      </c>
      <c r="C585" s="3" t="str">
        <f>IF(B585="","",Data!N585)</f>
        <v/>
      </c>
    </row>
    <row r="586">
      <c r="A586" s="3" t="str">
        <f>IF(AND(Data!$K586='All Types'!$D$2,Data!$L586='All Types'!$D$3),Data!$C586,"")</f>
        <v/>
      </c>
      <c r="B586" s="3" t="str">
        <f>IF(AND(Data!$K586='All Types'!$D$2,Data!$L586='All Types'!$D$3),Data!M586,"")</f>
        <v/>
      </c>
      <c r="C586" s="3" t="str">
        <f>IF(B586="","",Data!N586)</f>
        <v/>
      </c>
    </row>
    <row r="587">
      <c r="A587" s="3" t="str">
        <f>IF(AND(Data!$K587='All Types'!$D$2,Data!$L587='All Types'!$D$3),Data!$C587,"")</f>
        <v/>
      </c>
      <c r="B587" s="3" t="str">
        <f>IF(AND(Data!$K587='All Types'!$D$2,Data!$L587='All Types'!$D$3),Data!M587,"")</f>
        <v/>
      </c>
      <c r="C587" s="3" t="str">
        <f>IF(B587="","",Data!N587)</f>
        <v/>
      </c>
    </row>
    <row r="588">
      <c r="A588" s="3" t="str">
        <f>IF(AND(Data!$K588='All Types'!$D$2,Data!$L588='All Types'!$D$3),Data!$C588,"")</f>
        <v/>
      </c>
      <c r="B588" s="3" t="str">
        <f>IF(AND(Data!$K588='All Types'!$D$2,Data!$L588='All Types'!$D$3),Data!M588,"")</f>
        <v/>
      </c>
      <c r="C588" s="3" t="str">
        <f>IF(B588="","",Data!N588)</f>
        <v/>
      </c>
    </row>
    <row r="589">
      <c r="A589" s="3" t="str">
        <f>IF(AND(Data!$K589='All Types'!$D$2,Data!$L589='All Types'!$D$3),Data!$C589,"")</f>
        <v/>
      </c>
      <c r="B589" s="3" t="str">
        <f>IF(AND(Data!$K589='All Types'!$D$2,Data!$L589='All Types'!$D$3),Data!M589,"")</f>
        <v/>
      </c>
      <c r="C589" s="3" t="str">
        <f>IF(B589="","",Data!N589)</f>
        <v/>
      </c>
    </row>
    <row r="590">
      <c r="A590" s="3" t="str">
        <f>IF(AND(Data!$K590='All Types'!$D$2,Data!$L590='All Types'!$D$3),Data!$C590,"")</f>
        <v/>
      </c>
      <c r="B590" s="3" t="str">
        <f>IF(AND(Data!$K590='All Types'!$D$2,Data!$L590='All Types'!$D$3),Data!M590,"")</f>
        <v/>
      </c>
      <c r="C590" s="3" t="str">
        <f>IF(B590="","",Data!N590)</f>
        <v/>
      </c>
    </row>
    <row r="591">
      <c r="A591" s="3" t="str">
        <f>IF(AND(Data!$K591='All Types'!$D$2,Data!$L591='All Types'!$D$3),Data!$C591,"")</f>
        <v/>
      </c>
      <c r="B591" s="3" t="str">
        <f>IF(AND(Data!$K591='All Types'!$D$2,Data!$L591='All Types'!$D$3),Data!M591,"")</f>
        <v/>
      </c>
      <c r="C591" s="3" t="str">
        <f>IF(B591="","",Data!N591)</f>
        <v/>
      </c>
    </row>
    <row r="592">
      <c r="A592" s="3" t="str">
        <f>IF(AND(Data!$K592='All Types'!$D$2,Data!$L592='All Types'!$D$3),Data!$C592,"")</f>
        <v/>
      </c>
      <c r="B592" s="3" t="str">
        <f>IF(AND(Data!$K592='All Types'!$D$2,Data!$L592='All Types'!$D$3),Data!M592,"")</f>
        <v/>
      </c>
      <c r="C592" s="3" t="str">
        <f>IF(B592="","",Data!N592)</f>
        <v/>
      </c>
    </row>
    <row r="593">
      <c r="A593" s="3" t="str">
        <f>IF(AND(Data!$K593='All Types'!$D$2,Data!$L593='All Types'!$D$3),Data!$C593,"")</f>
        <v/>
      </c>
      <c r="B593" s="3" t="str">
        <f>IF(AND(Data!$K593='All Types'!$D$2,Data!$L593='All Types'!$D$3),Data!M593,"")</f>
        <v/>
      </c>
      <c r="C593" s="3" t="str">
        <f>IF(B593="","",Data!N593)</f>
        <v/>
      </c>
    </row>
    <row r="594">
      <c r="A594" s="3" t="str">
        <f>IF(AND(Data!$K594='All Types'!$D$2,Data!$L594='All Types'!$D$3),Data!$C594,"")</f>
        <v/>
      </c>
      <c r="B594" s="3" t="str">
        <f>IF(AND(Data!$K594='All Types'!$D$2,Data!$L594='All Types'!$D$3),Data!M594,"")</f>
        <v/>
      </c>
      <c r="C594" s="3" t="str">
        <f>IF(B594="","",Data!N594)</f>
        <v/>
      </c>
    </row>
    <row r="595">
      <c r="A595" s="3" t="str">
        <f>IF(AND(Data!$K595='All Types'!$D$2,Data!$L595='All Types'!$D$3),Data!$C595,"")</f>
        <v/>
      </c>
      <c r="B595" s="3" t="str">
        <f>IF(AND(Data!$K595='All Types'!$D$2,Data!$L595='All Types'!$D$3),Data!M595,"")</f>
        <v/>
      </c>
      <c r="C595" s="3" t="str">
        <f>IF(B595="","",Data!N595)</f>
        <v/>
      </c>
    </row>
    <row r="596">
      <c r="A596" s="3" t="str">
        <f>IF(AND(Data!$K596='All Types'!$D$2,Data!$L596='All Types'!$D$3),Data!$C596,"")</f>
        <v/>
      </c>
      <c r="B596" s="3" t="str">
        <f>IF(AND(Data!$K596='All Types'!$D$2,Data!$L596='All Types'!$D$3),Data!M596,"")</f>
        <v/>
      </c>
      <c r="C596" s="3" t="str">
        <f>IF(B596="","",Data!N596)</f>
        <v/>
      </c>
    </row>
    <row r="597">
      <c r="A597" s="3" t="str">
        <f>IF(AND(Data!$K597='All Types'!$D$2,Data!$L597='All Types'!$D$3),Data!$C597,"")</f>
        <v/>
      </c>
      <c r="B597" s="3" t="str">
        <f>IF(AND(Data!$K597='All Types'!$D$2,Data!$L597='All Types'!$D$3),Data!M597,"")</f>
        <v/>
      </c>
      <c r="C597" s="3" t="str">
        <f>IF(B597="","",Data!N597)</f>
        <v/>
      </c>
    </row>
    <row r="598">
      <c r="A598" s="3" t="str">
        <f>IF(AND(Data!$K598='All Types'!$D$2,Data!$L598='All Types'!$D$3),Data!$C598,"")</f>
        <v/>
      </c>
      <c r="B598" s="3" t="str">
        <f>IF(AND(Data!$K598='All Types'!$D$2,Data!$L598='All Types'!$D$3),Data!M598,"")</f>
        <v/>
      </c>
      <c r="C598" s="3" t="str">
        <f>IF(B598="","",Data!N598)</f>
        <v/>
      </c>
    </row>
    <row r="599">
      <c r="A599" s="3" t="str">
        <f>IF(AND(Data!$K599='All Types'!$D$2,Data!$L599='All Types'!$D$3),Data!$C599,"")</f>
        <v/>
      </c>
      <c r="B599" s="3" t="str">
        <f>IF(AND(Data!$K599='All Types'!$D$2,Data!$L599='All Types'!$D$3),Data!M599,"")</f>
        <v/>
      </c>
      <c r="C599" s="3" t="str">
        <f>IF(B599="","",Data!N599)</f>
        <v/>
      </c>
    </row>
    <row r="600">
      <c r="A600" s="3" t="str">
        <f>IF(AND(Data!$K600='All Types'!$D$2,Data!$L600='All Types'!$D$3),Data!$C600,"")</f>
        <v/>
      </c>
      <c r="B600" s="3" t="str">
        <f>IF(AND(Data!$K600='All Types'!$D$2,Data!$L600='All Types'!$D$3),Data!M600,"")</f>
        <v/>
      </c>
      <c r="C600" s="3" t="str">
        <f>IF(B600="","",Data!N600)</f>
        <v/>
      </c>
    </row>
    <row r="601">
      <c r="A601" s="3" t="str">
        <f>IF(AND(Data!$K601='All Types'!$D$2,Data!$L601='All Types'!$D$3),Data!$C601,"")</f>
        <v/>
      </c>
      <c r="B601" s="3" t="str">
        <f>IF(AND(Data!$K601='All Types'!$D$2,Data!$L601='All Types'!$D$3),Data!M601,"")</f>
        <v/>
      </c>
      <c r="C601" s="3" t="str">
        <f>IF(B601="","",Data!N601)</f>
        <v/>
      </c>
    </row>
    <row r="602">
      <c r="A602" s="3" t="str">
        <f>IF(AND(Data!$K602='All Types'!$D$2,Data!$L602='All Types'!$D$3),Data!$C602,"")</f>
        <v/>
      </c>
      <c r="B602" s="3" t="str">
        <f>IF(AND(Data!$K602='All Types'!$D$2,Data!$L602='All Types'!$D$3),Data!M602,"")</f>
        <v/>
      </c>
      <c r="C602" s="3" t="str">
        <f>IF(B602="","",Data!N602)</f>
        <v/>
      </c>
    </row>
    <row r="603">
      <c r="A603" s="3" t="str">
        <f>IF(AND(Data!$K603='All Types'!$D$2,Data!$L603='All Types'!$D$3),Data!$C603,"")</f>
        <v/>
      </c>
      <c r="B603" s="3" t="str">
        <f>IF(AND(Data!$K603='All Types'!$D$2,Data!$L603='All Types'!$D$3),Data!M603,"")</f>
        <v/>
      </c>
      <c r="C603" s="3" t="str">
        <f>IF(B603="","",Data!N603)</f>
        <v/>
      </c>
    </row>
    <row r="604">
      <c r="A604" s="3" t="str">
        <f>IF(AND(Data!$K604='All Types'!$D$2,Data!$L604='All Types'!$D$3),Data!$C604,"")</f>
        <v/>
      </c>
      <c r="B604" s="3" t="str">
        <f>IF(AND(Data!$K604='All Types'!$D$2,Data!$L604='All Types'!$D$3),Data!M604,"")</f>
        <v/>
      </c>
      <c r="C604" s="3" t="str">
        <f>IF(B604="","",Data!N604)</f>
        <v/>
      </c>
    </row>
    <row r="605">
      <c r="A605" s="3" t="str">
        <f>IF(AND(Data!$K605='All Types'!$D$2,Data!$L605='All Types'!$D$3),Data!$C605,"")</f>
        <v/>
      </c>
      <c r="B605" s="3" t="str">
        <f>IF(AND(Data!$K605='All Types'!$D$2,Data!$L605='All Types'!$D$3),Data!M605,"")</f>
        <v/>
      </c>
      <c r="C605" s="3" t="str">
        <f>IF(B605="","",Data!N605)</f>
        <v/>
      </c>
    </row>
    <row r="606">
      <c r="A606" s="3" t="str">
        <f>IF(AND(Data!$K606='All Types'!$D$2,Data!$L606='All Types'!$D$3),Data!$C606,"")</f>
        <v/>
      </c>
      <c r="B606" s="3" t="str">
        <f>IF(AND(Data!$K606='All Types'!$D$2,Data!$L606='All Types'!$D$3),Data!M606,"")</f>
        <v/>
      </c>
      <c r="C606" s="3" t="str">
        <f>IF(B606="","",Data!N606)</f>
        <v/>
      </c>
    </row>
    <row r="607">
      <c r="A607" s="3" t="str">
        <f>IF(AND(Data!$K607='All Types'!$D$2,Data!$L607='All Types'!$D$3),Data!$C607,"")</f>
        <v/>
      </c>
      <c r="B607" s="3" t="str">
        <f>IF(AND(Data!$K607='All Types'!$D$2,Data!$L607='All Types'!$D$3),Data!M607,"")</f>
        <v/>
      </c>
      <c r="C607" s="3" t="str">
        <f>IF(B607="","",Data!N607)</f>
        <v/>
      </c>
    </row>
    <row r="608">
      <c r="A608" s="3" t="str">
        <f>IF(AND(Data!$K608='All Types'!$D$2,Data!$L608='All Types'!$D$3),Data!$C608,"")</f>
        <v/>
      </c>
      <c r="B608" s="3" t="str">
        <f>IF(AND(Data!$K608='All Types'!$D$2,Data!$L608='All Types'!$D$3),Data!M608,"")</f>
        <v/>
      </c>
      <c r="C608" s="3" t="str">
        <f>IF(B608="","",Data!N608)</f>
        <v/>
      </c>
    </row>
    <row r="609">
      <c r="A609" s="3" t="str">
        <f>IF(AND(Data!$K609='All Types'!$D$2,Data!$L609='All Types'!$D$3),Data!$C609,"")</f>
        <v/>
      </c>
      <c r="B609" s="3" t="str">
        <f>IF(AND(Data!$K609='All Types'!$D$2,Data!$L609='All Types'!$D$3),Data!M609,"")</f>
        <v/>
      </c>
      <c r="C609" s="3" t="str">
        <f>IF(B609="","",Data!N609)</f>
        <v/>
      </c>
    </row>
    <row r="610">
      <c r="A610" s="3" t="str">
        <f>IF(AND(Data!$K610='All Types'!$D$2,Data!$L610='All Types'!$D$3),Data!$C610,"")</f>
        <v/>
      </c>
      <c r="B610" s="3" t="str">
        <f>IF(AND(Data!$K610='All Types'!$D$2,Data!$L610='All Types'!$D$3),Data!M610,"")</f>
        <v/>
      </c>
      <c r="C610" s="3" t="str">
        <f>IF(B610="","",Data!N610)</f>
        <v/>
      </c>
    </row>
    <row r="611">
      <c r="A611" s="3" t="str">
        <f>IF(AND(Data!$K611='All Types'!$D$2,Data!$L611='All Types'!$D$3),Data!$C611,"")</f>
        <v/>
      </c>
      <c r="B611" s="3" t="str">
        <f>IF(AND(Data!$K611='All Types'!$D$2,Data!$L611='All Types'!$D$3),Data!M611,"")</f>
        <v/>
      </c>
      <c r="C611" s="3" t="str">
        <f>IF(B611="","",Data!N611)</f>
        <v/>
      </c>
    </row>
    <row r="612">
      <c r="A612" s="3" t="str">
        <f>IF(AND(Data!$K612='All Types'!$D$2,Data!$L612='All Types'!$D$3),Data!$C612,"")</f>
        <v/>
      </c>
      <c r="B612" s="3" t="str">
        <f>IF(AND(Data!$K612='All Types'!$D$2,Data!$L612='All Types'!$D$3),Data!M612,"")</f>
        <v/>
      </c>
      <c r="C612" s="3" t="str">
        <f>IF(B612="","",Data!N612)</f>
        <v/>
      </c>
    </row>
    <row r="613">
      <c r="A613" s="3" t="str">
        <f>IF(AND(Data!$K613='All Types'!$D$2,Data!$L613='All Types'!$D$3),Data!$C613,"")</f>
        <v/>
      </c>
      <c r="B613" s="3" t="str">
        <f>IF(AND(Data!$K613='All Types'!$D$2,Data!$L613='All Types'!$D$3),Data!M613,"")</f>
        <v/>
      </c>
      <c r="C613" s="3" t="str">
        <f>IF(B613="","",Data!N613)</f>
        <v/>
      </c>
    </row>
    <row r="614">
      <c r="A614" s="3" t="str">
        <f>IF(AND(Data!$K614='All Types'!$D$2,Data!$L614='All Types'!$D$3),Data!$C614,"")</f>
        <v/>
      </c>
      <c r="B614" s="3" t="str">
        <f>IF(AND(Data!$K614='All Types'!$D$2,Data!$L614='All Types'!$D$3),Data!M614,"")</f>
        <v/>
      </c>
      <c r="C614" s="3" t="str">
        <f>IF(B614="","",Data!N614)</f>
        <v/>
      </c>
    </row>
    <row r="615">
      <c r="A615" s="3" t="str">
        <f>IF(AND(Data!$K615='All Types'!$D$2,Data!$L615='All Types'!$D$3),Data!$C615,"")</f>
        <v/>
      </c>
      <c r="B615" s="3" t="str">
        <f>IF(AND(Data!$K615='All Types'!$D$2,Data!$L615='All Types'!$D$3),Data!M615,"")</f>
        <v/>
      </c>
      <c r="C615" s="3" t="str">
        <f>IF(B615="","",Data!N615)</f>
        <v/>
      </c>
    </row>
    <row r="616">
      <c r="A616" s="3" t="str">
        <f>IF(AND(Data!$K616='All Types'!$D$2,Data!$L616='All Types'!$D$3),Data!$C616,"")</f>
        <v/>
      </c>
      <c r="B616" s="3" t="str">
        <f>IF(AND(Data!$K616='All Types'!$D$2,Data!$L616='All Types'!$D$3),Data!M616,"")</f>
        <v/>
      </c>
      <c r="C616" s="3" t="str">
        <f>IF(B616="","",Data!N616)</f>
        <v/>
      </c>
    </row>
    <row r="617">
      <c r="A617" s="3" t="str">
        <f>IF(AND(Data!$K617='All Types'!$D$2,Data!$L617='All Types'!$D$3),Data!$C617,"")</f>
        <v/>
      </c>
      <c r="B617" s="3" t="str">
        <f>IF(AND(Data!$K617='All Types'!$D$2,Data!$L617='All Types'!$D$3),Data!M617,"")</f>
        <v/>
      </c>
      <c r="C617" s="3" t="str">
        <f>IF(B617="","",Data!N617)</f>
        <v/>
      </c>
    </row>
    <row r="618">
      <c r="A618" s="3" t="str">
        <f>IF(AND(Data!$K618='All Types'!$D$2,Data!$L618='All Types'!$D$3),Data!$C618,"")</f>
        <v/>
      </c>
      <c r="B618" s="3" t="str">
        <f>IF(AND(Data!$K618='All Types'!$D$2,Data!$L618='All Types'!$D$3),Data!M618,"")</f>
        <v/>
      </c>
      <c r="C618" s="3" t="str">
        <f>IF(B618="","",Data!N618)</f>
        <v/>
      </c>
    </row>
    <row r="619">
      <c r="A619" s="3" t="str">
        <f>IF(AND(Data!$K619='All Types'!$D$2,Data!$L619='All Types'!$D$3),Data!$C619,"")</f>
        <v/>
      </c>
      <c r="B619" s="3" t="str">
        <f>IF(AND(Data!$K619='All Types'!$D$2,Data!$L619='All Types'!$D$3),Data!M619,"")</f>
        <v/>
      </c>
      <c r="C619" s="3" t="str">
        <f>IF(B619="","",Data!N619)</f>
        <v/>
      </c>
    </row>
    <row r="620">
      <c r="A620" s="3" t="str">
        <f>IF(AND(Data!$K620='All Types'!$D$2,Data!$L620='All Types'!$D$3),Data!$C620,"")</f>
        <v/>
      </c>
      <c r="B620" s="3" t="str">
        <f>IF(AND(Data!$K620='All Types'!$D$2,Data!$L620='All Types'!$D$3),Data!M620,"")</f>
        <v/>
      </c>
      <c r="C620" s="3" t="str">
        <f>IF(B620="","",Data!N620)</f>
        <v/>
      </c>
    </row>
    <row r="621">
      <c r="A621" s="3" t="str">
        <f>IF(AND(Data!$K621='All Types'!$D$2,Data!$L621='All Types'!$D$3),Data!$C621,"")</f>
        <v/>
      </c>
      <c r="B621" s="3" t="str">
        <f>IF(AND(Data!$K621='All Types'!$D$2,Data!$L621='All Types'!$D$3),Data!M621,"")</f>
        <v/>
      </c>
      <c r="C621" s="3" t="str">
        <f>IF(B621="","",Data!N621)</f>
        <v/>
      </c>
    </row>
    <row r="622">
      <c r="A622" s="3" t="str">
        <f>IF(AND(Data!$K622='All Types'!$D$2,Data!$L622='All Types'!$D$3),Data!$C622,"")</f>
        <v/>
      </c>
      <c r="B622" s="3" t="str">
        <f>IF(AND(Data!$K622='All Types'!$D$2,Data!$L622='All Types'!$D$3),Data!M622,"")</f>
        <v/>
      </c>
      <c r="C622" s="3" t="str">
        <f>IF(B622="","",Data!N622)</f>
        <v/>
      </c>
    </row>
    <row r="623">
      <c r="A623" s="3" t="str">
        <f>IF(AND(Data!$K623='All Types'!$D$2,Data!$L623='All Types'!$D$3),Data!$C623,"")</f>
        <v/>
      </c>
      <c r="B623" s="3" t="str">
        <f>IF(AND(Data!$K623='All Types'!$D$2,Data!$L623='All Types'!$D$3),Data!M623,"")</f>
        <v/>
      </c>
      <c r="C623" s="3" t="str">
        <f>IF(B623="","",Data!N623)</f>
        <v/>
      </c>
    </row>
    <row r="624">
      <c r="A624" s="3" t="str">
        <f>IF(AND(Data!$K624='All Types'!$D$2,Data!$L624='All Types'!$D$3),Data!$C624,"")</f>
        <v/>
      </c>
      <c r="B624" s="3" t="str">
        <f>IF(AND(Data!$K624='All Types'!$D$2,Data!$L624='All Types'!$D$3),Data!M624,"")</f>
        <v/>
      </c>
      <c r="C624" s="3" t="str">
        <f>IF(B624="","",Data!N624)</f>
        <v/>
      </c>
    </row>
    <row r="625">
      <c r="A625" s="3" t="str">
        <f>IF(AND(Data!$K625='All Types'!$D$2,Data!$L625='All Types'!$D$3),Data!$C625,"")</f>
        <v/>
      </c>
      <c r="B625" s="3" t="str">
        <f>IF(AND(Data!$K625='All Types'!$D$2,Data!$L625='All Types'!$D$3),Data!M625,"")</f>
        <v/>
      </c>
      <c r="C625" s="3" t="str">
        <f>IF(B625="","",Data!N625)</f>
        <v/>
      </c>
    </row>
    <row r="626">
      <c r="A626" s="3" t="str">
        <f>IF(AND(Data!$K626='All Types'!$D$2,Data!$L626='All Types'!$D$3),Data!$C626,"")</f>
        <v/>
      </c>
      <c r="B626" s="3" t="str">
        <f>IF(AND(Data!$K626='All Types'!$D$2,Data!$L626='All Types'!$D$3),Data!M626,"")</f>
        <v/>
      </c>
      <c r="C626" s="3" t="str">
        <f>IF(B626="","",Data!N626)</f>
        <v/>
      </c>
    </row>
    <row r="627">
      <c r="A627" s="3" t="str">
        <f>IF(AND(Data!$K627='All Types'!$D$2,Data!$L627='All Types'!$D$3),Data!$C627,"")</f>
        <v/>
      </c>
      <c r="B627" s="3" t="str">
        <f>IF(AND(Data!$K627='All Types'!$D$2,Data!$L627='All Types'!$D$3),Data!M627,"")</f>
        <v/>
      </c>
      <c r="C627" s="3" t="str">
        <f>IF(B627="","",Data!N627)</f>
        <v/>
      </c>
    </row>
    <row r="628">
      <c r="A628" s="3" t="str">
        <f>IF(AND(Data!$K628='All Types'!$D$2,Data!$L628='All Types'!$D$3),Data!$C628,"")</f>
        <v/>
      </c>
      <c r="B628" s="3" t="str">
        <f>IF(AND(Data!$K628='All Types'!$D$2,Data!$L628='All Types'!$D$3),Data!M628,"")</f>
        <v/>
      </c>
      <c r="C628" s="3" t="str">
        <f>IF(B628="","",Data!N628)</f>
        <v/>
      </c>
    </row>
    <row r="629">
      <c r="A629" s="3" t="str">
        <f>IF(AND(Data!$K629='All Types'!$D$2,Data!$L629='All Types'!$D$3),Data!$C629,"")</f>
        <v/>
      </c>
      <c r="B629" s="3" t="str">
        <f>IF(AND(Data!$K629='All Types'!$D$2,Data!$L629='All Types'!$D$3),Data!M629,"")</f>
        <v/>
      </c>
      <c r="C629" s="3" t="str">
        <f>IF(B629="","",Data!N629)</f>
        <v/>
      </c>
    </row>
    <row r="630">
      <c r="A630" s="3" t="str">
        <f>IF(AND(Data!$K630='All Types'!$D$2,Data!$L630='All Types'!$D$3),Data!$C630,"")</f>
        <v/>
      </c>
      <c r="B630" s="3" t="str">
        <f>IF(AND(Data!$K630='All Types'!$D$2,Data!$L630='All Types'!$D$3),Data!M630,"")</f>
        <v/>
      </c>
      <c r="C630" s="3" t="str">
        <f>IF(B630="","",Data!N630)</f>
        <v/>
      </c>
    </row>
    <row r="631">
      <c r="A631" s="3" t="str">
        <f>IF(AND(Data!$K631='All Types'!$D$2,Data!$L631='All Types'!$D$3),Data!$C631,"")</f>
        <v/>
      </c>
      <c r="B631" s="3" t="str">
        <f>IF(AND(Data!$K631='All Types'!$D$2,Data!$L631='All Types'!$D$3),Data!M631,"")</f>
        <v/>
      </c>
      <c r="C631" s="3" t="str">
        <f>IF(B631="","",Data!N631)</f>
        <v/>
      </c>
    </row>
    <row r="632">
      <c r="A632" s="3" t="str">
        <f>IF(AND(Data!$K632='All Types'!$D$2,Data!$L632='All Types'!$D$3),Data!$C632,"")</f>
        <v/>
      </c>
      <c r="B632" s="3" t="str">
        <f>IF(AND(Data!$K632='All Types'!$D$2,Data!$L632='All Types'!$D$3),Data!M632,"")</f>
        <v/>
      </c>
      <c r="C632" s="3" t="str">
        <f>IF(B632="","",Data!N632)</f>
        <v/>
      </c>
    </row>
    <row r="633">
      <c r="A633" s="3" t="str">
        <f>IF(AND(Data!$K633='All Types'!$D$2,Data!$L633='All Types'!$D$3),Data!$C633,"")</f>
        <v/>
      </c>
      <c r="B633" s="3" t="str">
        <f>IF(AND(Data!$K633='All Types'!$D$2,Data!$L633='All Types'!$D$3),Data!M633,"")</f>
        <v/>
      </c>
      <c r="C633" s="3" t="str">
        <f>IF(B633="","",Data!N633)</f>
        <v/>
      </c>
    </row>
    <row r="634">
      <c r="A634" s="3" t="str">
        <f>IF(AND(Data!$K634='All Types'!$D$2,Data!$L634='All Types'!$D$3),Data!$C634,"")</f>
        <v/>
      </c>
      <c r="B634" s="3" t="str">
        <f>IF(AND(Data!$K634='All Types'!$D$2,Data!$L634='All Types'!$D$3),Data!M634,"")</f>
        <v/>
      </c>
      <c r="C634" s="3" t="str">
        <f>IF(B634="","",Data!N634)</f>
        <v/>
      </c>
    </row>
    <row r="635">
      <c r="A635" s="3" t="str">
        <f>IF(AND(Data!$K635='All Types'!$D$2,Data!$L635='All Types'!$D$3),Data!$C635,"")</f>
        <v/>
      </c>
      <c r="B635" s="3" t="str">
        <f>IF(AND(Data!$K635='All Types'!$D$2,Data!$L635='All Types'!$D$3),Data!M635,"")</f>
        <v/>
      </c>
      <c r="C635" s="3" t="str">
        <f>IF(B635="","",Data!N635)</f>
        <v/>
      </c>
    </row>
    <row r="636">
      <c r="A636" s="3" t="str">
        <f>IF(AND(Data!$K636='All Types'!$D$2,Data!$L636='All Types'!$D$3),Data!$C636,"")</f>
        <v/>
      </c>
      <c r="B636" s="3" t="str">
        <f>IF(AND(Data!$K636='All Types'!$D$2,Data!$L636='All Types'!$D$3),Data!M636,"")</f>
        <v/>
      </c>
      <c r="C636" s="3" t="str">
        <f>IF(B636="","",Data!N636)</f>
        <v/>
      </c>
    </row>
    <row r="637">
      <c r="A637" s="3" t="str">
        <f>IF(AND(Data!$K637='All Types'!$D$2,Data!$L637='All Types'!$D$3),Data!$C637,"")</f>
        <v/>
      </c>
      <c r="B637" s="3" t="str">
        <f>IF(AND(Data!$K637='All Types'!$D$2,Data!$L637='All Types'!$D$3),Data!M637,"")</f>
        <v/>
      </c>
      <c r="C637" s="3" t="str">
        <f>IF(B637="","",Data!N637)</f>
        <v/>
      </c>
    </row>
    <row r="638">
      <c r="A638" s="3" t="str">
        <f>IF(AND(Data!$K638='All Types'!$D$2,Data!$L638='All Types'!$D$3),Data!$C638,"")</f>
        <v/>
      </c>
      <c r="B638" s="3" t="str">
        <f>IF(AND(Data!$K638='All Types'!$D$2,Data!$L638='All Types'!$D$3),Data!M638,"")</f>
        <v/>
      </c>
      <c r="C638" s="3" t="str">
        <f>IF(B638="","",Data!N638)</f>
        <v/>
      </c>
    </row>
    <row r="639">
      <c r="A639" s="3" t="str">
        <f>IF(AND(Data!$K639='All Types'!$D$2,Data!$L639='All Types'!$D$3),Data!$C639,"")</f>
        <v/>
      </c>
      <c r="B639" s="3" t="str">
        <f>IF(AND(Data!$K639='All Types'!$D$2,Data!$L639='All Types'!$D$3),Data!M639,"")</f>
        <v/>
      </c>
      <c r="C639" s="3" t="str">
        <f>IF(B639="","",Data!N639)</f>
        <v/>
      </c>
    </row>
    <row r="640">
      <c r="A640" s="3" t="str">
        <f>IF(AND(Data!$K640='All Types'!$D$2,Data!$L640='All Types'!$D$3),Data!$C640,"")</f>
        <v/>
      </c>
      <c r="B640" s="3" t="str">
        <f>IF(AND(Data!$K640='All Types'!$D$2,Data!$L640='All Types'!$D$3),Data!M640,"")</f>
        <v/>
      </c>
      <c r="C640" s="3" t="str">
        <f>IF(B640="","",Data!N640)</f>
        <v/>
      </c>
    </row>
    <row r="641">
      <c r="A641" s="3" t="str">
        <f>IF(AND(Data!$K641='All Types'!$D$2,Data!$L641='All Types'!$D$3),Data!$C641,"")</f>
        <v/>
      </c>
      <c r="B641" s="3" t="str">
        <f>IF(AND(Data!$K641='All Types'!$D$2,Data!$L641='All Types'!$D$3),Data!M641,"")</f>
        <v/>
      </c>
      <c r="C641" s="3" t="str">
        <f>IF(B641="","",Data!N641)</f>
        <v/>
      </c>
    </row>
    <row r="642">
      <c r="A642" s="3" t="str">
        <f>IF(AND(Data!$K642='All Types'!$D$2,Data!$L642='All Types'!$D$3),Data!$C642,"")</f>
        <v/>
      </c>
      <c r="B642" s="3" t="str">
        <f>IF(AND(Data!$K642='All Types'!$D$2,Data!$L642='All Types'!$D$3),Data!M642,"")</f>
        <v/>
      </c>
      <c r="C642" s="3" t="str">
        <f>IF(B642="","",Data!N642)</f>
        <v/>
      </c>
    </row>
    <row r="643">
      <c r="A643" s="3" t="str">
        <f>IF(AND(Data!$K643='All Types'!$D$2,Data!$L643='All Types'!$D$3),Data!$C643,"")</f>
        <v/>
      </c>
      <c r="B643" s="3" t="str">
        <f>IF(AND(Data!$K643='All Types'!$D$2,Data!$L643='All Types'!$D$3),Data!M643,"")</f>
        <v/>
      </c>
      <c r="C643" s="3" t="str">
        <f>IF(B643="","",Data!N643)</f>
        <v/>
      </c>
    </row>
    <row r="644">
      <c r="A644" s="3" t="str">
        <f>IF(AND(Data!$K644='All Types'!$D$2,Data!$L644='All Types'!$D$3),Data!$C644,"")</f>
        <v/>
      </c>
      <c r="B644" s="3" t="str">
        <f>IF(AND(Data!$K644='All Types'!$D$2,Data!$L644='All Types'!$D$3),Data!M644,"")</f>
        <v/>
      </c>
      <c r="C644" s="3" t="str">
        <f>IF(B644="","",Data!N644)</f>
        <v/>
      </c>
    </row>
    <row r="645">
      <c r="A645" s="3" t="str">
        <f>IF(AND(Data!$K645='All Types'!$D$2,Data!$L645='All Types'!$D$3),Data!$C645,"")</f>
        <v/>
      </c>
      <c r="B645" s="3" t="str">
        <f>IF(AND(Data!$K645='All Types'!$D$2,Data!$L645='All Types'!$D$3),Data!M645,"")</f>
        <v/>
      </c>
      <c r="C645" s="3" t="str">
        <f>IF(B645="","",Data!N645)</f>
        <v/>
      </c>
    </row>
    <row r="646">
      <c r="A646" s="3" t="str">
        <f>IF(AND(Data!$K646='All Types'!$D$2,Data!$L646='All Types'!$D$3),Data!$C646,"")</f>
        <v/>
      </c>
      <c r="B646" s="3" t="str">
        <f>IF(AND(Data!$K646='All Types'!$D$2,Data!$L646='All Types'!$D$3),Data!M646,"")</f>
        <v/>
      </c>
      <c r="C646" s="3" t="str">
        <f>IF(B646="","",Data!N646)</f>
        <v/>
      </c>
    </row>
    <row r="647">
      <c r="A647" s="3" t="str">
        <f>IF(AND(Data!$K647='All Types'!$D$2,Data!$L647='All Types'!$D$3),Data!$C647,"")</f>
        <v/>
      </c>
      <c r="B647" s="3" t="str">
        <f>IF(AND(Data!$K647='All Types'!$D$2,Data!$L647='All Types'!$D$3),Data!M647,"")</f>
        <v/>
      </c>
      <c r="C647" s="3" t="str">
        <f>IF(B647="","",Data!N647)</f>
        <v/>
      </c>
    </row>
    <row r="648">
      <c r="A648" s="3" t="str">
        <f>IF(AND(Data!$K648='All Types'!$D$2,Data!$L648='All Types'!$D$3),Data!$C648,"")</f>
        <v/>
      </c>
      <c r="B648" s="3" t="str">
        <f>IF(AND(Data!$K648='All Types'!$D$2,Data!$L648='All Types'!$D$3),Data!M648,"")</f>
        <v/>
      </c>
      <c r="C648" s="3" t="str">
        <f>IF(B648="","",Data!N648)</f>
        <v/>
      </c>
    </row>
    <row r="649">
      <c r="A649" s="3" t="str">
        <f>IF(AND(Data!$K649='All Types'!$D$2,Data!$L649='All Types'!$D$3),Data!$C649,"")</f>
        <v/>
      </c>
      <c r="B649" s="3" t="str">
        <f>IF(AND(Data!$K649='All Types'!$D$2,Data!$L649='All Types'!$D$3),Data!M649,"")</f>
        <v/>
      </c>
      <c r="C649" s="3" t="str">
        <f>IF(B649="","",Data!N649)</f>
        <v/>
      </c>
    </row>
    <row r="650">
      <c r="A650" s="3" t="str">
        <f>IF(AND(Data!$K650='All Types'!$D$2,Data!$L650='All Types'!$D$3),Data!$C650,"")</f>
        <v/>
      </c>
      <c r="B650" s="3" t="str">
        <f>IF(AND(Data!$K650='All Types'!$D$2,Data!$L650='All Types'!$D$3),Data!M650,"")</f>
        <v/>
      </c>
      <c r="C650" s="3" t="str">
        <f>IF(B650="","",Data!N650)</f>
        <v/>
      </c>
    </row>
    <row r="651">
      <c r="A651" s="3" t="str">
        <f>IF(AND(Data!$K651='All Types'!$D$2,Data!$L651='All Types'!$D$3),Data!$C651,"")</f>
        <v/>
      </c>
      <c r="B651" s="3" t="str">
        <f>IF(AND(Data!$K651='All Types'!$D$2,Data!$L651='All Types'!$D$3),Data!M651,"")</f>
        <v/>
      </c>
      <c r="C651" s="3" t="str">
        <f>IF(B651="","",Data!N651)</f>
        <v/>
      </c>
    </row>
    <row r="652">
      <c r="A652" s="3" t="str">
        <f>IF(AND(Data!$K652='All Types'!$D$2,Data!$L652='All Types'!$D$3),Data!$C652,"")</f>
        <v/>
      </c>
      <c r="B652" s="3" t="str">
        <f>IF(AND(Data!$K652='All Types'!$D$2,Data!$L652='All Types'!$D$3),Data!M652,"")</f>
        <v/>
      </c>
      <c r="C652" s="3" t="str">
        <f>IF(B652="","",Data!N652)</f>
        <v/>
      </c>
    </row>
    <row r="653">
      <c r="A653" s="3" t="str">
        <f>IF(AND(Data!$K653='All Types'!$D$2,Data!$L653='All Types'!$D$3),Data!$C653,"")</f>
        <v/>
      </c>
      <c r="B653" s="3" t="str">
        <f>IF(AND(Data!$K653='All Types'!$D$2,Data!$L653='All Types'!$D$3),Data!M653,"")</f>
        <v/>
      </c>
      <c r="C653" s="3" t="str">
        <f>IF(B653="","",Data!N653)</f>
        <v/>
      </c>
    </row>
    <row r="654">
      <c r="A654" s="3" t="str">
        <f>IF(AND(Data!$K654='All Types'!$D$2,Data!$L654='All Types'!$D$3),Data!$C654,"")</f>
        <v/>
      </c>
      <c r="B654" s="3" t="str">
        <f>IF(AND(Data!$K654='All Types'!$D$2,Data!$L654='All Types'!$D$3),Data!M654,"")</f>
        <v/>
      </c>
      <c r="C654" s="3" t="str">
        <f>IF(B654="","",Data!N654)</f>
        <v/>
      </c>
    </row>
    <row r="655">
      <c r="A655" s="3" t="str">
        <f>IF(AND(Data!$K655='All Types'!$D$2,Data!$L655='All Types'!$D$3),Data!$C655,"")</f>
        <v/>
      </c>
      <c r="B655" s="3" t="str">
        <f>IF(AND(Data!$K655='All Types'!$D$2,Data!$L655='All Types'!$D$3),Data!M655,"")</f>
        <v/>
      </c>
      <c r="C655" s="3" t="str">
        <f>IF(B655="","",Data!N655)</f>
        <v/>
      </c>
    </row>
    <row r="656">
      <c r="A656" s="3" t="str">
        <f>IF(AND(Data!$K656='All Types'!$D$2,Data!$L656='All Types'!$D$3),Data!$C656,"")</f>
        <v/>
      </c>
      <c r="B656" s="3" t="str">
        <f>IF(AND(Data!$K656='All Types'!$D$2,Data!$L656='All Types'!$D$3),Data!M656,"")</f>
        <v/>
      </c>
      <c r="C656" s="3" t="str">
        <f>IF(B656="","",Data!N656)</f>
        <v/>
      </c>
    </row>
    <row r="657">
      <c r="A657" s="3" t="str">
        <f>IF(AND(Data!$K657='All Types'!$D$2,Data!$L657='All Types'!$D$3),Data!$C657,"")</f>
        <v/>
      </c>
      <c r="B657" s="3" t="str">
        <f>IF(AND(Data!$K657='All Types'!$D$2,Data!$L657='All Types'!$D$3),Data!M657,"")</f>
        <v/>
      </c>
      <c r="C657" s="3" t="str">
        <f>IF(B657="","",Data!N657)</f>
        <v/>
      </c>
    </row>
    <row r="658">
      <c r="A658" s="3" t="str">
        <f>IF(AND(Data!$K658='All Types'!$D$2,Data!$L658='All Types'!$D$3),Data!$C658,"")</f>
        <v/>
      </c>
      <c r="B658" s="3" t="str">
        <f>IF(AND(Data!$K658='All Types'!$D$2,Data!$L658='All Types'!$D$3),Data!M658,"")</f>
        <v/>
      </c>
      <c r="C658" s="3" t="str">
        <f>IF(B658="","",Data!N658)</f>
        <v/>
      </c>
    </row>
    <row r="659">
      <c r="A659" s="3" t="str">
        <f>IF(AND(Data!$K659='All Types'!$D$2,Data!$L659='All Types'!$D$3),Data!$C659,"")</f>
        <v/>
      </c>
      <c r="B659" s="3" t="str">
        <f>IF(AND(Data!$K659='All Types'!$D$2,Data!$L659='All Types'!$D$3),Data!M659,"")</f>
        <v/>
      </c>
      <c r="C659" s="3" t="str">
        <f>IF(B659="","",Data!N659)</f>
        <v/>
      </c>
    </row>
    <row r="660">
      <c r="A660" s="3" t="str">
        <f>IF(AND(Data!$K660='All Types'!$D$2,Data!$L660='All Types'!$D$3),Data!$C660,"")</f>
        <v/>
      </c>
      <c r="B660" s="3" t="str">
        <f>IF(AND(Data!$K660='All Types'!$D$2,Data!$L660='All Types'!$D$3),Data!M660,"")</f>
        <v/>
      </c>
      <c r="C660" s="3" t="str">
        <f>IF(B660="","",Data!N660)</f>
        <v/>
      </c>
    </row>
    <row r="661">
      <c r="A661" s="3" t="str">
        <f>IF(AND(Data!$K661='All Types'!$D$2,Data!$L661='All Types'!$D$3),Data!$C661,"")</f>
        <v/>
      </c>
      <c r="B661" s="3" t="str">
        <f>IF(AND(Data!$K661='All Types'!$D$2,Data!$L661='All Types'!$D$3),Data!M661,"")</f>
        <v/>
      </c>
      <c r="C661" s="3" t="str">
        <f>IF(B661="","",Data!N661)</f>
        <v/>
      </c>
    </row>
    <row r="662">
      <c r="A662" s="3" t="str">
        <f>IF(AND(Data!$K662='All Types'!$D$2,Data!$L662='All Types'!$D$3),Data!$C662,"")</f>
        <v/>
      </c>
      <c r="B662" s="3" t="str">
        <f>IF(AND(Data!$K662='All Types'!$D$2,Data!$L662='All Types'!$D$3),Data!M662,"")</f>
        <v/>
      </c>
      <c r="C662" s="3" t="str">
        <f>IF(B662="","",Data!N662)</f>
        <v/>
      </c>
    </row>
    <row r="663">
      <c r="A663" s="3" t="str">
        <f>IF(AND(Data!$K663='All Types'!$D$2,Data!$L663='All Types'!$D$3),Data!$C663,"")</f>
        <v/>
      </c>
      <c r="B663" s="3" t="str">
        <f>IF(AND(Data!$K663='All Types'!$D$2,Data!$L663='All Types'!$D$3),Data!M663,"")</f>
        <v/>
      </c>
      <c r="C663" s="3" t="str">
        <f>IF(B663="","",Data!N663)</f>
        <v/>
      </c>
    </row>
    <row r="664">
      <c r="A664" s="3" t="str">
        <f>IF(AND(Data!$K664='All Types'!$D$2,Data!$L664='All Types'!$D$3),Data!$C664,"")</f>
        <v/>
      </c>
      <c r="B664" s="3" t="str">
        <f>IF(AND(Data!$K664='All Types'!$D$2,Data!$L664='All Types'!$D$3),Data!M664,"")</f>
        <v/>
      </c>
      <c r="C664" s="3" t="str">
        <f>IF(B664="","",Data!N664)</f>
        <v/>
      </c>
    </row>
    <row r="665">
      <c r="A665" s="3" t="str">
        <f>IF(AND(Data!$K665='All Types'!$D$2,Data!$L665='All Types'!$D$3),Data!$C665,"")</f>
        <v/>
      </c>
      <c r="B665" s="3" t="str">
        <f>IF(AND(Data!$K665='All Types'!$D$2,Data!$L665='All Types'!$D$3),Data!M665,"")</f>
        <v/>
      </c>
      <c r="C665" s="3" t="str">
        <f>IF(B665="","",Data!N665)</f>
        <v/>
      </c>
    </row>
    <row r="666">
      <c r="A666" s="3" t="str">
        <f>IF(AND(Data!$K666='All Types'!$D$2,Data!$L666='All Types'!$D$3),Data!$C666,"")</f>
        <v/>
      </c>
      <c r="B666" s="3" t="str">
        <f>IF(AND(Data!$K666='All Types'!$D$2,Data!$L666='All Types'!$D$3),Data!M666,"")</f>
        <v/>
      </c>
      <c r="C666" s="3" t="str">
        <f>IF(B666="","",Data!N666)</f>
        <v/>
      </c>
    </row>
    <row r="667">
      <c r="A667" s="3" t="str">
        <f>IF(AND(Data!$K667='All Types'!$D$2,Data!$L667='All Types'!$D$3),Data!$C667,"")</f>
        <v/>
      </c>
      <c r="B667" s="3" t="str">
        <f>IF(AND(Data!$K667='All Types'!$D$2,Data!$L667='All Types'!$D$3),Data!M667,"")</f>
        <v/>
      </c>
      <c r="C667" s="3" t="str">
        <f>IF(B667="","",Data!N667)</f>
        <v/>
      </c>
    </row>
    <row r="668">
      <c r="A668" s="3" t="str">
        <f>IF(AND(Data!$K668='All Types'!$D$2,Data!$L668='All Types'!$D$3),Data!$C668,"")</f>
        <v/>
      </c>
      <c r="B668" s="3" t="str">
        <f>IF(AND(Data!$K668='All Types'!$D$2,Data!$L668='All Types'!$D$3),Data!M668,"")</f>
        <v/>
      </c>
      <c r="C668" s="3" t="str">
        <f>IF(B668="","",Data!N668)</f>
        <v/>
      </c>
    </row>
    <row r="669">
      <c r="A669" s="3" t="str">
        <f>IF(AND(Data!$K669='All Types'!$D$2,Data!$L669='All Types'!$D$3),Data!$C669,"")</f>
        <v/>
      </c>
      <c r="B669" s="3" t="str">
        <f>IF(AND(Data!$K669='All Types'!$D$2,Data!$L669='All Types'!$D$3),Data!M669,"")</f>
        <v/>
      </c>
      <c r="C669" s="3" t="str">
        <f>IF(B669="","",Data!N669)</f>
        <v/>
      </c>
    </row>
    <row r="670">
      <c r="A670" s="3" t="str">
        <f>IF(AND(Data!$K670='All Types'!$D$2,Data!$L670='All Types'!$D$3),Data!$C670,"")</f>
        <v/>
      </c>
      <c r="B670" s="3" t="str">
        <f>IF(AND(Data!$K670='All Types'!$D$2,Data!$L670='All Types'!$D$3),Data!M670,"")</f>
        <v/>
      </c>
      <c r="C670" s="3" t="str">
        <f>IF(B670="","",Data!N670)</f>
        <v/>
      </c>
    </row>
    <row r="671">
      <c r="A671" s="3" t="str">
        <f>IF(AND(Data!$K671='All Types'!$D$2,Data!$L671='All Types'!$D$3),Data!$C671,"")</f>
        <v/>
      </c>
      <c r="B671" s="3" t="str">
        <f>IF(AND(Data!$K671='All Types'!$D$2,Data!$L671='All Types'!$D$3),Data!M671,"")</f>
        <v/>
      </c>
      <c r="C671" s="3" t="str">
        <f>IF(B671="","",Data!N671)</f>
        <v/>
      </c>
    </row>
    <row r="672">
      <c r="A672" s="3" t="str">
        <f>IF(AND(Data!$K672='All Types'!$D$2,Data!$L672='All Types'!$D$3),Data!$C672,"")</f>
        <v/>
      </c>
      <c r="B672" s="3" t="str">
        <f>IF(AND(Data!$K672='All Types'!$D$2,Data!$L672='All Types'!$D$3),Data!M672,"")</f>
        <v/>
      </c>
      <c r="C672" s="3" t="str">
        <f>IF(B672="","",Data!N672)</f>
        <v/>
      </c>
    </row>
    <row r="673">
      <c r="A673" s="3" t="str">
        <f>IF(AND(Data!$K673='All Types'!$D$2,Data!$L673='All Types'!$D$3),Data!$C673,"")</f>
        <v/>
      </c>
      <c r="B673" s="3" t="str">
        <f>IF(AND(Data!$K673='All Types'!$D$2,Data!$L673='All Types'!$D$3),Data!M673,"")</f>
        <v/>
      </c>
      <c r="C673" s="3" t="str">
        <f>IF(B673="","",Data!N673)</f>
        <v/>
      </c>
    </row>
    <row r="674">
      <c r="A674" s="3" t="str">
        <f>IF(AND(Data!$K674='All Types'!$D$2,Data!$L674='All Types'!$D$3),Data!$C674,"")</f>
        <v/>
      </c>
      <c r="B674" s="3" t="str">
        <f>IF(AND(Data!$K674='All Types'!$D$2,Data!$L674='All Types'!$D$3),Data!M674,"")</f>
        <v/>
      </c>
      <c r="C674" s="3" t="str">
        <f>IF(B674="","",Data!N674)</f>
        <v/>
      </c>
    </row>
    <row r="675">
      <c r="A675" s="3" t="str">
        <f>IF(AND(Data!$K675='All Types'!$D$2,Data!$L675='All Types'!$D$3),Data!$C675,"")</f>
        <v/>
      </c>
      <c r="B675" s="3" t="str">
        <f>IF(AND(Data!$K675='All Types'!$D$2,Data!$L675='All Types'!$D$3),Data!M675,"")</f>
        <v/>
      </c>
      <c r="C675" s="3" t="str">
        <f>IF(B675="","",Data!N675)</f>
        <v/>
      </c>
    </row>
    <row r="676">
      <c r="A676" s="3" t="str">
        <f>IF(AND(Data!$K676='All Types'!$D$2,Data!$L676='All Types'!$D$3),Data!$C676,"")</f>
        <v/>
      </c>
      <c r="B676" s="3" t="str">
        <f>IF(AND(Data!$K676='All Types'!$D$2,Data!$L676='All Types'!$D$3),Data!M676,"")</f>
        <v/>
      </c>
      <c r="C676" s="3" t="str">
        <f>IF(B676="","",Data!N676)</f>
        <v/>
      </c>
    </row>
    <row r="677">
      <c r="A677" s="3" t="str">
        <f>IF(AND(Data!$K677='All Types'!$D$2,Data!$L677='All Types'!$D$3),Data!$C677,"")</f>
        <v/>
      </c>
      <c r="B677" s="3" t="str">
        <f>IF(AND(Data!$K677='All Types'!$D$2,Data!$L677='All Types'!$D$3),Data!M677,"")</f>
        <v/>
      </c>
      <c r="C677" s="3" t="str">
        <f>IF(B677="","",Data!N677)</f>
        <v/>
      </c>
    </row>
    <row r="678">
      <c r="A678" s="3" t="str">
        <f>IF(AND(Data!$K678='All Types'!$D$2,Data!$L678='All Types'!$D$3),Data!$C678,"")</f>
        <v/>
      </c>
      <c r="B678" s="3" t="str">
        <f>IF(AND(Data!$K678='All Types'!$D$2,Data!$L678='All Types'!$D$3),Data!M678,"")</f>
        <v/>
      </c>
      <c r="C678" s="3" t="str">
        <f>IF(B678="","",Data!N678)</f>
        <v/>
      </c>
    </row>
    <row r="679">
      <c r="A679" s="3" t="str">
        <f>IF(AND(Data!$K679='All Types'!$D$2,Data!$L679='All Types'!$D$3),Data!$C679,"")</f>
        <v/>
      </c>
      <c r="B679" s="3" t="str">
        <f>IF(AND(Data!$K679='All Types'!$D$2,Data!$L679='All Types'!$D$3),Data!M679,"")</f>
        <v/>
      </c>
      <c r="C679" s="3" t="str">
        <f>IF(B679="","",Data!N679)</f>
        <v/>
      </c>
    </row>
    <row r="680">
      <c r="A680" s="3" t="str">
        <f>IF(AND(Data!$K680='All Types'!$D$2,Data!$L680='All Types'!$D$3),Data!$C680,"")</f>
        <v/>
      </c>
      <c r="B680" s="3" t="str">
        <f>IF(AND(Data!$K680='All Types'!$D$2,Data!$L680='All Types'!$D$3),Data!M680,"")</f>
        <v/>
      </c>
      <c r="C680" s="3" t="str">
        <f>IF(B680="","",Data!N680)</f>
        <v/>
      </c>
    </row>
    <row r="681">
      <c r="A681" s="3" t="str">
        <f>IF(AND(Data!$K681='All Types'!$D$2,Data!$L681='All Types'!$D$3),Data!$C681,"")</f>
        <v/>
      </c>
      <c r="B681" s="3" t="str">
        <f>IF(AND(Data!$K681='All Types'!$D$2,Data!$L681='All Types'!$D$3),Data!M681,"")</f>
        <v/>
      </c>
      <c r="C681" s="3" t="str">
        <f>IF(B681="","",Data!N681)</f>
        <v/>
      </c>
    </row>
    <row r="682">
      <c r="A682" s="3" t="str">
        <f>IF(AND(Data!$K682='All Types'!$D$2,Data!$L682='All Types'!$D$3),Data!$C682,"")</f>
        <v/>
      </c>
      <c r="B682" s="3" t="str">
        <f>IF(AND(Data!$K682='All Types'!$D$2,Data!$L682='All Types'!$D$3),Data!M682,"")</f>
        <v/>
      </c>
      <c r="C682" s="3" t="str">
        <f>IF(B682="","",Data!N682)</f>
        <v/>
      </c>
    </row>
    <row r="683">
      <c r="A683" s="3" t="str">
        <f>IF(AND(Data!$K683='All Types'!$D$2,Data!$L683='All Types'!$D$3),Data!$C683,"")</f>
        <v/>
      </c>
      <c r="B683" s="3" t="str">
        <f>IF(AND(Data!$K683='All Types'!$D$2,Data!$L683='All Types'!$D$3),Data!M683,"")</f>
        <v/>
      </c>
      <c r="C683" s="3" t="str">
        <f>IF(B683="","",Data!N683)</f>
        <v/>
      </c>
    </row>
    <row r="684">
      <c r="A684" s="3" t="str">
        <f>IF(AND(Data!$K684='All Types'!$D$2,Data!$L684='All Types'!$D$3),Data!$C684,"")</f>
        <v/>
      </c>
      <c r="B684" s="3" t="str">
        <f>IF(AND(Data!$K684='All Types'!$D$2,Data!$L684='All Types'!$D$3),Data!M684,"")</f>
        <v/>
      </c>
      <c r="C684" s="3" t="str">
        <f>IF(B684="","",Data!N684)</f>
        <v/>
      </c>
    </row>
    <row r="685">
      <c r="A685" s="3" t="str">
        <f>IF(AND(Data!$K685='All Types'!$D$2,Data!$L685='All Types'!$D$3),Data!$C685,"")</f>
        <v/>
      </c>
      <c r="B685" s="3" t="str">
        <f>IF(AND(Data!$K685='All Types'!$D$2,Data!$L685='All Types'!$D$3),Data!M685,"")</f>
        <v/>
      </c>
      <c r="C685" s="3" t="str">
        <f>IF(B685="","",Data!N685)</f>
        <v/>
      </c>
    </row>
    <row r="686">
      <c r="A686" s="3" t="str">
        <f>IF(AND(Data!$K686='All Types'!$D$2,Data!$L686='All Types'!$D$3),Data!$C686,"")</f>
        <v/>
      </c>
      <c r="B686" s="3" t="str">
        <f>IF(AND(Data!$K686='All Types'!$D$2,Data!$L686='All Types'!$D$3),Data!M686,"")</f>
        <v/>
      </c>
      <c r="C686" s="3" t="str">
        <f>IF(B686="","",Data!N686)</f>
        <v/>
      </c>
    </row>
    <row r="687">
      <c r="A687" s="3" t="str">
        <f>IF(AND(Data!$K687='All Types'!$D$2,Data!$L687='All Types'!$D$3),Data!$C687,"")</f>
        <v/>
      </c>
      <c r="B687" s="3" t="str">
        <f>IF(AND(Data!$K687='All Types'!$D$2,Data!$L687='All Types'!$D$3),Data!M687,"")</f>
        <v/>
      </c>
      <c r="C687" s="3" t="str">
        <f>IF(B687="","",Data!N687)</f>
        <v/>
      </c>
    </row>
    <row r="688">
      <c r="A688" s="3" t="str">
        <f>IF(AND(Data!$K688='All Types'!$D$2,Data!$L688='All Types'!$D$3),Data!$C688,"")</f>
        <v/>
      </c>
      <c r="B688" s="3" t="str">
        <f>IF(AND(Data!$K688='All Types'!$D$2,Data!$L688='All Types'!$D$3),Data!M688,"")</f>
        <v/>
      </c>
      <c r="C688" s="3" t="str">
        <f>IF(B688="","",Data!N688)</f>
        <v/>
      </c>
    </row>
    <row r="689">
      <c r="A689" s="3" t="str">
        <f>IF(AND(Data!$K689='All Types'!$D$2,Data!$L689='All Types'!$D$3),Data!$C689,"")</f>
        <v/>
      </c>
      <c r="B689" s="3" t="str">
        <f>IF(AND(Data!$K689='All Types'!$D$2,Data!$L689='All Types'!$D$3),Data!M689,"")</f>
        <v/>
      </c>
      <c r="C689" s="3" t="str">
        <f>IF(B689="","",Data!N689)</f>
        <v/>
      </c>
    </row>
    <row r="690">
      <c r="A690" s="3" t="str">
        <f>IF(AND(Data!$K690='All Types'!$D$2,Data!$L690='All Types'!$D$3),Data!$C690,"")</f>
        <v/>
      </c>
      <c r="B690" s="3" t="str">
        <f>IF(AND(Data!$K690='All Types'!$D$2,Data!$L690='All Types'!$D$3),Data!M690,"")</f>
        <v/>
      </c>
      <c r="C690" s="3" t="str">
        <f>IF(B690="","",Data!N690)</f>
        <v/>
      </c>
    </row>
    <row r="691">
      <c r="A691" s="3" t="str">
        <f>IF(AND(Data!$K691='All Types'!$D$2,Data!$L691='All Types'!$D$3),Data!$C691,"")</f>
        <v/>
      </c>
      <c r="B691" s="3" t="str">
        <f>IF(AND(Data!$K691='All Types'!$D$2,Data!$L691='All Types'!$D$3),Data!M691,"")</f>
        <v/>
      </c>
      <c r="C691" s="3" t="str">
        <f>IF(B691="","",Data!N691)</f>
        <v/>
      </c>
    </row>
    <row r="692">
      <c r="A692" s="3" t="str">
        <f>IF(AND(Data!$K692='All Types'!$D$2,Data!$L692='All Types'!$D$3),Data!$C692,"")</f>
        <v/>
      </c>
      <c r="B692" s="3" t="str">
        <f>IF(AND(Data!$K692='All Types'!$D$2,Data!$L692='All Types'!$D$3),Data!M692,"")</f>
        <v/>
      </c>
      <c r="C692" s="3" t="str">
        <f>IF(B692="","",Data!N692)</f>
        <v/>
      </c>
    </row>
    <row r="693">
      <c r="A693" s="3" t="str">
        <f>IF(AND(Data!$K693='All Types'!$D$2,Data!$L693='All Types'!$D$3),Data!$C693,"")</f>
        <v/>
      </c>
      <c r="B693" s="3" t="str">
        <f>IF(AND(Data!$K693='All Types'!$D$2,Data!$L693='All Types'!$D$3),Data!M693,"")</f>
        <v/>
      </c>
      <c r="C693" s="3" t="str">
        <f>IF(B693="","",Data!N693)</f>
        <v/>
      </c>
    </row>
    <row r="694">
      <c r="A694" s="3" t="str">
        <f>IF(AND(Data!$K694='All Types'!$D$2,Data!$L694='All Types'!$D$3),Data!$C694,"")</f>
        <v/>
      </c>
      <c r="B694" s="3" t="str">
        <f>IF(AND(Data!$K694='All Types'!$D$2,Data!$L694='All Types'!$D$3),Data!M694,"")</f>
        <v/>
      </c>
      <c r="C694" s="3" t="str">
        <f>IF(B694="","",Data!N694)</f>
        <v/>
      </c>
    </row>
    <row r="695">
      <c r="A695" s="3" t="str">
        <f>IF(AND(Data!$K695='All Types'!$D$2,Data!$L695='All Types'!$D$3),Data!$C695,"")</f>
        <v/>
      </c>
      <c r="B695" s="3" t="str">
        <f>IF(AND(Data!$K695='All Types'!$D$2,Data!$L695='All Types'!$D$3),Data!M695,"")</f>
        <v/>
      </c>
      <c r="C695" s="3" t="str">
        <f>IF(B695="","",Data!N695)</f>
        <v/>
      </c>
    </row>
    <row r="696">
      <c r="A696" s="3" t="str">
        <f>IF(AND(Data!$K696='All Types'!$D$2,Data!$L696='All Types'!$D$3),Data!$C696,"")</f>
        <v/>
      </c>
      <c r="B696" s="3" t="str">
        <f>IF(AND(Data!$K696='All Types'!$D$2,Data!$L696='All Types'!$D$3),Data!M696,"")</f>
        <v/>
      </c>
      <c r="C696" s="3" t="str">
        <f>IF(B696="","",Data!N696)</f>
        <v/>
      </c>
    </row>
    <row r="697">
      <c r="A697" s="3" t="str">
        <f>IF(AND(Data!$K697='All Types'!$D$2,Data!$L697='All Types'!$D$3),Data!$C697,"")</f>
        <v/>
      </c>
      <c r="B697" s="3" t="str">
        <f>IF(AND(Data!$K697='All Types'!$D$2,Data!$L697='All Types'!$D$3),Data!M697,"")</f>
        <v/>
      </c>
      <c r="C697" s="3" t="str">
        <f>IF(B697="","",Data!N697)</f>
        <v/>
      </c>
    </row>
    <row r="698">
      <c r="A698" s="3" t="str">
        <f>IF(AND(Data!$K698='All Types'!$D$2,Data!$L698='All Types'!$D$3),Data!$C698,"")</f>
        <v/>
      </c>
      <c r="B698" s="3" t="str">
        <f>IF(AND(Data!$K698='All Types'!$D$2,Data!$L698='All Types'!$D$3),Data!M698,"")</f>
        <v/>
      </c>
      <c r="C698" s="3" t="str">
        <f>IF(B698="","",Data!N698)</f>
        <v/>
      </c>
    </row>
    <row r="699">
      <c r="A699" s="3" t="str">
        <f>IF(AND(Data!$K699='All Types'!$D$2,Data!$L699='All Types'!$D$3),Data!$C699,"")</f>
        <v/>
      </c>
      <c r="B699" s="3" t="str">
        <f>IF(AND(Data!$K699='All Types'!$D$2,Data!$L699='All Types'!$D$3),Data!M699,"")</f>
        <v/>
      </c>
      <c r="C699" s="3" t="str">
        <f>IF(B699="","",Data!N699)</f>
        <v/>
      </c>
    </row>
    <row r="700">
      <c r="A700" s="3" t="str">
        <f>IF(AND(Data!$K700='All Types'!$D$2,Data!$L700='All Types'!$D$3),Data!$C700,"")</f>
        <v/>
      </c>
      <c r="B700" s="3" t="str">
        <f>IF(AND(Data!$K700='All Types'!$D$2,Data!$L700='All Types'!$D$3),Data!M700,"")</f>
        <v/>
      </c>
      <c r="C700" s="3" t="str">
        <f>IF(B700="","",Data!N700)</f>
        <v/>
      </c>
    </row>
    <row r="701">
      <c r="A701" s="3" t="str">
        <f>IF(AND(Data!$K701='All Types'!$D$2,Data!$L701='All Types'!$D$3),Data!$C701,"")</f>
        <v/>
      </c>
      <c r="B701" s="3" t="str">
        <f>IF(AND(Data!$K701='All Types'!$D$2,Data!$L701='All Types'!$D$3),Data!M701,"")</f>
        <v/>
      </c>
      <c r="C701" s="3" t="str">
        <f>IF(B701="","",Data!N701)</f>
        <v/>
      </c>
    </row>
    <row r="702">
      <c r="A702" s="3" t="str">
        <f>IF(AND(Data!$K702='All Types'!$D$2,Data!$L702='All Types'!$D$3),Data!$C702,"")</f>
        <v/>
      </c>
      <c r="B702" s="3" t="str">
        <f>IF(AND(Data!$K702='All Types'!$D$2,Data!$L702='All Types'!$D$3),Data!M702,"")</f>
        <v/>
      </c>
      <c r="C702" s="3" t="str">
        <f>IF(B702="","",Data!N702)</f>
        <v/>
      </c>
    </row>
    <row r="703">
      <c r="A703" s="3" t="str">
        <f>IF(AND(Data!$K703='All Types'!$D$2,Data!$L703='All Types'!$D$3),Data!$C703,"")</f>
        <v/>
      </c>
      <c r="B703" s="3" t="str">
        <f>IF(AND(Data!$K703='All Types'!$D$2,Data!$L703='All Types'!$D$3),Data!M703,"")</f>
        <v/>
      </c>
      <c r="C703" s="3" t="str">
        <f>IF(B703="","",Data!N703)</f>
        <v/>
      </c>
    </row>
    <row r="704">
      <c r="A704" s="3" t="str">
        <f>IF(AND(Data!$K704='All Types'!$D$2,Data!$L704='All Types'!$D$3),Data!$C704,"")</f>
        <v/>
      </c>
      <c r="B704" s="3" t="str">
        <f>IF(AND(Data!$K704='All Types'!$D$2,Data!$L704='All Types'!$D$3),Data!M704,"")</f>
        <v/>
      </c>
      <c r="C704" s="3" t="str">
        <f>IF(B704="","",Data!N704)</f>
        <v/>
      </c>
    </row>
    <row r="705">
      <c r="A705" s="3" t="str">
        <f>IF(AND(Data!$K705='All Types'!$D$2,Data!$L705='All Types'!$D$3),Data!$C705,"")</f>
        <v/>
      </c>
      <c r="B705" s="3" t="str">
        <f>IF(AND(Data!$K705='All Types'!$D$2,Data!$L705='All Types'!$D$3),Data!M705,"")</f>
        <v/>
      </c>
      <c r="C705" s="3" t="str">
        <f>IF(B705="","",Data!N705)</f>
        <v/>
      </c>
    </row>
    <row r="706">
      <c r="A706" s="3" t="str">
        <f>IF(AND(Data!$K706='All Types'!$D$2,Data!$L706='All Types'!$D$3),Data!$C706,"")</f>
        <v/>
      </c>
      <c r="B706" s="3" t="str">
        <f>IF(AND(Data!$K706='All Types'!$D$2,Data!$L706='All Types'!$D$3),Data!M706,"")</f>
        <v/>
      </c>
      <c r="C706" s="3" t="str">
        <f>IF(B706="","",Data!N706)</f>
        <v/>
      </c>
    </row>
    <row r="707">
      <c r="A707" s="3" t="str">
        <f>IF(AND(Data!$K707='All Types'!$D$2,Data!$L707='All Types'!$D$3),Data!$C707,"")</f>
        <v/>
      </c>
      <c r="B707" s="3" t="str">
        <f>IF(AND(Data!$K707='All Types'!$D$2,Data!$L707='All Types'!$D$3),Data!M707,"")</f>
        <v/>
      </c>
      <c r="C707" s="3" t="str">
        <f>IF(B707="","",Data!N707)</f>
        <v/>
      </c>
    </row>
    <row r="708">
      <c r="A708" s="3" t="str">
        <f>IF(AND(Data!$K708='All Types'!$D$2,Data!$L708='All Types'!$D$3),Data!$C708,"")</f>
        <v/>
      </c>
      <c r="B708" s="3" t="str">
        <f>IF(AND(Data!$K708='All Types'!$D$2,Data!$L708='All Types'!$D$3),Data!M708,"")</f>
        <v/>
      </c>
      <c r="C708" s="3" t="str">
        <f>IF(B708="","",Data!N708)</f>
        <v/>
      </c>
    </row>
    <row r="709">
      <c r="A709" s="3" t="str">
        <f>IF(AND(Data!$K709='All Types'!$D$2,Data!$L709='All Types'!$D$3),Data!$C709,"")</f>
        <v/>
      </c>
      <c r="B709" s="3" t="str">
        <f>IF(AND(Data!$K709='All Types'!$D$2,Data!$L709='All Types'!$D$3),Data!M709,"")</f>
        <v/>
      </c>
      <c r="C709" s="3" t="str">
        <f>IF(B709="","",Data!N709)</f>
        <v/>
      </c>
    </row>
    <row r="710">
      <c r="A710" s="3" t="str">
        <f>IF(AND(Data!$K710='All Types'!$D$2,Data!$L710='All Types'!$D$3),Data!$C710,"")</f>
        <v/>
      </c>
      <c r="B710" s="3" t="str">
        <f>IF(AND(Data!$K710='All Types'!$D$2,Data!$L710='All Types'!$D$3),Data!M710,"")</f>
        <v/>
      </c>
      <c r="C710" s="3" t="str">
        <f>IF(B710="","",Data!N710)</f>
        <v/>
      </c>
    </row>
    <row r="711">
      <c r="A711" s="3" t="str">
        <f>IF(AND(Data!$K711='All Types'!$D$2,Data!$L711='All Types'!$D$3),Data!$C711,"")</f>
        <v/>
      </c>
      <c r="B711" s="3" t="str">
        <f>IF(AND(Data!$K711='All Types'!$D$2,Data!$L711='All Types'!$D$3),Data!M711,"")</f>
        <v/>
      </c>
      <c r="C711" s="3" t="str">
        <f>IF(B711="","",Data!N711)</f>
        <v/>
      </c>
    </row>
    <row r="712">
      <c r="A712" s="3" t="str">
        <f>IF(AND(Data!$K712='All Types'!$D$2,Data!$L712='All Types'!$D$3),Data!$C712,"")</f>
        <v/>
      </c>
      <c r="B712" s="3" t="str">
        <f>IF(AND(Data!$K712='All Types'!$D$2,Data!$L712='All Types'!$D$3),Data!M712,"")</f>
        <v/>
      </c>
      <c r="C712" s="3" t="str">
        <f>IF(B712="","",Data!N712)</f>
        <v/>
      </c>
    </row>
    <row r="713">
      <c r="A713" s="3" t="str">
        <f>IF(AND(Data!$K713='All Types'!$D$2,Data!$L713='All Types'!$D$3),Data!$C713,"")</f>
        <v/>
      </c>
      <c r="B713" s="3" t="str">
        <f>IF(AND(Data!$K713='All Types'!$D$2,Data!$L713='All Types'!$D$3),Data!M713,"")</f>
        <v/>
      </c>
      <c r="C713" s="3" t="str">
        <f>IF(B713="","",Data!N713)</f>
        <v/>
      </c>
    </row>
    <row r="714">
      <c r="A714" s="3" t="str">
        <f>IF(AND(Data!$K714='All Types'!$D$2,Data!$L714='All Types'!$D$3),Data!$C714,"")</f>
        <v/>
      </c>
      <c r="B714" s="3" t="str">
        <f>IF(AND(Data!$K714='All Types'!$D$2,Data!$L714='All Types'!$D$3),Data!M714,"")</f>
        <v/>
      </c>
      <c r="C714" s="3" t="str">
        <f>IF(B714="","",Data!N714)</f>
        <v/>
      </c>
    </row>
    <row r="715">
      <c r="A715" s="3" t="str">
        <f>IF(AND(Data!$K715='All Types'!$D$2,Data!$L715='All Types'!$D$3),Data!$C715,"")</f>
        <v/>
      </c>
      <c r="B715" s="3" t="str">
        <f>IF(AND(Data!$K715='All Types'!$D$2,Data!$L715='All Types'!$D$3),Data!M715,"")</f>
        <v/>
      </c>
      <c r="C715" s="3" t="str">
        <f>IF(B715="","",Data!N715)</f>
        <v/>
      </c>
    </row>
    <row r="716">
      <c r="A716" s="3" t="str">
        <f>IF(AND(Data!$K716='All Types'!$D$2,Data!$L716='All Types'!$D$3),Data!$C716,"")</f>
        <v/>
      </c>
      <c r="B716" s="3" t="str">
        <f>IF(AND(Data!$K716='All Types'!$D$2,Data!$L716='All Types'!$D$3),Data!M716,"")</f>
        <v/>
      </c>
      <c r="C716" s="3" t="str">
        <f>IF(B716="","",Data!N716)</f>
        <v/>
      </c>
    </row>
    <row r="717">
      <c r="A717" s="3" t="str">
        <f>IF(AND(Data!$K717='All Types'!$D$2,Data!$L717='All Types'!$D$3),Data!$C717,"")</f>
        <v/>
      </c>
      <c r="B717" s="3" t="str">
        <f>IF(AND(Data!$K717='All Types'!$D$2,Data!$L717='All Types'!$D$3),Data!M717,"")</f>
        <v/>
      </c>
      <c r="C717" s="3" t="str">
        <f>IF(B717="","",Data!N717)</f>
        <v/>
      </c>
    </row>
    <row r="718">
      <c r="A718" s="3" t="str">
        <f>IF(AND(Data!$K718='All Types'!$D$2,Data!$L718='All Types'!$D$3),Data!$C718,"")</f>
        <v/>
      </c>
      <c r="B718" s="3" t="str">
        <f>IF(AND(Data!$K718='All Types'!$D$2,Data!$L718='All Types'!$D$3),Data!M718,"")</f>
        <v/>
      </c>
      <c r="C718" s="3" t="str">
        <f>IF(B718="","",Data!N718)</f>
        <v/>
      </c>
    </row>
    <row r="719">
      <c r="A719" s="3" t="str">
        <f>IF(AND(Data!$K719='All Types'!$D$2,Data!$L719='All Types'!$D$3),Data!$C719,"")</f>
        <v/>
      </c>
      <c r="B719" s="3" t="str">
        <f>IF(AND(Data!$K719='All Types'!$D$2,Data!$L719='All Types'!$D$3),Data!M719,"")</f>
        <v/>
      </c>
      <c r="C719" s="3" t="str">
        <f>IF(B719="","",Data!N719)</f>
        <v/>
      </c>
    </row>
    <row r="720">
      <c r="A720" s="3" t="str">
        <f>IF(AND(Data!$K720='All Types'!$D$2,Data!$L720='All Types'!$D$3),Data!$C720,"")</f>
        <v/>
      </c>
      <c r="B720" s="3" t="str">
        <f>IF(AND(Data!$K720='All Types'!$D$2,Data!$L720='All Types'!$D$3),Data!M720,"")</f>
        <v/>
      </c>
      <c r="C720" s="3" t="str">
        <f>IF(B720="","",Data!N720)</f>
        <v/>
      </c>
    </row>
    <row r="721">
      <c r="A721" s="3" t="str">
        <f>IF(AND(Data!$K721='All Types'!$D$2,Data!$L721='All Types'!$D$3),Data!$C721,"")</f>
        <v/>
      </c>
      <c r="B721" s="3" t="str">
        <f>IF(AND(Data!$K721='All Types'!$D$2,Data!$L721='All Types'!$D$3),Data!M721,"")</f>
        <v/>
      </c>
      <c r="C721" s="3" t="str">
        <f>IF(B721="","",Data!N721)</f>
        <v/>
      </c>
    </row>
    <row r="722">
      <c r="A722" s="3" t="str">
        <f>IF(AND(Data!$K722='All Types'!$D$2,Data!$L722='All Types'!$D$3),Data!$C722,"")</f>
        <v/>
      </c>
      <c r="B722" s="3" t="str">
        <f>IF(AND(Data!$K722='All Types'!$D$2,Data!$L722='All Types'!$D$3),Data!M722,"")</f>
        <v/>
      </c>
      <c r="C722" s="3" t="str">
        <f>IF(B722="","",Data!N722)</f>
        <v/>
      </c>
    </row>
    <row r="723">
      <c r="A723" s="3" t="str">
        <f>IF(AND(Data!$K723='All Types'!$D$2,Data!$L723='All Types'!$D$3),Data!$C723,"")</f>
        <v/>
      </c>
      <c r="B723" s="3" t="str">
        <f>IF(AND(Data!$K723='All Types'!$D$2,Data!$L723='All Types'!$D$3),Data!M723,"")</f>
        <v/>
      </c>
      <c r="C723" s="3" t="str">
        <f>IF(B723="","",Data!N723)</f>
        <v/>
      </c>
    </row>
    <row r="724">
      <c r="A724" s="3" t="str">
        <f>IF(AND(Data!$K724='All Types'!$D$2,Data!$L724='All Types'!$D$3),Data!$C724,"")</f>
        <v/>
      </c>
      <c r="B724" s="3" t="str">
        <f>IF(AND(Data!$K724='All Types'!$D$2,Data!$L724='All Types'!$D$3),Data!M724,"")</f>
        <v/>
      </c>
      <c r="C724" s="3" t="str">
        <f>IF(B724="","",Data!N724)</f>
        <v/>
      </c>
    </row>
    <row r="725">
      <c r="A725" s="3" t="str">
        <f>IF(AND(Data!$K725='All Types'!$D$2,Data!$L725='All Types'!$D$3),Data!$C725,"")</f>
        <v/>
      </c>
      <c r="B725" s="3" t="str">
        <f>IF(AND(Data!$K725='All Types'!$D$2,Data!$L725='All Types'!$D$3),Data!M725,"")</f>
        <v/>
      </c>
      <c r="C725" s="3" t="str">
        <f>IF(B725="","",Data!N725)</f>
        <v/>
      </c>
    </row>
    <row r="726">
      <c r="A726" s="3" t="str">
        <f>IF(AND(Data!$K726='All Types'!$D$2,Data!$L726='All Types'!$D$3),Data!$C726,"")</f>
        <v/>
      </c>
      <c r="B726" s="3" t="str">
        <f>IF(AND(Data!$K726='All Types'!$D$2,Data!$L726='All Types'!$D$3),Data!M726,"")</f>
        <v/>
      </c>
      <c r="C726" s="3" t="str">
        <f>IF(B726="","",Data!N726)</f>
        <v/>
      </c>
    </row>
    <row r="727">
      <c r="A727" s="3" t="str">
        <f>IF(AND(Data!$K727='All Types'!$D$2,Data!$L727='All Types'!$D$3),Data!$C727,"")</f>
        <v/>
      </c>
      <c r="B727" s="3" t="str">
        <f>IF(AND(Data!$K727='All Types'!$D$2,Data!$L727='All Types'!$D$3),Data!M727,"")</f>
        <v/>
      </c>
      <c r="C727" s="3" t="str">
        <f>IF(B727="","",Data!N727)</f>
        <v/>
      </c>
    </row>
    <row r="728">
      <c r="A728" s="3" t="str">
        <f>IF(AND(Data!$K728='All Types'!$D$2,Data!$L728='All Types'!$D$3),Data!$C728,"")</f>
        <v/>
      </c>
      <c r="B728" s="3" t="str">
        <f>IF(AND(Data!$K728='All Types'!$D$2,Data!$L728='All Types'!$D$3),Data!M728,"")</f>
        <v/>
      </c>
      <c r="C728" s="3" t="str">
        <f>IF(B728="","",Data!N728)</f>
        <v/>
      </c>
    </row>
    <row r="729">
      <c r="A729" s="3" t="str">
        <f>IF(AND(Data!$K729='All Types'!$D$2,Data!$L729='All Types'!$D$3),Data!$C729,"")</f>
        <v/>
      </c>
      <c r="B729" s="3" t="str">
        <f>IF(AND(Data!$K729='All Types'!$D$2,Data!$L729='All Types'!$D$3),Data!M729,"")</f>
        <v/>
      </c>
      <c r="C729" s="3" t="str">
        <f>IF(B729="","",Data!N729)</f>
        <v/>
      </c>
    </row>
    <row r="730">
      <c r="A730" s="3" t="str">
        <f>IF(AND(Data!$K730='All Types'!$D$2,Data!$L730='All Types'!$D$3),Data!$C730,"")</f>
        <v/>
      </c>
      <c r="B730" s="3" t="str">
        <f>IF(AND(Data!$K730='All Types'!$D$2,Data!$L730='All Types'!$D$3),Data!M730,"")</f>
        <v/>
      </c>
      <c r="C730" s="3" t="str">
        <f>IF(B730="","",Data!N730)</f>
        <v/>
      </c>
    </row>
    <row r="731">
      <c r="A731" s="3" t="str">
        <f>IF(AND(Data!$K731='All Types'!$D$2,Data!$L731='All Types'!$D$3),Data!$C731,"")</f>
        <v/>
      </c>
      <c r="B731" s="3" t="str">
        <f>IF(AND(Data!$K731='All Types'!$D$2,Data!$L731='All Types'!$D$3),Data!M731,"")</f>
        <v/>
      </c>
      <c r="C731" s="3" t="str">
        <f>IF(B731="","",Data!N731)</f>
        <v/>
      </c>
    </row>
    <row r="732">
      <c r="A732" s="3" t="str">
        <f>IF(AND(Data!$K732='All Types'!$D$2,Data!$L732='All Types'!$D$3),Data!$C732,"")</f>
        <v/>
      </c>
      <c r="B732" s="3" t="str">
        <f>IF(AND(Data!$K732='All Types'!$D$2,Data!$L732='All Types'!$D$3),Data!M732,"")</f>
        <v/>
      </c>
      <c r="C732" s="3" t="str">
        <f>IF(B732="","",Data!N732)</f>
        <v/>
      </c>
    </row>
    <row r="733">
      <c r="A733" s="3" t="str">
        <f>IF(AND(Data!$K733='All Types'!$D$2,Data!$L733='All Types'!$D$3),Data!$C733,"")</f>
        <v/>
      </c>
      <c r="B733" s="3" t="str">
        <f>IF(AND(Data!$K733='All Types'!$D$2,Data!$L733='All Types'!$D$3),Data!M733,"")</f>
        <v/>
      </c>
      <c r="C733" s="3" t="str">
        <f>IF(B733="","",Data!N733)</f>
        <v/>
      </c>
    </row>
    <row r="734">
      <c r="A734" s="3" t="str">
        <f>IF(AND(Data!$K734='All Types'!$D$2,Data!$L734='All Types'!$D$3),Data!$C734,"")</f>
        <v/>
      </c>
      <c r="B734" s="3" t="str">
        <f>IF(AND(Data!$K734='All Types'!$D$2,Data!$L734='All Types'!$D$3),Data!M734,"")</f>
        <v/>
      </c>
      <c r="C734" s="3" t="str">
        <f>IF(B734="","",Data!N734)</f>
        <v/>
      </c>
    </row>
    <row r="735">
      <c r="A735" s="3" t="str">
        <f>IF(AND(Data!$K735='All Types'!$D$2,Data!$L735='All Types'!$D$3),Data!$C735,"")</f>
        <v/>
      </c>
      <c r="B735" s="3" t="str">
        <f>IF(AND(Data!$K735='All Types'!$D$2,Data!$L735='All Types'!$D$3),Data!M735,"")</f>
        <v/>
      </c>
      <c r="C735" s="3" t="str">
        <f>IF(B735="","",Data!N735)</f>
        <v/>
      </c>
    </row>
    <row r="736">
      <c r="A736" s="3" t="str">
        <f>IF(AND(Data!$K736='All Types'!$D$2,Data!$L736='All Types'!$D$3),Data!$C736,"")</f>
        <v/>
      </c>
      <c r="B736" s="3" t="str">
        <f>IF(AND(Data!$K736='All Types'!$D$2,Data!$L736='All Types'!$D$3),Data!M736,"")</f>
        <v/>
      </c>
      <c r="C736" s="3" t="str">
        <f>IF(B736="","",Data!N736)</f>
        <v/>
      </c>
    </row>
    <row r="737">
      <c r="A737" s="3" t="str">
        <f>IF(AND(Data!$K737='All Types'!$D$2,Data!$L737='All Types'!$D$3),Data!$C737,"")</f>
        <v/>
      </c>
      <c r="B737" s="3" t="str">
        <f>IF(AND(Data!$K737='All Types'!$D$2,Data!$L737='All Types'!$D$3),Data!M737,"")</f>
        <v/>
      </c>
      <c r="C737" s="3" t="str">
        <f>IF(B737="","",Data!N737)</f>
        <v/>
      </c>
    </row>
    <row r="738">
      <c r="A738" s="3" t="str">
        <f>IF(AND(Data!$K738='All Types'!$D$2,Data!$L738='All Types'!$D$3),Data!$C738,"")</f>
        <v/>
      </c>
      <c r="B738" s="3" t="str">
        <f>IF(AND(Data!$K738='All Types'!$D$2,Data!$L738='All Types'!$D$3),Data!M738,"")</f>
        <v/>
      </c>
      <c r="C738" s="3" t="str">
        <f>IF(B738="","",Data!N738)</f>
        <v/>
      </c>
    </row>
    <row r="739">
      <c r="A739" s="3" t="str">
        <f>IF(AND(Data!$K739='All Types'!$D$2,Data!$L739='All Types'!$D$3),Data!$C739,"")</f>
        <v/>
      </c>
      <c r="B739" s="3" t="str">
        <f>IF(AND(Data!$K739='All Types'!$D$2,Data!$L739='All Types'!$D$3),Data!M739,"")</f>
        <v/>
      </c>
      <c r="C739" s="3" t="str">
        <f>IF(B739="","",Data!N739)</f>
        <v/>
      </c>
    </row>
    <row r="740">
      <c r="A740" s="3" t="str">
        <f>IF(AND(Data!$K740='All Types'!$D$2,Data!$L740='All Types'!$D$3),Data!$C740,"")</f>
        <v/>
      </c>
      <c r="B740" s="3" t="str">
        <f>IF(AND(Data!$K740='All Types'!$D$2,Data!$L740='All Types'!$D$3),Data!M740,"")</f>
        <v/>
      </c>
      <c r="C740" s="3" t="str">
        <f>IF(B740="","",Data!N740)</f>
        <v/>
      </c>
    </row>
    <row r="741">
      <c r="A741" s="3" t="str">
        <f>IF(AND(Data!$K741='All Types'!$D$2,Data!$L741='All Types'!$D$3),Data!$C741,"")</f>
        <v/>
      </c>
      <c r="B741" s="3" t="str">
        <f>IF(AND(Data!$K741='All Types'!$D$2,Data!$L741='All Types'!$D$3),Data!M741,"")</f>
        <v/>
      </c>
      <c r="C741" s="3" t="str">
        <f>IF(B741="","",Data!N741)</f>
        <v/>
      </c>
    </row>
    <row r="742">
      <c r="A742" s="3" t="str">
        <f>IF(AND(Data!$K742='All Types'!$D$2,Data!$L742='All Types'!$D$3),Data!$C742,"")</f>
        <v/>
      </c>
      <c r="B742" s="3" t="str">
        <f>IF(AND(Data!$K742='All Types'!$D$2,Data!$L742='All Types'!$D$3),Data!M742,"")</f>
        <v/>
      </c>
      <c r="C742" s="3" t="str">
        <f>IF(B742="","",Data!N742)</f>
        <v/>
      </c>
    </row>
    <row r="743">
      <c r="A743" s="3" t="str">
        <f>IF(AND(Data!$K743='All Types'!$D$2,Data!$L743='All Types'!$D$3),Data!$C743,"")</f>
        <v/>
      </c>
      <c r="B743" s="3" t="str">
        <f>IF(AND(Data!$K743='All Types'!$D$2,Data!$L743='All Types'!$D$3),Data!M743,"")</f>
        <v/>
      </c>
      <c r="C743" s="3" t="str">
        <f>IF(B743="","",Data!N743)</f>
        <v/>
      </c>
    </row>
    <row r="744">
      <c r="A744" s="3" t="str">
        <f>IF(AND(Data!$K744='All Types'!$D$2,Data!$L744='All Types'!$D$3),Data!$C744,"")</f>
        <v/>
      </c>
      <c r="B744" s="3" t="str">
        <f>IF(AND(Data!$K744='All Types'!$D$2,Data!$L744='All Types'!$D$3),Data!M744,"")</f>
        <v/>
      </c>
      <c r="C744" s="3" t="str">
        <f>IF(B744="","",Data!N744)</f>
        <v/>
      </c>
    </row>
    <row r="745">
      <c r="A745" s="3" t="str">
        <f>IF(AND(Data!$K745='All Types'!$D$2,Data!$L745='All Types'!$D$3),Data!$C745,"")</f>
        <v/>
      </c>
      <c r="B745" s="3" t="str">
        <f>IF(AND(Data!$K745='All Types'!$D$2,Data!$L745='All Types'!$D$3),Data!M745,"")</f>
        <v/>
      </c>
      <c r="C745" s="3" t="str">
        <f>IF(B745="","",Data!N745)</f>
        <v/>
      </c>
    </row>
    <row r="746">
      <c r="A746" s="3" t="str">
        <f>IF(AND(Data!$K746='All Types'!$D$2,Data!$L746='All Types'!$D$3),Data!$C746,"")</f>
        <v/>
      </c>
      <c r="B746" s="3" t="str">
        <f>IF(AND(Data!$K746='All Types'!$D$2,Data!$L746='All Types'!$D$3),Data!M746,"")</f>
        <v/>
      </c>
      <c r="C746" s="3" t="str">
        <f>IF(B746="","",Data!N746)</f>
        <v/>
      </c>
    </row>
    <row r="747">
      <c r="A747" s="3" t="str">
        <f>IF(AND(Data!$K747='All Types'!$D$2,Data!$L747='All Types'!$D$3),Data!$C747,"")</f>
        <v/>
      </c>
      <c r="B747" s="3" t="str">
        <f>IF(AND(Data!$K747='All Types'!$D$2,Data!$L747='All Types'!$D$3),Data!M747,"")</f>
        <v/>
      </c>
      <c r="C747" s="3" t="str">
        <f>IF(B747="","",Data!N747)</f>
        <v/>
      </c>
    </row>
    <row r="748">
      <c r="A748" s="3" t="str">
        <f>IF(AND(Data!$K748='All Types'!$D$2,Data!$L748='All Types'!$D$3),Data!$C748,"")</f>
        <v/>
      </c>
      <c r="B748" s="3" t="str">
        <f>IF(AND(Data!$K748='All Types'!$D$2,Data!$L748='All Types'!$D$3),Data!M748,"")</f>
        <v/>
      </c>
      <c r="C748" s="3" t="str">
        <f>IF(B748="","",Data!N748)</f>
        <v/>
      </c>
    </row>
    <row r="749">
      <c r="A749" s="3" t="str">
        <f>IF(AND(Data!$K749='All Types'!$D$2,Data!$L749='All Types'!$D$3),Data!$C749,"")</f>
        <v/>
      </c>
      <c r="B749" s="3" t="str">
        <f>IF(AND(Data!$K749='All Types'!$D$2,Data!$L749='All Types'!$D$3),Data!M749,"")</f>
        <v/>
      </c>
      <c r="C749" s="3" t="str">
        <f>IF(B749="","",Data!N749)</f>
        <v/>
      </c>
    </row>
    <row r="750">
      <c r="A750" s="3" t="str">
        <f>IF(AND(Data!$K750='All Types'!$D$2,Data!$L750='All Types'!$D$3),Data!$C750,"")</f>
        <v/>
      </c>
      <c r="B750" s="3" t="str">
        <f>IF(AND(Data!$K750='All Types'!$D$2,Data!$L750='All Types'!$D$3),Data!M750,"")</f>
        <v/>
      </c>
      <c r="C750" s="3" t="str">
        <f>IF(B750="","",Data!N750)</f>
        <v/>
      </c>
    </row>
    <row r="751">
      <c r="A751" s="3" t="str">
        <f>IF(AND(Data!$K751='All Types'!$D$2,Data!$L751='All Types'!$D$3),Data!$C751,"")</f>
        <v/>
      </c>
      <c r="B751" s="3" t="str">
        <f>IF(AND(Data!$K751='All Types'!$D$2,Data!$L751='All Types'!$D$3),Data!M751,"")</f>
        <v/>
      </c>
      <c r="C751" s="3" t="str">
        <f>IF(B751="","",Data!N751)</f>
        <v/>
      </c>
    </row>
    <row r="752">
      <c r="A752" s="3" t="str">
        <f>IF(AND(Data!$K752='All Types'!$D$2,Data!$L752='All Types'!$D$3),Data!$C752,"")</f>
        <v/>
      </c>
      <c r="B752" s="3" t="str">
        <f>IF(AND(Data!$K752='All Types'!$D$2,Data!$L752='All Types'!$D$3),Data!M752,"")</f>
        <v/>
      </c>
      <c r="C752" s="3" t="str">
        <f>IF(B752="","",Data!N752)</f>
        <v/>
      </c>
    </row>
    <row r="753">
      <c r="A753" s="3" t="str">
        <f>IF(AND(Data!$K753='All Types'!$D$2,Data!$L753='All Types'!$D$3),Data!$C753,"")</f>
        <v/>
      </c>
      <c r="B753" s="3" t="str">
        <f>IF(AND(Data!$K753='All Types'!$D$2,Data!$L753='All Types'!$D$3),Data!M753,"")</f>
        <v/>
      </c>
      <c r="C753" s="3" t="str">
        <f>IF(B753="","",Data!N753)</f>
        <v/>
      </c>
    </row>
    <row r="754">
      <c r="A754" s="3" t="str">
        <f>IF(AND(Data!$K754='All Types'!$D$2,Data!$L754='All Types'!$D$3),Data!$C754,"")</f>
        <v/>
      </c>
      <c r="B754" s="3" t="str">
        <f>IF(AND(Data!$K754='All Types'!$D$2,Data!$L754='All Types'!$D$3),Data!M754,"")</f>
        <v/>
      </c>
      <c r="C754" s="3" t="str">
        <f>IF(B754="","",Data!N754)</f>
        <v/>
      </c>
    </row>
    <row r="755">
      <c r="A755" s="3" t="str">
        <f>IF(AND(Data!$K755='All Types'!$D$2,Data!$L755='All Types'!$D$3),Data!$C755,"")</f>
        <v/>
      </c>
      <c r="B755" s="3" t="str">
        <f>IF(AND(Data!$K755='All Types'!$D$2,Data!$L755='All Types'!$D$3),Data!M755,"")</f>
        <v/>
      </c>
      <c r="C755" s="3" t="str">
        <f>IF(B755="","",Data!N755)</f>
        <v/>
      </c>
    </row>
    <row r="756">
      <c r="A756" s="3" t="str">
        <f>IF(AND(Data!$K756='All Types'!$D$2,Data!$L756='All Types'!$D$3),Data!$C756,"")</f>
        <v/>
      </c>
      <c r="B756" s="3" t="str">
        <f>IF(AND(Data!$K756='All Types'!$D$2,Data!$L756='All Types'!$D$3),Data!M756,"")</f>
        <v/>
      </c>
      <c r="C756" s="3" t="str">
        <f>IF(B756="","",Data!N756)</f>
        <v/>
      </c>
    </row>
    <row r="757">
      <c r="A757" s="3" t="str">
        <f>IF(AND(Data!$K757='All Types'!$D$2,Data!$L757='All Types'!$D$3),Data!$C757,"")</f>
        <v/>
      </c>
      <c r="B757" s="3" t="str">
        <f>IF(AND(Data!$K757='All Types'!$D$2,Data!$L757='All Types'!$D$3),Data!M757,"")</f>
        <v/>
      </c>
      <c r="C757" s="3" t="str">
        <f>IF(B757="","",Data!N757)</f>
        <v/>
      </c>
    </row>
    <row r="758">
      <c r="A758" s="3" t="str">
        <f>IF(AND(Data!$K758='All Types'!$D$2,Data!$L758='All Types'!$D$3),Data!$C758,"")</f>
        <v/>
      </c>
      <c r="B758" s="3" t="str">
        <f>IF(AND(Data!$K758='All Types'!$D$2,Data!$L758='All Types'!$D$3),Data!M758,"")</f>
        <v/>
      </c>
      <c r="C758" s="3" t="str">
        <f>IF(B758="","",Data!N758)</f>
        <v/>
      </c>
    </row>
    <row r="759">
      <c r="A759" s="3" t="str">
        <f>IF(AND(Data!$K759='All Types'!$D$2,Data!$L759='All Types'!$D$3),Data!$C759,"")</f>
        <v/>
      </c>
      <c r="B759" s="3" t="str">
        <f>IF(AND(Data!$K759='All Types'!$D$2,Data!$L759='All Types'!$D$3),Data!M759,"")</f>
        <v/>
      </c>
      <c r="C759" s="3" t="str">
        <f>IF(B759="","",Data!N759)</f>
        <v/>
      </c>
    </row>
    <row r="760">
      <c r="A760" s="3" t="str">
        <f>IF(AND(Data!$K760='All Types'!$D$2,Data!$L760='All Types'!$D$3),Data!$C760,"")</f>
        <v/>
      </c>
      <c r="B760" s="3" t="str">
        <f>IF(AND(Data!$K760='All Types'!$D$2,Data!$L760='All Types'!$D$3),Data!M760,"")</f>
        <v/>
      </c>
      <c r="C760" s="3" t="str">
        <f>IF(B760="","",Data!N760)</f>
        <v/>
      </c>
    </row>
    <row r="761">
      <c r="A761" s="3" t="str">
        <f>IF(AND(Data!$K761='All Types'!$D$2,Data!$L761='All Types'!$D$3),Data!$C761,"")</f>
        <v/>
      </c>
      <c r="B761" s="3" t="str">
        <f>IF(AND(Data!$K761='All Types'!$D$2,Data!$L761='All Types'!$D$3),Data!M761,"")</f>
        <v/>
      </c>
      <c r="C761" s="3" t="str">
        <f>IF(B761="","",Data!N761)</f>
        <v/>
      </c>
    </row>
    <row r="762">
      <c r="A762" s="3" t="str">
        <f>IF(AND(Data!$K762='All Types'!$D$2,Data!$L762='All Types'!$D$3),Data!$C762,"")</f>
        <v/>
      </c>
      <c r="B762" s="3" t="str">
        <f>IF(AND(Data!$K762='All Types'!$D$2,Data!$L762='All Types'!$D$3),Data!M762,"")</f>
        <v/>
      </c>
      <c r="C762" s="3" t="str">
        <f>IF(B762="","",Data!N762)</f>
        <v/>
      </c>
    </row>
    <row r="763">
      <c r="A763" s="3" t="str">
        <f>IF(AND(Data!$K763='All Types'!$D$2,Data!$L763='All Types'!$D$3),Data!$C763,"")</f>
        <v/>
      </c>
      <c r="B763" s="3" t="str">
        <f>IF(AND(Data!$K763='All Types'!$D$2,Data!$L763='All Types'!$D$3),Data!M763,"")</f>
        <v/>
      </c>
      <c r="C763" s="3" t="str">
        <f>IF(B763="","",Data!N763)</f>
        <v/>
      </c>
    </row>
    <row r="764">
      <c r="A764" s="3" t="str">
        <f>IF(AND(Data!$K764='All Types'!$D$2,Data!$L764='All Types'!$D$3),Data!$C764,"")</f>
        <v/>
      </c>
      <c r="B764" s="3" t="str">
        <f>IF(AND(Data!$K764='All Types'!$D$2,Data!$L764='All Types'!$D$3),Data!M764,"")</f>
        <v/>
      </c>
      <c r="C764" s="3" t="str">
        <f>IF(B764="","",Data!N764)</f>
        <v/>
      </c>
    </row>
    <row r="765">
      <c r="A765" s="3" t="str">
        <f>IF(AND(Data!$K765='All Types'!$D$2,Data!$L765='All Types'!$D$3),Data!$C765,"")</f>
        <v/>
      </c>
      <c r="B765" s="3" t="str">
        <f>IF(AND(Data!$K765='All Types'!$D$2,Data!$L765='All Types'!$D$3),Data!M765,"")</f>
        <v/>
      </c>
      <c r="C765" s="3" t="str">
        <f>IF(B765="","",Data!N765)</f>
        <v/>
      </c>
    </row>
    <row r="766">
      <c r="A766" s="3" t="str">
        <f>IF(AND(Data!$K766='All Types'!$D$2,Data!$L766='All Types'!$D$3),Data!$C766,"")</f>
        <v/>
      </c>
      <c r="B766" s="3" t="str">
        <f>IF(AND(Data!$K766='All Types'!$D$2,Data!$L766='All Types'!$D$3),Data!M766,"")</f>
        <v/>
      </c>
      <c r="C766" s="3" t="str">
        <f>IF(B766="","",Data!N766)</f>
        <v/>
      </c>
    </row>
    <row r="767">
      <c r="A767" s="3" t="str">
        <f>IF(AND(Data!$K767='All Types'!$D$2,Data!$L767='All Types'!$D$3),Data!$C767,"")</f>
        <v/>
      </c>
      <c r="B767" s="3" t="str">
        <f>IF(AND(Data!$K767='All Types'!$D$2,Data!$L767='All Types'!$D$3),Data!M767,"")</f>
        <v/>
      </c>
      <c r="C767" s="3" t="str">
        <f>IF(B767="","",Data!N767)</f>
        <v/>
      </c>
    </row>
    <row r="768">
      <c r="A768" s="3" t="str">
        <f>IF(AND(Data!$K768='All Types'!$D$2,Data!$L768='All Types'!$D$3),Data!$C768,"")</f>
        <v/>
      </c>
      <c r="B768" s="3" t="str">
        <f>IF(AND(Data!$K768='All Types'!$D$2,Data!$L768='All Types'!$D$3),Data!M768,"")</f>
        <v/>
      </c>
      <c r="C768" s="3" t="str">
        <f>IF(B768="","",Data!N768)</f>
        <v/>
      </c>
    </row>
    <row r="769">
      <c r="A769" s="3" t="str">
        <f>IF(AND(Data!$K769='All Types'!$D$2,Data!$L769='All Types'!$D$3),Data!$C769,"")</f>
        <v/>
      </c>
      <c r="B769" s="3" t="str">
        <f>IF(AND(Data!$K769='All Types'!$D$2,Data!$L769='All Types'!$D$3),Data!M769,"")</f>
        <v/>
      </c>
      <c r="C769" s="3" t="str">
        <f>IF(B769="","",Data!N769)</f>
        <v/>
      </c>
    </row>
    <row r="770">
      <c r="A770" s="3" t="str">
        <f>IF(AND(Data!$K770='All Types'!$D$2,Data!$L770='All Types'!$D$3),Data!$C770,"")</f>
        <v/>
      </c>
      <c r="B770" s="3" t="str">
        <f>IF(AND(Data!$K770='All Types'!$D$2,Data!$L770='All Types'!$D$3),Data!M770,"")</f>
        <v/>
      </c>
      <c r="C770" s="3" t="str">
        <f>IF(B770="","",Data!N770)</f>
        <v/>
      </c>
    </row>
    <row r="771">
      <c r="A771" s="3" t="str">
        <f>IF(AND(Data!$K771='All Types'!$D$2,Data!$L771='All Types'!$D$3),Data!$C771,"")</f>
        <v/>
      </c>
      <c r="B771" s="3" t="str">
        <f>IF(AND(Data!$K771='All Types'!$D$2,Data!$L771='All Types'!$D$3),Data!M771,"")</f>
        <v/>
      </c>
      <c r="C771" s="3" t="str">
        <f>IF(B771="","",Data!N771)</f>
        <v/>
      </c>
    </row>
    <row r="772">
      <c r="A772" s="3" t="str">
        <f>IF(AND(Data!$K772='All Types'!$D$2,Data!$L772='All Types'!$D$3),Data!$C772,"")</f>
        <v/>
      </c>
      <c r="B772" s="3" t="str">
        <f>IF(AND(Data!$K772='All Types'!$D$2,Data!$L772='All Types'!$D$3),Data!M772,"")</f>
        <v/>
      </c>
      <c r="C772" s="3" t="str">
        <f>IF(B772="","",Data!N772)</f>
        <v/>
      </c>
    </row>
    <row r="773">
      <c r="A773" s="3" t="str">
        <f>IF(AND(Data!$K773='All Types'!$D$2,Data!$L773='All Types'!$D$3),Data!$C773,"")</f>
        <v/>
      </c>
      <c r="B773" s="3" t="str">
        <f>IF(AND(Data!$K773='All Types'!$D$2,Data!$L773='All Types'!$D$3),Data!M773,"")</f>
        <v/>
      </c>
      <c r="C773" s="3" t="str">
        <f>IF(B773="","",Data!N773)</f>
        <v/>
      </c>
    </row>
    <row r="774">
      <c r="A774" s="3" t="str">
        <f>IF(AND(Data!$K774='All Types'!$D$2,Data!$L774='All Types'!$D$3),Data!$C774,"")</f>
        <v/>
      </c>
      <c r="B774" s="3" t="str">
        <f>IF(AND(Data!$K774='All Types'!$D$2,Data!$L774='All Types'!$D$3),Data!M774,"")</f>
        <v/>
      </c>
      <c r="C774" s="3" t="str">
        <f>IF(B774="","",Data!N774)</f>
        <v/>
      </c>
    </row>
    <row r="775">
      <c r="A775" s="3" t="str">
        <f>IF(AND(Data!$K775='All Types'!$D$2,Data!$L775='All Types'!$D$3),Data!$C775,"")</f>
        <v/>
      </c>
      <c r="B775" s="3" t="str">
        <f>IF(AND(Data!$K775='All Types'!$D$2,Data!$L775='All Types'!$D$3),Data!M775,"")</f>
        <v/>
      </c>
      <c r="C775" s="3" t="str">
        <f>IF(B775="","",Data!N775)</f>
        <v/>
      </c>
    </row>
    <row r="776">
      <c r="A776" s="3" t="str">
        <f>IF(AND(Data!$K776='All Types'!$D$2,Data!$L776='All Types'!$D$3),Data!$C776,"")</f>
        <v/>
      </c>
      <c r="B776" s="3" t="str">
        <f>IF(AND(Data!$K776='All Types'!$D$2,Data!$L776='All Types'!$D$3),Data!M776,"")</f>
        <v/>
      </c>
      <c r="C776" s="3" t="str">
        <f>IF(B776="","",Data!N776)</f>
        <v/>
      </c>
    </row>
    <row r="777">
      <c r="A777" s="3" t="str">
        <f>IF(AND(Data!$K777='All Types'!$D$2,Data!$L777='All Types'!$D$3),Data!$C777,"")</f>
        <v/>
      </c>
      <c r="B777" s="3" t="str">
        <f>IF(AND(Data!$K777='All Types'!$D$2,Data!$L777='All Types'!$D$3),Data!M777,"")</f>
        <v/>
      </c>
      <c r="C777" s="3" t="str">
        <f>IF(B777="","",Data!N777)</f>
        <v/>
      </c>
    </row>
    <row r="778">
      <c r="A778" s="3" t="str">
        <f>IF(AND(Data!$K778='All Types'!$D$2,Data!$L778='All Types'!$D$3),Data!$C778,"")</f>
        <v/>
      </c>
      <c r="B778" s="3" t="str">
        <f>IF(AND(Data!$K778='All Types'!$D$2,Data!$L778='All Types'!$D$3),Data!M778,"")</f>
        <v/>
      </c>
      <c r="C778" s="3" t="str">
        <f>IF(B778="","",Data!N778)</f>
        <v/>
      </c>
    </row>
    <row r="779">
      <c r="A779" s="3" t="str">
        <f>IF(AND(Data!$K779='All Types'!$D$2,Data!$L779='All Types'!$D$3),Data!$C779,"")</f>
        <v/>
      </c>
      <c r="B779" s="3" t="str">
        <f>IF(AND(Data!$K779='All Types'!$D$2,Data!$L779='All Types'!$D$3),Data!M779,"")</f>
        <v/>
      </c>
      <c r="C779" s="3" t="str">
        <f>IF(B779="","",Data!N779)</f>
        <v/>
      </c>
    </row>
    <row r="780">
      <c r="A780" s="3" t="str">
        <f>IF(AND(Data!$K780='All Types'!$D$2,Data!$L780='All Types'!$D$3),Data!$C780,"")</f>
        <v/>
      </c>
      <c r="B780" s="3" t="str">
        <f>IF(AND(Data!$K780='All Types'!$D$2,Data!$L780='All Types'!$D$3),Data!M780,"")</f>
        <v/>
      </c>
      <c r="C780" s="3" t="str">
        <f>IF(B780="","",Data!N780)</f>
        <v/>
      </c>
    </row>
    <row r="781">
      <c r="A781" s="3" t="str">
        <f>IF(AND(Data!$K781='All Types'!$D$2,Data!$L781='All Types'!$D$3),Data!$C781,"")</f>
        <v/>
      </c>
      <c r="B781" s="3" t="str">
        <f>IF(AND(Data!$K781='All Types'!$D$2,Data!$L781='All Types'!$D$3),Data!M781,"")</f>
        <v/>
      </c>
      <c r="C781" s="3" t="str">
        <f>IF(B781="","",Data!N781)</f>
        <v/>
      </c>
    </row>
    <row r="782">
      <c r="A782" s="3" t="str">
        <f>IF(AND(Data!$K782='All Types'!$D$2,Data!$L782='All Types'!$D$3),Data!$C782,"")</f>
        <v/>
      </c>
      <c r="B782" s="3" t="str">
        <f>IF(AND(Data!$K782='All Types'!$D$2,Data!$L782='All Types'!$D$3),Data!M782,"")</f>
        <v/>
      </c>
      <c r="C782" s="3" t="str">
        <f>IF(B782="","",Data!N782)</f>
        <v/>
      </c>
    </row>
    <row r="783">
      <c r="A783" s="3" t="str">
        <f>IF(AND(Data!$K783='All Types'!$D$2,Data!$L783='All Types'!$D$3),Data!$C783,"")</f>
        <v/>
      </c>
      <c r="B783" s="3" t="str">
        <f>IF(AND(Data!$K783='All Types'!$D$2,Data!$L783='All Types'!$D$3),Data!M783,"")</f>
        <v/>
      </c>
      <c r="C783" s="3" t="str">
        <f>IF(B783="","",Data!N783)</f>
        <v/>
      </c>
    </row>
    <row r="784">
      <c r="A784" s="3" t="str">
        <f>IF(AND(Data!$K784='All Types'!$D$2,Data!$L784='All Types'!$D$3),Data!$C784,"")</f>
        <v/>
      </c>
      <c r="B784" s="3" t="str">
        <f>IF(AND(Data!$K784='All Types'!$D$2,Data!$L784='All Types'!$D$3),Data!M784,"")</f>
        <v/>
      </c>
      <c r="C784" s="3" t="str">
        <f>IF(B784="","",Data!N784)</f>
        <v/>
      </c>
    </row>
    <row r="785">
      <c r="A785" s="3" t="str">
        <f>IF(AND(Data!$K785='All Types'!$D$2,Data!$L785='All Types'!$D$3),Data!$C785,"")</f>
        <v/>
      </c>
      <c r="B785" s="3" t="str">
        <f>IF(AND(Data!$K785='All Types'!$D$2,Data!$L785='All Types'!$D$3),Data!M785,"")</f>
        <v/>
      </c>
      <c r="C785" s="3" t="str">
        <f>IF(B785="","",Data!N785)</f>
        <v/>
      </c>
    </row>
    <row r="786">
      <c r="A786" s="3" t="str">
        <f>IF(AND(Data!$K786='All Types'!$D$2,Data!$L786='All Types'!$D$3),Data!$C786,"")</f>
        <v/>
      </c>
      <c r="B786" s="3" t="str">
        <f>IF(AND(Data!$K786='All Types'!$D$2,Data!$L786='All Types'!$D$3),Data!M786,"")</f>
        <v/>
      </c>
      <c r="C786" s="3" t="str">
        <f>IF(B786="","",Data!N786)</f>
        <v/>
      </c>
    </row>
    <row r="787">
      <c r="A787" s="3" t="str">
        <f>IF(AND(Data!$K787='All Types'!$D$2,Data!$L787='All Types'!$D$3),Data!$C787,"")</f>
        <v/>
      </c>
      <c r="B787" s="3" t="str">
        <f>IF(AND(Data!$K787='All Types'!$D$2,Data!$L787='All Types'!$D$3),Data!M787,"")</f>
        <v/>
      </c>
      <c r="C787" s="3" t="str">
        <f>IF(B787="","",Data!N787)</f>
        <v/>
      </c>
    </row>
    <row r="788">
      <c r="A788" s="3" t="str">
        <f>IF(AND(Data!$K788='All Types'!$D$2,Data!$L788='All Types'!$D$3),Data!$C788,"")</f>
        <v/>
      </c>
      <c r="B788" s="3" t="str">
        <f>IF(AND(Data!$K788='All Types'!$D$2,Data!$L788='All Types'!$D$3),Data!M788,"")</f>
        <v/>
      </c>
      <c r="C788" s="3" t="str">
        <f>IF(B788="","",Data!N788)</f>
        <v/>
      </c>
    </row>
    <row r="789">
      <c r="A789" s="3" t="str">
        <f>IF(AND(Data!$K789='All Types'!$D$2,Data!$L789='All Types'!$D$3),Data!$C789,"")</f>
        <v/>
      </c>
      <c r="B789" s="3" t="str">
        <f>IF(AND(Data!$K789='All Types'!$D$2,Data!$L789='All Types'!$D$3),Data!M789,"")</f>
        <v/>
      </c>
      <c r="C789" s="3" t="str">
        <f>IF(B789="","",Data!N789)</f>
        <v/>
      </c>
    </row>
    <row r="790">
      <c r="A790" s="3" t="str">
        <f>IF(AND(Data!$K790='All Types'!$D$2,Data!$L790='All Types'!$D$3),Data!$C790,"")</f>
        <v/>
      </c>
      <c r="B790" s="3" t="str">
        <f>IF(AND(Data!$K790='All Types'!$D$2,Data!$L790='All Types'!$D$3),Data!M790,"")</f>
        <v/>
      </c>
      <c r="C790" s="3" t="str">
        <f>IF(B790="","",Data!N790)</f>
        <v/>
      </c>
    </row>
    <row r="791">
      <c r="A791" s="3" t="str">
        <f>IF(AND(Data!$K791='All Types'!$D$2,Data!$L791='All Types'!$D$3),Data!$C791,"")</f>
        <v/>
      </c>
      <c r="B791" s="3" t="str">
        <f>IF(AND(Data!$K791='All Types'!$D$2,Data!$L791='All Types'!$D$3),Data!M791,"")</f>
        <v/>
      </c>
      <c r="C791" s="3" t="str">
        <f>IF(B791="","",Data!N791)</f>
        <v/>
      </c>
    </row>
    <row r="792">
      <c r="A792" s="3" t="str">
        <f>IF(AND(Data!$K792='All Types'!$D$2,Data!$L792='All Types'!$D$3),Data!$C792,"")</f>
        <v/>
      </c>
      <c r="B792" s="3" t="str">
        <f>IF(AND(Data!$K792='All Types'!$D$2,Data!$L792='All Types'!$D$3),Data!M792,"")</f>
        <v/>
      </c>
      <c r="C792" s="3" t="str">
        <f>IF(B792="","",Data!N792)</f>
        <v/>
      </c>
    </row>
    <row r="793">
      <c r="A793" s="3" t="str">
        <f>IF(AND(Data!$K793='All Types'!$D$2,Data!$L793='All Types'!$D$3),Data!$C793,"")</f>
        <v/>
      </c>
      <c r="B793" s="3" t="str">
        <f>IF(AND(Data!$K793='All Types'!$D$2,Data!$L793='All Types'!$D$3),Data!M793,"")</f>
        <v/>
      </c>
      <c r="C793" s="3" t="str">
        <f>IF(B793="","",Data!N793)</f>
        <v/>
      </c>
    </row>
    <row r="794">
      <c r="A794" s="3" t="str">
        <f>IF(AND(Data!$K794='All Types'!$D$2,Data!$L794='All Types'!$D$3),Data!$C794,"")</f>
        <v/>
      </c>
      <c r="B794" s="3" t="str">
        <f>IF(AND(Data!$K794='All Types'!$D$2,Data!$L794='All Types'!$D$3),Data!M794,"")</f>
        <v/>
      </c>
      <c r="C794" s="3" t="str">
        <f>IF(B794="","",Data!N794)</f>
        <v/>
      </c>
    </row>
    <row r="795">
      <c r="A795" s="3" t="str">
        <f>IF(AND(Data!$K795='All Types'!$D$2,Data!$L795='All Types'!$D$3),Data!$C795,"")</f>
        <v/>
      </c>
      <c r="B795" s="3" t="str">
        <f>IF(AND(Data!$K795='All Types'!$D$2,Data!$L795='All Types'!$D$3),Data!M795,"")</f>
        <v/>
      </c>
      <c r="C795" s="3" t="str">
        <f>IF(B795="","",Data!N795)</f>
        <v/>
      </c>
    </row>
    <row r="796">
      <c r="A796" s="3" t="str">
        <f>IF(AND(Data!$K796='All Types'!$D$2,Data!$L796='All Types'!$D$3),Data!$C796,"")</f>
        <v/>
      </c>
      <c r="B796" s="3" t="str">
        <f>IF(AND(Data!$K796='All Types'!$D$2,Data!$L796='All Types'!$D$3),Data!M796,"")</f>
        <v/>
      </c>
      <c r="C796" s="3" t="str">
        <f>IF(B796="","",Data!N796)</f>
        <v/>
      </c>
    </row>
    <row r="797">
      <c r="A797" s="3" t="str">
        <f>IF(AND(Data!$K797='All Types'!$D$2,Data!$L797='All Types'!$D$3),Data!$C797,"")</f>
        <v/>
      </c>
      <c r="B797" s="3" t="str">
        <f>IF(AND(Data!$K797='All Types'!$D$2,Data!$L797='All Types'!$D$3),Data!M797,"")</f>
        <v/>
      </c>
      <c r="C797" s="3" t="str">
        <f>IF(B797="","",Data!N797)</f>
        <v/>
      </c>
    </row>
    <row r="798">
      <c r="A798" s="3" t="str">
        <f>IF(AND(Data!$K798='All Types'!$D$2,Data!$L798='All Types'!$D$3),Data!$C798,"")</f>
        <v/>
      </c>
      <c r="B798" s="3" t="str">
        <f>IF(AND(Data!$K798='All Types'!$D$2,Data!$L798='All Types'!$D$3),Data!M798,"")</f>
        <v/>
      </c>
      <c r="C798" s="3" t="str">
        <f>IF(B798="","",Data!N798)</f>
        <v/>
      </c>
    </row>
    <row r="799">
      <c r="A799" s="3" t="str">
        <f>IF(AND(Data!$K799='All Types'!$D$2,Data!$L799='All Types'!$D$3),Data!$C799,"")</f>
        <v/>
      </c>
      <c r="B799" s="3" t="str">
        <f>IF(AND(Data!$K799='All Types'!$D$2,Data!$L799='All Types'!$D$3),Data!M799,"")</f>
        <v/>
      </c>
      <c r="C799" s="3" t="str">
        <f>IF(B799="","",Data!N799)</f>
        <v/>
      </c>
    </row>
    <row r="800">
      <c r="A800" s="3" t="str">
        <f>IF(AND(Data!$K800='All Types'!$D$2,Data!$L800='All Types'!$D$3),Data!$C800,"")</f>
        <v/>
      </c>
      <c r="B800" s="3" t="str">
        <f>IF(AND(Data!$K800='All Types'!$D$2,Data!$L800='All Types'!$D$3),Data!M800,"")</f>
        <v/>
      </c>
      <c r="C800" s="3" t="str">
        <f>IF(B800="","",Data!N800)</f>
        <v/>
      </c>
    </row>
    <row r="801">
      <c r="A801" s="3" t="str">
        <f>IF(AND(Data!$K801='All Types'!$D$2,Data!$L801='All Types'!$D$3),Data!$C801,"")</f>
        <v/>
      </c>
      <c r="B801" s="3" t="str">
        <f>IF(AND(Data!$K801='All Types'!$D$2,Data!$L801='All Types'!$D$3),Data!M801,"")</f>
        <v/>
      </c>
      <c r="C801" s="3" t="str">
        <f>IF(B801="","",Data!N801)</f>
        <v/>
      </c>
    </row>
    <row r="802">
      <c r="A802" s="3" t="str">
        <f>IF(AND(Data!$K802='All Types'!$D$2,Data!$L802='All Types'!$D$3),Data!$C802,"")</f>
        <v/>
      </c>
      <c r="B802" s="3" t="str">
        <f>IF(AND(Data!$K802='All Types'!$D$2,Data!$L802='All Types'!$D$3),Data!M802,"")</f>
        <v/>
      </c>
      <c r="C802" s="3" t="str">
        <f>IF(B802="","",Data!N802)</f>
        <v/>
      </c>
    </row>
    <row r="803">
      <c r="A803" s="3" t="str">
        <f>IF(AND(Data!$K803='All Types'!$D$2,Data!$L803='All Types'!$D$3),Data!$C803,"")</f>
        <v/>
      </c>
      <c r="B803" s="3" t="str">
        <f>IF(AND(Data!$K803='All Types'!$D$2,Data!$L803='All Types'!$D$3),Data!M803,"")</f>
        <v/>
      </c>
      <c r="C803" s="3" t="str">
        <f>IF(B803="","",Data!N803)</f>
        <v/>
      </c>
    </row>
    <row r="804">
      <c r="A804" s="3" t="str">
        <f>IF(AND(Data!$K804='All Types'!$D$2,Data!$L804='All Types'!$D$3),Data!$C804,"")</f>
        <v/>
      </c>
      <c r="B804" s="3" t="str">
        <f>IF(AND(Data!$K804='All Types'!$D$2,Data!$L804='All Types'!$D$3),Data!M804,"")</f>
        <v/>
      </c>
      <c r="C804" s="3" t="str">
        <f>IF(B804="","",Data!N804)</f>
        <v/>
      </c>
    </row>
    <row r="805">
      <c r="A805" s="3" t="str">
        <f>IF(AND(Data!$K805='All Types'!$D$2,Data!$L805='All Types'!$D$3),Data!$C805,"")</f>
        <v/>
      </c>
      <c r="B805" s="3" t="str">
        <f>IF(AND(Data!$K805='All Types'!$D$2,Data!$L805='All Types'!$D$3),Data!M805,"")</f>
        <v/>
      </c>
      <c r="C805" s="3" t="str">
        <f>IF(B805="","",Data!N805)</f>
        <v/>
      </c>
    </row>
    <row r="806">
      <c r="A806" s="3" t="str">
        <f>IF(AND(Data!$K806='All Types'!$D$2,Data!$L806='All Types'!$D$3),Data!$C806,"")</f>
        <v/>
      </c>
      <c r="B806" s="3" t="str">
        <f>IF(AND(Data!$K806='All Types'!$D$2,Data!$L806='All Types'!$D$3),Data!M806,"")</f>
        <v/>
      </c>
      <c r="C806" s="3" t="str">
        <f>IF(B806="","",Data!N806)</f>
        <v/>
      </c>
    </row>
    <row r="807">
      <c r="A807" s="3" t="str">
        <f>IF(AND(Data!$K807='All Types'!$D$2,Data!$L807='All Types'!$D$3),Data!$C807,"")</f>
        <v/>
      </c>
      <c r="B807" s="3" t="str">
        <f>IF(AND(Data!$K807='All Types'!$D$2,Data!$L807='All Types'!$D$3),Data!M807,"")</f>
        <v/>
      </c>
      <c r="C807" s="3" t="str">
        <f>IF(B807="","",Data!N807)</f>
        <v/>
      </c>
    </row>
    <row r="808">
      <c r="A808" s="3" t="str">
        <f>IF(AND(Data!$K808='All Types'!$D$2,Data!$L808='All Types'!$D$3),Data!$C808,"")</f>
        <v/>
      </c>
      <c r="B808" s="3" t="str">
        <f>IF(AND(Data!$K808='All Types'!$D$2,Data!$L808='All Types'!$D$3),Data!M808,"")</f>
        <v/>
      </c>
      <c r="C808" s="3" t="str">
        <f>IF(B808="","",Data!N808)</f>
        <v/>
      </c>
    </row>
    <row r="809">
      <c r="A809" s="3" t="str">
        <f>IF(AND(Data!$K809='All Types'!$D$2,Data!$L809='All Types'!$D$3),Data!$C809,"")</f>
        <v/>
      </c>
      <c r="B809" s="3" t="str">
        <f>IF(AND(Data!$K809='All Types'!$D$2,Data!$L809='All Types'!$D$3),Data!M809,"")</f>
        <v/>
      </c>
      <c r="C809" s="3" t="str">
        <f>IF(B809="","",Data!N809)</f>
        <v/>
      </c>
    </row>
    <row r="810">
      <c r="A810" s="3" t="str">
        <f>IF(AND(Data!$K810='All Types'!$D$2,Data!$L810='All Types'!$D$3),Data!$C810,"")</f>
        <v/>
      </c>
      <c r="B810" s="3" t="str">
        <f>IF(AND(Data!$K810='All Types'!$D$2,Data!$L810='All Types'!$D$3),Data!M810,"")</f>
        <v/>
      </c>
      <c r="C810" s="3" t="str">
        <f>IF(B810="","",Data!N810)</f>
        <v/>
      </c>
    </row>
    <row r="811">
      <c r="A811" s="3" t="str">
        <f>IF(AND(Data!$K811='All Types'!$D$2,Data!$L811='All Types'!$D$3),Data!$C811,"")</f>
        <v/>
      </c>
      <c r="B811" s="3" t="str">
        <f>IF(AND(Data!$K811='All Types'!$D$2,Data!$L811='All Types'!$D$3),Data!M811,"")</f>
        <v/>
      </c>
      <c r="C811" s="3" t="str">
        <f>IF(B811="","",Data!N811)</f>
        <v/>
      </c>
    </row>
    <row r="812">
      <c r="A812" s="3" t="str">
        <f>IF(AND(Data!$K812='All Types'!$D$2,Data!$L812='All Types'!$D$3),Data!$C812,"")</f>
        <v/>
      </c>
      <c r="B812" s="3" t="str">
        <f>IF(AND(Data!$K812='All Types'!$D$2,Data!$L812='All Types'!$D$3),Data!M812,"")</f>
        <v/>
      </c>
      <c r="C812" s="3" t="str">
        <f>IF(B812="","",Data!N812)</f>
        <v/>
      </c>
    </row>
    <row r="813">
      <c r="A813" s="3" t="str">
        <f>IF(AND(Data!$K813='All Types'!$D$2,Data!$L813='All Types'!$D$3),Data!$C813,"")</f>
        <v/>
      </c>
      <c r="B813" s="3" t="str">
        <f>IF(AND(Data!$K813='All Types'!$D$2,Data!$L813='All Types'!$D$3),Data!M813,"")</f>
        <v/>
      </c>
      <c r="C813" s="3" t="str">
        <f>IF(B813="","",Data!N813)</f>
        <v/>
      </c>
    </row>
    <row r="814">
      <c r="A814" s="3" t="str">
        <f>IF(AND(Data!$K814='All Types'!$D$2,Data!$L814='All Types'!$D$3),Data!$C814,"")</f>
        <v/>
      </c>
      <c r="B814" s="3" t="str">
        <f>IF(AND(Data!$K814='All Types'!$D$2,Data!$L814='All Types'!$D$3),Data!M814,"")</f>
        <v/>
      </c>
      <c r="C814" s="3" t="str">
        <f>IF(B814="","",Data!N814)</f>
        <v/>
      </c>
    </row>
    <row r="815">
      <c r="A815" s="3" t="str">
        <f>IF(AND(Data!$K815='All Types'!$D$2,Data!$L815='All Types'!$D$3),Data!$C815,"")</f>
        <v/>
      </c>
      <c r="B815" s="3" t="str">
        <f>IF(AND(Data!$K815='All Types'!$D$2,Data!$L815='All Types'!$D$3),Data!M815,"")</f>
        <v/>
      </c>
      <c r="C815" s="3" t="str">
        <f>IF(B815="","",Data!N815)</f>
        <v/>
      </c>
    </row>
    <row r="816">
      <c r="A816" s="3" t="str">
        <f>IF(AND(Data!$K816='All Types'!$D$2,Data!$L816='All Types'!$D$3),Data!$C816,"")</f>
        <v/>
      </c>
      <c r="B816" s="3" t="str">
        <f>IF(AND(Data!$K816='All Types'!$D$2,Data!$L816='All Types'!$D$3),Data!M816,"")</f>
        <v/>
      </c>
      <c r="C816" s="3" t="str">
        <f>IF(B816="","",Data!N816)</f>
        <v/>
      </c>
    </row>
    <row r="817">
      <c r="A817" s="3" t="str">
        <f>IF(AND(Data!$K817='All Types'!$D$2,Data!$L817='All Types'!$D$3),Data!$C817,"")</f>
        <v/>
      </c>
      <c r="B817" s="3" t="str">
        <f>IF(AND(Data!$K817='All Types'!$D$2,Data!$L817='All Types'!$D$3),Data!M817,"")</f>
        <v/>
      </c>
      <c r="C817" s="3" t="str">
        <f>IF(B817="","",Data!N817)</f>
        <v/>
      </c>
    </row>
    <row r="818">
      <c r="A818" s="3" t="str">
        <f>IF(AND(Data!$K818='All Types'!$D$2,Data!$L818='All Types'!$D$3),Data!$C818,"")</f>
        <v/>
      </c>
      <c r="B818" s="3" t="str">
        <f>IF(AND(Data!$K818='All Types'!$D$2,Data!$L818='All Types'!$D$3),Data!M818,"")</f>
        <v/>
      </c>
      <c r="C818" s="3" t="str">
        <f>IF(B818="","",Data!N818)</f>
        <v/>
      </c>
    </row>
    <row r="819">
      <c r="A819" s="3" t="str">
        <f>IF(AND(Data!$K819='All Types'!$D$2,Data!$L819='All Types'!$D$3),Data!$C819,"")</f>
        <v/>
      </c>
      <c r="B819" s="3" t="str">
        <f>IF(AND(Data!$K819='All Types'!$D$2,Data!$L819='All Types'!$D$3),Data!M819,"")</f>
        <v/>
      </c>
      <c r="C819" s="3" t="str">
        <f>IF(B819="","",Data!N819)</f>
        <v/>
      </c>
    </row>
    <row r="820">
      <c r="A820" s="3" t="str">
        <f>IF(AND(Data!$K820='All Types'!$D$2,Data!$L820='All Types'!$D$3),Data!$C820,"")</f>
        <v/>
      </c>
      <c r="B820" s="3" t="str">
        <f>IF(AND(Data!$K820='All Types'!$D$2,Data!$L820='All Types'!$D$3),Data!M820,"")</f>
        <v/>
      </c>
      <c r="C820" s="3" t="str">
        <f>IF(B820="","",Data!N820)</f>
        <v/>
      </c>
    </row>
    <row r="821">
      <c r="A821" s="3" t="str">
        <f>IF(AND(Data!$K821='All Types'!$D$2,Data!$L821='All Types'!$D$3),Data!$C821,"")</f>
        <v/>
      </c>
      <c r="B821" s="3" t="str">
        <f>IF(AND(Data!$K821='All Types'!$D$2,Data!$L821='All Types'!$D$3),Data!M821,"")</f>
        <v/>
      </c>
      <c r="C821" s="3" t="str">
        <f>IF(B821="","",Data!N821)</f>
        <v/>
      </c>
    </row>
    <row r="822">
      <c r="A822" s="3" t="str">
        <f>IF(AND(Data!$K822='All Types'!$D$2,Data!$L822='All Types'!$D$3),Data!$C822,"")</f>
        <v/>
      </c>
      <c r="B822" s="3" t="str">
        <f>IF(AND(Data!$K822='All Types'!$D$2,Data!$L822='All Types'!$D$3),Data!M822,"")</f>
        <v/>
      </c>
      <c r="C822" s="3" t="str">
        <f>IF(B822="","",Data!N822)</f>
        <v/>
      </c>
    </row>
    <row r="823">
      <c r="A823" s="3" t="str">
        <f>IF(AND(Data!$K823='All Types'!$D$2,Data!$L823='All Types'!$D$3),Data!$C823,"")</f>
        <v/>
      </c>
      <c r="B823" s="3" t="str">
        <f>IF(AND(Data!$K823='All Types'!$D$2,Data!$L823='All Types'!$D$3),Data!M823,"")</f>
        <v/>
      </c>
      <c r="C823" s="3" t="str">
        <f>IF(B823="","",Data!N823)</f>
        <v/>
      </c>
    </row>
    <row r="824">
      <c r="A824" s="3" t="str">
        <f>IF(AND(Data!$K824='All Types'!$D$2,Data!$L824='All Types'!$D$3),Data!$C824,"")</f>
        <v/>
      </c>
      <c r="B824" s="3" t="str">
        <f>IF(AND(Data!$K824='All Types'!$D$2,Data!$L824='All Types'!$D$3),Data!M824,"")</f>
        <v/>
      </c>
      <c r="C824" s="3" t="str">
        <f>IF(B824="","",Data!N824)</f>
        <v/>
      </c>
    </row>
    <row r="825">
      <c r="A825" s="3" t="str">
        <f>IF(AND(Data!$K825='All Types'!$D$2,Data!$L825='All Types'!$D$3),Data!$C825,"")</f>
        <v/>
      </c>
      <c r="B825" s="3" t="str">
        <f>IF(AND(Data!$K825='All Types'!$D$2,Data!$L825='All Types'!$D$3),Data!M825,"")</f>
        <v/>
      </c>
      <c r="C825" s="3" t="str">
        <f>IF(B825="","",Data!N825)</f>
        <v/>
      </c>
    </row>
    <row r="826">
      <c r="A826" s="3" t="str">
        <f>IF(AND(Data!$K826='All Types'!$D$2,Data!$L826='All Types'!$D$3),Data!$C826,"")</f>
        <v/>
      </c>
      <c r="B826" s="3" t="str">
        <f>IF(AND(Data!$K826='All Types'!$D$2,Data!$L826='All Types'!$D$3),Data!M826,"")</f>
        <v/>
      </c>
      <c r="C826" s="3" t="str">
        <f>IF(B826="","",Data!N826)</f>
        <v/>
      </c>
    </row>
    <row r="827">
      <c r="A827" s="3" t="str">
        <f>IF(AND(Data!$K827='All Types'!$D$2,Data!$L827='All Types'!$D$3),Data!$C827,"")</f>
        <v/>
      </c>
      <c r="B827" s="3" t="str">
        <f>IF(AND(Data!$K827='All Types'!$D$2,Data!$L827='All Types'!$D$3),Data!M827,"")</f>
        <v/>
      </c>
      <c r="C827" s="3" t="str">
        <f>IF(B827="","",Data!N827)</f>
        <v/>
      </c>
    </row>
    <row r="828">
      <c r="A828" s="3" t="str">
        <f>IF(AND(Data!$K828='All Types'!$D$2,Data!$L828='All Types'!$D$3),Data!$C828,"")</f>
        <v/>
      </c>
      <c r="B828" s="3" t="str">
        <f>IF(AND(Data!$K828='All Types'!$D$2,Data!$L828='All Types'!$D$3),Data!M828,"")</f>
        <v/>
      </c>
      <c r="C828" s="3" t="str">
        <f>IF(B828="","",Data!N828)</f>
        <v/>
      </c>
    </row>
    <row r="829">
      <c r="A829" s="3" t="str">
        <f>IF(AND(Data!$K829='All Types'!$D$2,Data!$L829='All Types'!$D$3),Data!$C829,"")</f>
        <v/>
      </c>
      <c r="B829" s="3" t="str">
        <f>IF(AND(Data!$K829='All Types'!$D$2,Data!$L829='All Types'!$D$3),Data!M829,"")</f>
        <v/>
      </c>
      <c r="C829" s="3" t="str">
        <f>IF(B829="","",Data!N829)</f>
        <v/>
      </c>
    </row>
    <row r="830">
      <c r="A830" s="3" t="str">
        <f>IF(AND(Data!$K830='All Types'!$D$2,Data!$L830='All Types'!$D$3),Data!$C830,"")</f>
        <v/>
      </c>
      <c r="B830" s="3" t="str">
        <f>IF(AND(Data!$K830='All Types'!$D$2,Data!$L830='All Types'!$D$3),Data!M830,"")</f>
        <v/>
      </c>
      <c r="C830" s="3" t="str">
        <f>IF(B830="","",Data!N830)</f>
        <v/>
      </c>
    </row>
    <row r="831">
      <c r="A831" s="3" t="str">
        <f>IF(AND(Data!$K831='All Types'!$D$2,Data!$L831='All Types'!$D$3),Data!$C831,"")</f>
        <v/>
      </c>
      <c r="B831" s="3" t="str">
        <f>IF(AND(Data!$K831='All Types'!$D$2,Data!$L831='All Types'!$D$3),Data!M831,"")</f>
        <v/>
      </c>
      <c r="C831" s="3" t="str">
        <f>IF(B831="","",Data!N831)</f>
        <v/>
      </c>
    </row>
    <row r="832">
      <c r="A832" s="3" t="str">
        <f>IF(AND(Data!$K832='All Types'!$D$2,Data!$L832='All Types'!$D$3),Data!$C832,"")</f>
        <v/>
      </c>
      <c r="B832" s="3" t="str">
        <f>IF(AND(Data!$K832='All Types'!$D$2,Data!$L832='All Types'!$D$3),Data!M832,"")</f>
        <v/>
      </c>
      <c r="C832" s="3" t="str">
        <f>IF(B832="","",Data!N832)</f>
        <v/>
      </c>
    </row>
    <row r="833">
      <c r="A833" s="3" t="str">
        <f>IF(AND(Data!$K833='All Types'!$D$2,Data!$L833='All Types'!$D$3),Data!$C833,"")</f>
        <v/>
      </c>
      <c r="B833" s="3" t="str">
        <f>IF(AND(Data!$K833='All Types'!$D$2,Data!$L833='All Types'!$D$3),Data!M833,"")</f>
        <v/>
      </c>
      <c r="C833" s="3" t="str">
        <f>IF(B833="","",Data!N833)</f>
        <v/>
      </c>
    </row>
    <row r="834">
      <c r="A834" s="3" t="str">
        <f>IF(AND(Data!$K834='All Types'!$D$2,Data!$L834='All Types'!$D$3),Data!$C834,"")</f>
        <v/>
      </c>
      <c r="B834" s="3" t="str">
        <f>IF(AND(Data!$K834='All Types'!$D$2,Data!$L834='All Types'!$D$3),Data!M834,"")</f>
        <v/>
      </c>
      <c r="C834" s="3" t="str">
        <f>IF(B834="","",Data!N834)</f>
        <v/>
      </c>
    </row>
    <row r="835">
      <c r="A835" s="3" t="str">
        <f>IF(AND(Data!$K835='All Types'!$D$2,Data!$L835='All Types'!$D$3),Data!$C835,"")</f>
        <v/>
      </c>
      <c r="B835" s="3" t="str">
        <f>IF(AND(Data!$K835='All Types'!$D$2,Data!$L835='All Types'!$D$3),Data!M835,"")</f>
        <v/>
      </c>
      <c r="C835" s="3" t="str">
        <f>IF(B835="","",Data!N835)</f>
        <v/>
      </c>
    </row>
    <row r="836">
      <c r="A836" s="3" t="str">
        <f>IF(AND(Data!$K836='All Types'!$D$2,Data!$L836='All Types'!$D$3),Data!$C836,"")</f>
        <v/>
      </c>
      <c r="B836" s="3" t="str">
        <f>IF(AND(Data!$K836='All Types'!$D$2,Data!$L836='All Types'!$D$3),Data!M836,"")</f>
        <v/>
      </c>
      <c r="C836" s="3" t="str">
        <f>IF(B836="","",Data!N836)</f>
        <v/>
      </c>
    </row>
    <row r="837">
      <c r="A837" s="3" t="str">
        <f>IF(AND(Data!$K837='All Types'!$D$2,Data!$L837='All Types'!$D$3),Data!$C837,"")</f>
        <v/>
      </c>
      <c r="B837" s="3" t="str">
        <f>IF(AND(Data!$K837='All Types'!$D$2,Data!$L837='All Types'!$D$3),Data!M837,"")</f>
        <v/>
      </c>
      <c r="C837" s="3" t="str">
        <f>IF(B837="","",Data!N837)</f>
        <v/>
      </c>
    </row>
    <row r="838">
      <c r="A838" s="3" t="str">
        <f>IF(AND(Data!$K838='All Types'!$D$2,Data!$L838='All Types'!$D$3),Data!$C838,"")</f>
        <v/>
      </c>
      <c r="B838" s="3" t="str">
        <f>IF(AND(Data!$K838='All Types'!$D$2,Data!$L838='All Types'!$D$3),Data!M838,"")</f>
        <v/>
      </c>
      <c r="C838" s="3" t="str">
        <f>IF(B838="","",Data!N838)</f>
        <v/>
      </c>
    </row>
    <row r="839">
      <c r="A839" s="3" t="str">
        <f>IF(AND(Data!$K839='All Types'!$D$2,Data!$L839='All Types'!$D$3),Data!$C839,"")</f>
        <v/>
      </c>
      <c r="B839" s="3" t="str">
        <f>IF(AND(Data!$K839='All Types'!$D$2,Data!$L839='All Types'!$D$3),Data!M839,"")</f>
        <v/>
      </c>
      <c r="C839" s="3" t="str">
        <f>IF(B839="","",Data!N839)</f>
        <v/>
      </c>
    </row>
    <row r="840">
      <c r="A840" s="3" t="str">
        <f>IF(AND(Data!$K840='All Types'!$D$2,Data!$L840='All Types'!$D$3),Data!$C840,"")</f>
        <v/>
      </c>
      <c r="B840" s="3" t="str">
        <f>IF(AND(Data!$K840='All Types'!$D$2,Data!$L840='All Types'!$D$3),Data!M840,"")</f>
        <v/>
      </c>
      <c r="C840" s="3" t="str">
        <f>IF(B840="","",Data!N840)</f>
        <v/>
      </c>
    </row>
    <row r="841">
      <c r="A841" s="3" t="str">
        <f>IF(AND(Data!$K841='All Types'!$D$2,Data!$L841='All Types'!$D$3),Data!$C841,"")</f>
        <v/>
      </c>
      <c r="B841" s="3" t="str">
        <f>IF(AND(Data!$K841='All Types'!$D$2,Data!$L841='All Types'!$D$3),Data!M841,"")</f>
        <v/>
      </c>
      <c r="C841" s="3" t="str">
        <f>IF(B841="","",Data!N841)</f>
        <v/>
      </c>
    </row>
    <row r="842">
      <c r="A842" s="3" t="str">
        <f>IF(AND(Data!$K842='All Types'!$D$2,Data!$L842='All Types'!$D$3),Data!$C842,"")</f>
        <v/>
      </c>
      <c r="B842" s="3" t="str">
        <f>IF(AND(Data!$K842='All Types'!$D$2,Data!$L842='All Types'!$D$3),Data!M842,"")</f>
        <v/>
      </c>
      <c r="C842" s="3" t="str">
        <f>IF(B842="","",Data!N842)</f>
        <v/>
      </c>
    </row>
    <row r="843">
      <c r="A843" s="3" t="str">
        <f>IF(AND(Data!$K843='All Types'!$D$2,Data!$L843='All Types'!$D$3),Data!$C843,"")</f>
        <v/>
      </c>
      <c r="B843" s="3" t="str">
        <f>IF(AND(Data!$K843='All Types'!$D$2,Data!$L843='All Types'!$D$3),Data!M843,"")</f>
        <v/>
      </c>
      <c r="C843" s="3" t="str">
        <f>IF(B843="","",Data!N843)</f>
        <v/>
      </c>
    </row>
    <row r="844">
      <c r="A844" s="3" t="str">
        <f>IF(AND(Data!$K844='All Types'!$D$2,Data!$L844='All Types'!$D$3),Data!$C844,"")</f>
        <v/>
      </c>
      <c r="B844" s="3" t="str">
        <f>IF(AND(Data!$K844='All Types'!$D$2,Data!$L844='All Types'!$D$3),Data!M844,"")</f>
        <v/>
      </c>
      <c r="C844" s="3" t="str">
        <f>IF(B844="","",Data!N844)</f>
        <v/>
      </c>
    </row>
    <row r="845">
      <c r="A845" s="3" t="str">
        <f>IF(AND(Data!$K845='All Types'!$D$2,Data!$L845='All Types'!$D$3),Data!$C845,"")</f>
        <v/>
      </c>
      <c r="B845" s="3" t="str">
        <f>IF(AND(Data!$K845='All Types'!$D$2,Data!$L845='All Types'!$D$3),Data!M845,"")</f>
        <v/>
      </c>
      <c r="C845" s="3" t="str">
        <f>IF(B845="","",Data!N845)</f>
        <v/>
      </c>
    </row>
    <row r="846">
      <c r="A846" s="3" t="str">
        <f>IF(AND(Data!$K846='All Types'!$D$2,Data!$L846='All Types'!$D$3),Data!$C846,"")</f>
        <v/>
      </c>
      <c r="B846" s="3" t="str">
        <f>IF(AND(Data!$K846='All Types'!$D$2,Data!$L846='All Types'!$D$3),Data!M846,"")</f>
        <v/>
      </c>
      <c r="C846" s="3" t="str">
        <f>IF(B846="","",Data!N846)</f>
        <v/>
      </c>
    </row>
    <row r="847">
      <c r="A847" s="3" t="str">
        <f>IF(AND(Data!$K847='All Types'!$D$2,Data!$L847='All Types'!$D$3),Data!$C847,"")</f>
        <v/>
      </c>
      <c r="B847" s="3" t="str">
        <f>IF(AND(Data!$K847='All Types'!$D$2,Data!$L847='All Types'!$D$3),Data!M847,"")</f>
        <v/>
      </c>
      <c r="C847" s="3" t="str">
        <f>IF(B847="","",Data!N847)</f>
        <v/>
      </c>
    </row>
    <row r="848">
      <c r="A848" s="3" t="str">
        <f>IF(AND(Data!$K848='All Types'!$D$2,Data!$L848='All Types'!$D$3),Data!$C848,"")</f>
        <v/>
      </c>
      <c r="B848" s="3" t="str">
        <f>IF(AND(Data!$K848='All Types'!$D$2,Data!$L848='All Types'!$D$3),Data!M848,"")</f>
        <v/>
      </c>
      <c r="C848" s="3" t="str">
        <f>IF(B848="","",Data!N848)</f>
        <v/>
      </c>
    </row>
    <row r="849">
      <c r="A849" s="3" t="str">
        <f>IF(AND(Data!$K849='All Types'!$D$2,Data!$L849='All Types'!$D$3),Data!$C849,"")</f>
        <v/>
      </c>
      <c r="B849" s="3" t="str">
        <f>IF(AND(Data!$K849='All Types'!$D$2,Data!$L849='All Types'!$D$3),Data!M849,"")</f>
        <v/>
      </c>
      <c r="C849" s="3" t="str">
        <f>IF(B849="","",Data!N849)</f>
        <v/>
      </c>
    </row>
    <row r="850">
      <c r="A850" s="3" t="str">
        <f>IF(AND(Data!$K850='All Types'!$D$2,Data!$L850='All Types'!$D$3),Data!$C850,"")</f>
        <v/>
      </c>
      <c r="B850" s="3" t="str">
        <f>IF(AND(Data!$K850='All Types'!$D$2,Data!$L850='All Types'!$D$3),Data!M850,"")</f>
        <v/>
      </c>
      <c r="C850" s="3" t="str">
        <f>IF(B850="","",Data!N850)</f>
        <v/>
      </c>
    </row>
    <row r="851">
      <c r="A851" s="3" t="str">
        <f>IF(AND(Data!$K851='All Types'!$D$2,Data!$L851='All Types'!$D$3),Data!$C851,"")</f>
        <v/>
      </c>
      <c r="B851" s="3" t="str">
        <f>IF(AND(Data!$K851='All Types'!$D$2,Data!$L851='All Types'!$D$3),Data!M851,"")</f>
        <v/>
      </c>
      <c r="C851" s="3" t="str">
        <f>IF(B851="","",Data!N851)</f>
        <v/>
      </c>
    </row>
    <row r="852">
      <c r="A852" s="3" t="str">
        <f>IF(AND(Data!$K852='All Types'!$D$2,Data!$L852='All Types'!$D$3),Data!$C852,"")</f>
        <v/>
      </c>
      <c r="B852" s="3" t="str">
        <f>IF(AND(Data!$K852='All Types'!$D$2,Data!$L852='All Types'!$D$3),Data!M852,"")</f>
        <v/>
      </c>
      <c r="C852" s="3" t="str">
        <f>IF(B852="","",Data!N852)</f>
        <v/>
      </c>
    </row>
    <row r="853">
      <c r="A853" s="3" t="str">
        <f>IF(AND(Data!$K853='All Types'!$D$2,Data!$L853='All Types'!$D$3),Data!$C853,"")</f>
        <v/>
      </c>
      <c r="B853" s="3" t="str">
        <f>IF(AND(Data!$K853='All Types'!$D$2,Data!$L853='All Types'!$D$3),Data!M853,"")</f>
        <v/>
      </c>
      <c r="C853" s="3" t="str">
        <f>IF(B853="","",Data!N853)</f>
        <v/>
      </c>
    </row>
    <row r="854">
      <c r="A854" s="3" t="str">
        <f>IF(AND(Data!$K854='All Types'!$D$2,Data!$L854='All Types'!$D$3),Data!$C854,"")</f>
        <v/>
      </c>
      <c r="B854" s="3" t="str">
        <f>IF(AND(Data!$K854='All Types'!$D$2,Data!$L854='All Types'!$D$3),Data!M854,"")</f>
        <v/>
      </c>
      <c r="C854" s="3" t="str">
        <f>IF(B854="","",Data!N854)</f>
        <v/>
      </c>
    </row>
    <row r="855">
      <c r="A855" s="3" t="str">
        <f>IF(AND(Data!$K855='All Types'!$D$2,Data!$L855='All Types'!$D$3),Data!$C855,"")</f>
        <v/>
      </c>
      <c r="B855" s="3" t="str">
        <f>IF(AND(Data!$K855='All Types'!$D$2,Data!$L855='All Types'!$D$3),Data!M855,"")</f>
        <v/>
      </c>
      <c r="C855" s="3" t="str">
        <f>IF(B855="","",Data!N855)</f>
        <v/>
      </c>
    </row>
    <row r="856">
      <c r="A856" s="3" t="str">
        <f>IF(AND(Data!$K856='All Types'!$D$2,Data!$L856='All Types'!$D$3),Data!$C856,"")</f>
        <v/>
      </c>
      <c r="B856" s="3" t="str">
        <f>IF(AND(Data!$K856='All Types'!$D$2,Data!$L856='All Types'!$D$3),Data!M856,"")</f>
        <v/>
      </c>
      <c r="C856" s="3" t="str">
        <f>IF(B856="","",Data!N856)</f>
        <v/>
      </c>
    </row>
    <row r="857">
      <c r="A857" s="3" t="str">
        <f>IF(AND(Data!$K857='All Types'!$D$2,Data!$L857='All Types'!$D$3),Data!$C857,"")</f>
        <v/>
      </c>
      <c r="B857" s="3" t="str">
        <f>IF(AND(Data!$K857='All Types'!$D$2,Data!$L857='All Types'!$D$3),Data!M857,"")</f>
        <v/>
      </c>
      <c r="C857" s="3" t="str">
        <f>IF(B857="","",Data!N857)</f>
        <v/>
      </c>
    </row>
    <row r="858">
      <c r="A858" s="3" t="str">
        <f>IF(AND(Data!$K858='All Types'!$D$2,Data!$L858='All Types'!$D$3),Data!$C858,"")</f>
        <v/>
      </c>
      <c r="B858" s="3" t="str">
        <f>IF(AND(Data!$K858='All Types'!$D$2,Data!$L858='All Types'!$D$3),Data!M858,"")</f>
        <v/>
      </c>
      <c r="C858" s="3" t="str">
        <f>IF(B858="","",Data!N858)</f>
        <v/>
      </c>
    </row>
    <row r="859">
      <c r="A859" s="3" t="str">
        <f>IF(AND(Data!$K859='All Types'!$D$2,Data!$L859='All Types'!$D$3),Data!$C859,"")</f>
        <v/>
      </c>
      <c r="B859" s="3" t="str">
        <f>IF(AND(Data!$K859='All Types'!$D$2,Data!$L859='All Types'!$D$3),Data!M859,"")</f>
        <v/>
      </c>
      <c r="C859" s="3" t="str">
        <f>IF(B859="","",Data!N859)</f>
        <v/>
      </c>
    </row>
    <row r="860">
      <c r="A860" s="3" t="str">
        <f>IF(AND(Data!$K860='All Types'!$D$2,Data!$L860='All Types'!$D$3),Data!$C860,"")</f>
        <v/>
      </c>
      <c r="B860" s="3" t="str">
        <f>IF(AND(Data!$K860='All Types'!$D$2,Data!$L860='All Types'!$D$3),Data!M860,"")</f>
        <v/>
      </c>
      <c r="C860" s="3" t="str">
        <f>IF(B860="","",Data!N860)</f>
        <v/>
      </c>
    </row>
    <row r="861">
      <c r="A861" s="3" t="str">
        <f>IF(AND(Data!$K861='All Types'!$D$2,Data!$L861='All Types'!$D$3),Data!$C861,"")</f>
        <v/>
      </c>
      <c r="B861" s="3" t="str">
        <f>IF(AND(Data!$K861='All Types'!$D$2,Data!$L861='All Types'!$D$3),Data!M861,"")</f>
        <v/>
      </c>
      <c r="C861" s="3" t="str">
        <f>IF(B861="","",Data!N861)</f>
        <v/>
      </c>
    </row>
    <row r="862">
      <c r="A862" s="3" t="str">
        <f>IF(AND(Data!$K862='All Types'!$D$2,Data!$L862='All Types'!$D$3),Data!$C862,"")</f>
        <v/>
      </c>
      <c r="B862" s="3" t="str">
        <f>IF(AND(Data!$K862='All Types'!$D$2,Data!$L862='All Types'!$D$3),Data!M862,"")</f>
        <v/>
      </c>
      <c r="C862" s="3" t="str">
        <f>IF(B862="","",Data!N862)</f>
        <v/>
      </c>
    </row>
    <row r="863">
      <c r="A863" s="3" t="str">
        <f>IF(AND(Data!$K863='All Types'!$D$2,Data!$L863='All Types'!$D$3),Data!$C863,"")</f>
        <v/>
      </c>
      <c r="B863" s="3" t="str">
        <f>IF(AND(Data!$K863='All Types'!$D$2,Data!$L863='All Types'!$D$3),Data!M863,"")</f>
        <v/>
      </c>
      <c r="C863" s="3" t="str">
        <f>IF(B863="","",Data!N863)</f>
        <v/>
      </c>
    </row>
    <row r="864">
      <c r="A864" s="3" t="str">
        <f>IF(AND(Data!$K864='All Types'!$D$2,Data!$L864='All Types'!$D$3),Data!$C864,"")</f>
        <v/>
      </c>
      <c r="B864" s="3" t="str">
        <f>IF(AND(Data!$K864='All Types'!$D$2,Data!$L864='All Types'!$D$3),Data!M864,"")</f>
        <v/>
      </c>
      <c r="C864" s="3" t="str">
        <f>IF(B864="","",Data!N864)</f>
        <v/>
      </c>
    </row>
    <row r="865">
      <c r="A865" s="3" t="str">
        <f>IF(AND(Data!$K865='All Types'!$D$2,Data!$L865='All Types'!$D$3),Data!$C865,"")</f>
        <v/>
      </c>
      <c r="B865" s="3" t="str">
        <f>IF(AND(Data!$K865='All Types'!$D$2,Data!$L865='All Types'!$D$3),Data!M865,"")</f>
        <v/>
      </c>
      <c r="C865" s="3" t="str">
        <f>IF(B865="","",Data!N865)</f>
        <v/>
      </c>
    </row>
    <row r="866">
      <c r="A866" s="3" t="str">
        <f>IF(AND(Data!$K866='All Types'!$D$2,Data!$L866='All Types'!$D$3),Data!$C866,"")</f>
        <v/>
      </c>
      <c r="B866" s="3" t="str">
        <f>IF(AND(Data!$K866='All Types'!$D$2,Data!$L866='All Types'!$D$3),Data!M866,"")</f>
        <v/>
      </c>
      <c r="C866" s="3" t="str">
        <f>IF(B866="","",Data!N866)</f>
        <v/>
      </c>
    </row>
    <row r="867">
      <c r="A867" s="3" t="str">
        <f>IF(AND(Data!$K867='All Types'!$D$2,Data!$L867='All Types'!$D$3),Data!$C867,"")</f>
        <v/>
      </c>
      <c r="B867" s="3" t="str">
        <f>IF(AND(Data!$K867='All Types'!$D$2,Data!$L867='All Types'!$D$3),Data!M867,"")</f>
        <v/>
      </c>
      <c r="C867" s="3" t="str">
        <f>IF(B867="","",Data!N867)</f>
        <v/>
      </c>
    </row>
    <row r="868">
      <c r="A868" s="3" t="str">
        <f>IF(AND(Data!$K868='All Types'!$D$2,Data!$L868='All Types'!$D$3),Data!$C868,"")</f>
        <v/>
      </c>
      <c r="B868" s="3" t="str">
        <f>IF(AND(Data!$K868='All Types'!$D$2,Data!$L868='All Types'!$D$3),Data!M868,"")</f>
        <v/>
      </c>
      <c r="C868" s="3" t="str">
        <f>IF(B868="","",Data!N868)</f>
        <v/>
      </c>
    </row>
    <row r="869">
      <c r="A869" s="3" t="str">
        <f>IF(AND(Data!$K869='All Types'!$D$2,Data!$L869='All Types'!$D$3),Data!$C869,"")</f>
        <v/>
      </c>
      <c r="B869" s="3" t="str">
        <f>IF(AND(Data!$K869='All Types'!$D$2,Data!$L869='All Types'!$D$3),Data!M869,"")</f>
        <v/>
      </c>
      <c r="C869" s="3" t="str">
        <f>IF(B869="","",Data!N869)</f>
        <v/>
      </c>
    </row>
    <row r="870">
      <c r="A870" s="3" t="str">
        <f>IF(AND(Data!$K870='All Types'!$D$2,Data!$L870='All Types'!$D$3),Data!$C870,"")</f>
        <v/>
      </c>
      <c r="B870" s="3" t="str">
        <f>IF(AND(Data!$K870='All Types'!$D$2,Data!$L870='All Types'!$D$3),Data!M870,"")</f>
        <v/>
      </c>
      <c r="C870" s="3" t="str">
        <f>IF(B870="","",Data!N870)</f>
        <v/>
      </c>
    </row>
    <row r="871">
      <c r="A871" s="3" t="str">
        <f>IF(AND(Data!$K871='All Types'!$D$2,Data!$L871='All Types'!$D$3),Data!$C871,"")</f>
        <v/>
      </c>
      <c r="B871" s="3" t="str">
        <f>IF(AND(Data!$K871='All Types'!$D$2,Data!$L871='All Types'!$D$3),Data!M871,"")</f>
        <v/>
      </c>
      <c r="C871" s="3" t="str">
        <f>IF(B871="","",Data!N871)</f>
        <v/>
      </c>
    </row>
    <row r="872">
      <c r="A872" s="3" t="str">
        <f>IF(AND(Data!$K872='All Types'!$D$2,Data!$L872='All Types'!$D$3),Data!$C872,"")</f>
        <v/>
      </c>
      <c r="B872" s="3" t="str">
        <f>IF(AND(Data!$K872='All Types'!$D$2,Data!$L872='All Types'!$D$3),Data!M872,"")</f>
        <v/>
      </c>
      <c r="C872" s="3" t="str">
        <f>IF(B872="","",Data!N872)</f>
        <v/>
      </c>
    </row>
    <row r="873">
      <c r="A873" s="3" t="str">
        <f>IF(AND(Data!$K873='All Types'!$D$2,Data!$L873='All Types'!$D$3),Data!$C873,"")</f>
        <v/>
      </c>
      <c r="B873" s="3" t="str">
        <f>IF(AND(Data!$K873='All Types'!$D$2,Data!$L873='All Types'!$D$3),Data!M873,"")</f>
        <v/>
      </c>
      <c r="C873" s="3" t="str">
        <f>IF(B873="","",Data!N873)</f>
        <v/>
      </c>
    </row>
    <row r="874">
      <c r="A874" s="3" t="str">
        <f>IF(AND(Data!$K874='All Types'!$D$2,Data!$L874='All Types'!$D$3),Data!$C874,"")</f>
        <v/>
      </c>
      <c r="B874" s="3" t="str">
        <f>IF(AND(Data!$K874='All Types'!$D$2,Data!$L874='All Types'!$D$3),Data!M874,"")</f>
        <v/>
      </c>
      <c r="C874" s="3" t="str">
        <f>IF(B874="","",Data!N874)</f>
        <v/>
      </c>
    </row>
    <row r="875">
      <c r="A875" s="3" t="str">
        <f>IF(AND(Data!$K875='All Types'!$D$2,Data!$L875='All Types'!$D$3),Data!$C875,"")</f>
        <v/>
      </c>
      <c r="B875" s="3" t="str">
        <f>IF(AND(Data!$K875='All Types'!$D$2,Data!$L875='All Types'!$D$3),Data!M875,"")</f>
        <v/>
      </c>
      <c r="C875" s="3" t="str">
        <f>IF(B875="","",Data!N875)</f>
        <v/>
      </c>
    </row>
    <row r="876">
      <c r="A876" s="3" t="str">
        <f>IF(AND(Data!$K876='All Types'!$D$2,Data!$L876='All Types'!$D$3),Data!$C876,"")</f>
        <v/>
      </c>
      <c r="B876" s="3" t="str">
        <f>IF(AND(Data!$K876='All Types'!$D$2,Data!$L876='All Types'!$D$3),Data!M876,"")</f>
        <v/>
      </c>
      <c r="C876" s="3" t="str">
        <f>IF(B876="","",Data!N876)</f>
        <v/>
      </c>
    </row>
    <row r="877">
      <c r="A877" s="3" t="str">
        <f>IF(AND(Data!$K877='All Types'!$D$2,Data!$L877='All Types'!$D$3),Data!$C877,"")</f>
        <v/>
      </c>
      <c r="B877" s="3" t="str">
        <f>IF(AND(Data!$K877='All Types'!$D$2,Data!$L877='All Types'!$D$3),Data!M877,"")</f>
        <v/>
      </c>
      <c r="C877" s="3" t="str">
        <f>IF(B877="","",Data!N877)</f>
        <v/>
      </c>
    </row>
    <row r="878">
      <c r="A878" s="3" t="str">
        <f>IF(AND(Data!$K878='All Types'!$D$2,Data!$L878='All Types'!$D$3),Data!$C878,"")</f>
        <v/>
      </c>
      <c r="B878" s="3" t="str">
        <f>IF(AND(Data!$K878='All Types'!$D$2,Data!$L878='All Types'!$D$3),Data!M878,"")</f>
        <v/>
      </c>
      <c r="C878" s="3" t="str">
        <f>IF(B878="","",Data!N878)</f>
        <v/>
      </c>
    </row>
    <row r="879">
      <c r="A879" s="3" t="str">
        <f>IF(AND(Data!$K879='All Types'!$D$2,Data!$L879='All Types'!$D$3),Data!$C879,"")</f>
        <v/>
      </c>
      <c r="B879" s="3" t="str">
        <f>IF(AND(Data!$K879='All Types'!$D$2,Data!$L879='All Types'!$D$3),Data!M879,"")</f>
        <v/>
      </c>
      <c r="C879" s="3" t="str">
        <f>IF(B879="","",Data!N879)</f>
        <v/>
      </c>
    </row>
    <row r="880">
      <c r="A880" s="3" t="str">
        <f>IF(AND(Data!$K880='All Types'!$D$2,Data!$L880='All Types'!$D$3),Data!$C880,"")</f>
        <v/>
      </c>
      <c r="B880" s="3" t="str">
        <f>IF(AND(Data!$K880='All Types'!$D$2,Data!$L880='All Types'!$D$3),Data!M880,"")</f>
        <v/>
      </c>
      <c r="C880" s="3" t="str">
        <f>IF(B880="","",Data!N880)</f>
        <v/>
      </c>
    </row>
    <row r="881">
      <c r="A881" s="3" t="str">
        <f>IF(AND(Data!$K881='All Types'!$D$2,Data!$L881='All Types'!$D$3),Data!$C881,"")</f>
        <v/>
      </c>
      <c r="B881" s="3" t="str">
        <f>IF(AND(Data!$K881='All Types'!$D$2,Data!$L881='All Types'!$D$3),Data!M881,"")</f>
        <v/>
      </c>
      <c r="C881" s="3" t="str">
        <f>IF(B881="","",Data!N881)</f>
        <v/>
      </c>
    </row>
    <row r="882">
      <c r="A882" s="3" t="str">
        <f>IF(AND(Data!$K882='All Types'!$D$2,Data!$L882='All Types'!$D$3),Data!$C882,"")</f>
        <v/>
      </c>
      <c r="B882" s="3" t="str">
        <f>IF(AND(Data!$K882='All Types'!$D$2,Data!$L882='All Types'!$D$3),Data!M882,"")</f>
        <v/>
      </c>
      <c r="C882" s="3" t="str">
        <f>IF(B882="","",Data!N882)</f>
        <v/>
      </c>
    </row>
    <row r="883">
      <c r="A883" s="3" t="str">
        <f>IF(AND(Data!$K883='All Types'!$D$2,Data!$L883='All Types'!$D$3),Data!$C883,"")</f>
        <v/>
      </c>
      <c r="B883" s="3" t="str">
        <f>IF(AND(Data!$K883='All Types'!$D$2,Data!$L883='All Types'!$D$3),Data!M883,"")</f>
        <v/>
      </c>
      <c r="C883" s="3" t="str">
        <f>IF(B883="","",Data!N883)</f>
        <v/>
      </c>
    </row>
    <row r="884">
      <c r="A884" s="3" t="str">
        <f>IF(AND(Data!$K884='All Types'!$D$2,Data!$L884='All Types'!$D$3),Data!$C884,"")</f>
        <v/>
      </c>
      <c r="B884" s="3" t="str">
        <f>IF(AND(Data!$K884='All Types'!$D$2,Data!$L884='All Types'!$D$3),Data!M884,"")</f>
        <v/>
      </c>
      <c r="C884" s="3" t="str">
        <f>IF(B884="","",Data!N884)</f>
        <v/>
      </c>
    </row>
    <row r="885">
      <c r="A885" s="3" t="str">
        <f>IF(AND(Data!$K885='All Types'!$D$2,Data!$L885='All Types'!$D$3),Data!$C885,"")</f>
        <v/>
      </c>
      <c r="B885" s="3" t="str">
        <f>IF(AND(Data!$K885='All Types'!$D$2,Data!$L885='All Types'!$D$3),Data!M885,"")</f>
        <v/>
      </c>
      <c r="C885" s="3" t="str">
        <f>IF(B885="","",Data!N885)</f>
        <v/>
      </c>
    </row>
    <row r="886">
      <c r="A886" s="3" t="str">
        <f>IF(AND(Data!$K886='All Types'!$D$2,Data!$L886='All Types'!$D$3),Data!$C886,"")</f>
        <v/>
      </c>
      <c r="B886" s="3" t="str">
        <f>IF(AND(Data!$K886='All Types'!$D$2,Data!$L886='All Types'!$D$3),Data!M886,"")</f>
        <v/>
      </c>
      <c r="C886" s="3" t="str">
        <f>IF(B886="","",Data!N886)</f>
        <v/>
      </c>
    </row>
    <row r="887">
      <c r="A887" s="3" t="str">
        <f>IF(AND(Data!$K887='All Types'!$D$2,Data!$L887='All Types'!$D$3),Data!$C887,"")</f>
        <v/>
      </c>
      <c r="B887" s="3" t="str">
        <f>IF(AND(Data!$K887='All Types'!$D$2,Data!$L887='All Types'!$D$3),Data!M887,"")</f>
        <v/>
      </c>
      <c r="C887" s="3" t="str">
        <f>IF(B887="","",Data!N887)</f>
        <v/>
      </c>
    </row>
    <row r="888">
      <c r="A888" s="3" t="str">
        <f>IF(AND(Data!$K888='All Types'!$D$2,Data!$L888='All Types'!$D$3),Data!$C888,"")</f>
        <v/>
      </c>
      <c r="B888" s="3" t="str">
        <f>IF(AND(Data!$K888='All Types'!$D$2,Data!$L888='All Types'!$D$3),Data!M888,"")</f>
        <v/>
      </c>
      <c r="C888" s="3" t="str">
        <f>IF(B888="","",Data!N888)</f>
        <v/>
      </c>
    </row>
    <row r="889">
      <c r="A889" s="3" t="str">
        <f>IF(AND(Data!$K889='All Types'!$D$2,Data!$L889='All Types'!$D$3),Data!$C889,"")</f>
        <v/>
      </c>
      <c r="B889" s="3" t="str">
        <f>IF(AND(Data!$K889='All Types'!$D$2,Data!$L889='All Types'!$D$3),Data!M889,"")</f>
        <v/>
      </c>
      <c r="C889" s="3" t="str">
        <f>IF(B889="","",Data!N889)</f>
        <v/>
      </c>
    </row>
    <row r="890">
      <c r="A890" s="3" t="str">
        <f>IF(AND(Data!$K890='All Types'!$D$2,Data!$L890='All Types'!$D$3),Data!$C890,"")</f>
        <v/>
      </c>
      <c r="B890" s="3" t="str">
        <f>IF(AND(Data!$K890='All Types'!$D$2,Data!$L890='All Types'!$D$3),Data!M890,"")</f>
        <v/>
      </c>
      <c r="C890" s="3" t="str">
        <f>IF(B890="","",Data!N890)</f>
        <v/>
      </c>
    </row>
    <row r="891">
      <c r="A891" s="3" t="str">
        <f>IF(AND(Data!$K891='All Types'!$D$2,Data!$L891='All Types'!$D$3),Data!$C891,"")</f>
        <v/>
      </c>
      <c r="B891" s="3" t="str">
        <f>IF(AND(Data!$K891='All Types'!$D$2,Data!$L891='All Types'!$D$3),Data!M891,"")</f>
        <v/>
      </c>
      <c r="C891" s="3" t="str">
        <f>IF(B891="","",Data!N891)</f>
        <v/>
      </c>
    </row>
    <row r="892">
      <c r="A892" s="3" t="str">
        <f>IF(AND(Data!$K892='All Types'!$D$2,Data!$L892='All Types'!$D$3),Data!$C892,"")</f>
        <v/>
      </c>
      <c r="B892" s="3" t="str">
        <f>IF(AND(Data!$K892='All Types'!$D$2,Data!$L892='All Types'!$D$3),Data!M892,"")</f>
        <v/>
      </c>
      <c r="C892" s="3" t="str">
        <f>IF(B892="","",Data!N892)</f>
        <v/>
      </c>
    </row>
    <row r="893">
      <c r="A893" s="3" t="str">
        <f>IF(AND(Data!$K893='All Types'!$D$2,Data!$L893='All Types'!$D$3),Data!$C893,"")</f>
        <v/>
      </c>
      <c r="B893" s="3" t="str">
        <f>IF(AND(Data!$K893='All Types'!$D$2,Data!$L893='All Types'!$D$3),Data!M893,"")</f>
        <v/>
      </c>
      <c r="C893" s="3" t="str">
        <f>IF(B893="","",Data!N893)</f>
        <v/>
      </c>
    </row>
    <row r="894">
      <c r="A894" s="3" t="str">
        <f>IF(AND(Data!$K894='All Types'!$D$2,Data!$L894='All Types'!$D$3),Data!$C894,"")</f>
        <v/>
      </c>
      <c r="B894" s="3" t="str">
        <f>IF(AND(Data!$K894='All Types'!$D$2,Data!$L894='All Types'!$D$3),Data!M894,"")</f>
        <v/>
      </c>
      <c r="C894" s="3" t="str">
        <f>IF(B894="","",Data!N894)</f>
        <v/>
      </c>
    </row>
    <row r="895">
      <c r="A895" s="3" t="str">
        <f>IF(AND(Data!$K895='All Types'!$D$2,Data!$L895='All Types'!$D$3),Data!$C895,"")</f>
        <v/>
      </c>
      <c r="B895" s="3" t="str">
        <f>IF(AND(Data!$K895='All Types'!$D$2,Data!$L895='All Types'!$D$3),Data!M895,"")</f>
        <v/>
      </c>
      <c r="C895" s="3" t="str">
        <f>IF(B895="","",Data!N895)</f>
        <v/>
      </c>
    </row>
    <row r="896">
      <c r="A896" s="3" t="str">
        <f>IF(AND(Data!$K896='All Types'!$D$2,Data!$L896='All Types'!$D$3),Data!$C896,"")</f>
        <v/>
      </c>
      <c r="B896" s="3" t="str">
        <f>IF(AND(Data!$K896='All Types'!$D$2,Data!$L896='All Types'!$D$3),Data!M896,"")</f>
        <v/>
      </c>
      <c r="C896" s="3" t="str">
        <f>IF(B896="","",Data!N896)</f>
        <v/>
      </c>
    </row>
    <row r="897">
      <c r="A897" s="3" t="str">
        <f>IF(AND(Data!$K897='All Types'!$D$2,Data!$L897='All Types'!$D$3),Data!$C897,"")</f>
        <v/>
      </c>
      <c r="B897" s="3" t="str">
        <f>IF(AND(Data!$K897='All Types'!$D$2,Data!$L897='All Types'!$D$3),Data!M897,"")</f>
        <v/>
      </c>
      <c r="C897" s="3" t="str">
        <f>IF(B897="","",Data!N897)</f>
        <v/>
      </c>
    </row>
    <row r="898">
      <c r="A898" s="3" t="str">
        <f>IF(AND(Data!$K898='All Types'!$D$2,Data!$L898='All Types'!$D$3),Data!$C898,"")</f>
        <v/>
      </c>
      <c r="B898" s="3" t="str">
        <f>IF(AND(Data!$K898='All Types'!$D$2,Data!$L898='All Types'!$D$3),Data!M898,"")</f>
        <v/>
      </c>
      <c r="C898" s="3" t="str">
        <f>IF(B898="","",Data!N898)</f>
        <v/>
      </c>
    </row>
    <row r="899">
      <c r="A899" s="3" t="str">
        <f>IF(AND(Data!$K899='All Types'!$D$2,Data!$L899='All Types'!$D$3),Data!$C899,"")</f>
        <v/>
      </c>
      <c r="B899" s="3" t="str">
        <f>IF(AND(Data!$K899='All Types'!$D$2,Data!$L899='All Types'!$D$3),Data!M899,"")</f>
        <v/>
      </c>
      <c r="C899" s="3" t="str">
        <f>IF(B899="","",Data!N899)</f>
        <v/>
      </c>
    </row>
    <row r="900">
      <c r="A900" s="3" t="str">
        <f>IF(AND(Data!$K900='All Types'!$D$2,Data!$L900='All Types'!$D$3),Data!$C900,"")</f>
        <v/>
      </c>
      <c r="B900" s="3" t="str">
        <f>IF(AND(Data!$K900='All Types'!$D$2,Data!$L900='All Types'!$D$3),Data!M900,"")</f>
        <v/>
      </c>
      <c r="C900" s="3" t="str">
        <f>IF(B900="","",Data!N900)</f>
        <v/>
      </c>
    </row>
    <row r="901">
      <c r="A901" s="3" t="str">
        <f>IF(AND(Data!$K901='All Types'!$D$2,Data!$L901='All Types'!$D$3),Data!$C901,"")</f>
        <v/>
      </c>
      <c r="B901" s="3" t="str">
        <f>IF(AND(Data!$K901='All Types'!$D$2,Data!$L901='All Types'!$D$3),Data!M901,"")</f>
        <v/>
      </c>
      <c r="C901" s="3" t="str">
        <f>IF(B901="","",Data!N901)</f>
        <v/>
      </c>
    </row>
    <row r="902">
      <c r="A902" s="3" t="str">
        <f>IF(AND(Data!$K902='All Types'!$D$2,Data!$L902='All Types'!$D$3),Data!$C902,"")</f>
        <v/>
      </c>
      <c r="B902" s="3" t="str">
        <f>IF(AND(Data!$K902='All Types'!$D$2,Data!$L902='All Types'!$D$3),Data!M902,"")</f>
        <v/>
      </c>
      <c r="C902" s="3" t="str">
        <f>IF(B902="","",Data!N902)</f>
        <v/>
      </c>
    </row>
    <row r="903">
      <c r="A903" s="3" t="str">
        <f>IF(AND(Data!$K903='All Types'!$D$2,Data!$L903='All Types'!$D$3),Data!$C903,"")</f>
        <v/>
      </c>
      <c r="B903" s="3" t="str">
        <f>IF(AND(Data!$K903='All Types'!$D$2,Data!$L903='All Types'!$D$3),Data!M903,"")</f>
        <v/>
      </c>
      <c r="C903" s="3" t="str">
        <f>IF(B903="","",Data!N903)</f>
        <v/>
      </c>
    </row>
    <row r="904">
      <c r="A904" s="3" t="str">
        <f>IF(AND(Data!$K904='All Types'!$D$2,Data!$L904='All Types'!$D$3),Data!$C904,"")</f>
        <v/>
      </c>
      <c r="B904" s="3" t="str">
        <f>IF(AND(Data!$K904='All Types'!$D$2,Data!$L904='All Types'!$D$3),Data!M904,"")</f>
        <v/>
      </c>
      <c r="C904" s="3" t="str">
        <f>IF(B904="","",Data!N904)</f>
        <v/>
      </c>
    </row>
    <row r="905">
      <c r="A905" s="3" t="str">
        <f>IF(AND(Data!$K905='All Types'!$D$2,Data!$L905='All Types'!$D$3),Data!$C905,"")</f>
        <v/>
      </c>
      <c r="B905" s="3" t="str">
        <f>IF(AND(Data!$K905='All Types'!$D$2,Data!$L905='All Types'!$D$3),Data!M905,"")</f>
        <v/>
      </c>
      <c r="C905" s="3" t="str">
        <f>IF(B905="","",Data!N905)</f>
        <v/>
      </c>
    </row>
    <row r="906">
      <c r="A906" s="3" t="str">
        <f>IF(AND(Data!$K906='All Types'!$D$2,Data!$L906='All Types'!$D$3),Data!$C906,"")</f>
        <v/>
      </c>
      <c r="B906" s="3" t="str">
        <f>IF(AND(Data!$K906='All Types'!$D$2,Data!$L906='All Types'!$D$3),Data!M906,"")</f>
        <v/>
      </c>
      <c r="C906" s="3" t="str">
        <f>IF(B906="","",Data!N906)</f>
        <v/>
      </c>
    </row>
    <row r="907">
      <c r="A907" s="3" t="str">
        <f>IF(AND(Data!$K907='All Types'!$D$2,Data!$L907='All Types'!$D$3),Data!$C907,"")</f>
        <v/>
      </c>
      <c r="B907" s="3" t="str">
        <f>IF(AND(Data!$K907='All Types'!$D$2,Data!$L907='All Types'!$D$3),Data!M907,"")</f>
        <v/>
      </c>
      <c r="C907" s="3" t="str">
        <f>IF(B907="","",Data!N907)</f>
        <v/>
      </c>
    </row>
    <row r="908">
      <c r="A908" s="3" t="str">
        <f>IF(AND(Data!$K908='All Types'!$D$2,Data!$L908='All Types'!$D$3),Data!$C908,"")</f>
        <v/>
      </c>
      <c r="B908" s="3" t="str">
        <f>IF(AND(Data!$K908='All Types'!$D$2,Data!$L908='All Types'!$D$3),Data!M908,"")</f>
        <v/>
      </c>
      <c r="C908" s="3" t="str">
        <f>IF(B908="","",Data!N908)</f>
        <v/>
      </c>
    </row>
    <row r="909">
      <c r="A909" s="3" t="str">
        <f>IF(AND(Data!$K909='All Types'!$D$2,Data!$L909='All Types'!$D$3),Data!$C909,"")</f>
        <v/>
      </c>
      <c r="B909" s="3" t="str">
        <f>IF(AND(Data!$K909='All Types'!$D$2,Data!$L909='All Types'!$D$3),Data!M909,"")</f>
        <v/>
      </c>
      <c r="C909" s="3" t="str">
        <f>IF(B909="","",Data!N909)</f>
        <v/>
      </c>
    </row>
    <row r="910">
      <c r="A910" s="3" t="str">
        <f>IF(AND(Data!$K910='All Types'!$D$2,Data!$L910='All Types'!$D$3),Data!$C910,"")</f>
        <v/>
      </c>
      <c r="B910" s="3" t="str">
        <f>IF(AND(Data!$K910='All Types'!$D$2,Data!$L910='All Types'!$D$3),Data!M910,"")</f>
        <v/>
      </c>
      <c r="C910" s="3" t="str">
        <f>IF(B910="","",Data!N910)</f>
        <v/>
      </c>
    </row>
    <row r="911">
      <c r="A911" s="3" t="str">
        <f>IF(AND(Data!$K911='All Types'!$D$2,Data!$L911='All Types'!$D$3),Data!$C911,"")</f>
        <v/>
      </c>
      <c r="B911" s="3" t="str">
        <f>IF(AND(Data!$K911='All Types'!$D$2,Data!$L911='All Types'!$D$3),Data!M911,"")</f>
        <v/>
      </c>
      <c r="C911" s="3" t="str">
        <f>IF(B911="","",Data!N911)</f>
        <v/>
      </c>
    </row>
    <row r="912">
      <c r="A912" s="3" t="str">
        <f>IF(AND(Data!$K912='All Types'!$D$2,Data!$L912='All Types'!$D$3),Data!$C912,"")</f>
        <v/>
      </c>
      <c r="B912" s="3" t="str">
        <f>IF(AND(Data!$K912='All Types'!$D$2,Data!$L912='All Types'!$D$3),Data!M912,"")</f>
        <v/>
      </c>
      <c r="C912" s="3" t="str">
        <f>IF(B912="","",Data!N912)</f>
        <v/>
      </c>
    </row>
    <row r="913">
      <c r="A913" s="3" t="str">
        <f>IF(AND(Data!$K913='All Types'!$D$2,Data!$L913='All Types'!$D$3),Data!$C913,"")</f>
        <v/>
      </c>
      <c r="B913" s="3" t="str">
        <f>IF(AND(Data!$K913='All Types'!$D$2,Data!$L913='All Types'!$D$3),Data!M913,"")</f>
        <v/>
      </c>
      <c r="C913" s="3" t="str">
        <f>IF(B913="","",Data!N913)</f>
        <v/>
      </c>
    </row>
    <row r="914">
      <c r="A914" s="3" t="str">
        <f>IF(AND(Data!$K914='All Types'!$D$2,Data!$L914='All Types'!$D$3),Data!$C914,"")</f>
        <v/>
      </c>
      <c r="B914" s="3" t="str">
        <f>IF(AND(Data!$K914='All Types'!$D$2,Data!$L914='All Types'!$D$3),Data!M914,"")</f>
        <v/>
      </c>
      <c r="C914" s="3" t="str">
        <f>IF(B914="","",Data!N914)</f>
        <v/>
      </c>
    </row>
    <row r="915">
      <c r="A915" s="3" t="str">
        <f>IF(AND(Data!$K915='All Types'!$D$2,Data!$L915='All Types'!$D$3),Data!$C915,"")</f>
        <v/>
      </c>
      <c r="B915" s="3" t="str">
        <f>IF(AND(Data!$K915='All Types'!$D$2,Data!$L915='All Types'!$D$3),Data!M915,"")</f>
        <v/>
      </c>
      <c r="C915" s="3" t="str">
        <f>IF(B915="","",Data!N915)</f>
        <v/>
      </c>
    </row>
    <row r="916">
      <c r="A916" s="3" t="str">
        <f>IF(AND(Data!$K916='All Types'!$D$2,Data!$L916='All Types'!$D$3),Data!$C916,"")</f>
        <v/>
      </c>
      <c r="B916" s="3" t="str">
        <f>IF(AND(Data!$K916='All Types'!$D$2,Data!$L916='All Types'!$D$3),Data!M916,"")</f>
        <v/>
      </c>
      <c r="C916" s="3" t="str">
        <f>IF(B916="","",Data!N916)</f>
        <v/>
      </c>
    </row>
    <row r="917">
      <c r="A917" s="3" t="str">
        <f>IF(AND(Data!$K917='All Types'!$D$2,Data!$L917='All Types'!$D$3),Data!$C917,"")</f>
        <v/>
      </c>
      <c r="B917" s="3" t="str">
        <f>IF(AND(Data!$K917='All Types'!$D$2,Data!$L917='All Types'!$D$3),Data!M917,"")</f>
        <v/>
      </c>
      <c r="C917" s="3" t="str">
        <f>IF(B917="","",Data!N917)</f>
        <v/>
      </c>
    </row>
    <row r="918">
      <c r="A918" s="3" t="str">
        <f>IF(AND(Data!$K918='All Types'!$D$2,Data!$L918='All Types'!$D$3),Data!$C918,"")</f>
        <v/>
      </c>
      <c r="B918" s="3" t="str">
        <f>IF(AND(Data!$K918='All Types'!$D$2,Data!$L918='All Types'!$D$3),Data!M918,"")</f>
        <v/>
      </c>
      <c r="C918" s="3" t="str">
        <f>IF(B918="","",Data!N918)</f>
        <v/>
      </c>
    </row>
    <row r="919">
      <c r="A919" s="3" t="str">
        <f>IF(AND(Data!$K919='All Types'!$D$2,Data!$L919='All Types'!$D$3),Data!$C919,"")</f>
        <v/>
      </c>
      <c r="B919" s="3" t="str">
        <f>IF(AND(Data!$K919='All Types'!$D$2,Data!$L919='All Types'!$D$3),Data!M919,"")</f>
        <v/>
      </c>
      <c r="C919" s="3" t="str">
        <f>IF(B919="","",Data!N919)</f>
        <v/>
      </c>
    </row>
    <row r="920">
      <c r="A920" s="3" t="str">
        <f>IF(AND(Data!$K920='All Types'!$D$2,Data!$L920='All Types'!$D$3),Data!$C920,"")</f>
        <v/>
      </c>
      <c r="B920" s="3" t="str">
        <f>IF(AND(Data!$K920='All Types'!$D$2,Data!$L920='All Types'!$D$3),Data!M920,"")</f>
        <v/>
      </c>
      <c r="C920" s="3" t="str">
        <f>IF(B920="","",Data!N920)</f>
        <v/>
      </c>
    </row>
    <row r="921">
      <c r="A921" s="3" t="str">
        <f>IF(AND(Data!$K921='All Types'!$D$2,Data!$L921='All Types'!$D$3),Data!$C921,"")</f>
        <v/>
      </c>
      <c r="B921" s="3" t="str">
        <f>IF(AND(Data!$K921='All Types'!$D$2,Data!$L921='All Types'!$D$3),Data!M921,"")</f>
        <v/>
      </c>
      <c r="C921" s="3" t="str">
        <f>IF(B921="","",Data!N921)</f>
        <v/>
      </c>
    </row>
    <row r="922">
      <c r="A922" s="3" t="str">
        <f>IF(AND(Data!$K922='All Types'!$D$2,Data!$L922='All Types'!$D$3),Data!$C922,"")</f>
        <v/>
      </c>
      <c r="B922" s="3" t="str">
        <f>IF(AND(Data!$K922='All Types'!$D$2,Data!$L922='All Types'!$D$3),Data!M922,"")</f>
        <v/>
      </c>
      <c r="C922" s="3" t="str">
        <f>IF(B922="","",Data!N922)</f>
        <v/>
      </c>
    </row>
    <row r="923">
      <c r="A923" s="3" t="str">
        <f>IF(AND(Data!$K923='All Types'!$D$2,Data!$L923='All Types'!$D$3),Data!$C923,"")</f>
        <v/>
      </c>
      <c r="B923" s="3" t="str">
        <f>IF(AND(Data!$K923='All Types'!$D$2,Data!$L923='All Types'!$D$3),Data!M923,"")</f>
        <v/>
      </c>
      <c r="C923" s="3" t="str">
        <f>IF(B923="","",Data!N923)</f>
        <v/>
      </c>
    </row>
    <row r="924">
      <c r="A924" s="3" t="str">
        <f>IF(AND(Data!$K924='All Types'!$D$2,Data!$L924='All Types'!$D$3),Data!$C924,"")</f>
        <v/>
      </c>
      <c r="B924" s="3" t="str">
        <f>IF(AND(Data!$K924='All Types'!$D$2,Data!$L924='All Types'!$D$3),Data!M924,"")</f>
        <v/>
      </c>
      <c r="C924" s="3" t="str">
        <f>IF(B924="","",Data!N924)</f>
        <v/>
      </c>
    </row>
    <row r="925">
      <c r="A925" s="3" t="str">
        <f>IF(AND(Data!$K925='All Types'!$D$2,Data!$L925='All Types'!$D$3),Data!$C925,"")</f>
        <v/>
      </c>
      <c r="B925" s="3" t="str">
        <f>IF(AND(Data!$K925='All Types'!$D$2,Data!$L925='All Types'!$D$3),Data!M925,"")</f>
        <v/>
      </c>
      <c r="C925" s="3" t="str">
        <f>IF(B925="","",Data!N925)</f>
        <v/>
      </c>
    </row>
    <row r="926">
      <c r="A926" s="3" t="str">
        <f>IF(AND(Data!$K926='All Types'!$D$2,Data!$L926='All Types'!$D$3),Data!$C926,"")</f>
        <v/>
      </c>
      <c r="B926" s="3" t="str">
        <f>IF(AND(Data!$K926='All Types'!$D$2,Data!$L926='All Types'!$D$3),Data!M926,"")</f>
        <v/>
      </c>
      <c r="C926" s="3" t="str">
        <f>IF(B926="","",Data!N926)</f>
        <v/>
      </c>
    </row>
    <row r="927">
      <c r="A927" s="3" t="str">
        <f>IF(AND(Data!$K927='All Types'!$D$2,Data!$L927='All Types'!$D$3),Data!$C927,"")</f>
        <v/>
      </c>
      <c r="B927" s="3" t="str">
        <f>IF(AND(Data!$K927='All Types'!$D$2,Data!$L927='All Types'!$D$3),Data!M927,"")</f>
        <v/>
      </c>
      <c r="C927" s="3" t="str">
        <f>IF(B927="","",Data!N927)</f>
        <v/>
      </c>
    </row>
    <row r="928">
      <c r="A928" s="3" t="str">
        <f>IF(AND(Data!$K928='All Types'!$D$2,Data!$L928='All Types'!$D$3),Data!$C928,"")</f>
        <v/>
      </c>
      <c r="B928" s="3" t="str">
        <f>IF(AND(Data!$K928='All Types'!$D$2,Data!$L928='All Types'!$D$3),Data!M928,"")</f>
        <v/>
      </c>
      <c r="C928" s="3" t="str">
        <f>IF(B928="","",Data!N928)</f>
        <v/>
      </c>
    </row>
    <row r="929">
      <c r="A929" s="3" t="str">
        <f>IF(AND(Data!$K929='All Types'!$D$2,Data!$L929='All Types'!$D$3),Data!$C929,"")</f>
        <v/>
      </c>
      <c r="B929" s="3" t="str">
        <f>IF(AND(Data!$K929='All Types'!$D$2,Data!$L929='All Types'!$D$3),Data!M929,"")</f>
        <v/>
      </c>
      <c r="C929" s="3" t="str">
        <f>IF(B929="","",Data!N929)</f>
        <v/>
      </c>
    </row>
    <row r="930">
      <c r="A930" s="3" t="str">
        <f>IF(AND(Data!$K930='All Types'!$D$2,Data!$L930='All Types'!$D$3),Data!$C930,"")</f>
        <v/>
      </c>
      <c r="B930" s="3" t="str">
        <f>IF(AND(Data!$K930='All Types'!$D$2,Data!$L930='All Types'!$D$3),Data!M930,"")</f>
        <v/>
      </c>
      <c r="C930" s="3" t="str">
        <f>IF(B930="","",Data!N930)</f>
        <v/>
      </c>
    </row>
    <row r="931">
      <c r="A931" s="3" t="str">
        <f>IF(AND(Data!$K931='All Types'!$D$2,Data!$L931='All Types'!$D$3),Data!$C931,"")</f>
        <v/>
      </c>
      <c r="B931" s="3" t="str">
        <f>IF(AND(Data!$K931='All Types'!$D$2,Data!$L931='All Types'!$D$3),Data!M931,"")</f>
        <v/>
      </c>
      <c r="C931" s="3" t="str">
        <f>IF(B931="","",Data!N931)</f>
        <v/>
      </c>
    </row>
    <row r="932">
      <c r="A932" s="3" t="str">
        <f>IF(AND(Data!$K932='All Types'!$D$2,Data!$L932='All Types'!$D$3),Data!$C932,"")</f>
        <v/>
      </c>
      <c r="B932" s="3" t="str">
        <f>IF(AND(Data!$K932='All Types'!$D$2,Data!$L932='All Types'!$D$3),Data!M932,"")</f>
        <v/>
      </c>
      <c r="C932" s="3" t="str">
        <f>IF(B932="","",Data!N932)</f>
        <v/>
      </c>
    </row>
    <row r="933">
      <c r="A933" s="3" t="str">
        <f>IF(AND(Data!$K933='All Types'!$D$2,Data!$L933='All Types'!$D$3),Data!$C933,"")</f>
        <v/>
      </c>
      <c r="B933" s="3" t="str">
        <f>IF(AND(Data!$K933='All Types'!$D$2,Data!$L933='All Types'!$D$3),Data!M933,"")</f>
        <v/>
      </c>
      <c r="C933" s="3" t="str">
        <f>IF(B933="","",Data!N933)</f>
        <v/>
      </c>
    </row>
    <row r="934">
      <c r="A934" s="3" t="str">
        <f>IF(AND(Data!$K934='All Types'!$D$2,Data!$L934='All Types'!$D$3),Data!$C934,"")</f>
        <v/>
      </c>
      <c r="B934" s="3" t="str">
        <f>IF(AND(Data!$K934='All Types'!$D$2,Data!$L934='All Types'!$D$3),Data!M934,"")</f>
        <v/>
      </c>
      <c r="C934" s="3" t="str">
        <f>IF(B934="","",Data!N934)</f>
        <v/>
      </c>
    </row>
    <row r="935">
      <c r="A935" s="3" t="str">
        <f>IF(AND(Data!$K935='All Types'!$D$2,Data!$L935='All Types'!$D$3),Data!$C935,"")</f>
        <v/>
      </c>
      <c r="B935" s="3" t="str">
        <f>IF(AND(Data!$K935='All Types'!$D$2,Data!$L935='All Types'!$D$3),Data!M935,"")</f>
        <v/>
      </c>
      <c r="C935" s="3" t="str">
        <f>IF(B935="","",Data!N935)</f>
        <v/>
      </c>
    </row>
    <row r="936">
      <c r="A936" s="3" t="str">
        <f>IF(AND(Data!$K936='All Types'!$D$2,Data!$L936='All Types'!$D$3),Data!$C936,"")</f>
        <v/>
      </c>
      <c r="B936" s="3" t="str">
        <f>IF(AND(Data!$K936='All Types'!$D$2,Data!$L936='All Types'!$D$3),Data!M936,"")</f>
        <v/>
      </c>
      <c r="C936" s="3" t="str">
        <f>IF(B936="","",Data!N936)</f>
        <v/>
      </c>
    </row>
    <row r="937">
      <c r="A937" s="3" t="str">
        <f>IF(AND(Data!$K937='All Types'!$D$2,Data!$L937='All Types'!$D$3),Data!$C937,"")</f>
        <v/>
      </c>
      <c r="B937" s="3" t="str">
        <f>IF(AND(Data!$K937='All Types'!$D$2,Data!$L937='All Types'!$D$3),Data!M937,"")</f>
        <v/>
      </c>
      <c r="C937" s="3" t="str">
        <f>IF(B937="","",Data!N937)</f>
        <v/>
      </c>
    </row>
    <row r="938">
      <c r="A938" s="3" t="str">
        <f>IF(AND(Data!$K938='All Types'!$D$2,Data!$L938='All Types'!$D$3),Data!$C938,"")</f>
        <v/>
      </c>
      <c r="B938" s="3" t="str">
        <f>IF(AND(Data!$K938='All Types'!$D$2,Data!$L938='All Types'!$D$3),Data!M938,"")</f>
        <v/>
      </c>
      <c r="C938" s="3" t="str">
        <f>IF(B938="","",Data!N938)</f>
        <v/>
      </c>
    </row>
    <row r="939">
      <c r="A939" s="3" t="str">
        <f>IF(AND(Data!$K939='All Types'!$D$2,Data!$L939='All Types'!$D$3),Data!$C939,"")</f>
        <v/>
      </c>
      <c r="B939" s="3" t="str">
        <f>IF(AND(Data!$K939='All Types'!$D$2,Data!$L939='All Types'!$D$3),Data!M939,"")</f>
        <v/>
      </c>
      <c r="C939" s="3" t="str">
        <f>IF(B939="","",Data!N939)</f>
        <v/>
      </c>
    </row>
    <row r="940">
      <c r="A940" s="3" t="str">
        <f>IF(AND(Data!$K940='All Types'!$D$2,Data!$L940='All Types'!$D$3),Data!$C940,"")</f>
        <v/>
      </c>
      <c r="B940" s="3" t="str">
        <f>IF(AND(Data!$K940='All Types'!$D$2,Data!$L940='All Types'!$D$3),Data!M940,"")</f>
        <v/>
      </c>
      <c r="C940" s="3" t="str">
        <f>IF(B940="","",Data!N940)</f>
        <v/>
      </c>
    </row>
    <row r="941">
      <c r="A941" s="3" t="str">
        <f>IF(AND(Data!$K941='All Types'!$D$2,Data!$L941='All Types'!$D$3),Data!$C941,"")</f>
        <v/>
      </c>
      <c r="B941" s="3" t="str">
        <f>IF(AND(Data!$K941='All Types'!$D$2,Data!$L941='All Types'!$D$3),Data!M941,"")</f>
        <v/>
      </c>
      <c r="C941" s="3" t="str">
        <f>IF(B941="","",Data!N941)</f>
        <v/>
      </c>
    </row>
    <row r="942">
      <c r="A942" s="3" t="str">
        <f>IF(AND(Data!$K942='All Types'!$D$2,Data!$L942='All Types'!$D$3),Data!$C942,"")</f>
        <v/>
      </c>
      <c r="B942" s="3" t="str">
        <f>IF(AND(Data!$K942='All Types'!$D$2,Data!$L942='All Types'!$D$3),Data!M942,"")</f>
        <v/>
      </c>
      <c r="C942" s="3" t="str">
        <f>IF(B942="","",Data!N942)</f>
        <v/>
      </c>
    </row>
    <row r="943">
      <c r="A943" s="3" t="str">
        <f>IF(AND(Data!$K943='All Types'!$D$2,Data!$L943='All Types'!$D$3),Data!$C943,"")</f>
        <v/>
      </c>
      <c r="B943" s="3" t="str">
        <f>IF(AND(Data!$K943='All Types'!$D$2,Data!$L943='All Types'!$D$3),Data!M943,"")</f>
        <v/>
      </c>
      <c r="C943" s="3" t="str">
        <f>IF(B943="","",Data!N943)</f>
        <v/>
      </c>
    </row>
    <row r="944">
      <c r="A944" s="3" t="str">
        <f>IF(AND(Data!$K944='All Types'!$D$2,Data!$L944='All Types'!$D$3),Data!$C944,"")</f>
        <v/>
      </c>
      <c r="B944" s="3" t="str">
        <f>IF(AND(Data!$K944='All Types'!$D$2,Data!$L944='All Types'!$D$3),Data!M944,"")</f>
        <v/>
      </c>
      <c r="C944" s="3" t="str">
        <f>IF(B944="","",Data!N944)</f>
        <v/>
      </c>
    </row>
    <row r="945">
      <c r="A945" s="3" t="str">
        <f>IF(AND(Data!$K945='All Types'!$D$2,Data!$L945='All Types'!$D$3),Data!$C945,"")</f>
        <v/>
      </c>
      <c r="B945" s="3" t="str">
        <f>IF(AND(Data!$K945='All Types'!$D$2,Data!$L945='All Types'!$D$3),Data!M945,"")</f>
        <v/>
      </c>
      <c r="C945" s="3" t="str">
        <f>IF(B945="","",Data!N945)</f>
        <v/>
      </c>
    </row>
    <row r="946">
      <c r="A946" s="3" t="str">
        <f>IF(AND(Data!$K946='All Types'!$D$2,Data!$L946='All Types'!$D$3),Data!$C946,"")</f>
        <v/>
      </c>
      <c r="B946" s="3" t="str">
        <f>IF(AND(Data!$K946='All Types'!$D$2,Data!$L946='All Types'!$D$3),Data!M946,"")</f>
        <v/>
      </c>
      <c r="C946" s="3" t="str">
        <f>IF(B946="","",Data!N946)</f>
        <v/>
      </c>
    </row>
    <row r="947">
      <c r="A947" s="3" t="str">
        <f>IF(AND(Data!$K947='All Types'!$D$2,Data!$L947='All Types'!$D$3),Data!$C947,"")</f>
        <v/>
      </c>
      <c r="B947" s="3" t="str">
        <f>IF(AND(Data!$K947='All Types'!$D$2,Data!$L947='All Types'!$D$3),Data!M947,"")</f>
        <v/>
      </c>
      <c r="C947" s="3" t="str">
        <f>IF(B947="","",Data!N947)</f>
        <v/>
      </c>
    </row>
    <row r="948">
      <c r="A948" s="3" t="str">
        <f>IF(AND(Data!$K948='All Types'!$D$2,Data!$L948='All Types'!$D$3),Data!$C948,"")</f>
        <v/>
      </c>
      <c r="B948" s="3" t="str">
        <f>IF(AND(Data!$K948='All Types'!$D$2,Data!$L948='All Types'!$D$3),Data!M948,"")</f>
        <v/>
      </c>
      <c r="C948" s="3" t="str">
        <f>IF(B948="","",Data!N948)</f>
        <v/>
      </c>
    </row>
    <row r="949">
      <c r="A949" s="3" t="str">
        <f>IF(AND(Data!$K949='All Types'!$D$2,Data!$L949='All Types'!$D$3),Data!$C949,"")</f>
        <v/>
      </c>
      <c r="B949" s="3" t="str">
        <f>IF(AND(Data!$K949='All Types'!$D$2,Data!$L949='All Types'!$D$3),Data!M949,"")</f>
        <v/>
      </c>
      <c r="C949" s="3" t="str">
        <f>IF(B949="","",Data!N949)</f>
        <v/>
      </c>
    </row>
    <row r="950">
      <c r="A950" s="3" t="str">
        <f>IF(AND(Data!$K950='All Types'!$D$2,Data!$L950='All Types'!$D$3),Data!$C950,"")</f>
        <v/>
      </c>
      <c r="B950" s="3" t="str">
        <f>IF(AND(Data!$K950='All Types'!$D$2,Data!$L950='All Types'!$D$3),Data!M950,"")</f>
        <v/>
      </c>
      <c r="C950" s="3" t="str">
        <f>IF(B950="","",Data!N950)</f>
        <v/>
      </c>
    </row>
    <row r="951">
      <c r="A951" s="3" t="str">
        <f>IF(AND(Data!$K951='All Types'!$D$2,Data!$L951='All Types'!$D$3),Data!$C951,"")</f>
        <v/>
      </c>
      <c r="B951" s="3" t="str">
        <f>IF(AND(Data!$K951='All Types'!$D$2,Data!$L951='All Types'!$D$3),Data!M951,"")</f>
        <v/>
      </c>
      <c r="C951" s="3" t="str">
        <f>IF(B951="","",Data!N951)</f>
        <v/>
      </c>
    </row>
    <row r="952">
      <c r="A952" s="3" t="str">
        <f>IF(AND(Data!$K952='All Types'!$D$2,Data!$L952='All Types'!$D$3),Data!$C952,"")</f>
        <v/>
      </c>
      <c r="B952" s="3" t="str">
        <f>IF(AND(Data!$K952='All Types'!$D$2,Data!$L952='All Types'!$D$3),Data!M952,"")</f>
        <v/>
      </c>
      <c r="C952" s="3" t="str">
        <f>IF(B952="","",Data!N952)</f>
        <v/>
      </c>
    </row>
    <row r="953">
      <c r="A953" s="3" t="str">
        <f>IF(AND(Data!$K953='All Types'!$D$2,Data!$L953='All Types'!$D$3),Data!$C953,"")</f>
        <v/>
      </c>
      <c r="B953" s="3" t="str">
        <f>IF(AND(Data!$K953='All Types'!$D$2,Data!$L953='All Types'!$D$3),Data!M953,"")</f>
        <v/>
      </c>
      <c r="C953" s="3" t="str">
        <f>IF(B953="","",Data!N953)</f>
        <v/>
      </c>
    </row>
    <row r="954">
      <c r="A954" s="3" t="str">
        <f>IF(AND(Data!$K954='All Types'!$D$2,Data!$L954='All Types'!$D$3),Data!$C954,"")</f>
        <v/>
      </c>
      <c r="B954" s="3" t="str">
        <f>IF(AND(Data!$K954='All Types'!$D$2,Data!$L954='All Types'!$D$3),Data!M954,"")</f>
        <v/>
      </c>
      <c r="C954" s="3" t="str">
        <f>IF(B954="","",Data!N954)</f>
        <v/>
      </c>
    </row>
    <row r="955">
      <c r="A955" s="3" t="str">
        <f>IF(AND(Data!$K955='All Types'!$D$2,Data!$L955='All Types'!$D$3),Data!$C955,"")</f>
        <v/>
      </c>
      <c r="B955" s="3" t="str">
        <f>IF(AND(Data!$K955='All Types'!$D$2,Data!$L955='All Types'!$D$3),Data!M955,"")</f>
        <v/>
      </c>
      <c r="C955" s="3" t="str">
        <f>IF(B955="","",Data!N955)</f>
        <v/>
      </c>
    </row>
    <row r="956">
      <c r="A956" s="3" t="str">
        <f>IF(AND(Data!$K956='All Types'!$D$2,Data!$L956='All Types'!$D$3),Data!$C956,"")</f>
        <v/>
      </c>
      <c r="B956" s="3" t="str">
        <f>IF(AND(Data!$K956='All Types'!$D$2,Data!$L956='All Types'!$D$3),Data!M956,"")</f>
        <v/>
      </c>
      <c r="C956" s="3" t="str">
        <f>IF(B956="","",Data!N956)</f>
        <v/>
      </c>
    </row>
    <row r="957">
      <c r="A957" s="3" t="str">
        <f>IF(AND(Data!$K957='All Types'!$D$2,Data!$L957='All Types'!$D$3),Data!$C957,"")</f>
        <v/>
      </c>
      <c r="B957" s="3" t="str">
        <f>IF(AND(Data!$K957='All Types'!$D$2,Data!$L957='All Types'!$D$3),Data!M957,"")</f>
        <v/>
      </c>
      <c r="C957" s="3" t="str">
        <f>IF(B957="","",Data!N957)</f>
        <v/>
      </c>
    </row>
    <row r="958">
      <c r="A958" s="3" t="str">
        <f>IF(AND(Data!$K958='All Types'!$D$2,Data!$L958='All Types'!$D$3),Data!$C958,"")</f>
        <v/>
      </c>
      <c r="B958" s="3" t="str">
        <f>IF(AND(Data!$K958='All Types'!$D$2,Data!$L958='All Types'!$D$3),Data!M958,"")</f>
        <v/>
      </c>
      <c r="C958" s="3" t="str">
        <f>IF(B958="","",Data!N958)</f>
        <v/>
      </c>
    </row>
    <row r="959">
      <c r="A959" s="3" t="str">
        <f>IF(AND(Data!$K959='All Types'!$D$2,Data!$L959='All Types'!$D$3),Data!$C959,"")</f>
        <v/>
      </c>
      <c r="B959" s="3" t="str">
        <f>IF(AND(Data!$K959='All Types'!$D$2,Data!$L959='All Types'!$D$3),Data!M959,"")</f>
        <v/>
      </c>
      <c r="C959" s="3" t="str">
        <f>IF(B959="","",Data!N959)</f>
        <v/>
      </c>
    </row>
    <row r="960">
      <c r="A960" s="3" t="str">
        <f>IF(AND(Data!$K960='All Types'!$D$2,Data!$L960='All Types'!$D$3),Data!$C960,"")</f>
        <v/>
      </c>
      <c r="B960" s="3" t="str">
        <f>IF(AND(Data!$K960='All Types'!$D$2,Data!$L960='All Types'!$D$3),Data!M960,"")</f>
        <v/>
      </c>
      <c r="C960" s="3" t="str">
        <f>IF(B960="","",Data!N960)</f>
        <v/>
      </c>
    </row>
    <row r="961">
      <c r="A961" s="3" t="str">
        <f>IF(AND(Data!$K961='All Types'!$D$2,Data!$L961='All Types'!$D$3),Data!$C961,"")</f>
        <v/>
      </c>
      <c r="B961" s="3" t="str">
        <f>IF(AND(Data!$K961='All Types'!$D$2,Data!$L961='All Types'!$D$3),Data!M961,"")</f>
        <v/>
      </c>
      <c r="C961" s="3" t="str">
        <f>IF(B961="","",Data!N961)</f>
        <v/>
      </c>
    </row>
    <row r="962">
      <c r="A962" s="3" t="str">
        <f>IF(AND(Data!$K962='All Types'!$D$2,Data!$L962='All Types'!$D$3),Data!$C962,"")</f>
        <v/>
      </c>
      <c r="B962" s="3" t="str">
        <f>IF(AND(Data!$K962='All Types'!$D$2,Data!$L962='All Types'!$D$3),Data!M962,"")</f>
        <v/>
      </c>
      <c r="C962" s="3" t="str">
        <f>IF(B962="","",Data!N962)</f>
        <v/>
      </c>
    </row>
    <row r="963">
      <c r="A963" s="3" t="str">
        <f>IF(AND(Data!$K963='All Types'!$D$2,Data!$L963='All Types'!$D$3),Data!$C963,"")</f>
        <v/>
      </c>
      <c r="B963" s="3" t="str">
        <f>IF(AND(Data!$K963='All Types'!$D$2,Data!$L963='All Types'!$D$3),Data!M963,"")</f>
        <v/>
      </c>
      <c r="C963" s="3" t="str">
        <f>IF(B963="","",Data!N963)</f>
        <v/>
      </c>
    </row>
    <row r="964">
      <c r="A964" s="3" t="str">
        <f>IF(AND(Data!$K964='All Types'!$D$2,Data!$L964='All Types'!$D$3),Data!$C964,"")</f>
        <v/>
      </c>
      <c r="B964" s="3" t="str">
        <f>IF(AND(Data!$K964='All Types'!$D$2,Data!$L964='All Types'!$D$3),Data!M964,"")</f>
        <v/>
      </c>
      <c r="C964" s="3" t="str">
        <f>IF(B964="","",Data!N964)</f>
        <v/>
      </c>
    </row>
    <row r="965">
      <c r="A965" s="3" t="str">
        <f>IF(AND(Data!$K965='All Types'!$D$2,Data!$L965='All Types'!$D$3),Data!$C965,"")</f>
        <v/>
      </c>
      <c r="B965" s="3" t="str">
        <f>IF(AND(Data!$K965='All Types'!$D$2,Data!$L965='All Types'!$D$3),Data!M965,"")</f>
        <v/>
      </c>
      <c r="C965" s="3" t="str">
        <f>IF(B965="","",Data!N965)</f>
        <v/>
      </c>
    </row>
    <row r="966">
      <c r="A966" s="3" t="str">
        <f>IF(AND(Data!$K966='All Types'!$D$2,Data!$L966='All Types'!$D$3),Data!$C966,"")</f>
        <v/>
      </c>
      <c r="B966" s="3" t="str">
        <f>IF(AND(Data!$K966='All Types'!$D$2,Data!$L966='All Types'!$D$3),Data!M966,"")</f>
        <v/>
      </c>
      <c r="C966" s="3" t="str">
        <f>IF(B966="","",Data!N966)</f>
        <v/>
      </c>
    </row>
    <row r="967">
      <c r="A967" s="3" t="str">
        <f>IF(AND(Data!$K967='All Types'!$D$2,Data!$L967='All Types'!$D$3),Data!$C967,"")</f>
        <v/>
      </c>
      <c r="B967" s="3" t="str">
        <f>IF(AND(Data!$K967='All Types'!$D$2,Data!$L967='All Types'!$D$3),Data!M967,"")</f>
        <v/>
      </c>
      <c r="C967" s="3" t="str">
        <f>IF(B967="","",Data!N967)</f>
        <v/>
      </c>
    </row>
    <row r="968">
      <c r="A968" s="3" t="str">
        <f>IF(AND(Data!$K968='All Types'!$D$2,Data!$L968='All Types'!$D$3),Data!$C968,"")</f>
        <v/>
      </c>
      <c r="B968" s="3" t="str">
        <f>IF(AND(Data!$K968='All Types'!$D$2,Data!$L968='All Types'!$D$3),Data!M968,"")</f>
        <v/>
      </c>
      <c r="C968" s="3" t="str">
        <f>IF(B968="","",Data!N968)</f>
        <v/>
      </c>
    </row>
    <row r="969">
      <c r="A969" s="3" t="str">
        <f>IF(AND(Data!$K969='All Types'!$D$2,Data!$L969='All Types'!$D$3),Data!$C969,"")</f>
        <v/>
      </c>
      <c r="B969" s="3" t="str">
        <f>IF(AND(Data!$K969='All Types'!$D$2,Data!$L969='All Types'!$D$3),Data!M969,"")</f>
        <v/>
      </c>
      <c r="C969" s="3" t="str">
        <f>IF(B969="","",Data!N969)</f>
        <v/>
      </c>
    </row>
    <row r="970">
      <c r="A970" s="3" t="str">
        <f>IF(AND(Data!$K970='All Types'!$D$2,Data!$L970='All Types'!$D$3),Data!$C970,"")</f>
        <v/>
      </c>
      <c r="B970" s="3" t="str">
        <f>IF(AND(Data!$K970='All Types'!$D$2,Data!$L970='All Types'!$D$3),Data!M970,"")</f>
        <v/>
      </c>
      <c r="C970" s="3" t="str">
        <f>IF(B970="","",Data!N970)</f>
        <v/>
      </c>
    </row>
    <row r="971">
      <c r="A971" s="3" t="str">
        <f>IF(AND(Data!$K971='All Types'!$D$2,Data!$L971='All Types'!$D$3),Data!$C971,"")</f>
        <v/>
      </c>
      <c r="B971" s="3" t="str">
        <f>IF(AND(Data!$K971='All Types'!$D$2,Data!$L971='All Types'!$D$3),Data!M971,"")</f>
        <v/>
      </c>
      <c r="C971" s="3" t="str">
        <f>IF(B971="","",Data!N971)</f>
        <v/>
      </c>
    </row>
    <row r="972">
      <c r="A972" s="3" t="str">
        <f>IF(AND(Data!$K972='All Types'!$D$2,Data!$L972='All Types'!$D$3),Data!$C972,"")</f>
        <v/>
      </c>
      <c r="B972" s="3" t="str">
        <f>IF(AND(Data!$K972='All Types'!$D$2,Data!$L972='All Types'!$D$3),Data!M972,"")</f>
        <v/>
      </c>
      <c r="C972" s="3" t="str">
        <f>IF(B972="","",Data!N972)</f>
        <v/>
      </c>
    </row>
    <row r="973">
      <c r="A973" s="3" t="str">
        <f>IF(AND(Data!$K973='All Types'!$D$2,Data!$L973='All Types'!$D$3),Data!$C973,"")</f>
        <v/>
      </c>
      <c r="B973" s="3" t="str">
        <f>IF(AND(Data!$K973='All Types'!$D$2,Data!$L973='All Types'!$D$3),Data!M973,"")</f>
        <v/>
      </c>
      <c r="C973" s="3" t="str">
        <f>IF(B973="","",Data!N973)</f>
        <v/>
      </c>
    </row>
    <row r="974">
      <c r="A974" s="3" t="str">
        <f>IF(AND(Data!$K974='All Types'!$D$2,Data!$L974='All Types'!$D$3),Data!$C974,"")</f>
        <v/>
      </c>
      <c r="B974" s="3" t="str">
        <f>IF(AND(Data!$K974='All Types'!$D$2,Data!$L974='All Types'!$D$3),Data!M974,"")</f>
        <v/>
      </c>
      <c r="C974" s="3" t="str">
        <f>IF(B974="","",Data!N974)</f>
        <v/>
      </c>
    </row>
    <row r="975">
      <c r="A975" s="3" t="str">
        <f>IF(AND(Data!$K975='All Types'!$D$2,Data!$L975='All Types'!$D$3),Data!$C975,"")</f>
        <v/>
      </c>
      <c r="B975" s="3" t="str">
        <f>IF(AND(Data!$K975='All Types'!$D$2,Data!$L975='All Types'!$D$3),Data!M975,"")</f>
        <v/>
      </c>
      <c r="C975" s="3" t="str">
        <f>IF(B975="","",Data!N975)</f>
        <v/>
      </c>
    </row>
    <row r="976">
      <c r="A976" s="3" t="str">
        <f>IF(AND(Data!$K976='All Types'!$D$2,Data!$L976='All Types'!$D$3),Data!$C976,"")</f>
        <v/>
      </c>
      <c r="B976" s="3" t="str">
        <f>IF(AND(Data!$K976='All Types'!$D$2,Data!$L976='All Types'!$D$3),Data!M976,"")</f>
        <v/>
      </c>
      <c r="C976" s="3" t="str">
        <f>IF(B976="","",Data!N976)</f>
        <v/>
      </c>
    </row>
    <row r="977">
      <c r="A977" s="3" t="str">
        <f>IF(AND(Data!$K977='All Types'!$D$2,Data!$L977='All Types'!$D$3),Data!$C977,"")</f>
        <v/>
      </c>
      <c r="B977" s="3" t="str">
        <f>IF(AND(Data!$K977='All Types'!$D$2,Data!$L977='All Types'!$D$3),Data!M977,"")</f>
        <v/>
      </c>
      <c r="C977" s="3" t="str">
        <f>IF(B977="","",Data!N977)</f>
        <v/>
      </c>
    </row>
    <row r="978">
      <c r="A978" s="3" t="str">
        <f>IF(AND(Data!$K978='All Types'!$D$2,Data!$L978='All Types'!$D$3),Data!$C978,"")</f>
        <v/>
      </c>
      <c r="B978" s="3" t="str">
        <f>IF(AND(Data!$K978='All Types'!$D$2,Data!$L978='All Types'!$D$3),Data!M978,"")</f>
        <v/>
      </c>
      <c r="C978" s="3" t="str">
        <f>IF(B978="","",Data!N978)</f>
        <v/>
      </c>
    </row>
    <row r="979">
      <c r="A979" s="3" t="str">
        <f>IF(AND(Data!$K979='All Types'!$D$2,Data!$L979='All Types'!$D$3),Data!$C979,"")</f>
        <v/>
      </c>
      <c r="B979" s="3" t="str">
        <f>IF(AND(Data!$K979='All Types'!$D$2,Data!$L979='All Types'!$D$3),Data!M979,"")</f>
        <v/>
      </c>
      <c r="C979" s="3" t="str">
        <f>IF(B979="","",Data!N979)</f>
        <v/>
      </c>
    </row>
    <row r="980">
      <c r="A980" s="3" t="str">
        <f>IF(AND(Data!$K980='All Types'!$D$2,Data!$L980='All Types'!$D$3),Data!$C980,"")</f>
        <v/>
      </c>
      <c r="B980" s="3" t="str">
        <f>IF(AND(Data!$K980='All Types'!$D$2,Data!$L980='All Types'!$D$3),Data!M980,"")</f>
        <v/>
      </c>
      <c r="C980" s="3" t="str">
        <f>IF(B980="","",Data!N980)</f>
        <v/>
      </c>
    </row>
    <row r="981">
      <c r="A981" s="3" t="str">
        <f>IF(AND(Data!$K981='All Types'!$D$2,Data!$L981='All Types'!$D$3),Data!$C981,"")</f>
        <v/>
      </c>
      <c r="B981" s="3" t="str">
        <f>IF(AND(Data!$K981='All Types'!$D$2,Data!$L981='All Types'!$D$3),Data!M981,"")</f>
        <v/>
      </c>
      <c r="C981" s="3" t="str">
        <f>IF(B981="","",Data!N981)</f>
        <v/>
      </c>
    </row>
    <row r="982">
      <c r="A982" s="3" t="str">
        <f>IF(AND(Data!$K982='All Types'!$D$2,Data!$L982='All Types'!$D$3),Data!$C982,"")</f>
        <v/>
      </c>
      <c r="B982" s="3" t="str">
        <f>IF(AND(Data!$K982='All Types'!$D$2,Data!$L982='All Types'!$D$3),Data!M982,"")</f>
        <v/>
      </c>
      <c r="C982" s="3" t="str">
        <f>IF(B982="","",Data!N982)</f>
        <v/>
      </c>
    </row>
    <row r="983">
      <c r="A983" s="3" t="str">
        <f>IF(AND(Data!$K983='All Types'!$D$2,Data!$L983='All Types'!$D$3),Data!$C983,"")</f>
        <v/>
      </c>
      <c r="B983" s="3" t="str">
        <f>IF(AND(Data!$K983='All Types'!$D$2,Data!$L983='All Types'!$D$3),Data!M983,"")</f>
        <v/>
      </c>
      <c r="C983" s="3" t="str">
        <f>IF(B983="","",Data!N983)</f>
        <v/>
      </c>
    </row>
    <row r="984">
      <c r="A984" s="3" t="str">
        <f>IF(AND(Data!$K984='All Types'!$D$2,Data!$L984='All Types'!$D$3),Data!$C984,"")</f>
        <v/>
      </c>
      <c r="B984" s="3" t="str">
        <f>IF(AND(Data!$K984='All Types'!$D$2,Data!$L984='All Types'!$D$3),Data!M984,"")</f>
        <v/>
      </c>
      <c r="C984" s="3" t="str">
        <f>IF(B984="","",Data!N984)</f>
        <v/>
      </c>
    </row>
    <row r="985">
      <c r="A985" s="3" t="str">
        <f>IF(AND(Data!$K985='All Types'!$D$2,Data!$L985='All Types'!$D$3),Data!$C985,"")</f>
        <v/>
      </c>
      <c r="B985" s="3" t="str">
        <f>IF(AND(Data!$K985='All Types'!$D$2,Data!$L985='All Types'!$D$3),Data!M985,"")</f>
        <v/>
      </c>
      <c r="C985" s="3" t="str">
        <f>IF(B985="","",Data!N985)</f>
        <v/>
      </c>
    </row>
    <row r="986">
      <c r="A986" s="3" t="str">
        <f>IF(AND(Data!$K986='All Types'!$D$2,Data!$L986='All Types'!$D$3),Data!$C986,"")</f>
        <v/>
      </c>
      <c r="B986" s="3" t="str">
        <f>IF(AND(Data!$K986='All Types'!$D$2,Data!$L986='All Types'!$D$3),Data!M986,"")</f>
        <v/>
      </c>
      <c r="C986" s="3" t="str">
        <f>IF(B986="","",Data!N986)</f>
        <v/>
      </c>
    </row>
    <row r="987">
      <c r="A987" s="3" t="str">
        <f>IF(AND(Data!$K987='All Types'!$D$2,Data!$L987='All Types'!$D$3),Data!$C987,"")</f>
        <v/>
      </c>
      <c r="B987" s="3" t="str">
        <f>IF(AND(Data!$K987='All Types'!$D$2,Data!$L987='All Types'!$D$3),Data!M987,"")</f>
        <v/>
      </c>
      <c r="C987" s="3" t="str">
        <f>IF(B987="","",Data!N987)</f>
        <v/>
      </c>
    </row>
    <row r="988">
      <c r="A988" s="3" t="str">
        <f>IF(AND(Data!$K988='All Types'!$D$2,Data!$L988='All Types'!$D$3),Data!$C988,"")</f>
        <v/>
      </c>
      <c r="B988" s="3" t="str">
        <f>IF(AND(Data!$K988='All Types'!$D$2,Data!$L988='All Types'!$D$3),Data!M988,"")</f>
        <v/>
      </c>
      <c r="C988" s="3" t="str">
        <f>IF(B988="","",Data!N988)</f>
        <v/>
      </c>
    </row>
    <row r="989">
      <c r="A989" s="3" t="str">
        <f>IF(AND(Data!$K989='All Types'!$D$2,Data!$L989='All Types'!$D$3),Data!$C989,"")</f>
        <v/>
      </c>
      <c r="B989" s="3" t="str">
        <f>IF(AND(Data!$K989='All Types'!$D$2,Data!$L989='All Types'!$D$3),Data!M989,"")</f>
        <v/>
      </c>
      <c r="C989" s="3" t="str">
        <f>IF(B989="","",Data!N989)</f>
        <v/>
      </c>
    </row>
    <row r="990">
      <c r="A990" s="3" t="str">
        <f>IF(AND(Data!$K990='All Types'!$D$2,Data!$L990='All Types'!$D$3),Data!$C990,"")</f>
        <v/>
      </c>
      <c r="B990" s="3" t="str">
        <f>IF(AND(Data!$K990='All Types'!$D$2,Data!$L990='All Types'!$D$3),Data!M990,"")</f>
        <v/>
      </c>
      <c r="C990" s="3" t="str">
        <f>IF(B990="","",Data!N990)</f>
        <v/>
      </c>
    </row>
    <row r="991">
      <c r="A991" s="3" t="str">
        <f>IF(AND(Data!$K991='All Types'!$D$2,Data!$L991='All Types'!$D$3),Data!$C991,"")</f>
        <v/>
      </c>
      <c r="B991" s="3" t="str">
        <f>IF(AND(Data!$K991='All Types'!$D$2,Data!$L991='All Types'!$D$3),Data!M991,"")</f>
        <v/>
      </c>
      <c r="C991" s="3" t="str">
        <f>IF(B991="","",Data!N991)</f>
        <v/>
      </c>
    </row>
    <row r="992">
      <c r="A992" s="3" t="str">
        <f>IF(AND(Data!$K992='All Types'!$D$2,Data!$L992='All Types'!$D$3),Data!$C992,"")</f>
        <v/>
      </c>
      <c r="B992" s="3" t="str">
        <f>IF(AND(Data!$K992='All Types'!$D$2,Data!$L992='All Types'!$D$3),Data!M992,"")</f>
        <v/>
      </c>
      <c r="C992" s="3" t="str">
        <f>IF(B992="","",Data!N992)</f>
        <v/>
      </c>
    </row>
    <row r="993">
      <c r="A993" s="3" t="str">
        <f>IF(AND(Data!$K993='All Types'!$D$2,Data!$L993='All Types'!$D$3),Data!$C993,"")</f>
        <v/>
      </c>
      <c r="B993" s="3" t="str">
        <f>IF(AND(Data!$K993='All Types'!$D$2,Data!$L993='All Types'!$D$3),Data!M993,"")</f>
        <v/>
      </c>
      <c r="C993" s="3" t="str">
        <f>IF(B993="","",Data!N993)</f>
        <v/>
      </c>
    </row>
    <row r="994">
      <c r="A994" s="3" t="str">
        <f>IF(AND(Data!$K994='All Types'!$D$2,Data!$L994='All Types'!$D$3),Data!$C994,"")</f>
        <v/>
      </c>
      <c r="B994" s="3" t="str">
        <f>IF(AND(Data!$K994='All Types'!$D$2,Data!$L994='All Types'!$D$3),Data!M994,"")</f>
        <v/>
      </c>
      <c r="C994" s="3" t="str">
        <f>IF(B994="","",Data!N994)</f>
        <v/>
      </c>
    </row>
    <row r="995">
      <c r="A995" s="3" t="str">
        <f>IF(AND(Data!$K995='All Types'!$D$2,Data!$L995='All Types'!$D$3),Data!$C995,"")</f>
        <v/>
      </c>
      <c r="B995" s="3" t="str">
        <f>IF(AND(Data!$K995='All Types'!$D$2,Data!$L995='All Types'!$D$3),Data!M995,"")</f>
        <v/>
      </c>
      <c r="C995" s="3" t="str">
        <f>IF(B995="","",Data!N995)</f>
        <v/>
      </c>
    </row>
    <row r="996">
      <c r="A996" s="3" t="str">
        <f>IF(AND(Data!$K996='All Types'!$D$2,Data!$L996='All Types'!$D$3),Data!$C996,"")</f>
        <v/>
      </c>
      <c r="B996" s="3" t="str">
        <f>IF(AND(Data!$K996='All Types'!$D$2,Data!$L996='All Types'!$D$3),Data!M996,"")</f>
        <v/>
      </c>
      <c r="C996" s="3" t="str">
        <f>IF(B996="","",Data!N996)</f>
        <v/>
      </c>
    </row>
    <row r="997">
      <c r="A997" s="3" t="str">
        <f>IF(AND(Data!$K997='All Types'!$D$2,Data!$L997='All Types'!$D$3),Data!$C997,"")</f>
        <v/>
      </c>
      <c r="B997" s="3" t="str">
        <f>IF(AND(Data!$K997='All Types'!$D$2,Data!$L997='All Types'!$D$3),Data!M997,"")</f>
        <v/>
      </c>
      <c r="C997" s="3" t="str">
        <f>IF(B997="","",Data!N997)</f>
        <v/>
      </c>
    </row>
    <row r="998">
      <c r="A998" s="3" t="str">
        <f>IF(AND(Data!$K998='All Types'!$D$2,Data!$L998='All Types'!$D$3),Data!$C998,"")</f>
        <v/>
      </c>
      <c r="B998" s="3" t="str">
        <f>IF(AND(Data!$K998='All Types'!$D$2,Data!$L998='All Types'!$D$3),Data!M998,"")</f>
        <v/>
      </c>
      <c r="C998" s="3" t="str">
        <f>IF(B998="","",Data!N998)</f>
        <v/>
      </c>
    </row>
    <row r="999">
      <c r="A999" s="3" t="str">
        <f>IF(AND(Data!$K999='All Types'!$D$2,Data!$L999='All Types'!$D$3),Data!$C999,"")</f>
        <v/>
      </c>
      <c r="B999" s="3" t="str">
        <f>IF(AND(Data!$K999='All Types'!$D$2,Data!$L999='All Types'!$D$3),Data!M999,"")</f>
        <v/>
      </c>
      <c r="C999" s="3" t="str">
        <f>IF(B999="","",Data!N999)</f>
        <v/>
      </c>
    </row>
    <row r="1000">
      <c r="A1000" s="3" t="str">
        <f>IF(AND(Data!$K1000='All Types'!$D$2,Data!$L1000='All Types'!$D$3),Data!$C1000,"")</f>
        <v/>
      </c>
      <c r="B1000" s="3" t="str">
        <f>IF(AND(Data!$K1000='All Types'!$D$2,Data!$L1000='All Types'!$D$3),Data!M1000,"")</f>
        <v/>
      </c>
      <c r="C1000" s="3" t="str">
        <f>IF(B1000="","",Data!N1000)</f>
        <v/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3.71"/>
  </cols>
  <sheetData>
    <row r="1">
      <c r="A1" s="96" t="s">
        <v>95</v>
      </c>
      <c r="B1" s="96" t="s">
        <v>96</v>
      </c>
      <c r="C1" s="96" t="str">
        <f>Data!N1</f>
        <v>Total Seconds</v>
      </c>
      <c r="D1" s="96" t="str">
        <f>Data!C1</f>
        <v>Grind Size</v>
      </c>
      <c r="E1" s="100" t="str">
        <f>Data!P1</f>
        <v>Average Flow Rate</v>
      </c>
      <c r="F1" s="96" t="str">
        <f>Data!M1</f>
        <v>Time to Complete</v>
      </c>
      <c r="I1" s="17"/>
      <c r="J1" s="17"/>
      <c r="K1" s="17"/>
      <c r="L1" s="17"/>
      <c r="M1" s="17"/>
      <c r="N1" s="17" t="str">
        <f>IFERROR(__xludf.DUMMYFUNCTION("UNIQUE($A:$F)"),"#REF!")</f>
        <v>#REF!</v>
      </c>
      <c r="O1" s="17"/>
      <c r="P1" s="17"/>
      <c r="Q1" s="17"/>
      <c r="R1" s="17"/>
      <c r="S1" s="17"/>
      <c r="T1" s="17"/>
      <c r="U1" s="17"/>
      <c r="V1" s="17"/>
      <c r="W1" s="17"/>
      <c r="X1" s="17"/>
    </row>
    <row r="2">
      <c r="A2" s="101" t="str">
        <f>if(D2="","",1)</f>
        <v/>
      </c>
      <c r="B2" s="3" t="str">
        <f>IF(AND(Data!$B2='Individual Type'!$D$2, Data!$K2='All Types'!$D$2,Data!$L2='All Types'!$D$3),Data!$B2,"")</f>
        <v/>
      </c>
      <c r="C2" s="3" t="str">
        <f>IF(F2="","",Data!N2)</f>
        <v/>
      </c>
      <c r="D2" s="3" t="str">
        <f>IF(AND(Data!$B2='Individual Type'!$D$2, Data!$K2='All Types'!$D$2,Data!$L2='All Types'!$D$3),Data!$C2,"")</f>
        <v/>
      </c>
      <c r="E2" s="3" t="str">
        <f>IF($F2="","",Data!P2)</f>
        <v/>
      </c>
      <c r="F2" s="3" t="str">
        <f>IF(AND(Data!$B2='Individual Type'!$D$2, Data!$K2='All Types'!$D$2,Data!$L2='All Types'!$D$3),Data!M2,"")</f>
        <v/>
      </c>
      <c r="N2" s="3"/>
      <c r="O2" s="3"/>
      <c r="P2" s="3"/>
      <c r="Q2" s="3"/>
      <c r="U2" s="4" t="s">
        <v>97</v>
      </c>
      <c r="V2" s="4" t="s">
        <v>98</v>
      </c>
    </row>
    <row r="3">
      <c r="A3" s="102" t="str">
        <f t="shared" ref="A3:A1000" si="1">IF(D3="","",MAX(A$2:A2)+1)</f>
        <v/>
      </c>
      <c r="B3" s="3" t="str">
        <f>IF(AND(Data!$B3='Individual Type'!$D$2, Data!$K3='All Types'!$D$2,Data!$L3='All Types'!$D$3),Data!$B3,"")</f>
        <v/>
      </c>
      <c r="C3" s="3" t="str">
        <f>IF(F3="","",Data!N3)</f>
        <v/>
      </c>
      <c r="D3" s="3" t="str">
        <f>IF(AND(Data!$B3='Individual Type'!$D$2, Data!$K3='All Types'!$D$2,Data!$L3='All Types'!$D$3),Data!$C3,"")</f>
        <v/>
      </c>
      <c r="E3" s="3" t="str">
        <f>IF($F3="","",Data!P3)</f>
        <v/>
      </c>
      <c r="F3" s="3" t="str">
        <f>IF(AND(Data!$B3='Individual Type'!$D$2, Data!$K3='All Types'!$D$2,Data!$L3='All Types'!$D$3),Data!M3,"")</f>
        <v/>
      </c>
      <c r="N3" s="3"/>
      <c r="O3" s="3"/>
      <c r="P3" s="3"/>
      <c r="Q3" s="4">
        <v>10.0</v>
      </c>
      <c r="R3" s="4">
        <v>2.0</v>
      </c>
      <c r="S3" s="4">
        <v>5.0</v>
      </c>
      <c r="U3" s="3">
        <f t="array" ref="U3:V3">TRANSPOSE(MMULT(MMULT(MINVERSE(MMULT(TRANSPOSE(R3:S4),R3:S4)),TRANSPOSE(R3:S4)),Q3:Q4))</f>
        <v>30</v>
      </c>
      <c r="V3" s="3">
        <v>-9.999999999999076</v>
      </c>
    </row>
    <row r="4">
      <c r="A4" s="102" t="str">
        <f t="shared" si="1"/>
        <v/>
      </c>
      <c r="B4" s="3" t="str">
        <f>IF(AND(Data!$B4='Individual Type'!$D$2, Data!$K4='All Types'!$D$2,Data!$L4='All Types'!$D$3),Data!$B4,"")</f>
        <v/>
      </c>
      <c r="C4" s="3" t="str">
        <f>IF(F4="","",Data!N4)</f>
        <v/>
      </c>
      <c r="D4" s="3" t="str">
        <f>IF(AND(Data!$B4='Individual Type'!$D$2, Data!$K4='All Types'!$D$2,Data!$L4='All Types'!$D$3),Data!$C4,"")</f>
        <v/>
      </c>
      <c r="E4" s="3" t="str">
        <f>IF($F4="","",Data!P4)</f>
        <v/>
      </c>
      <c r="F4" s="3" t="str">
        <f>IF(AND(Data!$B4='Individual Type'!$D$2, Data!$K4='All Types'!$D$2,Data!$L4='All Types'!$D$3),Data!M4,"")</f>
        <v/>
      </c>
      <c r="Q4" s="4">
        <v>20.0</v>
      </c>
      <c r="R4" s="4">
        <v>3.0</v>
      </c>
      <c r="S4" s="4">
        <v>7.0</v>
      </c>
    </row>
    <row r="5">
      <c r="A5" s="102" t="str">
        <f t="shared" si="1"/>
        <v/>
      </c>
      <c r="B5" s="3" t="str">
        <f>IF(AND(Data!$B5='Individual Type'!$D$2, Data!$K5='All Types'!$D$2,Data!$L5='All Types'!$D$3),Data!$B5,"")</f>
        <v/>
      </c>
      <c r="C5" s="3" t="str">
        <f>IF(F5="","",Data!N5)</f>
        <v/>
      </c>
      <c r="D5" s="3" t="str">
        <f>IF(AND(Data!$B5='Individual Type'!$D$2, Data!$K5='All Types'!$D$2,Data!$L5='All Types'!$D$3),Data!$C5,"")</f>
        <v/>
      </c>
      <c r="E5" s="3" t="str">
        <f>IF($F5="","",Data!P5)</f>
        <v/>
      </c>
      <c r="F5" s="3" t="str">
        <f>IF(AND(Data!$B5='Individual Type'!$D$2, Data!$K5='All Types'!$D$2,Data!$L5='All Types'!$D$3),Data!M5,"")</f>
        <v/>
      </c>
    </row>
    <row r="6">
      <c r="A6" s="102" t="str">
        <f t="shared" si="1"/>
        <v/>
      </c>
      <c r="B6" s="3" t="str">
        <f>IF(AND(Data!$B6='Individual Type'!$D$2, Data!$K6='All Types'!$D$2,Data!$L6='All Types'!$D$3),Data!$B6,"")</f>
        <v/>
      </c>
      <c r="C6" s="3" t="str">
        <f>IF(F6="","",Data!N6)</f>
        <v/>
      </c>
      <c r="D6" s="3" t="str">
        <f>IF(AND(Data!$B6='Individual Type'!$D$2, Data!$K6='All Types'!$D$2,Data!$L6='All Types'!$D$3),Data!$C6,"")</f>
        <v/>
      </c>
      <c r="E6" s="3" t="str">
        <f>IF($F6="","",Data!P6)</f>
        <v/>
      </c>
      <c r="F6" s="3" t="str">
        <f>IF(AND(Data!$B6='Individual Type'!$D$2, Data!$K6='All Types'!$D$2,Data!$L6='All Types'!$D$3),Data!M6,"")</f>
        <v/>
      </c>
    </row>
    <row r="7">
      <c r="A7" s="102" t="str">
        <f t="shared" si="1"/>
        <v/>
      </c>
      <c r="B7" s="3" t="str">
        <f>IF(AND(Data!$B7='Individual Type'!$D$2, Data!$K7='All Types'!$D$2,Data!$L7='All Types'!$D$3),Data!$B7,"")</f>
        <v/>
      </c>
      <c r="C7" s="3" t="str">
        <f>IF(F7="","",Data!N7)</f>
        <v/>
      </c>
      <c r="D7" s="3" t="str">
        <f>IF(AND(Data!$B7='Individual Type'!$D$2, Data!$K7='All Types'!$D$2,Data!$L7='All Types'!$D$3),Data!$C7,"")</f>
        <v/>
      </c>
      <c r="E7" s="3" t="str">
        <f>IF($F7="","",Data!P7)</f>
        <v/>
      </c>
      <c r="F7" s="3" t="str">
        <f>IF(AND(Data!$B7='Individual Type'!$D$2, Data!$K7='All Types'!$D$2,Data!$L7='All Types'!$D$3),Data!M7,"")</f>
        <v/>
      </c>
    </row>
    <row r="8">
      <c r="A8" s="102" t="str">
        <f t="shared" si="1"/>
        <v/>
      </c>
      <c r="B8" s="3" t="str">
        <f>IF(AND(Data!$B8='Individual Type'!$D$2, Data!$K8='All Types'!$D$2,Data!$L8='All Types'!$D$3),Data!$B8,"")</f>
        <v/>
      </c>
      <c r="C8" s="3" t="str">
        <f>IF(F8="","",Data!N8)</f>
        <v/>
      </c>
      <c r="D8" s="3" t="str">
        <f>IF(AND(Data!$B8='Individual Type'!$D$2, Data!$K8='All Types'!$D$2,Data!$L8='All Types'!$D$3),Data!$C8,"")</f>
        <v/>
      </c>
      <c r="E8" s="3" t="str">
        <f>IF($F8="","",Data!P8)</f>
        <v/>
      </c>
      <c r="F8" s="3" t="str">
        <f>IF(AND(Data!$B8='Individual Type'!$D$2, Data!$K8='All Types'!$D$2,Data!$L8='All Types'!$D$3),Data!M8,"")</f>
        <v/>
      </c>
    </row>
    <row r="9">
      <c r="A9" s="102" t="str">
        <f t="shared" si="1"/>
        <v/>
      </c>
      <c r="B9" s="3" t="str">
        <f>IF(AND(Data!$B9='Individual Type'!$D$2, Data!$K9='All Types'!$D$2,Data!$L9='All Types'!$D$3),Data!$B9,"")</f>
        <v/>
      </c>
      <c r="C9" s="3" t="str">
        <f>IF(F9="","",Data!N9)</f>
        <v/>
      </c>
      <c r="D9" s="3" t="str">
        <f>IF(AND(Data!$B9='Individual Type'!$D$2, Data!$K9='All Types'!$D$2,Data!$L9='All Types'!$D$3),Data!$C9,"")</f>
        <v/>
      </c>
      <c r="E9" s="3" t="str">
        <f>IF($F9="","",Data!P9)</f>
        <v/>
      </c>
      <c r="F9" s="3" t="str">
        <f>IF(AND(Data!$B9='Individual Type'!$D$2, Data!$K9='All Types'!$D$2,Data!$L9='All Types'!$D$3),Data!M9,"")</f>
        <v/>
      </c>
    </row>
    <row r="10">
      <c r="A10" s="102" t="str">
        <f t="shared" si="1"/>
        <v/>
      </c>
      <c r="B10" s="3" t="str">
        <f>IF(AND(Data!$B10='Individual Type'!$D$2, Data!$K10='All Types'!$D$2,Data!$L10='All Types'!$D$3),Data!$B10,"")</f>
        <v/>
      </c>
      <c r="C10" s="3" t="str">
        <f>IF(F10="","",Data!N10)</f>
        <v/>
      </c>
      <c r="D10" s="3" t="str">
        <f>IF(AND(Data!$B10='Individual Type'!$D$2, Data!$K10='All Types'!$D$2,Data!$L10='All Types'!$D$3),Data!$C10,"")</f>
        <v/>
      </c>
      <c r="E10" s="3" t="str">
        <f>IF($F10="","",Data!P10)</f>
        <v/>
      </c>
      <c r="F10" s="3" t="str">
        <f>IF(AND(Data!$B10='Individual Type'!$D$2, Data!$K10='All Types'!$D$2,Data!$L10='All Types'!$D$3),Data!M10,"")</f>
        <v/>
      </c>
    </row>
    <row r="11">
      <c r="A11" s="102" t="str">
        <f t="shared" si="1"/>
        <v/>
      </c>
      <c r="B11" s="3" t="str">
        <f>IF(AND(Data!$B11='Individual Type'!$D$2, Data!$K11='All Types'!$D$2,Data!$L11='All Types'!$D$3),Data!$B11,"")</f>
        <v/>
      </c>
      <c r="C11" s="3" t="str">
        <f>IF(F11="","",Data!N11)</f>
        <v/>
      </c>
      <c r="D11" s="3" t="str">
        <f>IF(AND(Data!$B11='Individual Type'!$D$2, Data!$K11='All Types'!$D$2,Data!$L11='All Types'!$D$3),Data!$C11,"")</f>
        <v/>
      </c>
      <c r="E11" s="3" t="str">
        <f>IF($F11="","",Data!P11)</f>
        <v/>
      </c>
      <c r="F11" s="3" t="str">
        <f>IF(AND(Data!$B11='Individual Type'!$D$2, Data!$K11='All Types'!$D$2,Data!$L11='All Types'!$D$3),Data!M11,"")</f>
        <v/>
      </c>
    </row>
    <row r="12">
      <c r="A12" s="102" t="str">
        <f t="shared" si="1"/>
        <v/>
      </c>
      <c r="B12" s="3" t="str">
        <f>IF(AND(Data!$B12='Individual Type'!$D$2, Data!$K12='All Types'!$D$2,Data!$L12='All Types'!$D$3),Data!$B12,"")</f>
        <v/>
      </c>
      <c r="C12" s="3" t="str">
        <f>IF(F12="","",Data!N12)</f>
        <v/>
      </c>
      <c r="D12" s="3" t="str">
        <f>IF(AND(Data!$B12='Individual Type'!$D$2, Data!$K12='All Types'!$D$2,Data!$L12='All Types'!$D$3),Data!$C12,"")</f>
        <v/>
      </c>
      <c r="E12" s="3" t="str">
        <f>IF($F12="","",Data!P12)</f>
        <v/>
      </c>
      <c r="F12" s="3" t="str">
        <f>IF(AND(Data!$B12='Individual Type'!$D$2, Data!$K12='All Types'!$D$2,Data!$L12='All Types'!$D$3),Data!M12,"")</f>
        <v/>
      </c>
    </row>
    <row r="13">
      <c r="A13" s="102" t="str">
        <f t="shared" si="1"/>
        <v/>
      </c>
      <c r="B13" s="3" t="str">
        <f>IF(AND(Data!$B13='Individual Type'!$D$2, Data!$K13='All Types'!$D$2,Data!$L13='All Types'!$D$3),Data!$B13,"")</f>
        <v/>
      </c>
      <c r="C13" s="3" t="str">
        <f>IF(F13="","",Data!N13)</f>
        <v/>
      </c>
      <c r="D13" s="3" t="str">
        <f>IF(AND(Data!$B13='Individual Type'!$D$2, Data!$K13='All Types'!$D$2,Data!$L13='All Types'!$D$3),Data!$C13,"")</f>
        <v/>
      </c>
      <c r="E13" s="3" t="str">
        <f>IF($F13="","",Data!P13)</f>
        <v/>
      </c>
      <c r="F13" s="3" t="str">
        <f>IF(AND(Data!$B13='Individual Type'!$D$2, Data!$K13='All Types'!$D$2,Data!$L13='All Types'!$D$3),Data!M13,"")</f>
        <v/>
      </c>
    </row>
    <row r="14">
      <c r="A14" s="102" t="str">
        <f t="shared" si="1"/>
        <v/>
      </c>
      <c r="B14" s="3" t="str">
        <f>IF(AND(Data!$B14='Individual Type'!$D$2, Data!$K14='All Types'!$D$2,Data!$L14='All Types'!$D$3),Data!$B14,"")</f>
        <v/>
      </c>
      <c r="C14" s="3" t="str">
        <f>IF(F14="","",Data!N14)</f>
        <v/>
      </c>
      <c r="D14" s="3" t="str">
        <f>IF(AND(Data!$B14='Individual Type'!$D$2, Data!$K14='All Types'!$D$2,Data!$L14='All Types'!$D$3),Data!$C14,"")</f>
        <v/>
      </c>
      <c r="E14" s="3" t="str">
        <f>IF($F14="","",Data!P14)</f>
        <v/>
      </c>
      <c r="F14" s="3" t="str">
        <f>IF(AND(Data!$B14='Individual Type'!$D$2, Data!$K14='All Types'!$D$2,Data!$L14='All Types'!$D$3),Data!M14,"")</f>
        <v/>
      </c>
    </row>
    <row r="15">
      <c r="A15" s="102" t="str">
        <f t="shared" si="1"/>
        <v/>
      </c>
      <c r="B15" s="3" t="str">
        <f>IF(AND(Data!$B15='Individual Type'!$D$2, Data!$K15='All Types'!$D$2,Data!$L15='All Types'!$D$3),Data!$B15,"")</f>
        <v/>
      </c>
      <c r="C15" s="3" t="str">
        <f>IF(F15="","",Data!N15)</f>
        <v/>
      </c>
      <c r="D15" s="3" t="str">
        <f>IF(AND(Data!$B15='Individual Type'!$D$2, Data!$K15='All Types'!$D$2,Data!$L15='All Types'!$D$3),Data!$C15,"")</f>
        <v/>
      </c>
      <c r="E15" s="3" t="str">
        <f>IF($F15="","",Data!P15)</f>
        <v/>
      </c>
      <c r="F15" s="3" t="str">
        <f>IF(AND(Data!$B15='Individual Type'!$D$2, Data!$K15='All Types'!$D$2,Data!$L15='All Types'!$D$3),Data!M15,"")</f>
        <v/>
      </c>
    </row>
    <row r="16">
      <c r="A16" s="102" t="str">
        <f t="shared" si="1"/>
        <v/>
      </c>
      <c r="B16" s="3" t="str">
        <f>IF(AND(Data!$B16='Individual Type'!$D$2, Data!$K16='All Types'!$D$2,Data!$L16='All Types'!$D$3),Data!$B16,"")</f>
        <v/>
      </c>
      <c r="C16" s="3" t="str">
        <f>IF(F16="","",Data!N16)</f>
        <v/>
      </c>
      <c r="D16" s="3" t="str">
        <f>IF(AND(Data!$B16='Individual Type'!$D$2, Data!$K16='All Types'!$D$2,Data!$L16='All Types'!$D$3),Data!$C16,"")</f>
        <v/>
      </c>
      <c r="E16" s="3" t="str">
        <f>IF($F16="","",Data!P16)</f>
        <v/>
      </c>
      <c r="F16" s="3" t="str">
        <f>IF(AND(Data!$B16='Individual Type'!$D$2, Data!$K16='All Types'!$D$2,Data!$L16='All Types'!$D$3),Data!M16,"")</f>
        <v/>
      </c>
    </row>
    <row r="17">
      <c r="A17" s="102" t="str">
        <f t="shared" si="1"/>
        <v/>
      </c>
      <c r="B17" s="3" t="str">
        <f>IF(AND(Data!$B17='Individual Type'!$D$2, Data!$K17='All Types'!$D$2,Data!$L17='All Types'!$D$3),Data!$B17,"")</f>
        <v/>
      </c>
      <c r="C17" s="3" t="str">
        <f>IF(F17="","",Data!N17)</f>
        <v/>
      </c>
      <c r="D17" s="3" t="str">
        <f>IF(AND(Data!$B17='Individual Type'!$D$2, Data!$K17='All Types'!$D$2,Data!$L17='All Types'!$D$3),Data!$C17,"")</f>
        <v/>
      </c>
      <c r="E17" s="3" t="str">
        <f>IF($F17="","",Data!P17)</f>
        <v/>
      </c>
      <c r="F17" s="3" t="str">
        <f>IF(AND(Data!$B17='Individual Type'!$D$2, Data!$K17='All Types'!$D$2,Data!$L17='All Types'!$D$3),Data!M17,"")</f>
        <v/>
      </c>
    </row>
    <row r="18">
      <c r="A18" s="102" t="str">
        <f t="shared" si="1"/>
        <v/>
      </c>
      <c r="B18" s="3" t="str">
        <f>IF(AND(Data!$B18='Individual Type'!$D$2, Data!$K18='All Types'!$D$2,Data!$L18='All Types'!$D$3),Data!$B18,"")</f>
        <v/>
      </c>
      <c r="C18" s="3" t="str">
        <f>IF(F18="","",Data!N18)</f>
        <v/>
      </c>
      <c r="D18" s="3" t="str">
        <f>IF(AND(Data!$B18='Individual Type'!$D$2, Data!$K18='All Types'!$D$2,Data!$L18='All Types'!$D$3),Data!$C18,"")</f>
        <v/>
      </c>
      <c r="E18" s="3" t="str">
        <f>IF($F18="","",Data!P18)</f>
        <v/>
      </c>
      <c r="F18" s="3" t="str">
        <f>IF(AND(Data!$B18='Individual Type'!$D$2, Data!$K18='All Types'!$D$2,Data!$L18='All Types'!$D$3),Data!M18,"")</f>
        <v/>
      </c>
    </row>
    <row r="19">
      <c r="A19" s="102" t="str">
        <f t="shared" si="1"/>
        <v/>
      </c>
      <c r="B19" s="3" t="str">
        <f>IF(AND(Data!$B19='Individual Type'!$D$2, Data!$K19='All Types'!$D$2,Data!$L19='All Types'!$D$3),Data!$B19,"")</f>
        <v/>
      </c>
      <c r="C19" s="3" t="str">
        <f>IF(F19="","",Data!N19)</f>
        <v/>
      </c>
      <c r="D19" s="3" t="str">
        <f>IF(AND(Data!$B19='Individual Type'!$D$2, Data!$K19='All Types'!$D$2,Data!$L19='All Types'!$D$3),Data!$C19,"")</f>
        <v/>
      </c>
      <c r="E19" s="3" t="str">
        <f>IF($F19="","",Data!P19)</f>
        <v/>
      </c>
      <c r="F19" s="3" t="str">
        <f>IF(AND(Data!$B19='Individual Type'!$D$2, Data!$K19='All Types'!$D$2,Data!$L19='All Types'!$D$3),Data!M19,"")</f>
        <v/>
      </c>
    </row>
    <row r="20">
      <c r="A20" s="102" t="str">
        <f t="shared" si="1"/>
        <v/>
      </c>
      <c r="B20" s="3" t="str">
        <f>IF(AND(Data!$B20='Individual Type'!$D$2, Data!$K20='All Types'!$D$2,Data!$L20='All Types'!$D$3),Data!$B20,"")</f>
        <v/>
      </c>
      <c r="C20" s="3" t="str">
        <f>IF(F20="","",Data!N20)</f>
        <v/>
      </c>
      <c r="D20" s="3" t="str">
        <f>IF(AND(Data!$B20='Individual Type'!$D$2, Data!$K20='All Types'!$D$2,Data!$L20='All Types'!$D$3),Data!$C20,"")</f>
        <v/>
      </c>
      <c r="E20" s="3" t="str">
        <f>IF($F20="","",Data!P20)</f>
        <v/>
      </c>
      <c r="F20" s="3" t="str">
        <f>IF(AND(Data!$B20='Individual Type'!$D$2, Data!$K20='All Types'!$D$2,Data!$L20='All Types'!$D$3),Data!M20,"")</f>
        <v/>
      </c>
    </row>
    <row r="21">
      <c r="A21" s="102" t="str">
        <f t="shared" si="1"/>
        <v/>
      </c>
      <c r="B21" s="3" t="str">
        <f>IF(AND(Data!$B21='Individual Type'!$D$2, Data!$K21='All Types'!$D$2,Data!$L21='All Types'!$D$3),Data!$B21,"")</f>
        <v/>
      </c>
      <c r="C21" s="3" t="str">
        <f>IF(F21="","",Data!N21)</f>
        <v/>
      </c>
      <c r="D21" s="3" t="str">
        <f>IF(AND(Data!$B21='Individual Type'!$D$2, Data!$K21='All Types'!$D$2,Data!$L21='All Types'!$D$3),Data!$C21,"")</f>
        <v/>
      </c>
      <c r="E21" s="3" t="str">
        <f>IF($F21="","",Data!P21)</f>
        <v/>
      </c>
      <c r="F21" s="3" t="str">
        <f>IF(AND(Data!$B21='Individual Type'!$D$2, Data!$K21='All Types'!$D$2,Data!$L21='All Types'!$D$3),Data!M21,"")</f>
        <v/>
      </c>
    </row>
    <row r="22">
      <c r="A22" s="102" t="str">
        <f t="shared" si="1"/>
        <v/>
      </c>
      <c r="B22" s="3" t="str">
        <f>IF(AND(Data!$B22='Individual Type'!$D$2, Data!$K22='All Types'!$D$2,Data!$L22='All Types'!$D$3),Data!$B22,"")</f>
        <v/>
      </c>
      <c r="C22" s="3" t="str">
        <f>IF(F22="","",Data!N22)</f>
        <v/>
      </c>
      <c r="D22" s="3" t="str">
        <f>IF(AND(Data!$B22='Individual Type'!$D$2, Data!$K22='All Types'!$D$2,Data!$L22='All Types'!$D$3),Data!$C22,"")</f>
        <v/>
      </c>
      <c r="E22" s="3" t="str">
        <f>IF($F22="","",Data!P22)</f>
        <v/>
      </c>
      <c r="F22" s="3" t="str">
        <f>IF(AND(Data!$B22='Individual Type'!$D$2, Data!$K22='All Types'!$D$2,Data!$L22='All Types'!$D$3),Data!M22,"")</f>
        <v/>
      </c>
    </row>
    <row r="23">
      <c r="A23" s="102" t="str">
        <f t="shared" si="1"/>
        <v/>
      </c>
      <c r="B23" s="3" t="str">
        <f>IF(AND(Data!$B23='Individual Type'!$D$2, Data!$K23='All Types'!$D$2,Data!$L23='All Types'!$D$3),Data!$B23,"")</f>
        <v/>
      </c>
      <c r="C23" s="3" t="str">
        <f>IF(F23="","",Data!N23)</f>
        <v/>
      </c>
      <c r="D23" s="3" t="str">
        <f>IF(AND(Data!$B23='Individual Type'!$D$2, Data!$K23='All Types'!$D$2,Data!$L23='All Types'!$D$3),Data!$C23,"")</f>
        <v/>
      </c>
      <c r="E23" s="3" t="str">
        <f>IF($F23="","",Data!P23)</f>
        <v/>
      </c>
      <c r="F23" s="3" t="str">
        <f>IF(AND(Data!$B23='Individual Type'!$D$2, Data!$K23='All Types'!$D$2,Data!$L23='All Types'!$D$3),Data!M23,"")</f>
        <v/>
      </c>
    </row>
    <row r="24">
      <c r="A24" s="102" t="str">
        <f t="shared" si="1"/>
        <v/>
      </c>
      <c r="B24" s="3" t="str">
        <f>IF(AND(Data!$B24='Individual Type'!$D$2, Data!$K24='All Types'!$D$2,Data!$L24='All Types'!$D$3),Data!$B24,"")</f>
        <v/>
      </c>
      <c r="C24" s="3" t="str">
        <f>IF(F24="","",Data!N24)</f>
        <v/>
      </c>
      <c r="D24" s="3" t="str">
        <f>IF(AND(Data!$B24='Individual Type'!$D$2, Data!$K24='All Types'!$D$2,Data!$L24='All Types'!$D$3),Data!$C24,"")</f>
        <v/>
      </c>
      <c r="E24" s="3" t="str">
        <f>IF($F24="","",Data!P24)</f>
        <v/>
      </c>
      <c r="F24" s="3" t="str">
        <f>IF(AND(Data!$B24='Individual Type'!$D$2, Data!$K24='All Types'!$D$2,Data!$L24='All Types'!$D$3),Data!M24,"")</f>
        <v/>
      </c>
    </row>
    <row r="25">
      <c r="A25" s="102" t="str">
        <f t="shared" si="1"/>
        <v/>
      </c>
      <c r="B25" s="3" t="str">
        <f>IF(AND(Data!$B25='Individual Type'!$D$2, Data!$K25='All Types'!$D$2,Data!$L25='All Types'!$D$3),Data!$B25,"")</f>
        <v/>
      </c>
      <c r="C25" s="3" t="str">
        <f>IF(F25="","",Data!N25)</f>
        <v/>
      </c>
      <c r="D25" s="3" t="str">
        <f>IF(AND(Data!$B25='Individual Type'!$D$2, Data!$K25='All Types'!$D$2,Data!$L25='All Types'!$D$3),Data!$C25,"")</f>
        <v/>
      </c>
      <c r="E25" s="3" t="str">
        <f>IF($F25="","",Data!P25)</f>
        <v/>
      </c>
      <c r="F25" s="3" t="str">
        <f>IF(AND(Data!$B25='Individual Type'!$D$2, Data!$K25='All Types'!$D$2,Data!$L25='All Types'!$D$3),Data!M25,"")</f>
        <v/>
      </c>
    </row>
    <row r="26">
      <c r="A26" s="102" t="str">
        <f t="shared" si="1"/>
        <v/>
      </c>
      <c r="B26" s="3" t="str">
        <f>IF(AND(Data!$B26='Individual Type'!$D$2, Data!$K26='All Types'!$D$2,Data!$L26='All Types'!$D$3),Data!$B26,"")</f>
        <v/>
      </c>
      <c r="C26" s="3" t="str">
        <f>IF(F26="","",Data!N26)</f>
        <v/>
      </c>
      <c r="D26" s="3" t="str">
        <f>IF(AND(Data!$B26='Individual Type'!$D$2, Data!$K26='All Types'!$D$2,Data!$L26='All Types'!$D$3),Data!$C26,"")</f>
        <v/>
      </c>
      <c r="E26" s="3" t="str">
        <f>IF($F26="","",Data!P26)</f>
        <v/>
      </c>
      <c r="F26" s="3" t="str">
        <f>IF(AND(Data!$B26='Individual Type'!$D$2, Data!$K26='All Types'!$D$2,Data!$L26='All Types'!$D$3),Data!M26,"")</f>
        <v/>
      </c>
    </row>
    <row r="27">
      <c r="A27" s="102" t="str">
        <f t="shared" si="1"/>
        <v/>
      </c>
      <c r="B27" s="3" t="str">
        <f>IF(AND(Data!$B27='Individual Type'!$D$2, Data!$K27='All Types'!$D$2,Data!$L27='All Types'!$D$3),Data!$B27,"")</f>
        <v/>
      </c>
      <c r="C27" s="3" t="str">
        <f>IF(F27="","",Data!N27)</f>
        <v/>
      </c>
      <c r="D27" s="3" t="str">
        <f>IF(AND(Data!$B27='Individual Type'!$D$2, Data!$K27='All Types'!$D$2,Data!$L27='All Types'!$D$3),Data!$C27,"")</f>
        <v/>
      </c>
      <c r="E27" s="3" t="str">
        <f>IF($F27="","",Data!P27)</f>
        <v/>
      </c>
      <c r="F27" s="3" t="str">
        <f>IF(AND(Data!$B27='Individual Type'!$D$2, Data!$K27='All Types'!$D$2,Data!$L27='All Types'!$D$3),Data!M27,"")</f>
        <v/>
      </c>
    </row>
    <row r="28">
      <c r="A28" s="102" t="str">
        <f t="shared" si="1"/>
        <v/>
      </c>
      <c r="B28" s="3" t="str">
        <f>IF(AND(Data!$B28='Individual Type'!$D$2, Data!$K28='All Types'!$D$2,Data!$L28='All Types'!$D$3),Data!$B28,"")</f>
        <v/>
      </c>
      <c r="C28" s="3" t="str">
        <f>IF(F28="","",Data!N28)</f>
        <v/>
      </c>
      <c r="D28" s="3" t="str">
        <f>IF(AND(Data!$B28='Individual Type'!$D$2, Data!$K28='All Types'!$D$2,Data!$L28='All Types'!$D$3),Data!$C28,"")</f>
        <v/>
      </c>
      <c r="E28" s="3" t="str">
        <f>IF($F28="","",Data!P28)</f>
        <v/>
      </c>
      <c r="F28" s="3" t="str">
        <f>IF(AND(Data!$B28='Individual Type'!$D$2, Data!$K28='All Types'!$D$2,Data!$L28='All Types'!$D$3),Data!M28,"")</f>
        <v/>
      </c>
    </row>
    <row r="29">
      <c r="A29" s="102" t="str">
        <f t="shared" si="1"/>
        <v/>
      </c>
      <c r="B29" s="3" t="str">
        <f>IF(AND(Data!$B29='Individual Type'!$D$2, Data!$K29='All Types'!$D$2,Data!$L29='All Types'!$D$3),Data!$B29,"")</f>
        <v/>
      </c>
      <c r="C29" s="3" t="str">
        <f>IF(F29="","",Data!N29)</f>
        <v/>
      </c>
      <c r="D29" s="3" t="str">
        <f>IF(AND(Data!$B29='Individual Type'!$D$2, Data!$K29='All Types'!$D$2,Data!$L29='All Types'!$D$3),Data!$C29,"")</f>
        <v/>
      </c>
      <c r="E29" s="3" t="str">
        <f>IF($F29="","",Data!P29)</f>
        <v/>
      </c>
      <c r="F29" s="3" t="str">
        <f>IF(AND(Data!$B29='Individual Type'!$D$2, Data!$K29='All Types'!$D$2,Data!$L29='All Types'!$D$3),Data!M29,"")</f>
        <v/>
      </c>
    </row>
    <row r="30">
      <c r="A30" s="102" t="str">
        <f t="shared" si="1"/>
        <v/>
      </c>
      <c r="B30" s="3" t="str">
        <f>IF(AND(Data!$B30='Individual Type'!$D$2, Data!$K30='All Types'!$D$2,Data!$L30='All Types'!$D$3),Data!$B30,"")</f>
        <v/>
      </c>
      <c r="C30" s="3" t="str">
        <f>IF(F30="","",Data!N30)</f>
        <v/>
      </c>
      <c r="D30" s="3" t="str">
        <f>IF(AND(Data!$B30='Individual Type'!$D$2, Data!$K30='All Types'!$D$2,Data!$L30='All Types'!$D$3),Data!$C30,"")</f>
        <v/>
      </c>
      <c r="E30" s="3" t="str">
        <f>IF($F30="","",Data!P30)</f>
        <v/>
      </c>
      <c r="F30" s="3" t="str">
        <f>IF(AND(Data!$B30='Individual Type'!$D$2, Data!$K30='All Types'!$D$2,Data!$L30='All Types'!$D$3),Data!M30,"")</f>
        <v/>
      </c>
    </row>
    <row r="31">
      <c r="A31" s="102" t="str">
        <f t="shared" si="1"/>
        <v/>
      </c>
      <c r="B31" s="3" t="str">
        <f>IF(AND(Data!$B31='Individual Type'!$D$2, Data!$K31='All Types'!$D$2,Data!$L31='All Types'!$D$3),Data!$B31,"")</f>
        <v/>
      </c>
      <c r="C31" s="3" t="str">
        <f>IF($F31="","",Data!N31)</f>
        <v/>
      </c>
      <c r="D31" s="3" t="str">
        <f>IF(AND(Data!$B31='Individual Type'!$D$2, Data!$K31='All Types'!$D$2,Data!$L31='All Types'!$D$3),Data!$C31,"")</f>
        <v/>
      </c>
      <c r="E31" s="3" t="str">
        <f>IF($F31="","",Data!P31)</f>
        <v/>
      </c>
      <c r="F31" s="3" t="str">
        <f>IF(AND(Data!$B31='Individual Type'!$D$2, Data!$K31='All Types'!$D$2,Data!$L31='All Types'!$D$3),Data!M31,"")</f>
        <v/>
      </c>
    </row>
    <row r="32">
      <c r="A32" s="102" t="str">
        <f t="shared" si="1"/>
        <v/>
      </c>
      <c r="B32" s="3" t="str">
        <f>IF(AND(Data!$B32='Individual Type'!$D$2, Data!$K32='All Types'!$D$2,Data!$L32='All Types'!$D$3),Data!$B32,"")</f>
        <v/>
      </c>
      <c r="C32" s="3" t="str">
        <f>IF(F32="","",Data!N32)</f>
        <v/>
      </c>
      <c r="D32" s="3" t="str">
        <f>IF(AND(Data!$B32='Individual Type'!$D$2, Data!$K32='All Types'!$D$2,Data!$L32='All Types'!$D$3),Data!$C32,"")</f>
        <v/>
      </c>
      <c r="E32" s="3" t="str">
        <f>IF($F32="","",Data!P32)</f>
        <v/>
      </c>
      <c r="F32" s="3" t="str">
        <f>IF(AND(Data!$B32='Individual Type'!$D$2, Data!$K32='All Types'!$D$2,Data!$L32='All Types'!$D$3),Data!M32,"")</f>
        <v/>
      </c>
    </row>
    <row r="33">
      <c r="A33" s="102" t="str">
        <f t="shared" si="1"/>
        <v/>
      </c>
      <c r="B33" s="3" t="str">
        <f>IF(AND(Data!$B33='Individual Type'!$D$2, Data!$K33='All Types'!$D$2,Data!$L33='All Types'!$D$3),Data!$B33,"")</f>
        <v/>
      </c>
      <c r="C33" s="3" t="str">
        <f>IF(F33="","",Data!N33)</f>
        <v/>
      </c>
      <c r="D33" s="3" t="str">
        <f>IF(AND(Data!$B33='Individual Type'!$D$2, Data!$K33='All Types'!$D$2,Data!$L33='All Types'!$D$3),Data!$C33,"")</f>
        <v/>
      </c>
      <c r="E33" s="3" t="str">
        <f>IF($F33="","",Data!P33)</f>
        <v/>
      </c>
      <c r="F33" s="3" t="str">
        <f>IF(AND(Data!$B33='Individual Type'!$D$2, Data!$K33='All Types'!$D$2,Data!$L33='All Types'!$D$3),Data!M33,"")</f>
        <v/>
      </c>
    </row>
    <row r="34">
      <c r="A34" s="102" t="str">
        <f t="shared" si="1"/>
        <v/>
      </c>
      <c r="B34" s="3" t="str">
        <f>IF(AND(Data!$B34='Individual Type'!$D$2, Data!$K34='All Types'!$D$2,Data!$L34='All Types'!$D$3),Data!$B34,"")</f>
        <v/>
      </c>
      <c r="C34" s="3" t="str">
        <f>IF(F34="","",Data!N34)</f>
        <v/>
      </c>
      <c r="D34" s="3" t="str">
        <f>IF(AND(Data!$B34='Individual Type'!$D$2, Data!$K34='All Types'!$D$2,Data!$L34='All Types'!$D$3),Data!$C34,"")</f>
        <v/>
      </c>
      <c r="E34" s="3" t="str">
        <f>IF($F34="","",Data!P34)</f>
        <v/>
      </c>
      <c r="F34" s="3" t="str">
        <f>IF(AND(Data!$B34='Individual Type'!$D$2, Data!$K34='All Types'!$D$2,Data!$L34='All Types'!$D$3),Data!M34,"")</f>
        <v/>
      </c>
    </row>
    <row r="35">
      <c r="A35" s="102" t="str">
        <f t="shared" si="1"/>
        <v/>
      </c>
      <c r="B35" s="3" t="str">
        <f>IF(AND(Data!$B35='Individual Type'!$D$2, Data!$K35='All Types'!$D$2,Data!$L35='All Types'!$D$3),Data!$B35,"")</f>
        <v/>
      </c>
      <c r="C35" s="3" t="str">
        <f>IF(F35="","",Data!N35)</f>
        <v/>
      </c>
      <c r="D35" s="3" t="str">
        <f>IF(AND(Data!$B35='Individual Type'!$D$2, Data!$K35='All Types'!$D$2,Data!$L35='All Types'!$D$3),Data!$C35,"")</f>
        <v/>
      </c>
      <c r="E35" s="3" t="str">
        <f>IF($F35="","",Data!P35)</f>
        <v/>
      </c>
      <c r="F35" s="3" t="str">
        <f>IF(AND(Data!$B35='Individual Type'!$D$2, Data!$K35='All Types'!$D$2,Data!$L35='All Types'!$D$3),Data!M35,"")</f>
        <v/>
      </c>
    </row>
    <row r="36">
      <c r="A36" s="102" t="str">
        <f t="shared" si="1"/>
        <v/>
      </c>
      <c r="B36" s="3" t="str">
        <f>IF(AND(Data!$B36='Individual Type'!$D$2, Data!$K36='All Types'!$D$2,Data!$L36='All Types'!$D$3),Data!$B36,"")</f>
        <v/>
      </c>
      <c r="C36" s="3" t="str">
        <f>IF(F36="","",Data!N36)</f>
        <v/>
      </c>
      <c r="D36" s="3" t="str">
        <f>IF(AND(Data!$B36='Individual Type'!$D$2, Data!$K36='All Types'!$D$2,Data!$L36='All Types'!$D$3),Data!$C36,"")</f>
        <v/>
      </c>
      <c r="E36" s="3" t="str">
        <f>IF($F36="","",Data!P36)</f>
        <v/>
      </c>
      <c r="F36" s="3" t="str">
        <f>IF(AND(Data!$B36='Individual Type'!$D$2, Data!$K36='All Types'!$D$2,Data!$L36='All Types'!$D$3),Data!M36,"")</f>
        <v/>
      </c>
    </row>
    <row r="37">
      <c r="A37" s="102" t="str">
        <f t="shared" si="1"/>
        <v/>
      </c>
      <c r="B37" s="3" t="str">
        <f>IF(AND(Data!$B37='Individual Type'!$D$2, Data!$K37='All Types'!$D$2,Data!$L37='All Types'!$D$3),Data!$B37,"")</f>
        <v/>
      </c>
      <c r="C37" s="3" t="str">
        <f>IF(F37="","",Data!N37)</f>
        <v/>
      </c>
      <c r="D37" s="3" t="str">
        <f>IF(AND(Data!$B37='Individual Type'!$D$2, Data!$K37='All Types'!$D$2,Data!$L37='All Types'!$D$3),Data!$C37,"")</f>
        <v/>
      </c>
      <c r="E37" s="3" t="str">
        <f>IF($F37="","",Data!P37)</f>
        <v/>
      </c>
      <c r="F37" s="3" t="str">
        <f>IF(AND(Data!$B37='Individual Type'!$D$2, Data!$K37='All Types'!$D$2,Data!$L37='All Types'!$D$3),Data!M37,"")</f>
        <v/>
      </c>
    </row>
    <row r="38">
      <c r="A38" s="102" t="str">
        <f t="shared" si="1"/>
        <v/>
      </c>
      <c r="B38" s="3" t="str">
        <f>IF(AND(Data!$B38='Individual Type'!$D$2, Data!$K38='All Types'!$D$2,Data!$L38='All Types'!$D$3),Data!$B38,"")</f>
        <v/>
      </c>
      <c r="C38" s="3" t="str">
        <f>IF(F38="","",Data!N38)</f>
        <v/>
      </c>
      <c r="D38" s="3" t="str">
        <f>IF(AND(Data!$B38='Individual Type'!$D$2, Data!$K38='All Types'!$D$2,Data!$L38='All Types'!$D$3),Data!$C38,"")</f>
        <v/>
      </c>
      <c r="E38" s="3" t="str">
        <f>IF($F38="","",Data!P38)</f>
        <v/>
      </c>
      <c r="F38" s="3" t="str">
        <f>IF(AND(Data!$B38='Individual Type'!$D$2, Data!$K38='All Types'!$D$2,Data!$L38='All Types'!$D$3),Data!M38,"")</f>
        <v/>
      </c>
    </row>
    <row r="39">
      <c r="A39" s="102" t="str">
        <f t="shared" si="1"/>
        <v/>
      </c>
      <c r="B39" s="3" t="str">
        <f>IF(AND(Data!$B39='Individual Type'!$D$2, Data!$K39='All Types'!$D$2,Data!$L39='All Types'!$D$3),Data!$B39,"")</f>
        <v/>
      </c>
      <c r="C39" s="3" t="str">
        <f>IF(F39="","",Data!N39)</f>
        <v/>
      </c>
      <c r="D39" s="3" t="str">
        <f>IF(AND(Data!$B39='Individual Type'!$D$2, Data!$K39='All Types'!$D$2,Data!$L39='All Types'!$D$3),Data!$C39,"")</f>
        <v/>
      </c>
      <c r="E39" s="3" t="str">
        <f>IF($F39="","",Data!P39)</f>
        <v/>
      </c>
      <c r="F39" s="3" t="str">
        <f>IF(AND(Data!$B39='Individual Type'!$D$2, Data!$K39='All Types'!$D$2,Data!$L39='All Types'!$D$3),Data!M39,"")</f>
        <v/>
      </c>
    </row>
    <row r="40">
      <c r="A40" s="102" t="str">
        <f t="shared" si="1"/>
        <v/>
      </c>
      <c r="B40" s="3" t="str">
        <f>IF(AND(Data!$B40='Individual Type'!$D$2, Data!$K40='All Types'!$D$2,Data!$L40='All Types'!$D$3),Data!$B40,"")</f>
        <v/>
      </c>
      <c r="C40" s="3" t="str">
        <f>IF(F40="","",Data!N40)</f>
        <v/>
      </c>
      <c r="D40" s="3" t="str">
        <f>IF(AND(Data!$B40='Individual Type'!$D$2, Data!$K40='All Types'!$D$2,Data!$L40='All Types'!$D$3),Data!$C40,"")</f>
        <v/>
      </c>
      <c r="E40" s="3" t="str">
        <f>IF($F40="","",Data!P40)</f>
        <v/>
      </c>
      <c r="F40" s="3" t="str">
        <f>IF(AND(Data!$B40='Individual Type'!$D$2, Data!$K40='All Types'!$D$2,Data!$L40='All Types'!$D$3),Data!M40,"")</f>
        <v/>
      </c>
    </row>
    <row r="41">
      <c r="A41" s="102" t="str">
        <f t="shared" si="1"/>
        <v/>
      </c>
      <c r="B41" s="3" t="str">
        <f>IF(AND(Data!$B41='Individual Type'!$D$2, Data!$K41='All Types'!$D$2,Data!$L41='All Types'!$D$3),Data!$B41,"")</f>
        <v/>
      </c>
      <c r="C41" s="3" t="str">
        <f>IF(F41="","",Data!N41)</f>
        <v/>
      </c>
      <c r="D41" s="3" t="str">
        <f>IF(AND(Data!$B41='Individual Type'!$D$2, Data!$K41='All Types'!$D$2,Data!$L41='All Types'!$D$3),Data!$C41,"")</f>
        <v/>
      </c>
      <c r="E41" s="3" t="str">
        <f>IF($F41="","",Data!P41)</f>
        <v/>
      </c>
      <c r="F41" s="3" t="str">
        <f>IF(AND(Data!$B41='Individual Type'!$D$2, Data!$K41='All Types'!$D$2,Data!$L41='All Types'!$D$3),Data!M41,"")</f>
        <v/>
      </c>
    </row>
    <row r="42">
      <c r="A42" s="102" t="str">
        <f t="shared" si="1"/>
        <v/>
      </c>
      <c r="B42" s="3" t="str">
        <f>IF(AND(Data!$B42='Individual Type'!$D$2, Data!$K42='All Types'!$D$2,Data!$L42='All Types'!$D$3),Data!$B42,"")</f>
        <v/>
      </c>
      <c r="C42" s="3" t="str">
        <f>IF(F42="","",Data!N42)</f>
        <v/>
      </c>
      <c r="D42" s="3" t="str">
        <f>IF(AND(Data!$B42='Individual Type'!$D$2, Data!$K42='All Types'!$D$2,Data!$L42='All Types'!$D$3),Data!$C42,"")</f>
        <v/>
      </c>
      <c r="E42" s="3" t="str">
        <f>IF($F42="","",Data!P42)</f>
        <v/>
      </c>
      <c r="F42" s="3" t="str">
        <f>IF(AND(Data!$B42='Individual Type'!$D$2, Data!$K42='All Types'!$D$2,Data!$L42='All Types'!$D$3),Data!M42,"")</f>
        <v/>
      </c>
    </row>
    <row r="43">
      <c r="A43" s="102" t="str">
        <f t="shared" si="1"/>
        <v/>
      </c>
      <c r="B43" s="3" t="str">
        <f>IF(AND(Data!$B43='Individual Type'!$D$2, Data!$K43='All Types'!$D$2,Data!$L43='All Types'!$D$3),Data!$B43,"")</f>
        <v/>
      </c>
      <c r="C43" s="3" t="str">
        <f>IF(F43="","",Data!N43)</f>
        <v/>
      </c>
      <c r="D43" s="3" t="str">
        <f>IF(AND(Data!$B43='Individual Type'!$D$2, Data!$K43='All Types'!$D$2,Data!$L43='All Types'!$D$3),Data!$C43,"")</f>
        <v/>
      </c>
      <c r="E43" s="3" t="str">
        <f>IF($F43="","",Data!P43)</f>
        <v/>
      </c>
      <c r="F43" s="3" t="str">
        <f>IF(AND(Data!$B43='Individual Type'!$D$2, Data!$K43='All Types'!$D$2,Data!$L43='All Types'!$D$3),Data!M43,"")</f>
        <v/>
      </c>
    </row>
    <row r="44">
      <c r="A44" s="102" t="str">
        <f t="shared" si="1"/>
        <v/>
      </c>
      <c r="B44" s="3" t="str">
        <f>IF(AND(Data!$B44='Individual Type'!$D$2, Data!$K44='All Types'!$D$2,Data!$L44='All Types'!$D$3),Data!$B44,"")</f>
        <v/>
      </c>
      <c r="C44" s="3" t="str">
        <f>IF(F44="","",Data!N44)</f>
        <v/>
      </c>
      <c r="D44" s="3" t="str">
        <f>IF(AND(Data!$B44='Individual Type'!$D$2, Data!$K44='All Types'!$D$2,Data!$L44='All Types'!$D$3),Data!$C44,"")</f>
        <v/>
      </c>
      <c r="E44" s="3" t="str">
        <f>IF($F44="","",Data!P44)</f>
        <v/>
      </c>
      <c r="F44" s="3" t="str">
        <f>IF(AND(Data!$B44='Individual Type'!$D$2, Data!$K44='All Types'!$D$2,Data!$L44='All Types'!$D$3),Data!M44,"")</f>
        <v/>
      </c>
    </row>
    <row r="45">
      <c r="A45" s="102" t="str">
        <f t="shared" si="1"/>
        <v/>
      </c>
      <c r="B45" s="3" t="str">
        <f>IF(AND(Data!$B45='Individual Type'!$D$2, Data!$K45='All Types'!$D$2,Data!$L45='All Types'!$D$3),Data!$B45,"")</f>
        <v/>
      </c>
      <c r="C45" s="3" t="str">
        <f>IF(F45="","",Data!N45)</f>
        <v/>
      </c>
      <c r="D45" s="3" t="str">
        <f>IF(AND(Data!$B45='Individual Type'!$D$2, Data!$K45='All Types'!$D$2,Data!$L45='All Types'!$D$3),Data!$C45,"")</f>
        <v/>
      </c>
      <c r="E45" s="3" t="str">
        <f>IF($F45="","",Data!P45)</f>
        <v/>
      </c>
      <c r="F45" s="3" t="str">
        <f>IF(AND(Data!$B45='Individual Type'!$D$2, Data!$K45='All Types'!$D$2,Data!$L45='All Types'!$D$3),Data!M45,"")</f>
        <v/>
      </c>
    </row>
    <row r="46">
      <c r="A46" s="102" t="str">
        <f t="shared" si="1"/>
        <v/>
      </c>
      <c r="B46" s="3" t="str">
        <f>IF(AND(Data!$B46='Individual Type'!$D$2, Data!$K46='All Types'!$D$2,Data!$L46='All Types'!$D$3),Data!$B46,"")</f>
        <v/>
      </c>
      <c r="C46" s="3" t="str">
        <f>IF(F46="","",Data!N46)</f>
        <v/>
      </c>
      <c r="D46" s="3" t="str">
        <f>IF(AND(Data!$B46='Individual Type'!$D$2, Data!$K46='All Types'!$D$2,Data!$L46='All Types'!$D$3),Data!$C46,"")</f>
        <v/>
      </c>
      <c r="E46" s="3" t="str">
        <f>IF($F46="","",Data!P46)</f>
        <v/>
      </c>
      <c r="F46" s="3" t="str">
        <f>IF(AND(Data!$B46='Individual Type'!$D$2, Data!$K46='All Types'!$D$2,Data!$L46='All Types'!$D$3),Data!M46,"")</f>
        <v/>
      </c>
    </row>
    <row r="47">
      <c r="A47" s="102" t="str">
        <f t="shared" si="1"/>
        <v/>
      </c>
      <c r="B47" s="3" t="str">
        <f>IF(AND(Data!$B47='Individual Type'!$D$2, Data!$K47='All Types'!$D$2,Data!$L47='All Types'!$D$3),Data!$B47,"")</f>
        <v/>
      </c>
      <c r="C47" s="3" t="str">
        <f>IF(F47="","",Data!N47)</f>
        <v/>
      </c>
      <c r="D47" s="3" t="str">
        <f>IF(AND(Data!$B47='Individual Type'!$D$2, Data!$K47='All Types'!$D$2,Data!$L47='All Types'!$D$3),Data!$C47,"")</f>
        <v/>
      </c>
      <c r="E47" s="3" t="str">
        <f>IF($F47="","",Data!P47)</f>
        <v/>
      </c>
      <c r="F47" s="3" t="str">
        <f>IF(AND(Data!$B47='Individual Type'!$D$2, Data!$K47='All Types'!$D$2,Data!$L47='All Types'!$D$3),Data!M47,"")</f>
        <v/>
      </c>
    </row>
    <row r="48">
      <c r="A48" s="102" t="str">
        <f t="shared" si="1"/>
        <v/>
      </c>
      <c r="B48" s="3" t="str">
        <f>IF(AND(Data!$B48='Individual Type'!$D$2, Data!$K48='All Types'!$D$2,Data!$L48='All Types'!$D$3),Data!$B48,"")</f>
        <v/>
      </c>
      <c r="C48" s="3" t="str">
        <f>IF(F48="","",Data!N48)</f>
        <v/>
      </c>
      <c r="D48" s="3" t="str">
        <f>IF(AND(Data!$B48='Individual Type'!$D$2, Data!$K48='All Types'!$D$2,Data!$L48='All Types'!$D$3),Data!$C48,"")</f>
        <v/>
      </c>
      <c r="E48" s="3" t="str">
        <f>IF($F48="","",Data!P48)</f>
        <v/>
      </c>
      <c r="F48" s="3" t="str">
        <f>IF(AND(Data!$B48='Individual Type'!$D$2, Data!$K48='All Types'!$D$2,Data!$L48='All Types'!$D$3),Data!M48,"")</f>
        <v/>
      </c>
    </row>
    <row r="49">
      <c r="A49" s="102" t="str">
        <f t="shared" si="1"/>
        <v/>
      </c>
      <c r="B49" s="3" t="str">
        <f>IF(AND(Data!$B49='Individual Type'!$D$2, Data!$K49='All Types'!$D$2,Data!$L49='All Types'!$D$3),Data!$B49,"")</f>
        <v/>
      </c>
      <c r="C49" s="3" t="str">
        <f>IF(F49="","",Data!N49)</f>
        <v/>
      </c>
      <c r="D49" s="3" t="str">
        <f>IF(AND(Data!$B49='Individual Type'!$D$2, Data!$K49='All Types'!$D$2,Data!$L49='All Types'!$D$3),Data!$C49,"")</f>
        <v/>
      </c>
      <c r="E49" s="3" t="str">
        <f>IF($F49="","",Data!P49)</f>
        <v/>
      </c>
      <c r="F49" s="3" t="str">
        <f>IF(AND(Data!$B49='Individual Type'!$D$2, Data!$K49='All Types'!$D$2,Data!$L49='All Types'!$D$3),Data!M49,"")</f>
        <v/>
      </c>
    </row>
    <row r="50">
      <c r="A50" s="102" t="str">
        <f t="shared" si="1"/>
        <v/>
      </c>
      <c r="B50" s="3" t="str">
        <f>IF(AND(Data!$B50='Individual Type'!$D$2, Data!$K50='All Types'!$D$2,Data!$L50='All Types'!$D$3),Data!$B50,"")</f>
        <v/>
      </c>
      <c r="C50" s="3" t="str">
        <f>IF(F50="","",Data!N50)</f>
        <v/>
      </c>
      <c r="D50" s="3" t="str">
        <f>IF(AND(Data!$B50='Individual Type'!$D$2, Data!$K50='All Types'!$D$2,Data!$L50='All Types'!$D$3),Data!$C50,"")</f>
        <v/>
      </c>
      <c r="E50" s="3" t="str">
        <f>IF($F50="","",Data!P50)</f>
        <v/>
      </c>
      <c r="F50" s="3" t="str">
        <f>IF(AND(Data!$B50='Individual Type'!$D$2, Data!$K50='All Types'!$D$2,Data!$L50='All Types'!$D$3),Data!M50,"")</f>
        <v/>
      </c>
    </row>
    <row r="51">
      <c r="A51" s="102">
        <f t="shared" si="1"/>
        <v>1</v>
      </c>
      <c r="B51" s="3" t="str">
        <f>IF(AND(Data!$B51='Individual Type'!$D$2, Data!$K51='All Types'!$D$2,Data!$L51='All Types'!$D$3),Data!$B51,"")</f>
        <v>Columbia Tablón de Gomez Los Rosales</v>
      </c>
      <c r="C51" s="99">
        <f>IF(F51="","",Data!N51)</f>
        <v>227</v>
      </c>
      <c r="D51" s="3">
        <f>IF(AND(Data!$B51='Individual Type'!$D$2, Data!$K51='All Types'!$D$2,Data!$L51='All Types'!$D$3),Data!$C51,"")</f>
        <v>20</v>
      </c>
      <c r="E51" s="103" t="str">
        <f>IF($F51="","",Data!P51)</f>
        <v/>
      </c>
      <c r="F51" s="2">
        <f>IF(AND(Data!$B51='Individual Type'!$D$2, Data!$K51='All Types'!$D$2,Data!$L51='All Types'!$D$3),Data!M51,"")</f>
        <v>0.002627314815</v>
      </c>
    </row>
    <row r="52">
      <c r="A52" s="102" t="str">
        <f t="shared" si="1"/>
        <v/>
      </c>
      <c r="B52" s="3" t="str">
        <f>IF(AND(Data!$B52='Individual Type'!$D$2, Data!$K52='All Types'!$D$2,Data!$L52='All Types'!$D$3),Data!$B52,"")</f>
        <v/>
      </c>
      <c r="C52" s="3" t="str">
        <f>IF(F52="","",Data!N52)</f>
        <v/>
      </c>
      <c r="D52" s="3" t="str">
        <f>IF(AND(Data!$B52='Individual Type'!$D$2, Data!$K52='All Types'!$D$2,Data!$L52='All Types'!$D$3),Data!$C52,"")</f>
        <v/>
      </c>
      <c r="E52" s="3" t="str">
        <f>IF($F52="","",Data!P52)</f>
        <v/>
      </c>
      <c r="F52" s="3" t="str">
        <f>IF(AND(Data!$B52='Individual Type'!$D$2, Data!$K52='All Types'!$D$2,Data!$L52='All Types'!$D$3),Data!M52,"")</f>
        <v/>
      </c>
    </row>
    <row r="53">
      <c r="A53" s="102" t="str">
        <f t="shared" si="1"/>
        <v/>
      </c>
      <c r="B53" s="3" t="str">
        <f>IF(AND(Data!$B53='Individual Type'!$D$2, Data!$K53='All Types'!$D$2,Data!$L53='All Types'!$D$3),Data!$B53,"")</f>
        <v/>
      </c>
      <c r="C53" s="3" t="str">
        <f>IF(F53="","",Data!N53)</f>
        <v/>
      </c>
      <c r="D53" s="3" t="str">
        <f>IF(AND(Data!$B53='Individual Type'!$D$2, Data!$K53='All Types'!$D$2,Data!$L53='All Types'!$D$3),Data!$C53,"")</f>
        <v/>
      </c>
      <c r="E53" s="3" t="str">
        <f>IF($F53="","",Data!P53)</f>
        <v/>
      </c>
      <c r="F53" s="3" t="str">
        <f>IF(AND(Data!$B53='Individual Type'!$D$2, Data!$K53='All Types'!$D$2,Data!$L53='All Types'!$D$3),Data!M53,"")</f>
        <v/>
      </c>
    </row>
    <row r="54">
      <c r="A54" s="102">
        <f t="shared" si="1"/>
        <v>2</v>
      </c>
      <c r="B54" s="3" t="str">
        <f>IF(AND(Data!$B54='Individual Type'!$D$2, Data!$K54='All Types'!$D$2,Data!$L54='All Types'!$D$3),Data!$B54,"")</f>
        <v>Columbia Tablón de Gomez Los Rosales</v>
      </c>
      <c r="C54" s="99">
        <f>IF(F54="","",Data!N54)</f>
        <v>221</v>
      </c>
      <c r="D54" s="3">
        <f>IF(AND(Data!$B54='Individual Type'!$D$2, Data!$K54='All Types'!$D$2,Data!$L54='All Types'!$D$3),Data!$C54,"")</f>
        <v>22</v>
      </c>
      <c r="E54" s="103" t="str">
        <f>IF($F54="","",Data!P54)</f>
        <v/>
      </c>
      <c r="F54" s="2">
        <f>IF(AND(Data!$B54='Individual Type'!$D$2, Data!$K54='All Types'!$D$2,Data!$L54='All Types'!$D$3),Data!M54,"")</f>
        <v>0.00255787037</v>
      </c>
    </row>
    <row r="55">
      <c r="A55" s="102">
        <f t="shared" si="1"/>
        <v>3</v>
      </c>
      <c r="B55" s="3" t="str">
        <f>IF(AND(Data!$B55='Individual Type'!$D$2, Data!$K55='All Types'!$D$2,Data!$L55='All Types'!$D$3),Data!$B55,"")</f>
        <v>Columbia Tablón de Gomez Los Rosales</v>
      </c>
      <c r="C55" s="99">
        <f>IF(F55="","",Data!N55)</f>
        <v>215</v>
      </c>
      <c r="D55" s="3">
        <f>IF(AND(Data!$B55='Individual Type'!$D$2, Data!$K55='All Types'!$D$2,Data!$L55='All Types'!$D$3),Data!$C55,"")</f>
        <v>23</v>
      </c>
      <c r="E55" s="103" t="str">
        <f>IF($F55="","",Data!P55)</f>
        <v/>
      </c>
      <c r="F55" s="2">
        <f>IF(AND(Data!$B55='Individual Type'!$D$2, Data!$K55='All Types'!$D$2,Data!$L55='All Types'!$D$3),Data!M55,"")</f>
        <v>0.002488425926</v>
      </c>
    </row>
    <row r="56">
      <c r="A56" s="102">
        <f t="shared" si="1"/>
        <v>4</v>
      </c>
      <c r="B56" s="3" t="str">
        <f>IF(AND(Data!$B56='Individual Type'!$D$2, Data!$K56='All Types'!$D$2,Data!$L56='All Types'!$D$3),Data!$B56,"")</f>
        <v>Columbia Tablón de Gomez Los Rosales</v>
      </c>
      <c r="C56" s="99">
        <f>IF(F56="","",Data!N56)</f>
        <v>212</v>
      </c>
      <c r="D56" s="3">
        <f>IF(AND(Data!$B56='Individual Type'!$D$2, Data!$K56='All Types'!$D$2,Data!$L56='All Types'!$D$3),Data!$C56,"")</f>
        <v>24</v>
      </c>
      <c r="E56" s="103" t="str">
        <f>IF($F56="","",Data!P56)</f>
        <v/>
      </c>
      <c r="F56" s="2">
        <f>IF(AND(Data!$B56='Individual Type'!$D$2, Data!$K56='All Types'!$D$2,Data!$L56='All Types'!$D$3),Data!M56,"")</f>
        <v>0.002453703704</v>
      </c>
    </row>
    <row r="57">
      <c r="A57" s="102" t="str">
        <f t="shared" si="1"/>
        <v/>
      </c>
      <c r="B57" s="3" t="str">
        <f>IF(AND(Data!$B57='Individual Type'!$D$2, Data!$K57='All Types'!$D$2,Data!$L57='All Types'!$D$3),Data!$B57,"")</f>
        <v/>
      </c>
      <c r="C57" s="3" t="str">
        <f>IF(F57="","",Data!N57)</f>
        <v/>
      </c>
      <c r="D57" s="3" t="str">
        <f>IF(AND(Data!$B57='Individual Type'!$D$2, Data!$K57='All Types'!$D$2,Data!$L57='All Types'!$D$3),Data!$C57,"")</f>
        <v/>
      </c>
      <c r="E57" s="3" t="str">
        <f>IF($F57="","",Data!P57)</f>
        <v/>
      </c>
      <c r="F57" s="3" t="str">
        <f>IF(AND(Data!$B57='Individual Type'!$D$2, Data!$K57='All Types'!$D$2,Data!$L57='All Types'!$D$3),Data!M57,"")</f>
        <v/>
      </c>
    </row>
    <row r="58">
      <c r="A58" s="102">
        <f t="shared" si="1"/>
        <v>5</v>
      </c>
      <c r="B58" s="3" t="str">
        <f>IF(AND(Data!$B58='Individual Type'!$D$2, Data!$K58='All Types'!$D$2,Data!$L58='All Types'!$D$3),Data!$B58,"")</f>
        <v>Columbia Tablón de Gomez Los Rosales</v>
      </c>
      <c r="C58" s="99">
        <f>IF(F58="","",Data!N58)</f>
        <v>210</v>
      </c>
      <c r="D58" s="3">
        <f>IF(AND(Data!$B58='Individual Type'!$D$2, Data!$K58='All Types'!$D$2,Data!$L58='All Types'!$D$3),Data!$C58,"")</f>
        <v>24</v>
      </c>
      <c r="E58" s="103" t="str">
        <f>IF($F58="","",Data!P58)</f>
        <v/>
      </c>
      <c r="F58" s="2">
        <f>IF(AND(Data!$B58='Individual Type'!$D$2, Data!$K58='All Types'!$D$2,Data!$L58='All Types'!$D$3),Data!M58,"")</f>
        <v>0.002430555556</v>
      </c>
    </row>
    <row r="59">
      <c r="A59" s="102" t="str">
        <f t="shared" si="1"/>
        <v/>
      </c>
      <c r="B59" s="3" t="str">
        <f>IF(AND(Data!$B59='Individual Type'!$D$2, Data!$K59='All Types'!$D$2,Data!$L59='All Types'!$D$3),Data!$B59,"")</f>
        <v/>
      </c>
      <c r="C59" s="3" t="str">
        <f>IF(F59="","",Data!N59)</f>
        <v/>
      </c>
      <c r="D59" s="3" t="str">
        <f>IF(AND(Data!$B59='Individual Type'!$D$2, Data!$K59='All Types'!$D$2,Data!$L59='All Types'!$D$3),Data!$C59,"")</f>
        <v/>
      </c>
      <c r="E59" s="3" t="str">
        <f>IF($F59="","",Data!P59)</f>
        <v/>
      </c>
      <c r="F59" s="3" t="str">
        <f>IF(AND(Data!$B59='Individual Type'!$D$2, Data!$K59='All Types'!$D$2,Data!$L59='All Types'!$D$3),Data!M59,"")</f>
        <v/>
      </c>
    </row>
    <row r="60">
      <c r="A60" s="102" t="str">
        <f t="shared" si="1"/>
        <v/>
      </c>
      <c r="B60" s="3" t="str">
        <f>IF(AND(Data!$B60='Individual Type'!$D$2, Data!$K60='All Types'!$D$2,Data!$L60='All Types'!$D$3),Data!$B60,"")</f>
        <v/>
      </c>
      <c r="C60" s="3" t="str">
        <f>IF(F60="","",Data!N60)</f>
        <v/>
      </c>
      <c r="D60" s="3" t="str">
        <f>IF(AND(Data!$B60='Individual Type'!$D$2, Data!$K60='All Types'!$D$2,Data!$L60='All Types'!$D$3),Data!$C60,"")</f>
        <v/>
      </c>
      <c r="E60" s="3" t="str">
        <f>IF($F60="","",Data!P60)</f>
        <v/>
      </c>
      <c r="F60" s="3" t="str">
        <f>IF(AND(Data!$B60='Individual Type'!$D$2, Data!$K60='All Types'!$D$2,Data!$L60='All Types'!$D$3),Data!M60,"")</f>
        <v/>
      </c>
    </row>
    <row r="61">
      <c r="A61" s="102" t="str">
        <f t="shared" si="1"/>
        <v/>
      </c>
      <c r="B61" s="3" t="str">
        <f>IF(AND(Data!$B61='Individual Type'!$D$2, Data!$K61='All Types'!$D$2,Data!$L61='All Types'!$D$3),Data!$B61,"")</f>
        <v/>
      </c>
      <c r="C61" s="3" t="str">
        <f>IF(F61="","",Data!N61)</f>
        <v/>
      </c>
      <c r="D61" s="3" t="str">
        <f>IF(AND(Data!$B61='Individual Type'!$D$2, Data!$K61='All Types'!$D$2,Data!$L61='All Types'!$D$3),Data!$C61,"")</f>
        <v/>
      </c>
      <c r="E61" s="3" t="str">
        <f>IF($F61="","",Data!P61)</f>
        <v/>
      </c>
      <c r="F61" s="3" t="str">
        <f>IF(AND(Data!$B61='Individual Type'!$D$2, Data!$K61='All Types'!$D$2,Data!$L61='All Types'!$D$3),Data!M61,"")</f>
        <v/>
      </c>
    </row>
    <row r="62">
      <c r="A62" s="102" t="str">
        <f t="shared" si="1"/>
        <v/>
      </c>
      <c r="B62" s="3" t="str">
        <f>IF(AND(Data!$B62='Individual Type'!$D$2, Data!$K62='All Types'!$D$2,Data!$L62='All Types'!$D$3),Data!$B62,"")</f>
        <v/>
      </c>
      <c r="C62" s="3" t="str">
        <f>IF(F62="","",Data!N62)</f>
        <v/>
      </c>
      <c r="D62" s="3" t="str">
        <f>IF(AND(Data!$B62='Individual Type'!$D$2, Data!$K62='All Types'!$D$2,Data!$L62='All Types'!$D$3),Data!$C62,"")</f>
        <v/>
      </c>
      <c r="E62" s="3" t="str">
        <f>IF($F62="","",Data!P62)</f>
        <v/>
      </c>
      <c r="F62" s="3" t="str">
        <f>IF(AND(Data!$B62='Individual Type'!$D$2, Data!$K62='All Types'!$D$2,Data!$L62='All Types'!$D$3),Data!M62,"")</f>
        <v/>
      </c>
    </row>
    <row r="63">
      <c r="A63" s="102" t="str">
        <f t="shared" si="1"/>
        <v/>
      </c>
      <c r="B63" s="3" t="str">
        <f>IF(AND(Data!$B63='Individual Type'!$D$2, Data!$K63='All Types'!$D$2,Data!$L63='All Types'!$D$3),Data!$B63,"")</f>
        <v/>
      </c>
      <c r="C63" s="3" t="str">
        <f>IF(F63="","",Data!N63)</f>
        <v/>
      </c>
      <c r="D63" s="3" t="str">
        <f>IF(AND(Data!$B63='Individual Type'!$D$2, Data!$K63='All Types'!$D$2,Data!$L63='All Types'!$D$3),Data!$C63,"")</f>
        <v/>
      </c>
      <c r="E63" s="3" t="str">
        <f>IF($F63="","",Data!P63)</f>
        <v/>
      </c>
      <c r="F63" s="3" t="str">
        <f>IF(AND(Data!$B63='Individual Type'!$D$2, Data!$K63='All Types'!$D$2,Data!$L63='All Types'!$D$3),Data!M63,"")</f>
        <v/>
      </c>
    </row>
    <row r="64">
      <c r="A64" s="102" t="str">
        <f t="shared" si="1"/>
        <v/>
      </c>
      <c r="B64" s="3" t="str">
        <f>IF(AND(Data!$B64='Individual Type'!$D$2, Data!$K64='All Types'!$D$2,Data!$L64='All Types'!$D$3),Data!$B64,"")</f>
        <v/>
      </c>
      <c r="C64" s="3" t="str">
        <f>IF(F64="","",Data!N64)</f>
        <v/>
      </c>
      <c r="D64" s="3" t="str">
        <f>IF(AND(Data!$B64='Individual Type'!$D$2, Data!$K64='All Types'!$D$2,Data!$L64='All Types'!$D$3),Data!$C64,"")</f>
        <v/>
      </c>
      <c r="E64" s="3" t="str">
        <f>IF($F64="","",Data!P64)</f>
        <v/>
      </c>
      <c r="F64" s="3" t="str">
        <f>IF(AND(Data!$B64='Individual Type'!$D$2, Data!$K64='All Types'!$D$2,Data!$L64='All Types'!$D$3),Data!M64,"")</f>
        <v/>
      </c>
    </row>
    <row r="65">
      <c r="A65" s="102">
        <f t="shared" si="1"/>
        <v>6</v>
      </c>
      <c r="B65" s="3" t="str">
        <f>IF(AND(Data!$B65='Individual Type'!$D$2, Data!$K65='All Types'!$D$2,Data!$L65='All Types'!$D$3),Data!$B65,"")</f>
        <v>Columbia Tablón de Gomez Los Rosales</v>
      </c>
      <c r="C65" s="99">
        <f>IF(F65="","",Data!N65)</f>
        <v>206</v>
      </c>
      <c r="D65" s="3">
        <f>IF(AND(Data!$B65='Individual Type'!$D$2, Data!$K65='All Types'!$D$2,Data!$L65='All Types'!$D$3),Data!$C65,"")</f>
        <v>23</v>
      </c>
      <c r="E65" s="103" t="str">
        <f>IF($F65="","",Data!P65)</f>
        <v/>
      </c>
      <c r="F65" s="2">
        <f>IF(AND(Data!$B65='Individual Type'!$D$2, Data!$K65='All Types'!$D$2,Data!$L65='All Types'!$D$3),Data!M65,"")</f>
        <v>0.002384259259</v>
      </c>
    </row>
    <row r="66">
      <c r="A66" s="102" t="str">
        <f t="shared" si="1"/>
        <v/>
      </c>
      <c r="B66" s="3" t="str">
        <f>IF(AND(Data!$B66='Individual Type'!$D$2, Data!$K66='All Types'!$D$2,Data!$L66='All Types'!$D$3),Data!$B66,"")</f>
        <v/>
      </c>
      <c r="C66" s="3" t="str">
        <f>IF(F66="","",Data!N66)</f>
        <v/>
      </c>
      <c r="D66" s="3" t="str">
        <f>IF(AND(Data!$B66='Individual Type'!$D$2, Data!$K66='All Types'!$D$2,Data!$L66='All Types'!$D$3),Data!$C66,"")</f>
        <v/>
      </c>
      <c r="E66" s="3" t="str">
        <f>IF($F66="","",Data!P66)</f>
        <v/>
      </c>
      <c r="F66" s="3" t="str">
        <f>IF(AND(Data!$B66='Individual Type'!$D$2, Data!$K66='All Types'!$D$2,Data!$L66='All Types'!$D$3),Data!M66,"")</f>
        <v/>
      </c>
    </row>
    <row r="67">
      <c r="A67" s="102" t="str">
        <f t="shared" si="1"/>
        <v/>
      </c>
      <c r="B67" s="3" t="str">
        <f>IF(AND(Data!$B67='Individual Type'!$D$2, Data!$K67='All Types'!$D$2,Data!$L67='All Types'!$D$3),Data!$B67,"")</f>
        <v/>
      </c>
      <c r="C67" s="3" t="str">
        <f>IF(F67="","",Data!N67)</f>
        <v/>
      </c>
      <c r="D67" s="3" t="str">
        <f>IF(AND(Data!$B67='Individual Type'!$D$2, Data!$K67='All Types'!$D$2,Data!$L67='All Types'!$D$3),Data!$C67,"")</f>
        <v/>
      </c>
      <c r="E67" s="3" t="str">
        <f>IF($F67="","",Data!P67)</f>
        <v/>
      </c>
      <c r="F67" s="3" t="str">
        <f>IF(AND(Data!$B67='Individual Type'!$D$2, Data!$K67='All Types'!$D$2,Data!$L67='All Types'!$D$3),Data!M67,"")</f>
        <v/>
      </c>
    </row>
    <row r="68">
      <c r="A68" s="102" t="str">
        <f t="shared" si="1"/>
        <v/>
      </c>
      <c r="B68" s="3" t="str">
        <f>IF(AND(Data!$B68='Individual Type'!$D$2, Data!$K68='All Types'!$D$2,Data!$L68='All Types'!$D$3),Data!$B68,"")</f>
        <v/>
      </c>
      <c r="C68" s="3" t="str">
        <f>IF(F68="","",Data!N68)</f>
        <v/>
      </c>
      <c r="D68" s="3" t="str">
        <f>IF(AND(Data!$B68='Individual Type'!$D$2, Data!$K68='All Types'!$D$2,Data!$L68='All Types'!$D$3),Data!$C68,"")</f>
        <v/>
      </c>
      <c r="E68" s="3" t="str">
        <f>IF($F68="","",Data!P68)</f>
        <v/>
      </c>
      <c r="F68" s="3" t="str">
        <f>IF(AND(Data!$B68='Individual Type'!$D$2, Data!$K68='All Types'!$D$2,Data!$L68='All Types'!$D$3),Data!M68,"")</f>
        <v/>
      </c>
    </row>
    <row r="69">
      <c r="A69" s="102" t="str">
        <f t="shared" si="1"/>
        <v/>
      </c>
      <c r="B69" s="3" t="str">
        <f>IF(AND(Data!$B69='Individual Type'!$D$2, Data!$K69='All Types'!$D$2,Data!$L69='All Types'!$D$3),Data!$B69,"")</f>
        <v/>
      </c>
      <c r="C69" s="3" t="str">
        <f>IF(F69="","",Data!N69)</f>
        <v/>
      </c>
      <c r="D69" s="3" t="str">
        <f>IF(AND(Data!$B69='Individual Type'!$D$2, Data!$K69='All Types'!$D$2,Data!$L69='All Types'!$D$3),Data!$C69,"")</f>
        <v/>
      </c>
      <c r="E69" s="3" t="str">
        <f>IF($F69="","",Data!P69)</f>
        <v/>
      </c>
      <c r="F69" s="3" t="str">
        <f>IF(AND(Data!$B69='Individual Type'!$D$2, Data!$K69='All Types'!$D$2,Data!$L69='All Types'!$D$3),Data!M69,"")</f>
        <v/>
      </c>
    </row>
    <row r="70">
      <c r="A70" s="102" t="str">
        <f t="shared" si="1"/>
        <v/>
      </c>
      <c r="B70" s="3" t="str">
        <f>IF(AND(Data!$B70='Individual Type'!$D$2, Data!$K70='All Types'!$D$2,Data!$L70='All Types'!$D$3),Data!$B70,"")</f>
        <v/>
      </c>
      <c r="C70" s="3" t="str">
        <f>IF(F70="","",Data!N70)</f>
        <v/>
      </c>
      <c r="D70" s="3" t="str">
        <f>IF(AND(Data!$B70='Individual Type'!$D$2, Data!$K70='All Types'!$D$2,Data!$L70='All Types'!$D$3),Data!$C70,"")</f>
        <v/>
      </c>
      <c r="E70" s="3" t="str">
        <f>IF($F70="","",Data!P70)</f>
        <v/>
      </c>
      <c r="F70" s="3" t="str">
        <f>IF(AND(Data!$B70='Individual Type'!$D$2, Data!$K70='All Types'!$D$2,Data!$L70='All Types'!$D$3),Data!M70,"")</f>
        <v/>
      </c>
    </row>
    <row r="71">
      <c r="A71" s="102" t="str">
        <f t="shared" si="1"/>
        <v/>
      </c>
      <c r="B71" s="3" t="str">
        <f>IF(AND(Data!$B71='Individual Type'!$D$2, Data!$K71='All Types'!$D$2,Data!$L71='All Types'!$D$3),Data!$B71,"")</f>
        <v/>
      </c>
      <c r="C71" s="3" t="str">
        <f>IF(F71="","",Data!N71)</f>
        <v/>
      </c>
      <c r="D71" s="3" t="str">
        <f>IF(AND(Data!$B71='Individual Type'!$D$2, Data!$K71='All Types'!$D$2,Data!$L71='All Types'!$D$3),Data!$C71,"")</f>
        <v/>
      </c>
      <c r="E71" s="3" t="str">
        <f>IF($F71="","",Data!P71)</f>
        <v/>
      </c>
      <c r="F71" s="3" t="str">
        <f>IF(AND(Data!$B71='Individual Type'!$D$2, Data!$K71='All Types'!$D$2,Data!$L71='All Types'!$D$3),Data!M71,"")</f>
        <v/>
      </c>
    </row>
    <row r="72">
      <c r="A72" s="102" t="str">
        <f t="shared" si="1"/>
        <v/>
      </c>
      <c r="B72" s="3" t="str">
        <f>IF(AND(Data!$B72='Individual Type'!$D$2, Data!$K72='All Types'!$D$2,Data!$L72='All Types'!$D$3),Data!$B72,"")</f>
        <v/>
      </c>
      <c r="C72" s="3" t="str">
        <f>IF(F72="","",Data!N72)</f>
        <v/>
      </c>
      <c r="D72" s="3" t="str">
        <f>IF(AND(Data!$B72='Individual Type'!$D$2, Data!$K72='All Types'!$D$2,Data!$L72='All Types'!$D$3),Data!$C72,"")</f>
        <v/>
      </c>
      <c r="E72" s="3" t="str">
        <f>IF($F72="","",Data!P72)</f>
        <v/>
      </c>
      <c r="F72" s="3" t="str">
        <f>IF(AND(Data!$B72='Individual Type'!$D$2, Data!$K72='All Types'!$D$2,Data!$L72='All Types'!$D$3),Data!M72,"")</f>
        <v/>
      </c>
    </row>
    <row r="73">
      <c r="A73" s="102" t="str">
        <f t="shared" si="1"/>
        <v/>
      </c>
      <c r="B73" s="3" t="str">
        <f>IF(AND(Data!$B73='Individual Type'!$D$2, Data!$K73='All Types'!$D$2,Data!$L73='All Types'!$D$3),Data!$B73,"")</f>
        <v/>
      </c>
      <c r="C73" s="3" t="str">
        <f>IF(F73="","",Data!N73)</f>
        <v/>
      </c>
      <c r="D73" s="3" t="str">
        <f>IF(AND(Data!$B73='Individual Type'!$D$2, Data!$K73='All Types'!$D$2,Data!$L73='All Types'!$D$3),Data!$C73,"")</f>
        <v/>
      </c>
      <c r="E73" s="3" t="str">
        <f>IF($F73="","",Data!P73)</f>
        <v/>
      </c>
      <c r="F73" s="3" t="str">
        <f>IF(AND(Data!$B73='Individual Type'!$D$2, Data!$K73='All Types'!$D$2,Data!$L73='All Types'!$D$3),Data!M73,"")</f>
        <v/>
      </c>
    </row>
    <row r="74">
      <c r="A74" s="102" t="str">
        <f t="shared" si="1"/>
        <v/>
      </c>
      <c r="B74" s="3" t="str">
        <f>IF(AND(Data!$B74='Individual Type'!$D$2, Data!$K74='All Types'!$D$2,Data!$L74='All Types'!$D$3),Data!$B74,"")</f>
        <v/>
      </c>
      <c r="C74" s="3" t="str">
        <f>IF(F74="","",Data!N74)</f>
        <v/>
      </c>
      <c r="D74" s="3" t="str">
        <f>IF(AND(Data!$B74='Individual Type'!$D$2, Data!$K74='All Types'!$D$2,Data!$L74='All Types'!$D$3),Data!$C74,"")</f>
        <v/>
      </c>
      <c r="E74" s="3" t="str">
        <f>IF($F74="","",Data!P74)</f>
        <v/>
      </c>
      <c r="F74" s="3" t="str">
        <f>IF(AND(Data!$B74='Individual Type'!$D$2, Data!$K74='All Types'!$D$2,Data!$L74='All Types'!$D$3),Data!M74,"")</f>
        <v/>
      </c>
    </row>
    <row r="75">
      <c r="A75" s="102" t="str">
        <f t="shared" si="1"/>
        <v/>
      </c>
      <c r="B75" s="3" t="str">
        <f>IF(AND(Data!$B75='Individual Type'!$D$2, Data!$K75='All Types'!$D$2,Data!$L75='All Types'!$D$3),Data!$B75,"")</f>
        <v/>
      </c>
      <c r="C75" s="3" t="str">
        <f>IF(F75="","",Data!N75)</f>
        <v/>
      </c>
      <c r="D75" s="3" t="str">
        <f>IF(AND(Data!$B75='Individual Type'!$D$2, Data!$K75='All Types'!$D$2,Data!$L75='All Types'!$D$3),Data!$C75,"")</f>
        <v/>
      </c>
      <c r="E75" s="3" t="str">
        <f>IF($F75="","",Data!P75)</f>
        <v/>
      </c>
      <c r="F75" s="3" t="str">
        <f>IF(AND(Data!$B75='Individual Type'!$D$2, Data!$K75='All Types'!$D$2,Data!$L75='All Types'!$D$3),Data!M75,"")</f>
        <v/>
      </c>
    </row>
    <row r="76">
      <c r="A76" s="102" t="str">
        <f t="shared" si="1"/>
        <v/>
      </c>
      <c r="B76" s="3" t="str">
        <f>IF(AND(Data!$B76='Individual Type'!$D$2, Data!$K76='All Types'!$D$2,Data!$L76='All Types'!$D$3),Data!$B76,"")</f>
        <v/>
      </c>
      <c r="C76" s="3" t="str">
        <f>IF(F76="","",Data!N76)</f>
        <v/>
      </c>
      <c r="D76" s="3" t="str">
        <f>IF(AND(Data!$B76='Individual Type'!$D$2, Data!$K76='All Types'!$D$2,Data!$L76='All Types'!$D$3),Data!$C76,"")</f>
        <v/>
      </c>
      <c r="E76" s="3" t="str">
        <f>IF($F76="","",Data!P76)</f>
        <v/>
      </c>
      <c r="F76" s="3" t="str">
        <f>IF(AND(Data!$B76='Individual Type'!$D$2, Data!$K76='All Types'!$D$2,Data!$L76='All Types'!$D$3),Data!M76,"")</f>
        <v/>
      </c>
    </row>
    <row r="77">
      <c r="A77" s="102" t="str">
        <f t="shared" si="1"/>
        <v/>
      </c>
      <c r="B77" s="3" t="str">
        <f>IF(AND(Data!$B77='Individual Type'!$D$2, Data!$K77='All Types'!$D$2,Data!$L77='All Types'!$D$3),Data!$B77,"")</f>
        <v/>
      </c>
      <c r="C77" s="3" t="str">
        <f>IF(F77="","",Data!N77)</f>
        <v/>
      </c>
      <c r="D77" s="3" t="str">
        <f>IF(AND(Data!$B77='Individual Type'!$D$2, Data!$K77='All Types'!$D$2,Data!$L77='All Types'!$D$3),Data!$C77,"")</f>
        <v/>
      </c>
      <c r="E77" s="3" t="str">
        <f>IF($F77="","",Data!P77)</f>
        <v/>
      </c>
      <c r="F77" s="3" t="str">
        <f>IF(AND(Data!$B77='Individual Type'!$D$2, Data!$K77='All Types'!$D$2,Data!$L77='All Types'!$D$3),Data!M77,"")</f>
        <v/>
      </c>
    </row>
    <row r="78">
      <c r="A78" s="102" t="str">
        <f t="shared" si="1"/>
        <v/>
      </c>
      <c r="B78" s="3" t="str">
        <f>IF(AND(Data!$B78='Individual Type'!$D$2, Data!$K78='All Types'!$D$2,Data!$L78='All Types'!$D$3),Data!$B78,"")</f>
        <v/>
      </c>
      <c r="C78" s="3" t="str">
        <f>IF(F78="","",Data!N78)</f>
        <v/>
      </c>
      <c r="D78" s="3" t="str">
        <f>IF(AND(Data!$B78='Individual Type'!$D$2, Data!$K78='All Types'!$D$2,Data!$L78='All Types'!$D$3),Data!$C78,"")</f>
        <v/>
      </c>
      <c r="E78" s="3" t="str">
        <f>IF($F78="","",Data!P78)</f>
        <v/>
      </c>
      <c r="F78" s="3" t="str">
        <f>IF(AND(Data!$B78='Individual Type'!$D$2, Data!$K78='All Types'!$D$2,Data!$L78='All Types'!$D$3),Data!M78,"")</f>
        <v/>
      </c>
    </row>
    <row r="79">
      <c r="A79" s="102" t="str">
        <f t="shared" si="1"/>
        <v/>
      </c>
      <c r="B79" s="3" t="str">
        <f>IF(AND(Data!$B79='Individual Type'!$D$2, Data!$K79='All Types'!$D$2,Data!$L79='All Types'!$D$3),Data!$B79,"")</f>
        <v/>
      </c>
      <c r="C79" s="3" t="str">
        <f>IF(F79="","",Data!N79)</f>
        <v/>
      </c>
      <c r="D79" s="3" t="str">
        <f>IF(AND(Data!$B79='Individual Type'!$D$2, Data!$K79='All Types'!$D$2,Data!$L79='All Types'!$D$3),Data!$C79,"")</f>
        <v/>
      </c>
      <c r="E79" s="3" t="str">
        <f>IF($F79="","",Data!P79)</f>
        <v/>
      </c>
      <c r="F79" s="3" t="str">
        <f>IF(AND(Data!$B79='Individual Type'!$D$2, Data!$K79='All Types'!$D$2,Data!$L79='All Types'!$D$3),Data!M79,"")</f>
        <v/>
      </c>
    </row>
    <row r="80">
      <c r="A80" s="102" t="str">
        <f t="shared" si="1"/>
        <v/>
      </c>
      <c r="B80" s="3" t="str">
        <f>IF(AND(Data!$B80='Individual Type'!$D$2, Data!$K80='All Types'!$D$2,Data!$L80='All Types'!$D$3),Data!$B80,"")</f>
        <v/>
      </c>
      <c r="C80" s="3" t="str">
        <f>IF(F80="","",Data!N80)</f>
        <v/>
      </c>
      <c r="D80" s="3" t="str">
        <f>IF(AND(Data!$B80='Individual Type'!$D$2, Data!$K80='All Types'!$D$2,Data!$L80='All Types'!$D$3),Data!$C80,"")</f>
        <v/>
      </c>
      <c r="E80" s="3" t="str">
        <f>IF($F80="","",Data!P80)</f>
        <v/>
      </c>
      <c r="F80" s="3" t="str">
        <f>IF(AND(Data!$B80='Individual Type'!$D$2, Data!$K80='All Types'!$D$2,Data!$L80='All Types'!$D$3),Data!M80,"")</f>
        <v/>
      </c>
    </row>
    <row r="81">
      <c r="A81" s="102" t="str">
        <f t="shared" si="1"/>
        <v/>
      </c>
      <c r="B81" s="3" t="str">
        <f>IF(AND(Data!$B81='Individual Type'!$D$2, Data!$K81='All Types'!$D$2,Data!$L81='All Types'!$D$3),Data!$B81,"")</f>
        <v/>
      </c>
      <c r="C81" s="3" t="str">
        <f>IF(F81="","",Data!N81)</f>
        <v/>
      </c>
      <c r="D81" s="3" t="str">
        <f>IF(AND(Data!$B81='Individual Type'!$D$2, Data!$K81='All Types'!$D$2,Data!$L81='All Types'!$D$3),Data!$C81,"")</f>
        <v/>
      </c>
      <c r="E81" s="3" t="str">
        <f>IF($F81="","",Data!P81)</f>
        <v/>
      </c>
      <c r="F81" s="3" t="str">
        <f>IF(AND(Data!$B81='Individual Type'!$D$2, Data!$K81='All Types'!$D$2,Data!$L81='All Types'!$D$3),Data!M81,"")</f>
        <v/>
      </c>
    </row>
    <row r="82">
      <c r="A82" s="102" t="str">
        <f t="shared" si="1"/>
        <v/>
      </c>
      <c r="B82" s="3" t="str">
        <f>IF(AND(Data!$B82='Individual Type'!$D$2, Data!$K82='All Types'!$D$2,Data!$L82='All Types'!$D$3),Data!$B82,"")</f>
        <v/>
      </c>
      <c r="C82" s="3" t="str">
        <f>IF(F82="","",Data!N82)</f>
        <v/>
      </c>
      <c r="D82" s="3" t="str">
        <f>IF(AND(Data!$B82='Individual Type'!$D$2, Data!$K82='All Types'!$D$2,Data!$L82='All Types'!$D$3),Data!$C82,"")</f>
        <v/>
      </c>
      <c r="E82" s="3" t="str">
        <f>IF($F82="","",Data!P82)</f>
        <v/>
      </c>
      <c r="F82" s="3" t="str">
        <f>IF(AND(Data!$B82='Individual Type'!$D$2, Data!$K82='All Types'!$D$2,Data!$L82='All Types'!$D$3),Data!M82,"")</f>
        <v/>
      </c>
    </row>
    <row r="83">
      <c r="A83" s="102" t="str">
        <f t="shared" si="1"/>
        <v/>
      </c>
      <c r="B83" s="3" t="str">
        <f>IF(AND(Data!$B83='Individual Type'!$D$2, Data!$K83='All Types'!$D$2,Data!$L83='All Types'!$D$3),Data!$B83,"")</f>
        <v/>
      </c>
      <c r="C83" s="3" t="str">
        <f>IF(F83="","",Data!N83)</f>
        <v/>
      </c>
      <c r="D83" s="3" t="str">
        <f>IF(AND(Data!$B83='Individual Type'!$D$2, Data!$K83='All Types'!$D$2,Data!$L83='All Types'!$D$3),Data!$C83,"")</f>
        <v/>
      </c>
      <c r="E83" s="3" t="str">
        <f>IF($F83="","",Data!P83)</f>
        <v/>
      </c>
      <c r="F83" s="3" t="str">
        <f>IF(AND(Data!$B83='Individual Type'!$D$2, Data!$K83='All Types'!$D$2,Data!$L83='All Types'!$D$3),Data!M83,"")</f>
        <v/>
      </c>
    </row>
    <row r="84">
      <c r="A84" s="102" t="str">
        <f t="shared" si="1"/>
        <v/>
      </c>
      <c r="B84" s="3" t="str">
        <f>IF(AND(Data!$B84='Individual Type'!$D$2, Data!$K84='All Types'!$D$2,Data!$L84='All Types'!$D$3),Data!$B84,"")</f>
        <v/>
      </c>
      <c r="C84" s="3" t="str">
        <f>IF(F84="","",Data!N84)</f>
        <v/>
      </c>
      <c r="D84" s="3" t="str">
        <f>IF(AND(Data!$B84='Individual Type'!$D$2, Data!$K84='All Types'!$D$2,Data!$L84='All Types'!$D$3),Data!$C84,"")</f>
        <v/>
      </c>
      <c r="E84" s="3" t="str">
        <f>IF($F84="","",Data!P84)</f>
        <v/>
      </c>
      <c r="F84" s="3" t="str">
        <f>IF(AND(Data!$B84='Individual Type'!$D$2, Data!$K84='All Types'!$D$2,Data!$L84='All Types'!$D$3),Data!M84,"")</f>
        <v/>
      </c>
    </row>
    <row r="85">
      <c r="A85" s="102" t="str">
        <f t="shared" si="1"/>
        <v/>
      </c>
      <c r="B85" s="3" t="str">
        <f>IF(AND(Data!$B85='Individual Type'!$D$2, Data!$K85='All Types'!$D$2,Data!$L85='All Types'!$D$3),Data!$B85,"")</f>
        <v/>
      </c>
      <c r="C85" s="3" t="str">
        <f>IF(F85="","",Data!N85)</f>
        <v/>
      </c>
      <c r="D85" s="3" t="str">
        <f>IF(AND(Data!$B85='Individual Type'!$D$2, Data!$K85='All Types'!$D$2,Data!$L85='All Types'!$D$3),Data!$C85,"")</f>
        <v/>
      </c>
      <c r="E85" s="3" t="str">
        <f>IF($F85="","",Data!P85)</f>
        <v/>
      </c>
      <c r="F85" s="3" t="str">
        <f>IF(AND(Data!$B85='Individual Type'!$D$2, Data!$K85='All Types'!$D$2,Data!$L85='All Types'!$D$3),Data!M85,"")</f>
        <v/>
      </c>
    </row>
    <row r="86">
      <c r="A86" s="102" t="str">
        <f t="shared" si="1"/>
        <v/>
      </c>
      <c r="B86" s="3" t="str">
        <f>IF(AND(Data!$B86='Individual Type'!$D$2, Data!$K86='All Types'!$D$2,Data!$L86='All Types'!$D$3),Data!$B86,"")</f>
        <v/>
      </c>
      <c r="C86" s="3" t="str">
        <f>IF(F86="","",Data!N86)</f>
        <v/>
      </c>
      <c r="D86" s="3" t="str">
        <f>IF(AND(Data!$B86='Individual Type'!$D$2, Data!$K86='All Types'!$D$2,Data!$L86='All Types'!$D$3),Data!$C86,"")</f>
        <v/>
      </c>
      <c r="E86" s="3" t="str">
        <f>IF($F86="","",Data!P86)</f>
        <v/>
      </c>
      <c r="F86" s="3" t="str">
        <f>IF(AND(Data!$B86='Individual Type'!$D$2, Data!$K86='All Types'!$D$2,Data!$L86='All Types'!$D$3),Data!M86,"")</f>
        <v/>
      </c>
    </row>
    <row r="87">
      <c r="A87" s="102" t="str">
        <f t="shared" si="1"/>
        <v/>
      </c>
      <c r="B87" s="3" t="str">
        <f>IF(AND(Data!$B87='Individual Type'!$D$2, Data!$K87='All Types'!$D$2,Data!$L87='All Types'!$D$3),Data!$B87,"")</f>
        <v/>
      </c>
      <c r="C87" s="3" t="str">
        <f>IF(F87="","",Data!N87)</f>
        <v/>
      </c>
      <c r="D87" s="3" t="str">
        <f>IF(AND(Data!$B87='Individual Type'!$D$2, Data!$K87='All Types'!$D$2,Data!$L87='All Types'!$D$3),Data!$C87,"")</f>
        <v/>
      </c>
      <c r="E87" s="3" t="str">
        <f>IF($F87="","",Data!P87)</f>
        <v/>
      </c>
      <c r="F87" s="3" t="str">
        <f>IF(AND(Data!$B87='Individual Type'!$D$2, Data!$K87='All Types'!$D$2,Data!$L87='All Types'!$D$3),Data!M87,"")</f>
        <v/>
      </c>
    </row>
    <row r="88">
      <c r="A88" s="102" t="str">
        <f t="shared" si="1"/>
        <v/>
      </c>
      <c r="B88" s="3" t="str">
        <f>IF(AND(Data!$B88='Individual Type'!$D$2, Data!$K88='All Types'!$D$2,Data!$L88='All Types'!$D$3),Data!$B88,"")</f>
        <v/>
      </c>
      <c r="C88" s="3" t="str">
        <f>IF(F88="","",Data!N88)</f>
        <v/>
      </c>
      <c r="D88" s="3" t="str">
        <f>IF(AND(Data!$B88='Individual Type'!$D$2, Data!$K88='All Types'!$D$2,Data!$L88='All Types'!$D$3),Data!$C88,"")</f>
        <v/>
      </c>
      <c r="E88" s="3" t="str">
        <f>IF($F88="","",Data!P88)</f>
        <v/>
      </c>
      <c r="F88" s="3" t="str">
        <f>IF(AND(Data!$B88='Individual Type'!$D$2, Data!$K88='All Types'!$D$2,Data!$L88='All Types'!$D$3),Data!M88,"")</f>
        <v/>
      </c>
    </row>
    <row r="89">
      <c r="A89" s="102" t="str">
        <f t="shared" si="1"/>
        <v/>
      </c>
      <c r="B89" s="3" t="str">
        <f>IF(AND(Data!$B89='Individual Type'!$D$2, Data!$K89='All Types'!$D$2,Data!$L89='All Types'!$D$3),Data!$B89,"")</f>
        <v/>
      </c>
      <c r="C89" s="3" t="str">
        <f>IF(F89="","",Data!N89)</f>
        <v/>
      </c>
      <c r="D89" s="3" t="str">
        <f>IF(AND(Data!$B89='Individual Type'!$D$2, Data!$K89='All Types'!$D$2,Data!$L89='All Types'!$D$3),Data!$C89,"")</f>
        <v/>
      </c>
      <c r="E89" s="3" t="str">
        <f>IF($F89="","",Data!P89)</f>
        <v/>
      </c>
      <c r="F89" s="3" t="str">
        <f>IF(AND(Data!$B89='Individual Type'!$D$2, Data!$K89='All Types'!$D$2,Data!$L89='All Types'!$D$3),Data!M89,"")</f>
        <v/>
      </c>
    </row>
    <row r="90">
      <c r="A90" s="102" t="str">
        <f t="shared" si="1"/>
        <v/>
      </c>
      <c r="B90" s="3" t="str">
        <f>IF(AND(Data!$B90='Individual Type'!$D$2, Data!$K90='All Types'!$D$2,Data!$L90='All Types'!$D$3),Data!$B90,"")</f>
        <v/>
      </c>
      <c r="C90" s="3" t="str">
        <f>IF(F90="","",Data!N90)</f>
        <v/>
      </c>
      <c r="D90" s="3" t="str">
        <f>IF(AND(Data!$B90='Individual Type'!$D$2, Data!$K90='All Types'!$D$2,Data!$L90='All Types'!$D$3),Data!$C90,"")</f>
        <v/>
      </c>
      <c r="E90" s="3" t="str">
        <f>IF($F90="","",Data!P90)</f>
        <v/>
      </c>
      <c r="F90" s="3" t="str">
        <f>IF(AND(Data!$B90='Individual Type'!$D$2, Data!$K90='All Types'!$D$2,Data!$L90='All Types'!$D$3),Data!M90,"")</f>
        <v/>
      </c>
    </row>
    <row r="91">
      <c r="A91" s="102" t="str">
        <f t="shared" si="1"/>
        <v/>
      </c>
      <c r="B91" s="3" t="str">
        <f>IF(AND(Data!$B91='Individual Type'!$D$2, Data!$K91='All Types'!$D$2,Data!$L91='All Types'!$D$3),Data!$B91,"")</f>
        <v/>
      </c>
      <c r="C91" s="3" t="str">
        <f>IF(F91="","",Data!N91)</f>
        <v/>
      </c>
      <c r="D91" s="3" t="str">
        <f>IF(AND(Data!$B91='Individual Type'!$D$2, Data!$K91='All Types'!$D$2,Data!$L91='All Types'!$D$3),Data!$C91,"")</f>
        <v/>
      </c>
      <c r="E91" s="3" t="str">
        <f>IF($F91="","",Data!P91)</f>
        <v/>
      </c>
      <c r="F91" s="3" t="str">
        <f>IF(AND(Data!$B91='Individual Type'!$D$2, Data!$K91='All Types'!$D$2,Data!$L91='All Types'!$D$3),Data!M91,"")</f>
        <v/>
      </c>
    </row>
    <row r="92">
      <c r="A92" s="102" t="str">
        <f t="shared" si="1"/>
        <v/>
      </c>
      <c r="B92" s="3" t="str">
        <f>IF(AND(Data!$B92='Individual Type'!$D$2, Data!$K92='All Types'!$D$2,Data!$L92='All Types'!$D$3),Data!$B92,"")</f>
        <v/>
      </c>
      <c r="C92" s="3" t="str">
        <f>IF(F92="","",Data!N92)</f>
        <v/>
      </c>
      <c r="D92" s="3" t="str">
        <f>IF(AND(Data!$B92='Individual Type'!$D$2, Data!$K92='All Types'!$D$2,Data!$L92='All Types'!$D$3),Data!$C92,"")</f>
        <v/>
      </c>
      <c r="E92" s="3" t="str">
        <f>IF($F92="","",Data!P92)</f>
        <v/>
      </c>
      <c r="F92" s="3" t="str">
        <f>IF(AND(Data!$B92='Individual Type'!$D$2, Data!$K92='All Types'!$D$2,Data!$L92='All Types'!$D$3),Data!M92,"")</f>
        <v/>
      </c>
    </row>
    <row r="93">
      <c r="A93" s="102" t="str">
        <f t="shared" si="1"/>
        <v/>
      </c>
      <c r="B93" s="3" t="str">
        <f>IF(AND(Data!$B93='Individual Type'!$D$2, Data!$K93='All Types'!$D$2,Data!$L93='All Types'!$D$3),Data!$B93,"")</f>
        <v/>
      </c>
      <c r="C93" s="3" t="str">
        <f>IF(F93="","",Data!N93)</f>
        <v/>
      </c>
      <c r="D93" s="3" t="str">
        <f>IF(AND(Data!$B93='Individual Type'!$D$2, Data!$K93='All Types'!$D$2,Data!$L93='All Types'!$D$3),Data!$C93,"")</f>
        <v/>
      </c>
      <c r="E93" s="3" t="str">
        <f>IF($F93="","",Data!P93)</f>
        <v/>
      </c>
      <c r="F93" s="3" t="str">
        <f>IF(AND(Data!$B93='Individual Type'!$D$2, Data!$K93='All Types'!$D$2,Data!$L93='All Types'!$D$3),Data!M93,"")</f>
        <v/>
      </c>
    </row>
    <row r="94">
      <c r="A94" s="102" t="str">
        <f t="shared" si="1"/>
        <v/>
      </c>
      <c r="B94" s="3" t="str">
        <f>IF(AND(Data!$B94='Individual Type'!$D$2, Data!$K94='All Types'!$D$2,Data!$L94='All Types'!$D$3),Data!$B94,"")</f>
        <v/>
      </c>
      <c r="C94" s="3" t="str">
        <f>IF(F94="","",Data!N94)</f>
        <v/>
      </c>
      <c r="D94" s="3" t="str">
        <f>IF(AND(Data!$B94='Individual Type'!$D$2, Data!$K94='All Types'!$D$2,Data!$L94='All Types'!$D$3),Data!$C94,"")</f>
        <v/>
      </c>
      <c r="E94" s="3" t="str">
        <f>IF($F94="","",Data!P94)</f>
        <v/>
      </c>
      <c r="F94" s="3" t="str">
        <f>IF(AND(Data!$B94='Individual Type'!$D$2, Data!$K94='All Types'!$D$2,Data!$L94='All Types'!$D$3),Data!M94,"")</f>
        <v/>
      </c>
    </row>
    <row r="95">
      <c r="A95" s="102" t="str">
        <f t="shared" si="1"/>
        <v/>
      </c>
      <c r="B95" s="3" t="str">
        <f>IF(AND(Data!$B95='Individual Type'!$D$2, Data!$K95='All Types'!$D$2,Data!$L95='All Types'!$D$3),Data!$B95,"")</f>
        <v/>
      </c>
      <c r="C95" s="3" t="str">
        <f>IF(F95="","",Data!N95)</f>
        <v/>
      </c>
      <c r="D95" s="3" t="str">
        <f>IF(AND(Data!$B95='Individual Type'!$D$2, Data!$K95='All Types'!$D$2,Data!$L95='All Types'!$D$3),Data!$C95,"")</f>
        <v/>
      </c>
      <c r="E95" s="3" t="str">
        <f>IF($F95="","",Data!P95)</f>
        <v/>
      </c>
      <c r="F95" s="3" t="str">
        <f>IF(AND(Data!$B95='Individual Type'!$D$2, Data!$K95='All Types'!$D$2,Data!$L95='All Types'!$D$3),Data!M95,"")</f>
        <v/>
      </c>
    </row>
    <row r="96">
      <c r="A96" s="102" t="str">
        <f t="shared" si="1"/>
        <v/>
      </c>
      <c r="B96" s="3" t="str">
        <f>IF(AND(Data!$B96='Individual Type'!$D$2, Data!$K96='All Types'!$D$2,Data!$L96='All Types'!$D$3),Data!$B96,"")</f>
        <v/>
      </c>
      <c r="C96" s="3" t="str">
        <f>IF(F96="","",Data!N96)</f>
        <v/>
      </c>
      <c r="D96" s="3" t="str">
        <f>IF(AND(Data!$B96='Individual Type'!$D$2, Data!$K96='All Types'!$D$2,Data!$L96='All Types'!$D$3),Data!$C96,"")</f>
        <v/>
      </c>
      <c r="E96" s="3" t="str">
        <f>IF($F96="","",Data!P96)</f>
        <v/>
      </c>
      <c r="F96" s="3" t="str">
        <f>IF(AND(Data!$B96='Individual Type'!$D$2, Data!$K96='All Types'!$D$2,Data!$L96='All Types'!$D$3),Data!M96,"")</f>
        <v/>
      </c>
    </row>
    <row r="97">
      <c r="A97" s="102" t="str">
        <f t="shared" si="1"/>
        <v/>
      </c>
      <c r="B97" s="3" t="str">
        <f>IF(AND(Data!$B97='Individual Type'!$D$2, Data!$K97='All Types'!$D$2,Data!$L97='All Types'!$D$3),Data!$B97,"")</f>
        <v/>
      </c>
      <c r="C97" s="3" t="str">
        <f>IF(F97="","",Data!N97)</f>
        <v/>
      </c>
      <c r="D97" s="3" t="str">
        <f>IF(AND(Data!$B97='Individual Type'!$D$2, Data!$K97='All Types'!$D$2,Data!$L97='All Types'!$D$3),Data!$C97,"")</f>
        <v/>
      </c>
      <c r="E97" s="3" t="str">
        <f>IF($F97="","",Data!P97)</f>
        <v/>
      </c>
      <c r="F97" s="3" t="str">
        <f>IF(AND(Data!$B97='Individual Type'!$D$2, Data!$K97='All Types'!$D$2,Data!$L97='All Types'!$D$3),Data!M97,"")</f>
        <v/>
      </c>
    </row>
    <row r="98">
      <c r="A98" s="102" t="str">
        <f t="shared" si="1"/>
        <v/>
      </c>
      <c r="B98" s="3" t="str">
        <f>IF(AND(Data!$B98='Individual Type'!$D$2, Data!$K98='All Types'!$D$2,Data!$L98='All Types'!$D$3),Data!$B98,"")</f>
        <v/>
      </c>
      <c r="C98" s="3" t="str">
        <f>IF(F98="","",Data!N98)</f>
        <v/>
      </c>
      <c r="D98" s="3" t="str">
        <f>IF(AND(Data!$B98='Individual Type'!$D$2, Data!$K98='All Types'!$D$2,Data!$L98='All Types'!$D$3),Data!$C98,"")</f>
        <v/>
      </c>
      <c r="E98" s="3" t="str">
        <f>IF($F98="","",Data!P98)</f>
        <v/>
      </c>
      <c r="F98" s="3" t="str">
        <f>IF(AND(Data!$B98='Individual Type'!$D$2, Data!$K98='All Types'!$D$2,Data!$L98='All Types'!$D$3),Data!M98,"")</f>
        <v/>
      </c>
    </row>
    <row r="99">
      <c r="A99" s="102" t="str">
        <f t="shared" si="1"/>
        <v/>
      </c>
      <c r="B99" s="3" t="str">
        <f>IF(AND(Data!$B99='Individual Type'!$D$2, Data!$K99='All Types'!$D$2,Data!$L99='All Types'!$D$3),Data!$B99,"")</f>
        <v/>
      </c>
      <c r="C99" s="3" t="str">
        <f>IF(F99="","",Data!N99)</f>
        <v/>
      </c>
      <c r="D99" s="3" t="str">
        <f>IF(AND(Data!$B99='Individual Type'!$D$2, Data!$K99='All Types'!$D$2,Data!$L99='All Types'!$D$3),Data!$C99,"")</f>
        <v/>
      </c>
      <c r="E99" s="3" t="str">
        <f>IF($F99="","",Data!P99)</f>
        <v/>
      </c>
      <c r="F99" s="3" t="str">
        <f>IF(AND(Data!$B99='Individual Type'!$D$2, Data!$K99='All Types'!$D$2,Data!$L99='All Types'!$D$3),Data!M99,"")</f>
        <v/>
      </c>
    </row>
    <row r="100">
      <c r="A100" s="102" t="str">
        <f t="shared" si="1"/>
        <v/>
      </c>
      <c r="B100" s="3" t="str">
        <f>IF(AND(Data!$B100='Individual Type'!$D$2, Data!$K100='All Types'!$D$2,Data!$L100='All Types'!$D$3),Data!$B100,"")</f>
        <v/>
      </c>
      <c r="C100" s="3" t="str">
        <f>IF(F100="","",Data!N100)</f>
        <v/>
      </c>
      <c r="D100" s="3" t="str">
        <f>IF(AND(Data!$B100='Individual Type'!$D$2, Data!$K100='All Types'!$D$2,Data!$L100='All Types'!$D$3),Data!$C100,"")</f>
        <v/>
      </c>
      <c r="E100" s="3" t="str">
        <f>IF($F100="","",Data!P100)</f>
        <v/>
      </c>
      <c r="F100" s="3" t="str">
        <f>IF(AND(Data!$B100='Individual Type'!$D$2, Data!$K100='All Types'!$D$2,Data!$L100='All Types'!$D$3),Data!M100,"")</f>
        <v/>
      </c>
    </row>
    <row r="101">
      <c r="A101" s="102" t="str">
        <f t="shared" si="1"/>
        <v/>
      </c>
      <c r="B101" s="3" t="str">
        <f>IF(AND(Data!$B101='Individual Type'!$D$2, Data!$K101='All Types'!$D$2,Data!$L101='All Types'!$D$3),Data!$B101,"")</f>
        <v/>
      </c>
      <c r="C101" s="3" t="str">
        <f>IF(F101="","",Data!N101)</f>
        <v/>
      </c>
      <c r="D101" s="3" t="str">
        <f>IF(AND(Data!$B101='Individual Type'!$D$2, Data!$K101='All Types'!$D$2,Data!$L101='All Types'!$D$3),Data!$C101,"")</f>
        <v/>
      </c>
      <c r="E101" s="3" t="str">
        <f>IF($F101="","",Data!P101)</f>
        <v/>
      </c>
      <c r="F101" s="3" t="str">
        <f>IF(AND(Data!$B101='Individual Type'!$D$2, Data!$K101='All Types'!$D$2,Data!$L101='All Types'!$D$3),Data!M101,"")</f>
        <v/>
      </c>
    </row>
    <row r="102">
      <c r="A102" s="102" t="str">
        <f t="shared" si="1"/>
        <v/>
      </c>
      <c r="B102" s="3" t="str">
        <f>IF(AND(Data!$B102='Individual Type'!$D$2, Data!$K102='All Types'!$D$2,Data!$L102='All Types'!$D$3),Data!$B102,"")</f>
        <v/>
      </c>
      <c r="C102" s="3" t="str">
        <f>IF(F102="","",Data!N102)</f>
        <v/>
      </c>
      <c r="D102" s="3" t="str">
        <f>IF(AND(Data!$B102='Individual Type'!$D$2, Data!$K102='All Types'!$D$2,Data!$L102='All Types'!$D$3),Data!$C102,"")</f>
        <v/>
      </c>
      <c r="E102" s="3" t="str">
        <f>IF($F102="","",Data!P102)</f>
        <v/>
      </c>
      <c r="F102" s="3" t="str">
        <f>IF(AND(Data!$B102='Individual Type'!$D$2, Data!$K102='All Types'!$D$2,Data!$L102='All Types'!$D$3),Data!M102,"")</f>
        <v/>
      </c>
    </row>
    <row r="103">
      <c r="A103" s="102" t="str">
        <f t="shared" si="1"/>
        <v/>
      </c>
      <c r="B103" s="3" t="str">
        <f>IF(AND(Data!$B103='Individual Type'!$D$2, Data!$K103='All Types'!$D$2,Data!$L103='All Types'!$D$3),Data!$B103,"")</f>
        <v/>
      </c>
      <c r="C103" s="3" t="str">
        <f>IF(F103="","",Data!N103)</f>
        <v/>
      </c>
      <c r="D103" s="3" t="str">
        <f>IF(AND(Data!$B103='Individual Type'!$D$2, Data!$K103='All Types'!$D$2,Data!$L103='All Types'!$D$3),Data!$C103,"")</f>
        <v/>
      </c>
      <c r="E103" s="3" t="str">
        <f>IF($F103="","",Data!P103)</f>
        <v/>
      </c>
      <c r="F103" s="3" t="str">
        <f>IF(AND(Data!$B103='Individual Type'!$D$2, Data!$K103='All Types'!$D$2,Data!$L103='All Types'!$D$3),Data!M103,"")</f>
        <v/>
      </c>
    </row>
    <row r="104">
      <c r="A104" s="102" t="str">
        <f t="shared" si="1"/>
        <v/>
      </c>
      <c r="B104" s="3" t="str">
        <f>IF(AND(Data!$B104='Individual Type'!$D$2, Data!$K104='All Types'!$D$2,Data!$L104='All Types'!$D$3),Data!$B104,"")</f>
        <v/>
      </c>
      <c r="C104" s="3" t="str">
        <f>IF(F104="","",Data!N104)</f>
        <v/>
      </c>
      <c r="D104" s="3" t="str">
        <f>IF(AND(Data!$B104='Individual Type'!$D$2, Data!$K104='All Types'!$D$2,Data!$L104='All Types'!$D$3),Data!$C104,"")</f>
        <v/>
      </c>
      <c r="E104" s="3" t="str">
        <f>IF($F104="","",Data!P104)</f>
        <v/>
      </c>
      <c r="F104" s="3" t="str">
        <f>IF(AND(Data!$B104='Individual Type'!$D$2, Data!$K104='All Types'!$D$2,Data!$L104='All Types'!$D$3),Data!M104,"")</f>
        <v/>
      </c>
    </row>
    <row r="105">
      <c r="A105" s="102" t="str">
        <f t="shared" si="1"/>
        <v/>
      </c>
      <c r="B105" s="3" t="str">
        <f>IF(AND(Data!$B105='Individual Type'!$D$2, Data!$K105='All Types'!$D$2,Data!$L105='All Types'!$D$3),Data!$B105,"")</f>
        <v/>
      </c>
      <c r="C105" s="3" t="str">
        <f>IF(F105="","",Data!N105)</f>
        <v/>
      </c>
      <c r="D105" s="3" t="str">
        <f>IF(AND(Data!$B105='Individual Type'!$D$2, Data!$K105='All Types'!$D$2,Data!$L105='All Types'!$D$3),Data!$C105,"")</f>
        <v/>
      </c>
      <c r="E105" s="3" t="str">
        <f>IF($F105="","",Data!P105)</f>
        <v/>
      </c>
      <c r="F105" s="3" t="str">
        <f>IF(AND(Data!$B105='Individual Type'!$D$2, Data!$K105='All Types'!$D$2,Data!$L105='All Types'!$D$3),Data!M105,"")</f>
        <v/>
      </c>
    </row>
    <row r="106">
      <c r="A106" s="102" t="str">
        <f t="shared" si="1"/>
        <v/>
      </c>
      <c r="B106" s="3" t="str">
        <f>IF(AND(Data!$B106='Individual Type'!$D$2, Data!$K106='All Types'!$D$2,Data!$L106='All Types'!$D$3),Data!$B106,"")</f>
        <v/>
      </c>
      <c r="C106" s="3" t="str">
        <f>IF(F106="","",Data!N106)</f>
        <v/>
      </c>
      <c r="D106" s="3" t="str">
        <f>IF(AND(Data!$B106='Individual Type'!$D$2, Data!$K106='All Types'!$D$2,Data!$L106='All Types'!$D$3),Data!$C106,"")</f>
        <v/>
      </c>
      <c r="E106" s="3" t="str">
        <f>IF($F106="","",Data!P106)</f>
        <v/>
      </c>
      <c r="F106" s="3" t="str">
        <f>IF(AND(Data!$B106='Individual Type'!$D$2, Data!$K106='All Types'!$D$2,Data!$L106='All Types'!$D$3),Data!M106,"")</f>
        <v/>
      </c>
    </row>
    <row r="107">
      <c r="A107" s="102" t="str">
        <f t="shared" si="1"/>
        <v/>
      </c>
      <c r="B107" s="3" t="str">
        <f>IF(AND(Data!$B107='Individual Type'!$D$2, Data!$K107='All Types'!$D$2,Data!$L107='All Types'!$D$3),Data!$B107,"")</f>
        <v/>
      </c>
      <c r="C107" s="3" t="str">
        <f>IF(F107="","",Data!N107)</f>
        <v/>
      </c>
      <c r="D107" s="3" t="str">
        <f>IF(AND(Data!$B107='Individual Type'!$D$2, Data!$K107='All Types'!$D$2,Data!$L107='All Types'!$D$3),Data!$C107,"")</f>
        <v/>
      </c>
      <c r="E107" s="3" t="str">
        <f>IF($F107="","",Data!P107)</f>
        <v/>
      </c>
      <c r="F107" s="3" t="str">
        <f>IF(AND(Data!$B107='Individual Type'!$D$2, Data!$K107='All Types'!$D$2,Data!$L107='All Types'!$D$3),Data!M107,"")</f>
        <v/>
      </c>
    </row>
    <row r="108">
      <c r="A108" s="102" t="str">
        <f t="shared" si="1"/>
        <v/>
      </c>
      <c r="B108" s="3" t="str">
        <f>IF(AND(Data!$B108='Individual Type'!$D$2, Data!$K108='All Types'!$D$2,Data!$L108='All Types'!$D$3),Data!$B108,"")</f>
        <v/>
      </c>
      <c r="C108" s="3" t="str">
        <f>IF(F108="","",Data!N108)</f>
        <v/>
      </c>
      <c r="D108" s="3" t="str">
        <f>IF(AND(Data!$B108='Individual Type'!$D$2, Data!$K108='All Types'!$D$2,Data!$L108='All Types'!$D$3),Data!$C108,"")</f>
        <v/>
      </c>
      <c r="E108" s="3" t="str">
        <f>IF($F108="","",Data!P108)</f>
        <v/>
      </c>
      <c r="F108" s="3" t="str">
        <f>IF(AND(Data!$B108='Individual Type'!$D$2, Data!$K108='All Types'!$D$2,Data!$L108='All Types'!$D$3),Data!M108,"")</f>
        <v/>
      </c>
    </row>
    <row r="109">
      <c r="A109" s="102" t="str">
        <f t="shared" si="1"/>
        <v/>
      </c>
      <c r="B109" s="3" t="str">
        <f>IF(AND(Data!$B109='Individual Type'!$D$2, Data!$K109='All Types'!$D$2,Data!$L109='All Types'!$D$3),Data!$B109,"")</f>
        <v/>
      </c>
      <c r="C109" s="3" t="str">
        <f>IF(F109="","",Data!N109)</f>
        <v/>
      </c>
      <c r="D109" s="3" t="str">
        <f>IF(AND(Data!$B109='Individual Type'!$D$2, Data!$K109='All Types'!$D$2,Data!$L109='All Types'!$D$3),Data!$C109,"")</f>
        <v/>
      </c>
      <c r="E109" s="3" t="str">
        <f>IF($F109="","",Data!P109)</f>
        <v/>
      </c>
      <c r="F109" s="3" t="str">
        <f>IF(AND(Data!$B109='Individual Type'!$D$2, Data!$K109='All Types'!$D$2,Data!$L109='All Types'!$D$3),Data!M109,"")</f>
        <v/>
      </c>
    </row>
    <row r="110">
      <c r="A110" s="102" t="str">
        <f t="shared" si="1"/>
        <v/>
      </c>
      <c r="B110" s="3" t="str">
        <f>IF(AND(Data!$B110='Individual Type'!$D$2, Data!$K110='All Types'!$D$2,Data!$L110='All Types'!$D$3),Data!$B110,"")</f>
        <v/>
      </c>
      <c r="C110" s="3" t="str">
        <f>IF(F110="","",Data!N110)</f>
        <v/>
      </c>
      <c r="D110" s="3" t="str">
        <f>IF(AND(Data!$B110='Individual Type'!$D$2, Data!$K110='All Types'!$D$2,Data!$L110='All Types'!$D$3),Data!$C110,"")</f>
        <v/>
      </c>
      <c r="E110" s="3" t="str">
        <f>IF($F110="","",Data!P110)</f>
        <v/>
      </c>
      <c r="F110" s="3" t="str">
        <f>IF(AND(Data!$B110='Individual Type'!$D$2, Data!$K110='All Types'!$D$2,Data!$L110='All Types'!$D$3),Data!M110,"")</f>
        <v/>
      </c>
    </row>
    <row r="111">
      <c r="A111" s="102" t="str">
        <f t="shared" si="1"/>
        <v/>
      </c>
      <c r="B111" s="3" t="str">
        <f>IF(AND(Data!$B111='Individual Type'!$D$2, Data!$K111='All Types'!$D$2,Data!$L111='All Types'!$D$3),Data!$B111,"")</f>
        <v/>
      </c>
      <c r="C111" s="3" t="str">
        <f>IF(F111="","",Data!N111)</f>
        <v/>
      </c>
      <c r="D111" s="3" t="str">
        <f>IF(AND(Data!$B111='Individual Type'!$D$2, Data!$K111='All Types'!$D$2,Data!$L111='All Types'!$D$3),Data!$C111,"")</f>
        <v/>
      </c>
      <c r="E111" s="3" t="str">
        <f>IF($F111="","",Data!P111)</f>
        <v/>
      </c>
      <c r="F111" s="3" t="str">
        <f>IF(AND(Data!$B111='Individual Type'!$D$2, Data!$K111='All Types'!$D$2,Data!$L111='All Types'!$D$3),Data!M111,"")</f>
        <v/>
      </c>
    </row>
    <row r="112">
      <c r="A112" s="102" t="str">
        <f t="shared" si="1"/>
        <v/>
      </c>
      <c r="B112" s="3" t="str">
        <f>IF(AND(Data!$B112='Individual Type'!$D$2, Data!$K112='All Types'!$D$2,Data!$L112='All Types'!$D$3),Data!$B112,"")</f>
        <v/>
      </c>
      <c r="C112" s="3" t="str">
        <f>IF(F112="","",Data!N112)</f>
        <v/>
      </c>
      <c r="D112" s="3" t="str">
        <f>IF(AND(Data!$B112='Individual Type'!$D$2, Data!$K112='All Types'!$D$2,Data!$L112='All Types'!$D$3),Data!$C112,"")</f>
        <v/>
      </c>
      <c r="E112" s="3" t="str">
        <f>IF($F112="","",Data!P112)</f>
        <v/>
      </c>
      <c r="F112" s="3" t="str">
        <f>IF(AND(Data!$B112='Individual Type'!$D$2, Data!$K112='All Types'!$D$2,Data!$L112='All Types'!$D$3),Data!M112,"")</f>
        <v/>
      </c>
    </row>
    <row r="113">
      <c r="A113" s="102" t="str">
        <f t="shared" si="1"/>
        <v/>
      </c>
      <c r="B113" s="3" t="str">
        <f>IF(AND(Data!$B113='Individual Type'!$D$2, Data!$K113='All Types'!$D$2,Data!$L113='All Types'!$D$3),Data!$B113,"")</f>
        <v/>
      </c>
      <c r="C113" s="3" t="str">
        <f>IF(F113="","",Data!N113)</f>
        <v/>
      </c>
      <c r="D113" s="3" t="str">
        <f>IF(AND(Data!$B113='Individual Type'!$D$2, Data!$K113='All Types'!$D$2,Data!$L113='All Types'!$D$3),Data!$C113,"")</f>
        <v/>
      </c>
      <c r="E113" s="3" t="str">
        <f>IF($F113="","",Data!P113)</f>
        <v/>
      </c>
      <c r="F113" s="3" t="str">
        <f>IF(AND(Data!$B113='Individual Type'!$D$2, Data!$K113='All Types'!$D$2,Data!$L113='All Types'!$D$3),Data!M113,"")</f>
        <v/>
      </c>
    </row>
    <row r="114">
      <c r="A114" s="102" t="str">
        <f t="shared" si="1"/>
        <v/>
      </c>
      <c r="B114" s="3" t="str">
        <f>IF(AND(Data!$B114='Individual Type'!$D$2, Data!$K114='All Types'!$D$2,Data!$L114='All Types'!$D$3),Data!$B114,"")</f>
        <v/>
      </c>
      <c r="C114" s="3" t="str">
        <f>IF(F114="","",Data!N114)</f>
        <v/>
      </c>
      <c r="D114" s="3" t="str">
        <f>IF(AND(Data!$B114='Individual Type'!$D$2, Data!$K114='All Types'!$D$2,Data!$L114='All Types'!$D$3),Data!$C114,"")</f>
        <v/>
      </c>
      <c r="E114" s="3" t="str">
        <f>IF($F114="","",Data!P114)</f>
        <v/>
      </c>
      <c r="F114" s="3" t="str">
        <f>IF(AND(Data!$B114='Individual Type'!$D$2, Data!$K114='All Types'!$D$2,Data!$L114='All Types'!$D$3),Data!M114,"")</f>
        <v/>
      </c>
    </row>
    <row r="115">
      <c r="A115" s="102" t="str">
        <f t="shared" si="1"/>
        <v/>
      </c>
      <c r="B115" s="3" t="str">
        <f>IF(AND(Data!$B115='Individual Type'!$D$2, Data!$K115='All Types'!$D$2,Data!$L115='All Types'!$D$3),Data!$B115,"")</f>
        <v/>
      </c>
      <c r="C115" s="3" t="str">
        <f>IF(F115="","",Data!N115)</f>
        <v/>
      </c>
      <c r="D115" s="3" t="str">
        <f>IF(AND(Data!$B115='Individual Type'!$D$2, Data!$K115='All Types'!$D$2,Data!$L115='All Types'!$D$3),Data!$C115,"")</f>
        <v/>
      </c>
      <c r="E115" s="3" t="str">
        <f>IF($F115="","",Data!P115)</f>
        <v/>
      </c>
      <c r="F115" s="3" t="str">
        <f>IF(AND(Data!$B115='Individual Type'!$D$2, Data!$K115='All Types'!$D$2,Data!$L115='All Types'!$D$3),Data!M115,"")</f>
        <v/>
      </c>
    </row>
    <row r="116">
      <c r="A116" s="102" t="str">
        <f t="shared" si="1"/>
        <v/>
      </c>
      <c r="B116" s="3" t="str">
        <f>IF(AND(Data!$B116='Individual Type'!$D$2, Data!$K116='All Types'!$D$2,Data!$L116='All Types'!$D$3),Data!$B116,"")</f>
        <v/>
      </c>
      <c r="C116" s="3" t="str">
        <f>IF(F116="","",Data!N116)</f>
        <v/>
      </c>
      <c r="D116" s="3" t="str">
        <f>IF(AND(Data!$B116='Individual Type'!$D$2, Data!$K116='All Types'!$D$2,Data!$L116='All Types'!$D$3),Data!$C116,"")</f>
        <v/>
      </c>
      <c r="E116" s="3" t="str">
        <f>IF($F116="","",Data!P116)</f>
        <v/>
      </c>
      <c r="F116" s="3" t="str">
        <f>IF(AND(Data!$B116='Individual Type'!$D$2, Data!$K116='All Types'!$D$2,Data!$L116='All Types'!$D$3),Data!M116,"")</f>
        <v/>
      </c>
    </row>
    <row r="117">
      <c r="A117" s="102" t="str">
        <f t="shared" si="1"/>
        <v/>
      </c>
      <c r="B117" s="3" t="str">
        <f>IF(AND(Data!$B117='Individual Type'!$D$2, Data!$K117='All Types'!$D$2,Data!$L117='All Types'!$D$3),Data!$B117,"")</f>
        <v/>
      </c>
      <c r="C117" s="3" t="str">
        <f>IF(F117="","",Data!N117)</f>
        <v/>
      </c>
      <c r="D117" s="3" t="str">
        <f>IF(AND(Data!$B117='Individual Type'!$D$2, Data!$K117='All Types'!$D$2,Data!$L117='All Types'!$D$3),Data!$C117,"")</f>
        <v/>
      </c>
      <c r="E117" s="3" t="str">
        <f>IF($F117="","",Data!P117)</f>
        <v/>
      </c>
      <c r="F117" s="3" t="str">
        <f>IF(AND(Data!$B117='Individual Type'!$D$2, Data!$K117='All Types'!$D$2,Data!$L117='All Types'!$D$3),Data!M117,"")</f>
        <v/>
      </c>
    </row>
    <row r="118">
      <c r="A118" s="102" t="str">
        <f t="shared" si="1"/>
        <v/>
      </c>
      <c r="B118" s="3" t="str">
        <f>IF(AND(Data!$B118='Individual Type'!$D$2, Data!$K118='All Types'!$D$2,Data!$L118='All Types'!$D$3),Data!$B118,"")</f>
        <v/>
      </c>
      <c r="C118" s="3" t="str">
        <f>IF(F118="","",Data!N118)</f>
        <v/>
      </c>
      <c r="D118" s="3" t="str">
        <f>IF(AND(Data!$B118='Individual Type'!$D$2, Data!$K118='All Types'!$D$2,Data!$L118='All Types'!$D$3),Data!$C118,"")</f>
        <v/>
      </c>
      <c r="E118" s="3" t="str">
        <f>IF($F118="","",Data!P118)</f>
        <v/>
      </c>
      <c r="F118" s="3" t="str">
        <f>IF(AND(Data!$B118='Individual Type'!$D$2, Data!$K118='All Types'!$D$2,Data!$L118='All Types'!$D$3),Data!M118,"")</f>
        <v/>
      </c>
    </row>
    <row r="119">
      <c r="A119" s="102" t="str">
        <f t="shared" si="1"/>
        <v/>
      </c>
      <c r="B119" s="3" t="str">
        <f>IF(AND(Data!$B119='Individual Type'!$D$2, Data!$K119='All Types'!$D$2,Data!$L119='All Types'!$D$3),Data!$B119,"")</f>
        <v/>
      </c>
      <c r="C119" s="3" t="str">
        <f>IF(F119="","",Data!N119)</f>
        <v/>
      </c>
      <c r="D119" s="3" t="str">
        <f>IF(AND(Data!$B119='Individual Type'!$D$2, Data!$K119='All Types'!$D$2,Data!$L119='All Types'!$D$3),Data!$C119,"")</f>
        <v/>
      </c>
      <c r="E119" s="3" t="str">
        <f>IF($F119="","",Data!P119)</f>
        <v/>
      </c>
      <c r="F119" s="3" t="str">
        <f>IF(AND(Data!$B119='Individual Type'!$D$2, Data!$K119='All Types'!$D$2,Data!$L119='All Types'!$D$3),Data!M119,"")</f>
        <v/>
      </c>
    </row>
    <row r="120">
      <c r="A120" s="102" t="str">
        <f t="shared" si="1"/>
        <v/>
      </c>
      <c r="B120" s="3" t="str">
        <f>IF(AND(Data!$B120='Individual Type'!$D$2, Data!$K120='All Types'!$D$2,Data!$L120='All Types'!$D$3),Data!$B120,"")</f>
        <v/>
      </c>
      <c r="C120" s="3" t="str">
        <f>IF(F120="","",Data!N120)</f>
        <v/>
      </c>
      <c r="D120" s="3" t="str">
        <f>IF(AND(Data!$B120='Individual Type'!$D$2, Data!$K120='All Types'!$D$2,Data!$L120='All Types'!$D$3),Data!$C120,"")</f>
        <v/>
      </c>
      <c r="E120" s="3" t="str">
        <f>IF($F120="","",Data!P120)</f>
        <v/>
      </c>
      <c r="F120" s="3" t="str">
        <f>IF(AND(Data!$B120='Individual Type'!$D$2, Data!$K120='All Types'!$D$2,Data!$L120='All Types'!$D$3),Data!M120,"")</f>
        <v/>
      </c>
    </row>
    <row r="121">
      <c r="A121" s="102" t="str">
        <f t="shared" si="1"/>
        <v/>
      </c>
      <c r="B121" s="3" t="str">
        <f>IF(AND(Data!$B121='Individual Type'!$D$2, Data!$K121='All Types'!$D$2,Data!$L121='All Types'!$D$3),Data!$B121,"")</f>
        <v/>
      </c>
      <c r="C121" s="3" t="str">
        <f>IF(F121="","",Data!N121)</f>
        <v/>
      </c>
      <c r="D121" s="3" t="str">
        <f>IF(AND(Data!$B121='Individual Type'!$D$2, Data!$K121='All Types'!$D$2,Data!$L121='All Types'!$D$3),Data!$C121,"")</f>
        <v/>
      </c>
      <c r="E121" s="3" t="str">
        <f>IF($F121="","",Data!P121)</f>
        <v/>
      </c>
      <c r="F121" s="3" t="str">
        <f>IF(AND(Data!$B121='Individual Type'!$D$2, Data!$K121='All Types'!$D$2,Data!$L121='All Types'!$D$3),Data!M121,"")</f>
        <v/>
      </c>
    </row>
    <row r="122">
      <c r="A122" s="102" t="str">
        <f t="shared" si="1"/>
        <v/>
      </c>
      <c r="B122" s="3" t="str">
        <f>IF(AND(Data!$B122='Individual Type'!$D$2, Data!$K122='All Types'!$D$2,Data!$L122='All Types'!$D$3),Data!$B122,"")</f>
        <v/>
      </c>
      <c r="C122" s="3" t="str">
        <f>IF(F122="","",Data!N122)</f>
        <v/>
      </c>
      <c r="D122" s="3" t="str">
        <f>IF(AND(Data!$B122='Individual Type'!$D$2, Data!$K122='All Types'!$D$2,Data!$L122='All Types'!$D$3),Data!$C122,"")</f>
        <v/>
      </c>
      <c r="E122" s="3" t="str">
        <f>IF($F122="","",Data!P122)</f>
        <v/>
      </c>
      <c r="F122" s="3" t="str">
        <f>IF(AND(Data!$B122='Individual Type'!$D$2, Data!$K122='All Types'!$D$2,Data!$L122='All Types'!$D$3),Data!M122,"")</f>
        <v/>
      </c>
    </row>
    <row r="123">
      <c r="A123" s="102" t="str">
        <f t="shared" si="1"/>
        <v/>
      </c>
      <c r="B123" s="3" t="str">
        <f>IF(AND(Data!$B123='Individual Type'!$D$2, Data!$K123='All Types'!$D$2,Data!$L123='All Types'!$D$3),Data!$B123,"")</f>
        <v/>
      </c>
      <c r="C123" s="3" t="str">
        <f>IF(F123="","",Data!N123)</f>
        <v/>
      </c>
      <c r="D123" s="3" t="str">
        <f>IF(AND(Data!$B123='Individual Type'!$D$2, Data!$K123='All Types'!$D$2,Data!$L123='All Types'!$D$3),Data!$C123,"")</f>
        <v/>
      </c>
      <c r="E123" s="3" t="str">
        <f>IF($F123="","",Data!P123)</f>
        <v/>
      </c>
      <c r="F123" s="3" t="str">
        <f>IF(AND(Data!$B123='Individual Type'!$D$2, Data!$K123='All Types'!$D$2,Data!$L123='All Types'!$D$3),Data!M123,"")</f>
        <v/>
      </c>
    </row>
    <row r="124">
      <c r="A124" s="102" t="str">
        <f t="shared" si="1"/>
        <v/>
      </c>
      <c r="B124" s="3" t="str">
        <f>IF(AND(Data!$B124='Individual Type'!$D$2, Data!$K124='All Types'!$D$2,Data!$L124='All Types'!$D$3),Data!$B124,"")</f>
        <v/>
      </c>
      <c r="C124" s="3" t="str">
        <f>IF(F124="","",Data!N124)</f>
        <v/>
      </c>
      <c r="D124" s="3" t="str">
        <f>IF(AND(Data!$B124='Individual Type'!$D$2, Data!$K124='All Types'!$D$2,Data!$L124='All Types'!$D$3),Data!$C124,"")</f>
        <v/>
      </c>
      <c r="E124" s="3" t="str">
        <f>IF($F124="","",Data!P124)</f>
        <v/>
      </c>
      <c r="F124" s="3" t="str">
        <f>IF(AND(Data!$B124='Individual Type'!$D$2, Data!$K124='All Types'!$D$2,Data!$L124='All Types'!$D$3),Data!M124,"")</f>
        <v/>
      </c>
    </row>
    <row r="125">
      <c r="A125" s="102" t="str">
        <f t="shared" si="1"/>
        <v/>
      </c>
      <c r="B125" s="3" t="str">
        <f>IF(AND(Data!$B125='Individual Type'!$D$2, Data!$K125='All Types'!$D$2,Data!$L125='All Types'!$D$3),Data!$B125,"")</f>
        <v/>
      </c>
      <c r="C125" s="3" t="str">
        <f>IF(F125="","",Data!N125)</f>
        <v/>
      </c>
      <c r="D125" s="3" t="str">
        <f>IF(AND(Data!$B125='Individual Type'!$D$2, Data!$K125='All Types'!$D$2,Data!$L125='All Types'!$D$3),Data!$C125,"")</f>
        <v/>
      </c>
      <c r="E125" s="3" t="str">
        <f>IF($F125="","",Data!P125)</f>
        <v/>
      </c>
      <c r="F125" s="3" t="str">
        <f>IF(AND(Data!$B125='Individual Type'!$D$2, Data!$K125='All Types'!$D$2,Data!$L125='All Types'!$D$3),Data!M125,"")</f>
        <v/>
      </c>
    </row>
    <row r="126">
      <c r="A126" s="102" t="str">
        <f t="shared" si="1"/>
        <v/>
      </c>
      <c r="B126" s="3" t="str">
        <f>IF(AND(Data!$B126='Individual Type'!$D$2, Data!$K126='All Types'!$D$2,Data!$L126='All Types'!$D$3),Data!$B126,"")</f>
        <v/>
      </c>
      <c r="C126" s="3" t="str">
        <f>IF(F126="","",Data!N126)</f>
        <v/>
      </c>
      <c r="D126" s="3" t="str">
        <f>IF(AND(Data!$B126='Individual Type'!$D$2, Data!$K126='All Types'!$D$2,Data!$L126='All Types'!$D$3),Data!$C126,"")</f>
        <v/>
      </c>
      <c r="E126" s="3" t="str">
        <f>IF($F126="","",Data!P126)</f>
        <v/>
      </c>
      <c r="F126" s="3" t="str">
        <f>IF(AND(Data!$B126='Individual Type'!$D$2, Data!$K126='All Types'!$D$2,Data!$L126='All Types'!$D$3),Data!M126,"")</f>
        <v/>
      </c>
    </row>
    <row r="127">
      <c r="A127" s="102" t="str">
        <f t="shared" si="1"/>
        <v/>
      </c>
      <c r="B127" s="3" t="str">
        <f>IF(AND(Data!$B127='Individual Type'!$D$2, Data!$K127='All Types'!$D$2,Data!$L127='All Types'!$D$3),Data!$B127,"")</f>
        <v/>
      </c>
      <c r="C127" s="3" t="str">
        <f>IF(F127="","",Data!N127)</f>
        <v/>
      </c>
      <c r="D127" s="3" t="str">
        <f>IF(AND(Data!$B127='Individual Type'!$D$2, Data!$K127='All Types'!$D$2,Data!$L127='All Types'!$D$3),Data!$C127,"")</f>
        <v/>
      </c>
      <c r="E127" s="3" t="str">
        <f>IF($F127="","",Data!P127)</f>
        <v/>
      </c>
      <c r="F127" s="3" t="str">
        <f>IF(AND(Data!$B127='Individual Type'!$D$2, Data!$K127='All Types'!$D$2,Data!$L127='All Types'!$D$3),Data!M127,"")</f>
        <v/>
      </c>
    </row>
    <row r="128">
      <c r="A128" s="102" t="str">
        <f t="shared" si="1"/>
        <v/>
      </c>
      <c r="B128" s="3" t="str">
        <f>IF(AND(Data!$B128='Individual Type'!$D$2, Data!$K128='All Types'!$D$2,Data!$L128='All Types'!$D$3),Data!$B128,"")</f>
        <v/>
      </c>
      <c r="C128" s="3" t="str">
        <f>IF(F128="","",Data!N128)</f>
        <v/>
      </c>
      <c r="D128" s="3" t="str">
        <f>IF(AND(Data!$B128='Individual Type'!$D$2, Data!$K128='All Types'!$D$2,Data!$L128='All Types'!$D$3),Data!$C128,"")</f>
        <v/>
      </c>
      <c r="E128" s="3" t="str">
        <f>IF($F128="","",Data!P128)</f>
        <v/>
      </c>
      <c r="F128" s="3" t="str">
        <f>IF(AND(Data!$B128='Individual Type'!$D$2, Data!$K128='All Types'!$D$2,Data!$L128='All Types'!$D$3),Data!M128,"")</f>
        <v/>
      </c>
    </row>
    <row r="129">
      <c r="A129" s="102" t="str">
        <f t="shared" si="1"/>
        <v/>
      </c>
      <c r="B129" s="3" t="str">
        <f>IF(AND(Data!$B129='Individual Type'!$D$2, Data!$K129='All Types'!$D$2,Data!$L129='All Types'!$D$3),Data!$B129,"")</f>
        <v/>
      </c>
      <c r="C129" s="3" t="str">
        <f>IF(F129="","",Data!N129)</f>
        <v/>
      </c>
      <c r="D129" s="3" t="str">
        <f>IF(AND(Data!$B129='Individual Type'!$D$2, Data!$K129='All Types'!$D$2,Data!$L129='All Types'!$D$3),Data!$C129,"")</f>
        <v/>
      </c>
      <c r="E129" s="3" t="str">
        <f>IF($F129="","",Data!P129)</f>
        <v/>
      </c>
      <c r="F129" s="3" t="str">
        <f>IF(AND(Data!$B129='Individual Type'!$D$2, Data!$K129='All Types'!$D$2,Data!$L129='All Types'!$D$3),Data!M129,"")</f>
        <v/>
      </c>
    </row>
    <row r="130">
      <c r="A130" s="102" t="str">
        <f t="shared" si="1"/>
        <v/>
      </c>
      <c r="B130" s="3" t="str">
        <f>IF(AND(Data!$B130='Individual Type'!$D$2, Data!$K130='All Types'!$D$2,Data!$L130='All Types'!$D$3),Data!$B130,"")</f>
        <v/>
      </c>
      <c r="C130" s="3" t="str">
        <f>IF(F130="","",Data!N130)</f>
        <v/>
      </c>
      <c r="D130" s="3" t="str">
        <f>IF(AND(Data!$B130='Individual Type'!$D$2, Data!$K130='All Types'!$D$2,Data!$L130='All Types'!$D$3),Data!$C130,"")</f>
        <v/>
      </c>
      <c r="E130" s="3" t="str">
        <f>IF($F130="","",Data!P130)</f>
        <v/>
      </c>
      <c r="F130" s="3" t="str">
        <f>IF(AND(Data!$B130='Individual Type'!$D$2, Data!$K130='All Types'!$D$2,Data!$L130='All Types'!$D$3),Data!M130,"")</f>
        <v/>
      </c>
    </row>
    <row r="131">
      <c r="A131" s="102" t="str">
        <f t="shared" si="1"/>
        <v/>
      </c>
      <c r="B131" s="3" t="str">
        <f>IF(AND(Data!$B131='Individual Type'!$D$2, Data!$K131='All Types'!$D$2,Data!$L131='All Types'!$D$3),Data!$B131,"")</f>
        <v/>
      </c>
      <c r="C131" s="3" t="str">
        <f>IF(F131="","",Data!N131)</f>
        <v/>
      </c>
      <c r="D131" s="3" t="str">
        <f>IF(AND(Data!$B131='Individual Type'!$D$2, Data!$K131='All Types'!$D$2,Data!$L131='All Types'!$D$3),Data!$C131,"")</f>
        <v/>
      </c>
      <c r="E131" s="3" t="str">
        <f>IF($F131="","",Data!P131)</f>
        <v/>
      </c>
      <c r="F131" s="3" t="str">
        <f>IF(AND(Data!$B131='Individual Type'!$D$2, Data!$K131='All Types'!$D$2,Data!$L131='All Types'!$D$3),Data!M131,"")</f>
        <v/>
      </c>
    </row>
    <row r="132">
      <c r="A132" s="102" t="str">
        <f t="shared" si="1"/>
        <v/>
      </c>
      <c r="B132" s="3" t="str">
        <f>IF(AND(Data!$B132='Individual Type'!$D$2, Data!$K132='All Types'!$D$2,Data!$L132='All Types'!$D$3),Data!$B132,"")</f>
        <v/>
      </c>
      <c r="C132" s="3" t="str">
        <f>IF(F132="","",Data!N132)</f>
        <v/>
      </c>
      <c r="D132" s="3" t="str">
        <f>IF(AND(Data!$B132='Individual Type'!$D$2, Data!$K132='All Types'!$D$2,Data!$L132='All Types'!$D$3),Data!$C132,"")</f>
        <v/>
      </c>
      <c r="E132" s="3" t="str">
        <f>IF($F132="","",Data!P132)</f>
        <v/>
      </c>
      <c r="F132" s="3" t="str">
        <f>IF(AND(Data!$B132='Individual Type'!$D$2, Data!$K132='All Types'!$D$2,Data!$L132='All Types'!$D$3),Data!M132,"")</f>
        <v/>
      </c>
    </row>
    <row r="133">
      <c r="A133" s="102" t="str">
        <f t="shared" si="1"/>
        <v/>
      </c>
      <c r="B133" s="3" t="str">
        <f>IF(AND(Data!$B133='Individual Type'!$D$2, Data!$K133='All Types'!$D$2,Data!$L133='All Types'!$D$3),Data!$B133,"")</f>
        <v/>
      </c>
      <c r="C133" s="3" t="str">
        <f>IF(F133="","",Data!N133)</f>
        <v/>
      </c>
      <c r="D133" s="3" t="str">
        <f>IF(AND(Data!$B133='Individual Type'!$D$2, Data!$K133='All Types'!$D$2,Data!$L133='All Types'!$D$3),Data!$C133,"")</f>
        <v/>
      </c>
      <c r="E133" s="3" t="str">
        <f>IF($F133="","",Data!P133)</f>
        <v/>
      </c>
      <c r="F133" s="3" t="str">
        <f>IF(AND(Data!$B133='Individual Type'!$D$2, Data!$K133='All Types'!$D$2,Data!$L133='All Types'!$D$3),Data!M133,"")</f>
        <v/>
      </c>
    </row>
    <row r="134">
      <c r="A134" s="102" t="str">
        <f t="shared" si="1"/>
        <v/>
      </c>
      <c r="B134" s="3" t="str">
        <f>IF(AND(Data!$B134='Individual Type'!$D$2, Data!$K134='All Types'!$D$2,Data!$L134='All Types'!$D$3),Data!$B134,"")</f>
        <v/>
      </c>
      <c r="C134" s="3" t="str">
        <f>IF(F134="","",Data!N134)</f>
        <v/>
      </c>
      <c r="D134" s="3" t="str">
        <f>IF(AND(Data!$B134='Individual Type'!$D$2, Data!$K134='All Types'!$D$2,Data!$L134='All Types'!$D$3),Data!$C134,"")</f>
        <v/>
      </c>
      <c r="E134" s="3" t="str">
        <f>IF($F134="","",Data!P134)</f>
        <v/>
      </c>
      <c r="F134" s="3" t="str">
        <f>IF(AND(Data!$B134='Individual Type'!$D$2, Data!$K134='All Types'!$D$2,Data!$L134='All Types'!$D$3),Data!M134,"")</f>
        <v/>
      </c>
    </row>
    <row r="135">
      <c r="A135" s="102" t="str">
        <f t="shared" si="1"/>
        <v/>
      </c>
      <c r="B135" s="3" t="str">
        <f>IF(AND(Data!$B135='Individual Type'!$D$2, Data!$K135='All Types'!$D$2,Data!$L135='All Types'!$D$3),Data!$B135,"")</f>
        <v/>
      </c>
      <c r="C135" s="3" t="str">
        <f>IF(F135="","",Data!N135)</f>
        <v/>
      </c>
      <c r="D135" s="3" t="str">
        <f>IF(AND(Data!$B135='Individual Type'!$D$2, Data!$K135='All Types'!$D$2,Data!$L135='All Types'!$D$3),Data!$C135,"")</f>
        <v/>
      </c>
      <c r="E135" s="3" t="str">
        <f>IF($F135="","",Data!P135)</f>
        <v/>
      </c>
      <c r="F135" s="3" t="str">
        <f>IF(AND(Data!$B135='Individual Type'!$D$2, Data!$K135='All Types'!$D$2,Data!$L135='All Types'!$D$3),Data!M135,"")</f>
        <v/>
      </c>
    </row>
    <row r="136">
      <c r="A136" s="102" t="str">
        <f t="shared" si="1"/>
        <v/>
      </c>
      <c r="B136" s="3" t="str">
        <f>IF(AND(Data!$B136='Individual Type'!$D$2, Data!$K136='All Types'!$D$2,Data!$L136='All Types'!$D$3),Data!$B136,"")</f>
        <v/>
      </c>
      <c r="C136" s="3" t="str">
        <f>IF(F136="","",Data!N136)</f>
        <v/>
      </c>
      <c r="D136" s="3" t="str">
        <f>IF(AND(Data!$B136='Individual Type'!$D$2, Data!$K136='All Types'!$D$2,Data!$L136='All Types'!$D$3),Data!$C136,"")</f>
        <v/>
      </c>
      <c r="E136" s="3" t="str">
        <f>IF($F136="","",Data!P136)</f>
        <v/>
      </c>
      <c r="F136" s="3" t="str">
        <f>IF(AND(Data!$B136='Individual Type'!$D$2, Data!$K136='All Types'!$D$2,Data!$L136='All Types'!$D$3),Data!M136,"")</f>
        <v/>
      </c>
    </row>
    <row r="137">
      <c r="A137" s="102" t="str">
        <f t="shared" si="1"/>
        <v/>
      </c>
      <c r="B137" s="3" t="str">
        <f>IF(AND(Data!$B137='Individual Type'!$D$2, Data!$K137='All Types'!$D$2,Data!$L137='All Types'!$D$3),Data!$B137,"")</f>
        <v/>
      </c>
      <c r="C137" s="3" t="str">
        <f>IF(F137="","",Data!N137)</f>
        <v/>
      </c>
      <c r="D137" s="3" t="str">
        <f>IF(AND(Data!$B137='Individual Type'!$D$2, Data!$K137='All Types'!$D$2,Data!$L137='All Types'!$D$3),Data!$C137,"")</f>
        <v/>
      </c>
      <c r="E137" s="3" t="str">
        <f>IF($F137="","",Data!P137)</f>
        <v/>
      </c>
      <c r="F137" s="3" t="str">
        <f>IF(AND(Data!$B137='Individual Type'!$D$2, Data!$K137='All Types'!$D$2,Data!$L137='All Types'!$D$3),Data!M137,"")</f>
        <v/>
      </c>
    </row>
    <row r="138">
      <c r="A138" s="102" t="str">
        <f t="shared" si="1"/>
        <v/>
      </c>
      <c r="B138" s="3" t="str">
        <f>IF(AND(Data!$B138='Individual Type'!$D$2, Data!$K138='All Types'!$D$2,Data!$L138='All Types'!$D$3),Data!$B138,"")</f>
        <v/>
      </c>
      <c r="C138" s="3" t="str">
        <f>IF(F138="","",Data!N138)</f>
        <v/>
      </c>
      <c r="D138" s="3" t="str">
        <f>IF(AND(Data!$B138='Individual Type'!$D$2, Data!$K138='All Types'!$D$2,Data!$L138='All Types'!$D$3),Data!$C138,"")</f>
        <v/>
      </c>
      <c r="E138" s="3" t="str">
        <f>IF($F138="","",Data!P138)</f>
        <v/>
      </c>
      <c r="F138" s="3" t="str">
        <f>IF(AND(Data!$B138='Individual Type'!$D$2, Data!$K138='All Types'!$D$2,Data!$L138='All Types'!$D$3),Data!M138,"")</f>
        <v/>
      </c>
    </row>
    <row r="139">
      <c r="A139" s="102" t="str">
        <f t="shared" si="1"/>
        <v/>
      </c>
      <c r="B139" s="3" t="str">
        <f>IF(AND(Data!$B139='Individual Type'!$D$2, Data!$K139='All Types'!$D$2,Data!$L139='All Types'!$D$3),Data!$B139,"")</f>
        <v/>
      </c>
      <c r="C139" s="3" t="str">
        <f>IF(F139="","",Data!N139)</f>
        <v/>
      </c>
      <c r="D139" s="3" t="str">
        <f>IF(AND(Data!$B139='Individual Type'!$D$2, Data!$K139='All Types'!$D$2,Data!$L139='All Types'!$D$3),Data!$C139,"")</f>
        <v/>
      </c>
      <c r="E139" s="3" t="str">
        <f>IF($F139="","",Data!P139)</f>
        <v/>
      </c>
      <c r="F139" s="3" t="str">
        <f>IF(AND(Data!$B139='Individual Type'!$D$2, Data!$K139='All Types'!$D$2,Data!$L139='All Types'!$D$3),Data!M139,"")</f>
        <v/>
      </c>
    </row>
    <row r="140">
      <c r="A140" s="102" t="str">
        <f t="shared" si="1"/>
        <v/>
      </c>
      <c r="B140" s="3" t="str">
        <f>IF(AND(Data!$B140='Individual Type'!$D$2, Data!$K140='All Types'!$D$2,Data!$L140='All Types'!$D$3),Data!$B140,"")</f>
        <v/>
      </c>
      <c r="C140" s="3" t="str">
        <f>IF(F140="","",Data!N140)</f>
        <v/>
      </c>
      <c r="D140" s="3" t="str">
        <f>IF(AND(Data!$B140='Individual Type'!$D$2, Data!$K140='All Types'!$D$2,Data!$L140='All Types'!$D$3),Data!$C140,"")</f>
        <v/>
      </c>
      <c r="E140" s="3" t="str">
        <f>IF($F140="","",Data!P140)</f>
        <v/>
      </c>
      <c r="F140" s="3" t="str">
        <f>IF(AND(Data!$B140='Individual Type'!$D$2, Data!$K140='All Types'!$D$2,Data!$L140='All Types'!$D$3),Data!M140,"")</f>
        <v/>
      </c>
    </row>
    <row r="141">
      <c r="A141" s="102" t="str">
        <f t="shared" si="1"/>
        <v/>
      </c>
      <c r="B141" s="3" t="str">
        <f>IF(AND(Data!$B141='Individual Type'!$D$2, Data!$K141='All Types'!$D$2,Data!$L141='All Types'!$D$3),Data!$B141,"")</f>
        <v/>
      </c>
      <c r="C141" s="3" t="str">
        <f>IF(F141="","",Data!N141)</f>
        <v/>
      </c>
      <c r="D141" s="3" t="str">
        <f>IF(AND(Data!$B141='Individual Type'!$D$2, Data!$K141='All Types'!$D$2,Data!$L141='All Types'!$D$3),Data!$C141,"")</f>
        <v/>
      </c>
      <c r="E141" s="3" t="str">
        <f>IF($F141="","",Data!P141)</f>
        <v/>
      </c>
      <c r="F141" s="3" t="str">
        <f>IF(AND(Data!$B141='Individual Type'!$D$2, Data!$K141='All Types'!$D$2,Data!$L141='All Types'!$D$3),Data!M141,"")</f>
        <v/>
      </c>
    </row>
    <row r="142">
      <c r="A142" s="102" t="str">
        <f t="shared" si="1"/>
        <v/>
      </c>
      <c r="B142" s="3" t="str">
        <f>IF(AND(Data!$B142='Individual Type'!$D$2, Data!$K142='All Types'!$D$2,Data!$L142='All Types'!$D$3),Data!$B142,"")</f>
        <v/>
      </c>
      <c r="C142" s="3" t="str">
        <f>IF(F142="","",Data!N142)</f>
        <v/>
      </c>
      <c r="D142" s="3" t="str">
        <f>IF(AND(Data!$B142='Individual Type'!$D$2, Data!$K142='All Types'!$D$2,Data!$L142='All Types'!$D$3),Data!$C142,"")</f>
        <v/>
      </c>
      <c r="E142" s="3" t="str">
        <f>IF($F142="","",Data!P142)</f>
        <v/>
      </c>
      <c r="F142" s="3" t="str">
        <f>IF(AND(Data!$B142='Individual Type'!$D$2, Data!$K142='All Types'!$D$2,Data!$L142='All Types'!$D$3),Data!M142,"")</f>
        <v/>
      </c>
    </row>
    <row r="143">
      <c r="A143" s="102" t="str">
        <f t="shared" si="1"/>
        <v/>
      </c>
      <c r="B143" s="3" t="str">
        <f>IF(AND(Data!$B143='Individual Type'!$D$2, Data!$K143='All Types'!$D$2,Data!$L143='All Types'!$D$3),Data!$B143,"")</f>
        <v/>
      </c>
      <c r="C143" s="3" t="str">
        <f>IF(F143="","",Data!N143)</f>
        <v/>
      </c>
      <c r="D143" s="3" t="str">
        <f>IF(AND(Data!$B143='Individual Type'!$D$2, Data!$K143='All Types'!$D$2,Data!$L143='All Types'!$D$3),Data!$C143,"")</f>
        <v/>
      </c>
      <c r="E143" s="3" t="str">
        <f>IF($F143="","",Data!P143)</f>
        <v/>
      </c>
      <c r="F143" s="3" t="str">
        <f>IF(AND(Data!$B143='Individual Type'!$D$2, Data!$K143='All Types'!$D$2,Data!$L143='All Types'!$D$3),Data!M143,"")</f>
        <v/>
      </c>
    </row>
    <row r="144">
      <c r="A144" s="102" t="str">
        <f t="shared" si="1"/>
        <v/>
      </c>
      <c r="B144" s="3" t="str">
        <f>IF(AND(Data!$B144='Individual Type'!$D$2, Data!$K144='All Types'!$D$2,Data!$L144='All Types'!$D$3),Data!$B144,"")</f>
        <v/>
      </c>
      <c r="C144" s="3" t="str">
        <f>IF(F144="","",Data!N144)</f>
        <v/>
      </c>
      <c r="D144" s="3" t="str">
        <f>IF(AND(Data!$B144='Individual Type'!$D$2, Data!$K144='All Types'!$D$2,Data!$L144='All Types'!$D$3),Data!$C144,"")</f>
        <v/>
      </c>
      <c r="E144" s="3" t="str">
        <f>IF($F144="","",Data!P144)</f>
        <v/>
      </c>
      <c r="F144" s="3" t="str">
        <f>IF(AND(Data!$B144='Individual Type'!$D$2, Data!$K144='All Types'!$D$2,Data!$L144='All Types'!$D$3),Data!M144,"")</f>
        <v/>
      </c>
    </row>
    <row r="145">
      <c r="A145" s="102" t="str">
        <f t="shared" si="1"/>
        <v/>
      </c>
      <c r="B145" s="3" t="str">
        <f>IF(AND(Data!$B145='Individual Type'!$D$2, Data!$K145='All Types'!$D$2,Data!$L145='All Types'!$D$3),Data!$B145,"")</f>
        <v/>
      </c>
      <c r="C145" s="3" t="str">
        <f>IF(F145="","",Data!N145)</f>
        <v/>
      </c>
      <c r="D145" s="3" t="str">
        <f>IF(AND(Data!$B145='Individual Type'!$D$2, Data!$K145='All Types'!$D$2,Data!$L145='All Types'!$D$3),Data!$C145,"")</f>
        <v/>
      </c>
      <c r="E145" s="3" t="str">
        <f>IF($F145="","",Data!P145)</f>
        <v/>
      </c>
      <c r="F145" s="3" t="str">
        <f>IF(AND(Data!$B145='Individual Type'!$D$2, Data!$K145='All Types'!$D$2,Data!$L145='All Types'!$D$3),Data!M145,"")</f>
        <v/>
      </c>
    </row>
    <row r="146">
      <c r="A146" s="102" t="str">
        <f t="shared" si="1"/>
        <v/>
      </c>
      <c r="B146" s="3" t="str">
        <f>IF(AND(Data!$B146='Individual Type'!$D$2, Data!$K146='All Types'!$D$2,Data!$L146='All Types'!$D$3),Data!$B146,"")</f>
        <v/>
      </c>
      <c r="C146" s="3" t="str">
        <f>IF(F146="","",Data!N146)</f>
        <v/>
      </c>
      <c r="D146" s="3" t="str">
        <f>IF(AND(Data!$B146='Individual Type'!$D$2, Data!$K146='All Types'!$D$2,Data!$L146='All Types'!$D$3),Data!$C146,"")</f>
        <v/>
      </c>
      <c r="E146" s="3" t="str">
        <f>IF($F146="","",Data!P146)</f>
        <v/>
      </c>
      <c r="F146" s="3" t="str">
        <f>IF(AND(Data!$B146='Individual Type'!$D$2, Data!$K146='All Types'!$D$2,Data!$L146='All Types'!$D$3),Data!M146,"")</f>
        <v/>
      </c>
    </row>
    <row r="147">
      <c r="A147" s="102" t="str">
        <f t="shared" si="1"/>
        <v/>
      </c>
      <c r="B147" s="3" t="str">
        <f>IF(AND(Data!$B147='Individual Type'!$D$2, Data!$K147='All Types'!$D$2,Data!$L147='All Types'!$D$3),Data!$B147,"")</f>
        <v/>
      </c>
      <c r="C147" s="3" t="str">
        <f>IF(F147="","",Data!N147)</f>
        <v/>
      </c>
      <c r="D147" s="3" t="str">
        <f>IF(AND(Data!$B147='Individual Type'!$D$2, Data!$K147='All Types'!$D$2,Data!$L147='All Types'!$D$3),Data!$C147,"")</f>
        <v/>
      </c>
      <c r="E147" s="3" t="str">
        <f>IF($F147="","",Data!P147)</f>
        <v/>
      </c>
      <c r="F147" s="3" t="str">
        <f>IF(AND(Data!$B147='Individual Type'!$D$2, Data!$K147='All Types'!$D$2,Data!$L147='All Types'!$D$3),Data!M147,"")</f>
        <v/>
      </c>
    </row>
    <row r="148">
      <c r="A148" s="102" t="str">
        <f t="shared" si="1"/>
        <v/>
      </c>
      <c r="B148" s="3" t="str">
        <f>IF(AND(Data!$B148='Individual Type'!$D$2, Data!$K148='All Types'!$D$2,Data!$L148='All Types'!$D$3),Data!$B148,"")</f>
        <v/>
      </c>
      <c r="C148" s="3" t="str">
        <f>IF(F148="","",Data!N148)</f>
        <v/>
      </c>
      <c r="D148" s="3" t="str">
        <f>IF(AND(Data!$B148='Individual Type'!$D$2, Data!$K148='All Types'!$D$2,Data!$L148='All Types'!$D$3),Data!$C148,"")</f>
        <v/>
      </c>
      <c r="E148" s="3" t="str">
        <f>IF($F148="","",Data!P148)</f>
        <v/>
      </c>
      <c r="F148" s="3" t="str">
        <f>IF(AND(Data!$B148='Individual Type'!$D$2, Data!$K148='All Types'!$D$2,Data!$L148='All Types'!$D$3),Data!M148,"")</f>
        <v/>
      </c>
    </row>
    <row r="149">
      <c r="A149" s="102" t="str">
        <f t="shared" si="1"/>
        <v/>
      </c>
      <c r="B149" s="3" t="str">
        <f>IF(AND(Data!$B149='Individual Type'!$D$2, Data!$K149='All Types'!$D$2,Data!$L149='All Types'!$D$3),Data!$B149,"")</f>
        <v/>
      </c>
      <c r="C149" s="3" t="str">
        <f>IF(F149="","",Data!N149)</f>
        <v/>
      </c>
      <c r="D149" s="3" t="str">
        <f>IF(AND(Data!$B149='Individual Type'!$D$2, Data!$K149='All Types'!$D$2,Data!$L149='All Types'!$D$3),Data!$C149,"")</f>
        <v/>
      </c>
      <c r="E149" s="3" t="str">
        <f>IF($F149="","",Data!P149)</f>
        <v/>
      </c>
      <c r="F149" s="3" t="str">
        <f>IF(AND(Data!$B149='Individual Type'!$D$2, Data!$K149='All Types'!$D$2,Data!$L149='All Types'!$D$3),Data!M149,"")</f>
        <v/>
      </c>
    </row>
    <row r="150">
      <c r="A150" s="102" t="str">
        <f t="shared" si="1"/>
        <v/>
      </c>
      <c r="B150" s="3" t="str">
        <f>IF(AND(Data!$B150='Individual Type'!$D$2, Data!$K150='All Types'!$D$2,Data!$L150='All Types'!$D$3),Data!$B150,"")</f>
        <v/>
      </c>
      <c r="C150" s="3" t="str">
        <f>IF(F150="","",Data!N150)</f>
        <v/>
      </c>
      <c r="D150" s="3" t="str">
        <f>IF(AND(Data!$B150='Individual Type'!$D$2, Data!$K150='All Types'!$D$2,Data!$L150='All Types'!$D$3),Data!$C150,"")</f>
        <v/>
      </c>
      <c r="E150" s="3" t="str">
        <f>IF($F150="","",Data!P150)</f>
        <v/>
      </c>
      <c r="F150" s="3" t="str">
        <f>IF(AND(Data!$B150='Individual Type'!$D$2, Data!$K150='All Types'!$D$2,Data!$L150='All Types'!$D$3),Data!M150,"")</f>
        <v/>
      </c>
    </row>
    <row r="151">
      <c r="A151" s="102" t="str">
        <f t="shared" si="1"/>
        <v/>
      </c>
      <c r="B151" s="3" t="str">
        <f>IF(AND(Data!$B151='Individual Type'!$D$2, Data!$K151='All Types'!$D$2,Data!$L151='All Types'!$D$3),Data!$B151,"")</f>
        <v/>
      </c>
      <c r="C151" s="3" t="str">
        <f>IF(F151="","",Data!N151)</f>
        <v/>
      </c>
      <c r="D151" s="3" t="str">
        <f>IF(AND(Data!$B151='Individual Type'!$D$2, Data!$K151='All Types'!$D$2,Data!$L151='All Types'!$D$3),Data!$C151,"")</f>
        <v/>
      </c>
      <c r="E151" s="3" t="str">
        <f>IF($F151="","",Data!P151)</f>
        <v/>
      </c>
      <c r="F151" s="3" t="str">
        <f>IF(AND(Data!$B151='Individual Type'!$D$2, Data!$K151='All Types'!$D$2,Data!$L151='All Types'!$D$3),Data!M151,"")</f>
        <v/>
      </c>
    </row>
    <row r="152">
      <c r="A152" s="102" t="str">
        <f t="shared" si="1"/>
        <v/>
      </c>
      <c r="B152" s="3" t="str">
        <f>IF(AND(Data!$B152='Individual Type'!$D$2, Data!$K152='All Types'!$D$2,Data!$L152='All Types'!$D$3),Data!$B152,"")</f>
        <v/>
      </c>
      <c r="C152" s="3" t="str">
        <f>IF(F152="","",Data!N152)</f>
        <v/>
      </c>
      <c r="D152" s="3" t="str">
        <f>IF(AND(Data!$B152='Individual Type'!$D$2, Data!$K152='All Types'!$D$2,Data!$L152='All Types'!$D$3),Data!$C152,"")</f>
        <v/>
      </c>
      <c r="E152" s="3" t="str">
        <f>IF($F152="","",Data!P152)</f>
        <v/>
      </c>
      <c r="F152" s="3" t="str">
        <f>IF(AND(Data!$B152='Individual Type'!$D$2, Data!$K152='All Types'!$D$2,Data!$L152='All Types'!$D$3),Data!M152,"")</f>
        <v/>
      </c>
    </row>
    <row r="153">
      <c r="A153" s="102" t="str">
        <f t="shared" si="1"/>
        <v/>
      </c>
      <c r="B153" s="3" t="str">
        <f>IF(AND(Data!$B153='Individual Type'!$D$2, Data!$K153='All Types'!$D$2,Data!$L153='All Types'!$D$3),Data!$B153,"")</f>
        <v/>
      </c>
      <c r="C153" s="3" t="str">
        <f>IF(F153="","",Data!N153)</f>
        <v/>
      </c>
      <c r="D153" s="3" t="str">
        <f>IF(AND(Data!$B153='Individual Type'!$D$2, Data!$K153='All Types'!$D$2,Data!$L153='All Types'!$D$3),Data!$C153,"")</f>
        <v/>
      </c>
      <c r="E153" s="3" t="str">
        <f>IF($F153="","",Data!P153)</f>
        <v/>
      </c>
      <c r="F153" s="3" t="str">
        <f>IF(AND(Data!$B153='Individual Type'!$D$2, Data!$K153='All Types'!$D$2,Data!$L153='All Types'!$D$3),Data!M153,"")</f>
        <v/>
      </c>
    </row>
    <row r="154">
      <c r="A154" s="102" t="str">
        <f t="shared" si="1"/>
        <v/>
      </c>
      <c r="B154" s="3" t="str">
        <f>IF(AND(Data!$B154='Individual Type'!$D$2, Data!$K154='All Types'!$D$2,Data!$L154='All Types'!$D$3),Data!$B154,"")</f>
        <v/>
      </c>
      <c r="C154" s="3" t="str">
        <f>IF(F154="","",Data!N154)</f>
        <v/>
      </c>
      <c r="D154" s="3" t="str">
        <f>IF(AND(Data!$B154='Individual Type'!$D$2, Data!$K154='All Types'!$D$2,Data!$L154='All Types'!$D$3),Data!$C154,"")</f>
        <v/>
      </c>
      <c r="E154" s="3" t="str">
        <f>IF($F154="","",Data!P154)</f>
        <v/>
      </c>
      <c r="F154" s="3" t="str">
        <f>IF(AND(Data!$B154='Individual Type'!$D$2, Data!$K154='All Types'!$D$2,Data!$L154='All Types'!$D$3),Data!M154,"")</f>
        <v/>
      </c>
    </row>
    <row r="155">
      <c r="A155" s="102" t="str">
        <f t="shared" si="1"/>
        <v/>
      </c>
      <c r="B155" s="3" t="str">
        <f>IF(AND(Data!$B155='Individual Type'!$D$2, Data!$K155='All Types'!$D$2,Data!$L155='All Types'!$D$3),Data!$B155,"")</f>
        <v/>
      </c>
      <c r="C155" s="3" t="str">
        <f>IF(F155="","",Data!N155)</f>
        <v/>
      </c>
      <c r="D155" s="3" t="str">
        <f>IF(AND(Data!$B155='Individual Type'!$D$2, Data!$K155='All Types'!$D$2,Data!$L155='All Types'!$D$3),Data!$C155,"")</f>
        <v/>
      </c>
      <c r="E155" s="3" t="str">
        <f>IF($F155="","",Data!P155)</f>
        <v/>
      </c>
      <c r="F155" s="3" t="str">
        <f>IF(AND(Data!$B155='Individual Type'!$D$2, Data!$K155='All Types'!$D$2,Data!$L155='All Types'!$D$3),Data!M155,"")</f>
        <v/>
      </c>
    </row>
    <row r="156">
      <c r="A156" s="102" t="str">
        <f t="shared" si="1"/>
        <v/>
      </c>
      <c r="B156" s="3" t="str">
        <f>IF(AND(Data!$B156='Individual Type'!$D$2, Data!$K156='All Types'!$D$2,Data!$L156='All Types'!$D$3),Data!$B156,"")</f>
        <v/>
      </c>
      <c r="C156" s="3" t="str">
        <f>IF(F156="","",Data!N156)</f>
        <v/>
      </c>
      <c r="D156" s="3" t="str">
        <f>IF(AND(Data!$B156='Individual Type'!$D$2, Data!$K156='All Types'!$D$2,Data!$L156='All Types'!$D$3),Data!$C156,"")</f>
        <v/>
      </c>
      <c r="E156" s="3" t="str">
        <f>IF($F156="","",Data!P156)</f>
        <v/>
      </c>
      <c r="F156" s="3" t="str">
        <f>IF(AND(Data!$B156='Individual Type'!$D$2, Data!$K156='All Types'!$D$2,Data!$L156='All Types'!$D$3),Data!M156,"")</f>
        <v/>
      </c>
    </row>
    <row r="157">
      <c r="A157" s="102" t="str">
        <f t="shared" si="1"/>
        <v/>
      </c>
      <c r="B157" s="3" t="str">
        <f>IF(AND(Data!$B157='Individual Type'!$D$2, Data!$K157='All Types'!$D$2,Data!$L157='All Types'!$D$3),Data!$B157,"")</f>
        <v/>
      </c>
      <c r="C157" s="3" t="str">
        <f>IF(F157="","",Data!N157)</f>
        <v/>
      </c>
      <c r="D157" s="3" t="str">
        <f>IF(AND(Data!$B157='Individual Type'!$D$2, Data!$K157='All Types'!$D$2,Data!$L157='All Types'!$D$3),Data!$C157,"")</f>
        <v/>
      </c>
      <c r="E157" s="3" t="str">
        <f>IF($F157="","",Data!P157)</f>
        <v/>
      </c>
      <c r="F157" s="3" t="str">
        <f>IF(AND(Data!$B157='Individual Type'!$D$2, Data!$K157='All Types'!$D$2,Data!$L157='All Types'!$D$3),Data!M157,"")</f>
        <v/>
      </c>
    </row>
    <row r="158">
      <c r="A158" s="102" t="str">
        <f t="shared" si="1"/>
        <v/>
      </c>
      <c r="B158" s="3" t="str">
        <f>IF(AND(Data!$B158='Individual Type'!$D$2, Data!$K158='All Types'!$D$2,Data!$L158='All Types'!$D$3),Data!$B158,"")</f>
        <v/>
      </c>
      <c r="C158" s="3" t="str">
        <f>IF(F158="","",Data!N158)</f>
        <v/>
      </c>
      <c r="D158" s="3" t="str">
        <f>IF(AND(Data!$B158='Individual Type'!$D$2, Data!$K158='All Types'!$D$2,Data!$L158='All Types'!$D$3),Data!$C158,"")</f>
        <v/>
      </c>
      <c r="E158" s="3" t="str">
        <f>IF($F158="","",Data!P158)</f>
        <v/>
      </c>
      <c r="F158" s="3" t="str">
        <f>IF(AND(Data!$B158='Individual Type'!$D$2, Data!$K158='All Types'!$D$2,Data!$L158='All Types'!$D$3),Data!M158,"")</f>
        <v/>
      </c>
    </row>
    <row r="159">
      <c r="A159" s="102" t="str">
        <f t="shared" si="1"/>
        <v/>
      </c>
      <c r="B159" s="3" t="str">
        <f>IF(AND(Data!$B159='Individual Type'!$D$2, Data!$K159='All Types'!$D$2,Data!$L159='All Types'!$D$3),Data!$B159,"")</f>
        <v/>
      </c>
      <c r="C159" s="3" t="str">
        <f>IF(F159="","",Data!N159)</f>
        <v/>
      </c>
      <c r="D159" s="3" t="str">
        <f>IF(AND(Data!$B159='Individual Type'!$D$2, Data!$K159='All Types'!$D$2,Data!$L159='All Types'!$D$3),Data!$C159,"")</f>
        <v/>
      </c>
      <c r="E159" s="3" t="str">
        <f>IF($F159="","",Data!P159)</f>
        <v/>
      </c>
      <c r="F159" s="3" t="str">
        <f>IF(AND(Data!$B159='Individual Type'!$D$2, Data!$K159='All Types'!$D$2,Data!$L159='All Types'!$D$3),Data!M159,"")</f>
        <v/>
      </c>
    </row>
    <row r="160">
      <c r="A160" s="102" t="str">
        <f t="shared" si="1"/>
        <v/>
      </c>
      <c r="B160" s="3" t="str">
        <f>IF(AND(Data!$B160='Individual Type'!$D$2, Data!$K160='All Types'!$D$2,Data!$L160='All Types'!$D$3),Data!$B160,"")</f>
        <v/>
      </c>
      <c r="C160" s="3" t="str">
        <f>IF(F160="","",Data!N160)</f>
        <v/>
      </c>
      <c r="D160" s="3" t="str">
        <f>IF(AND(Data!$B160='Individual Type'!$D$2, Data!$K160='All Types'!$D$2,Data!$L160='All Types'!$D$3),Data!$C160,"")</f>
        <v/>
      </c>
      <c r="E160" s="3" t="str">
        <f>IF($F160="","",Data!P160)</f>
        <v/>
      </c>
      <c r="F160" s="3" t="str">
        <f>IF(AND(Data!$B160='Individual Type'!$D$2, Data!$K160='All Types'!$D$2,Data!$L160='All Types'!$D$3),Data!M160,"")</f>
        <v/>
      </c>
    </row>
    <row r="161">
      <c r="A161" s="102" t="str">
        <f t="shared" si="1"/>
        <v/>
      </c>
      <c r="B161" s="3" t="str">
        <f>IF(AND(Data!$B161='Individual Type'!$D$2, Data!$K161='All Types'!$D$2,Data!$L161='All Types'!$D$3),Data!$B161,"")</f>
        <v/>
      </c>
      <c r="C161" s="3" t="str">
        <f>IF(F161="","",Data!N161)</f>
        <v/>
      </c>
      <c r="D161" s="3" t="str">
        <f>IF(AND(Data!$B161='Individual Type'!$D$2, Data!$K161='All Types'!$D$2,Data!$L161='All Types'!$D$3),Data!$C161,"")</f>
        <v/>
      </c>
      <c r="E161" s="3" t="str">
        <f>IF($F161="","",Data!P161)</f>
        <v/>
      </c>
      <c r="F161" s="3" t="str">
        <f>IF(AND(Data!$B161='Individual Type'!$D$2, Data!$K161='All Types'!$D$2,Data!$L161='All Types'!$D$3),Data!M161,"")</f>
        <v/>
      </c>
    </row>
    <row r="162">
      <c r="A162" s="102" t="str">
        <f t="shared" si="1"/>
        <v/>
      </c>
      <c r="B162" s="3" t="str">
        <f>IF(AND(Data!$B162='Individual Type'!$D$2, Data!$K162='All Types'!$D$2,Data!$L162='All Types'!$D$3),Data!$B162,"")</f>
        <v/>
      </c>
      <c r="C162" s="3" t="str">
        <f>IF(F162="","",Data!N162)</f>
        <v/>
      </c>
      <c r="D162" s="3" t="str">
        <f>IF(AND(Data!$B162='Individual Type'!$D$2, Data!$K162='All Types'!$D$2,Data!$L162='All Types'!$D$3),Data!$C162,"")</f>
        <v/>
      </c>
      <c r="E162" s="3" t="str">
        <f>IF($F162="","",Data!P162)</f>
        <v/>
      </c>
      <c r="F162" s="3" t="str">
        <f>IF(AND(Data!$B162='Individual Type'!$D$2, Data!$K162='All Types'!$D$2,Data!$L162='All Types'!$D$3),Data!M162,"")</f>
        <v/>
      </c>
    </row>
    <row r="163">
      <c r="A163" s="102" t="str">
        <f t="shared" si="1"/>
        <v/>
      </c>
      <c r="B163" s="3" t="str">
        <f>IF(AND(Data!$B163='Individual Type'!$D$2, Data!$K163='All Types'!$D$2,Data!$L163='All Types'!$D$3),Data!$B163,"")</f>
        <v/>
      </c>
      <c r="C163" s="3" t="str">
        <f>IF(F163="","",Data!N163)</f>
        <v/>
      </c>
      <c r="D163" s="3" t="str">
        <f>IF(AND(Data!$B163='Individual Type'!$D$2, Data!$K163='All Types'!$D$2,Data!$L163='All Types'!$D$3),Data!$C163,"")</f>
        <v/>
      </c>
      <c r="E163" s="3" t="str">
        <f>IF($F163="","",Data!P163)</f>
        <v/>
      </c>
      <c r="F163" s="3" t="str">
        <f>IF(AND(Data!$B163='Individual Type'!$D$2, Data!$K163='All Types'!$D$2,Data!$L163='All Types'!$D$3),Data!M163,"")</f>
        <v/>
      </c>
    </row>
    <row r="164">
      <c r="A164" s="102" t="str">
        <f t="shared" si="1"/>
        <v/>
      </c>
      <c r="B164" s="3" t="str">
        <f>IF(AND(Data!$B164='Individual Type'!$D$2, Data!$K164='All Types'!$D$2,Data!$L164='All Types'!$D$3),Data!$B164,"")</f>
        <v/>
      </c>
      <c r="C164" s="3" t="str">
        <f>IF(F164="","",Data!N164)</f>
        <v/>
      </c>
      <c r="D164" s="3" t="str">
        <f>IF(AND(Data!$B164='Individual Type'!$D$2, Data!$K164='All Types'!$D$2,Data!$L164='All Types'!$D$3),Data!$C164,"")</f>
        <v/>
      </c>
      <c r="E164" s="3" t="str">
        <f>IF($F164="","",Data!P164)</f>
        <v/>
      </c>
      <c r="F164" s="3" t="str">
        <f>IF(AND(Data!$B164='Individual Type'!$D$2, Data!$K164='All Types'!$D$2,Data!$L164='All Types'!$D$3),Data!M164,"")</f>
        <v/>
      </c>
    </row>
    <row r="165">
      <c r="A165" s="102" t="str">
        <f t="shared" si="1"/>
        <v/>
      </c>
      <c r="B165" s="3" t="str">
        <f>IF(AND(Data!$B165='Individual Type'!$D$2, Data!$K165='All Types'!$D$2,Data!$L165='All Types'!$D$3),Data!$B165,"")</f>
        <v/>
      </c>
      <c r="C165" s="3" t="str">
        <f>IF(F165="","",Data!N165)</f>
        <v/>
      </c>
      <c r="D165" s="3" t="str">
        <f>IF(AND(Data!$B165='Individual Type'!$D$2, Data!$K165='All Types'!$D$2,Data!$L165='All Types'!$D$3),Data!$C165,"")</f>
        <v/>
      </c>
      <c r="E165" s="3" t="str">
        <f>IF($F165="","",Data!P165)</f>
        <v/>
      </c>
      <c r="F165" s="3" t="str">
        <f>IF(AND(Data!$B165='Individual Type'!$D$2, Data!$K165='All Types'!$D$2,Data!$L165='All Types'!$D$3),Data!M165,"")</f>
        <v/>
      </c>
    </row>
    <row r="166">
      <c r="A166" s="102" t="str">
        <f t="shared" si="1"/>
        <v/>
      </c>
      <c r="B166" s="3" t="str">
        <f>IF(AND(Data!$B166='Individual Type'!$D$2, Data!$K166='All Types'!$D$2,Data!$L166='All Types'!$D$3),Data!$B166,"")</f>
        <v/>
      </c>
      <c r="C166" s="3" t="str">
        <f>IF(F166="","",Data!N166)</f>
        <v/>
      </c>
      <c r="D166" s="3" t="str">
        <f>IF(AND(Data!$B166='Individual Type'!$D$2, Data!$K166='All Types'!$D$2,Data!$L166='All Types'!$D$3),Data!$C166,"")</f>
        <v/>
      </c>
      <c r="E166" s="3" t="str">
        <f>IF($F166="","",Data!P166)</f>
        <v/>
      </c>
      <c r="F166" s="3" t="str">
        <f>IF(AND(Data!$B166='Individual Type'!$D$2, Data!$K166='All Types'!$D$2,Data!$L166='All Types'!$D$3),Data!M166,"")</f>
        <v/>
      </c>
    </row>
    <row r="167">
      <c r="A167" s="102" t="str">
        <f t="shared" si="1"/>
        <v/>
      </c>
      <c r="B167" s="3" t="str">
        <f>IF(AND(Data!$B167='Individual Type'!$D$2, Data!$K167='All Types'!$D$2,Data!$L167='All Types'!$D$3),Data!$B167,"")</f>
        <v/>
      </c>
      <c r="C167" s="3" t="str">
        <f>IF(F167="","",Data!N167)</f>
        <v/>
      </c>
      <c r="D167" s="3" t="str">
        <f>IF(AND(Data!$B167='Individual Type'!$D$2, Data!$K167='All Types'!$D$2,Data!$L167='All Types'!$D$3),Data!$C167,"")</f>
        <v/>
      </c>
      <c r="E167" s="3" t="str">
        <f>IF($F167="","",Data!P167)</f>
        <v/>
      </c>
      <c r="F167" s="3" t="str">
        <f>IF(AND(Data!$B167='Individual Type'!$D$2, Data!$K167='All Types'!$D$2,Data!$L167='All Types'!$D$3),Data!M167,"")</f>
        <v/>
      </c>
    </row>
    <row r="168">
      <c r="A168" s="102" t="str">
        <f t="shared" si="1"/>
        <v/>
      </c>
      <c r="B168" s="3" t="str">
        <f>IF(AND(Data!$B168='Individual Type'!$D$2, Data!$K168='All Types'!$D$2,Data!$L168='All Types'!$D$3),Data!$B168,"")</f>
        <v/>
      </c>
      <c r="C168" s="3" t="str">
        <f>IF(F168="","",Data!N168)</f>
        <v/>
      </c>
      <c r="D168" s="3" t="str">
        <f>IF(AND(Data!$B168='Individual Type'!$D$2, Data!$K168='All Types'!$D$2,Data!$L168='All Types'!$D$3),Data!$C168,"")</f>
        <v/>
      </c>
      <c r="E168" s="3" t="str">
        <f>IF($F168="","",Data!P168)</f>
        <v/>
      </c>
      <c r="F168" s="3" t="str">
        <f>IF(AND(Data!$B168='Individual Type'!$D$2, Data!$K168='All Types'!$D$2,Data!$L168='All Types'!$D$3),Data!M168,"")</f>
        <v/>
      </c>
    </row>
    <row r="169">
      <c r="A169" s="102" t="str">
        <f t="shared" si="1"/>
        <v/>
      </c>
      <c r="B169" s="3" t="str">
        <f>IF(AND(Data!$B169='Individual Type'!$D$2, Data!$K169='All Types'!$D$2,Data!$L169='All Types'!$D$3),Data!$B169,"")</f>
        <v/>
      </c>
      <c r="C169" s="3" t="str">
        <f>IF(F169="","",Data!N169)</f>
        <v/>
      </c>
      <c r="D169" s="3" t="str">
        <f>IF(AND(Data!$B169='Individual Type'!$D$2, Data!$K169='All Types'!$D$2,Data!$L169='All Types'!$D$3),Data!$C169,"")</f>
        <v/>
      </c>
      <c r="E169" s="3" t="str">
        <f>IF($F169="","",Data!P169)</f>
        <v/>
      </c>
      <c r="F169" s="3" t="str">
        <f>IF(AND(Data!$B169='Individual Type'!$D$2, Data!$K169='All Types'!$D$2,Data!$L169='All Types'!$D$3),Data!M169,"")</f>
        <v/>
      </c>
    </row>
    <row r="170">
      <c r="A170" s="102" t="str">
        <f t="shared" si="1"/>
        <v/>
      </c>
      <c r="B170" s="3" t="str">
        <f>IF(AND(Data!$B170='Individual Type'!$D$2, Data!$K170='All Types'!$D$2,Data!$L170='All Types'!$D$3),Data!$B170,"")</f>
        <v/>
      </c>
      <c r="C170" s="3" t="str">
        <f>IF(F170="","",Data!N170)</f>
        <v/>
      </c>
      <c r="D170" s="3" t="str">
        <f>IF(AND(Data!$B170='Individual Type'!$D$2, Data!$K170='All Types'!$D$2,Data!$L170='All Types'!$D$3),Data!$C170,"")</f>
        <v/>
      </c>
      <c r="E170" s="3" t="str">
        <f>IF($F170="","",Data!P170)</f>
        <v/>
      </c>
      <c r="F170" s="3" t="str">
        <f>IF(AND(Data!$B170='Individual Type'!$D$2, Data!$K170='All Types'!$D$2,Data!$L170='All Types'!$D$3),Data!M170,"")</f>
        <v/>
      </c>
    </row>
    <row r="171">
      <c r="A171" s="102" t="str">
        <f t="shared" si="1"/>
        <v/>
      </c>
      <c r="B171" s="3" t="str">
        <f>IF(AND(Data!$B171='Individual Type'!$D$2, Data!$K171='All Types'!$D$2,Data!$L171='All Types'!$D$3),Data!$B171,"")</f>
        <v/>
      </c>
      <c r="C171" s="3" t="str">
        <f>IF(F171="","",Data!N171)</f>
        <v/>
      </c>
      <c r="D171" s="3" t="str">
        <f>IF(AND(Data!$B171='Individual Type'!$D$2, Data!$K171='All Types'!$D$2,Data!$L171='All Types'!$D$3),Data!$C171,"")</f>
        <v/>
      </c>
      <c r="E171" s="3" t="str">
        <f>IF($F171="","",Data!P171)</f>
        <v/>
      </c>
      <c r="F171" s="3" t="str">
        <f>IF(AND(Data!$B171='Individual Type'!$D$2, Data!$K171='All Types'!$D$2,Data!$L171='All Types'!$D$3),Data!M171,"")</f>
        <v/>
      </c>
    </row>
    <row r="172">
      <c r="A172" s="102" t="str">
        <f t="shared" si="1"/>
        <v/>
      </c>
      <c r="B172" s="3" t="str">
        <f>IF(AND(Data!$B172='Individual Type'!$D$2, Data!$K172='All Types'!$D$2,Data!$L172='All Types'!$D$3),Data!$B172,"")</f>
        <v/>
      </c>
      <c r="C172" s="3" t="str">
        <f>IF(F172="","",Data!N172)</f>
        <v/>
      </c>
      <c r="D172" s="3" t="str">
        <f>IF(AND(Data!$B172='Individual Type'!$D$2, Data!$K172='All Types'!$D$2,Data!$L172='All Types'!$D$3),Data!$C172,"")</f>
        <v/>
      </c>
      <c r="E172" s="3" t="str">
        <f>IF($F172="","",Data!P172)</f>
        <v/>
      </c>
      <c r="F172" s="3" t="str">
        <f>IF(AND(Data!$B172='Individual Type'!$D$2, Data!$K172='All Types'!$D$2,Data!$L172='All Types'!$D$3),Data!M172,"")</f>
        <v/>
      </c>
    </row>
    <row r="173">
      <c r="A173" s="102" t="str">
        <f t="shared" si="1"/>
        <v/>
      </c>
      <c r="B173" s="3" t="str">
        <f>IF(AND(Data!$B173='Individual Type'!$D$2, Data!$K173='All Types'!$D$2,Data!$L173='All Types'!$D$3),Data!$B173,"")</f>
        <v/>
      </c>
      <c r="C173" s="3" t="str">
        <f>IF(F173="","",Data!N173)</f>
        <v/>
      </c>
      <c r="D173" s="3" t="str">
        <f>IF(AND(Data!$B173='Individual Type'!$D$2, Data!$K173='All Types'!$D$2,Data!$L173='All Types'!$D$3),Data!$C173,"")</f>
        <v/>
      </c>
      <c r="E173" s="3" t="str">
        <f>IF($F173="","",Data!P173)</f>
        <v/>
      </c>
      <c r="F173" s="3" t="str">
        <f>IF(AND(Data!$B173='Individual Type'!$D$2, Data!$K173='All Types'!$D$2,Data!$L173='All Types'!$D$3),Data!M173,"")</f>
        <v/>
      </c>
    </row>
    <row r="174">
      <c r="A174" s="102" t="str">
        <f t="shared" si="1"/>
        <v/>
      </c>
      <c r="B174" s="3" t="str">
        <f>IF(AND(Data!$B174='Individual Type'!$D$2, Data!$K174='All Types'!$D$2,Data!$L174='All Types'!$D$3),Data!$B174,"")</f>
        <v/>
      </c>
      <c r="C174" s="3" t="str">
        <f>IF(F174="","",Data!N174)</f>
        <v/>
      </c>
      <c r="D174" s="3" t="str">
        <f>IF(AND(Data!$B174='Individual Type'!$D$2, Data!$K174='All Types'!$D$2,Data!$L174='All Types'!$D$3),Data!$C174,"")</f>
        <v/>
      </c>
      <c r="E174" s="3" t="str">
        <f>IF($F174="","",Data!P174)</f>
        <v/>
      </c>
      <c r="F174" s="3" t="str">
        <f>IF(AND(Data!$B174='Individual Type'!$D$2, Data!$K174='All Types'!$D$2,Data!$L174='All Types'!$D$3),Data!M174,"")</f>
        <v/>
      </c>
    </row>
    <row r="175">
      <c r="A175" s="102" t="str">
        <f t="shared" si="1"/>
        <v/>
      </c>
      <c r="B175" s="3" t="str">
        <f>IF(AND(Data!$B175='Individual Type'!$D$2, Data!$K175='All Types'!$D$2,Data!$L175='All Types'!$D$3),Data!$B175,"")</f>
        <v/>
      </c>
      <c r="C175" s="3" t="str">
        <f>IF(F175="","",Data!N175)</f>
        <v/>
      </c>
      <c r="D175" s="3" t="str">
        <f>IF(AND(Data!$B175='Individual Type'!$D$2, Data!$K175='All Types'!$D$2,Data!$L175='All Types'!$D$3),Data!$C175,"")</f>
        <v/>
      </c>
      <c r="E175" s="3" t="str">
        <f>IF($F175="","",Data!P175)</f>
        <v/>
      </c>
      <c r="F175" s="3" t="str">
        <f>IF(AND(Data!$B175='Individual Type'!$D$2, Data!$K175='All Types'!$D$2,Data!$L175='All Types'!$D$3),Data!M175,"")</f>
        <v/>
      </c>
    </row>
    <row r="176">
      <c r="A176" s="102" t="str">
        <f t="shared" si="1"/>
        <v/>
      </c>
      <c r="B176" s="3" t="str">
        <f>IF(AND(Data!$B176='Individual Type'!$D$2, Data!$K176='All Types'!$D$2,Data!$L176='All Types'!$D$3),Data!$B176,"")</f>
        <v/>
      </c>
      <c r="C176" s="3" t="str">
        <f>IF(F176="","",Data!N176)</f>
        <v/>
      </c>
      <c r="D176" s="3" t="str">
        <f>IF(AND(Data!$B176='Individual Type'!$D$2, Data!$K176='All Types'!$D$2,Data!$L176='All Types'!$D$3),Data!$C176,"")</f>
        <v/>
      </c>
      <c r="E176" s="3" t="str">
        <f>IF($F176="","",Data!P176)</f>
        <v/>
      </c>
      <c r="F176" s="3" t="str">
        <f>IF(AND(Data!$B176='Individual Type'!$D$2, Data!$K176='All Types'!$D$2,Data!$L176='All Types'!$D$3),Data!M176,"")</f>
        <v/>
      </c>
    </row>
    <row r="177">
      <c r="A177" s="102" t="str">
        <f t="shared" si="1"/>
        <v/>
      </c>
      <c r="B177" s="3" t="str">
        <f>IF(AND(Data!$B177='Individual Type'!$D$2, Data!$K177='All Types'!$D$2,Data!$L177='All Types'!$D$3),Data!$B177,"")</f>
        <v/>
      </c>
      <c r="C177" s="3" t="str">
        <f>IF(F177="","",Data!N177)</f>
        <v/>
      </c>
      <c r="D177" s="3" t="str">
        <f>IF(AND(Data!$B177='Individual Type'!$D$2, Data!$K177='All Types'!$D$2,Data!$L177='All Types'!$D$3),Data!$C177,"")</f>
        <v/>
      </c>
      <c r="E177" s="3" t="str">
        <f>IF($F177="","",Data!P177)</f>
        <v/>
      </c>
      <c r="F177" s="3" t="str">
        <f>IF(AND(Data!$B177='Individual Type'!$D$2, Data!$K177='All Types'!$D$2,Data!$L177='All Types'!$D$3),Data!M177,"")</f>
        <v/>
      </c>
    </row>
    <row r="178">
      <c r="A178" s="102" t="str">
        <f t="shared" si="1"/>
        <v/>
      </c>
      <c r="B178" s="3" t="str">
        <f>IF(AND(Data!$B178='Individual Type'!$D$2, Data!$K178='All Types'!$D$2,Data!$L178='All Types'!$D$3),Data!$B178,"")</f>
        <v/>
      </c>
      <c r="C178" s="3" t="str">
        <f>IF(F178="","",Data!N178)</f>
        <v/>
      </c>
      <c r="D178" s="3" t="str">
        <f>IF(AND(Data!$B178='Individual Type'!$D$2, Data!$K178='All Types'!$D$2,Data!$L178='All Types'!$D$3),Data!$C178,"")</f>
        <v/>
      </c>
      <c r="E178" s="3" t="str">
        <f>IF($F178="","",Data!P178)</f>
        <v/>
      </c>
      <c r="F178" s="3" t="str">
        <f>IF(AND(Data!$B178='Individual Type'!$D$2, Data!$K178='All Types'!$D$2,Data!$L178='All Types'!$D$3),Data!M178,"")</f>
        <v/>
      </c>
    </row>
    <row r="179">
      <c r="A179" s="102" t="str">
        <f t="shared" si="1"/>
        <v/>
      </c>
      <c r="B179" s="3" t="str">
        <f>IF(AND(Data!$B179='Individual Type'!$D$2, Data!$K179='All Types'!$D$2,Data!$L179='All Types'!$D$3),Data!$B179,"")</f>
        <v/>
      </c>
      <c r="C179" s="3" t="str">
        <f>IF(F179="","",Data!N179)</f>
        <v/>
      </c>
      <c r="D179" s="3" t="str">
        <f>IF(AND(Data!$B179='Individual Type'!$D$2, Data!$K179='All Types'!$D$2,Data!$L179='All Types'!$D$3),Data!$C179,"")</f>
        <v/>
      </c>
      <c r="E179" s="3" t="str">
        <f>IF($F179="","",Data!P179)</f>
        <v/>
      </c>
      <c r="F179" s="3" t="str">
        <f>IF(AND(Data!$B179='Individual Type'!$D$2, Data!$K179='All Types'!$D$2,Data!$L179='All Types'!$D$3),Data!M179,"")</f>
        <v/>
      </c>
    </row>
    <row r="180">
      <c r="A180" s="102" t="str">
        <f t="shared" si="1"/>
        <v/>
      </c>
      <c r="B180" s="3" t="str">
        <f>IF(AND(Data!$B180='Individual Type'!$D$2, Data!$K180='All Types'!$D$2,Data!$L180='All Types'!$D$3),Data!$B180,"")</f>
        <v/>
      </c>
      <c r="C180" s="3" t="str">
        <f>IF(F180="","",Data!N180)</f>
        <v/>
      </c>
      <c r="D180" s="3" t="str">
        <f>IF(AND(Data!$B180='Individual Type'!$D$2, Data!$K180='All Types'!$D$2,Data!$L180='All Types'!$D$3),Data!$C180,"")</f>
        <v/>
      </c>
      <c r="E180" s="3" t="str">
        <f>IF($F180="","",Data!P180)</f>
        <v/>
      </c>
      <c r="F180" s="3" t="str">
        <f>IF(AND(Data!$B180='Individual Type'!$D$2, Data!$K180='All Types'!$D$2,Data!$L180='All Types'!$D$3),Data!M180,"")</f>
        <v/>
      </c>
    </row>
    <row r="181">
      <c r="A181" s="102" t="str">
        <f t="shared" si="1"/>
        <v/>
      </c>
      <c r="B181" s="3" t="str">
        <f>IF(AND(Data!$B181='Individual Type'!$D$2, Data!$K181='All Types'!$D$2,Data!$L181='All Types'!$D$3),Data!$B181,"")</f>
        <v/>
      </c>
      <c r="C181" s="3" t="str">
        <f>IF(F181="","",Data!N181)</f>
        <v/>
      </c>
      <c r="D181" s="3" t="str">
        <f>IF(AND(Data!$B181='Individual Type'!$D$2, Data!$K181='All Types'!$D$2,Data!$L181='All Types'!$D$3),Data!$C181,"")</f>
        <v/>
      </c>
      <c r="E181" s="3" t="str">
        <f>IF($F181="","",Data!P181)</f>
        <v/>
      </c>
      <c r="F181" s="3" t="str">
        <f>IF(AND(Data!$B181='Individual Type'!$D$2, Data!$K181='All Types'!$D$2,Data!$L181='All Types'!$D$3),Data!M181,"")</f>
        <v/>
      </c>
    </row>
    <row r="182">
      <c r="A182" s="102" t="str">
        <f t="shared" si="1"/>
        <v/>
      </c>
      <c r="B182" s="3" t="str">
        <f>IF(AND(Data!$B182='Individual Type'!$D$2, Data!$K182='All Types'!$D$2,Data!$L182='All Types'!$D$3),Data!$B182,"")</f>
        <v/>
      </c>
      <c r="C182" s="3" t="str">
        <f>IF(F182="","",Data!N182)</f>
        <v/>
      </c>
      <c r="D182" s="3" t="str">
        <f>IF(AND(Data!$B182='Individual Type'!$D$2, Data!$K182='All Types'!$D$2,Data!$L182='All Types'!$D$3),Data!$C182,"")</f>
        <v/>
      </c>
      <c r="E182" s="3" t="str">
        <f>IF($F182="","",Data!P182)</f>
        <v/>
      </c>
      <c r="F182" s="3" t="str">
        <f>IF(AND(Data!$B182='Individual Type'!$D$2, Data!$K182='All Types'!$D$2,Data!$L182='All Types'!$D$3),Data!M182,"")</f>
        <v/>
      </c>
    </row>
    <row r="183">
      <c r="A183" s="102" t="str">
        <f t="shared" si="1"/>
        <v/>
      </c>
      <c r="B183" s="3" t="str">
        <f>IF(AND(Data!$B183='Individual Type'!$D$2, Data!$K183='All Types'!$D$2,Data!$L183='All Types'!$D$3),Data!$B183,"")</f>
        <v/>
      </c>
      <c r="C183" s="3" t="str">
        <f>IF(F183="","",Data!N183)</f>
        <v/>
      </c>
      <c r="D183" s="3" t="str">
        <f>IF(AND(Data!$B183='Individual Type'!$D$2, Data!$K183='All Types'!$D$2,Data!$L183='All Types'!$D$3),Data!$C183,"")</f>
        <v/>
      </c>
      <c r="E183" s="3" t="str">
        <f>IF($F183="","",Data!P183)</f>
        <v/>
      </c>
      <c r="F183" s="3" t="str">
        <f>IF(AND(Data!$B183='Individual Type'!$D$2, Data!$K183='All Types'!$D$2,Data!$L183='All Types'!$D$3),Data!M183,"")</f>
        <v/>
      </c>
    </row>
    <row r="184">
      <c r="A184" s="102" t="str">
        <f t="shared" si="1"/>
        <v/>
      </c>
      <c r="B184" s="3" t="str">
        <f>IF(AND(Data!$B184='Individual Type'!$D$2, Data!$K184='All Types'!$D$2,Data!$L184='All Types'!$D$3),Data!$B184,"")</f>
        <v/>
      </c>
      <c r="C184" s="3" t="str">
        <f>IF(F184="","",Data!N184)</f>
        <v/>
      </c>
      <c r="D184" s="3" t="str">
        <f>IF(AND(Data!$B184='Individual Type'!$D$2, Data!$K184='All Types'!$D$2,Data!$L184='All Types'!$D$3),Data!$C184,"")</f>
        <v/>
      </c>
      <c r="E184" s="3" t="str">
        <f>IF($F184="","",Data!P184)</f>
        <v/>
      </c>
      <c r="F184" s="3" t="str">
        <f>IF(AND(Data!$B184='Individual Type'!$D$2, Data!$K184='All Types'!$D$2,Data!$L184='All Types'!$D$3),Data!M184,"")</f>
        <v/>
      </c>
    </row>
    <row r="185">
      <c r="A185" s="102" t="str">
        <f t="shared" si="1"/>
        <v/>
      </c>
      <c r="B185" s="3" t="str">
        <f>IF(AND(Data!$B185='Individual Type'!$D$2, Data!$K185='All Types'!$D$2,Data!$L185='All Types'!$D$3),Data!$B185,"")</f>
        <v/>
      </c>
      <c r="C185" s="3" t="str">
        <f>IF(F185="","",Data!N185)</f>
        <v/>
      </c>
      <c r="D185" s="3" t="str">
        <f>IF(AND(Data!$B185='Individual Type'!$D$2, Data!$K185='All Types'!$D$2,Data!$L185='All Types'!$D$3),Data!$C185,"")</f>
        <v/>
      </c>
      <c r="E185" s="3" t="str">
        <f>IF($F185="","",Data!P185)</f>
        <v/>
      </c>
      <c r="F185" s="3" t="str">
        <f>IF(AND(Data!$B185='Individual Type'!$D$2, Data!$K185='All Types'!$D$2,Data!$L185='All Types'!$D$3),Data!M185,"")</f>
        <v/>
      </c>
    </row>
    <row r="186">
      <c r="A186" s="102" t="str">
        <f t="shared" si="1"/>
        <v/>
      </c>
      <c r="B186" s="3" t="str">
        <f>IF(AND(Data!$B186='Individual Type'!$D$2, Data!$K186='All Types'!$D$2,Data!$L186='All Types'!$D$3),Data!$B186,"")</f>
        <v/>
      </c>
      <c r="C186" s="3" t="str">
        <f>IF(F186="","",Data!N186)</f>
        <v/>
      </c>
      <c r="D186" s="3" t="str">
        <f>IF(AND(Data!$B186='Individual Type'!$D$2, Data!$K186='All Types'!$D$2,Data!$L186='All Types'!$D$3),Data!$C186,"")</f>
        <v/>
      </c>
      <c r="E186" s="3" t="str">
        <f>IF($F186="","",Data!P186)</f>
        <v/>
      </c>
      <c r="F186" s="3" t="str">
        <f>IF(AND(Data!$B186='Individual Type'!$D$2, Data!$K186='All Types'!$D$2,Data!$L186='All Types'!$D$3),Data!M186,"")</f>
        <v/>
      </c>
    </row>
    <row r="187">
      <c r="A187" s="102" t="str">
        <f t="shared" si="1"/>
        <v/>
      </c>
      <c r="B187" s="3" t="str">
        <f>IF(AND(Data!$B187='Individual Type'!$D$2, Data!$K187='All Types'!$D$2,Data!$L187='All Types'!$D$3),Data!$B187,"")</f>
        <v/>
      </c>
      <c r="C187" s="3" t="str">
        <f>IF(F187="","",Data!N187)</f>
        <v/>
      </c>
      <c r="D187" s="3" t="str">
        <f>IF(AND(Data!$B187='Individual Type'!$D$2, Data!$K187='All Types'!$D$2,Data!$L187='All Types'!$D$3),Data!$C187,"")</f>
        <v/>
      </c>
      <c r="E187" s="3" t="str">
        <f>IF($F187="","",Data!P187)</f>
        <v/>
      </c>
      <c r="F187" s="3" t="str">
        <f>IF(AND(Data!$B187='Individual Type'!$D$2, Data!$K187='All Types'!$D$2,Data!$L187='All Types'!$D$3),Data!M187,"")</f>
        <v/>
      </c>
    </row>
    <row r="188">
      <c r="A188" s="102" t="str">
        <f t="shared" si="1"/>
        <v/>
      </c>
      <c r="B188" s="3" t="str">
        <f>IF(AND(Data!$B188='Individual Type'!$D$2, Data!$K188='All Types'!$D$2,Data!$L188='All Types'!$D$3),Data!$B188,"")</f>
        <v/>
      </c>
      <c r="C188" s="3" t="str">
        <f>IF(F188="","",Data!N188)</f>
        <v/>
      </c>
      <c r="D188" s="3" t="str">
        <f>IF(AND(Data!$B188='Individual Type'!$D$2, Data!$K188='All Types'!$D$2,Data!$L188='All Types'!$D$3),Data!$C188,"")</f>
        <v/>
      </c>
      <c r="E188" s="3" t="str">
        <f>IF($F188="","",Data!P188)</f>
        <v/>
      </c>
      <c r="F188" s="3" t="str">
        <f>IF(AND(Data!$B188='Individual Type'!$D$2, Data!$K188='All Types'!$D$2,Data!$L188='All Types'!$D$3),Data!M188,"")</f>
        <v/>
      </c>
    </row>
    <row r="189">
      <c r="A189" s="102" t="str">
        <f t="shared" si="1"/>
        <v/>
      </c>
      <c r="B189" s="3" t="str">
        <f>IF(AND(Data!$B189='Individual Type'!$D$2, Data!$K189='All Types'!$D$2,Data!$L189='All Types'!$D$3),Data!$B189,"")</f>
        <v/>
      </c>
      <c r="C189" s="3" t="str">
        <f>IF(F189="","",Data!N189)</f>
        <v/>
      </c>
      <c r="D189" s="3" t="str">
        <f>IF(AND(Data!$B189='Individual Type'!$D$2, Data!$K189='All Types'!$D$2,Data!$L189='All Types'!$D$3),Data!$C189,"")</f>
        <v/>
      </c>
      <c r="E189" s="3" t="str">
        <f>IF($F189="","",Data!P189)</f>
        <v/>
      </c>
      <c r="F189" s="3" t="str">
        <f>IF(AND(Data!$B189='Individual Type'!$D$2, Data!$K189='All Types'!$D$2,Data!$L189='All Types'!$D$3),Data!M189,"")</f>
        <v/>
      </c>
    </row>
    <row r="190">
      <c r="A190" s="102" t="str">
        <f t="shared" si="1"/>
        <v/>
      </c>
      <c r="B190" s="3" t="str">
        <f>IF(AND(Data!$B190='Individual Type'!$D$2, Data!$K190='All Types'!$D$2,Data!$L190='All Types'!$D$3),Data!$B190,"")</f>
        <v/>
      </c>
      <c r="C190" s="3" t="str">
        <f>IF(F190="","",Data!N190)</f>
        <v/>
      </c>
      <c r="D190" s="3" t="str">
        <f>IF(AND(Data!$B190='Individual Type'!$D$2, Data!$K190='All Types'!$D$2,Data!$L190='All Types'!$D$3),Data!$C190,"")</f>
        <v/>
      </c>
      <c r="E190" s="3" t="str">
        <f>IF($F190="","",Data!P190)</f>
        <v/>
      </c>
      <c r="F190" s="3" t="str">
        <f>IF(AND(Data!$B190='Individual Type'!$D$2, Data!$K190='All Types'!$D$2,Data!$L190='All Types'!$D$3),Data!M190,"")</f>
        <v/>
      </c>
    </row>
    <row r="191">
      <c r="A191" s="102" t="str">
        <f t="shared" si="1"/>
        <v/>
      </c>
      <c r="B191" s="3" t="str">
        <f>IF(AND(Data!$B191='Individual Type'!$D$2, Data!$K191='All Types'!$D$2,Data!$L191='All Types'!$D$3),Data!$B191,"")</f>
        <v/>
      </c>
      <c r="C191" s="3" t="str">
        <f>IF(F191="","",Data!N191)</f>
        <v/>
      </c>
      <c r="D191" s="3" t="str">
        <f>IF(AND(Data!$B191='Individual Type'!$D$2, Data!$K191='All Types'!$D$2,Data!$L191='All Types'!$D$3),Data!$C191,"")</f>
        <v/>
      </c>
      <c r="E191" s="3" t="str">
        <f>IF($F191="","",Data!P191)</f>
        <v/>
      </c>
      <c r="F191" s="3" t="str">
        <f>IF(AND(Data!$B191='Individual Type'!$D$2, Data!$K191='All Types'!$D$2,Data!$L191='All Types'!$D$3),Data!M191,"")</f>
        <v/>
      </c>
    </row>
    <row r="192">
      <c r="A192" s="102" t="str">
        <f t="shared" si="1"/>
        <v/>
      </c>
      <c r="B192" s="3" t="str">
        <f>IF(AND(Data!$B192='Individual Type'!$D$2, Data!$K192='All Types'!$D$2,Data!$L192='All Types'!$D$3),Data!$B192,"")</f>
        <v/>
      </c>
      <c r="C192" s="3" t="str">
        <f>IF(F192="","",Data!N192)</f>
        <v/>
      </c>
      <c r="D192" s="3" t="str">
        <f>IF(AND(Data!$B192='Individual Type'!$D$2, Data!$K192='All Types'!$D$2,Data!$L192='All Types'!$D$3),Data!$C192,"")</f>
        <v/>
      </c>
      <c r="E192" s="3" t="str">
        <f>IF($F192="","",Data!P192)</f>
        <v/>
      </c>
      <c r="F192" s="3" t="str">
        <f>IF(AND(Data!$B192='Individual Type'!$D$2, Data!$K192='All Types'!$D$2,Data!$L192='All Types'!$D$3),Data!M192,"")</f>
        <v/>
      </c>
    </row>
    <row r="193">
      <c r="A193" s="102" t="str">
        <f t="shared" si="1"/>
        <v/>
      </c>
      <c r="B193" s="3" t="str">
        <f>IF(AND(Data!$B193='Individual Type'!$D$2, Data!$K193='All Types'!$D$2,Data!$L193='All Types'!$D$3),Data!$B193,"")</f>
        <v/>
      </c>
      <c r="C193" s="3" t="str">
        <f>IF(F193="","",Data!N193)</f>
        <v/>
      </c>
      <c r="D193" s="3" t="str">
        <f>IF(AND(Data!$B193='Individual Type'!$D$2, Data!$K193='All Types'!$D$2,Data!$L193='All Types'!$D$3),Data!$C193,"")</f>
        <v/>
      </c>
      <c r="E193" s="3" t="str">
        <f>IF($F193="","",Data!P193)</f>
        <v/>
      </c>
      <c r="F193" s="3" t="str">
        <f>IF(AND(Data!$B193='Individual Type'!$D$2, Data!$K193='All Types'!$D$2,Data!$L193='All Types'!$D$3),Data!M193,"")</f>
        <v/>
      </c>
    </row>
    <row r="194">
      <c r="A194" s="102" t="str">
        <f t="shared" si="1"/>
        <v/>
      </c>
      <c r="B194" s="3" t="str">
        <f>IF(AND(Data!$B194='Individual Type'!$D$2, Data!$K194='All Types'!$D$2,Data!$L194='All Types'!$D$3),Data!$B194,"")</f>
        <v/>
      </c>
      <c r="C194" s="3" t="str">
        <f>IF(F194="","",Data!N194)</f>
        <v/>
      </c>
      <c r="D194" s="3" t="str">
        <f>IF(AND(Data!$B194='Individual Type'!$D$2, Data!$K194='All Types'!$D$2,Data!$L194='All Types'!$D$3),Data!$C194,"")</f>
        <v/>
      </c>
      <c r="E194" s="3" t="str">
        <f>IF($F194="","",Data!P194)</f>
        <v/>
      </c>
      <c r="F194" s="3" t="str">
        <f>IF(AND(Data!$B194='Individual Type'!$D$2, Data!$K194='All Types'!$D$2,Data!$L194='All Types'!$D$3),Data!M194,"")</f>
        <v/>
      </c>
    </row>
    <row r="195">
      <c r="A195" s="102" t="str">
        <f t="shared" si="1"/>
        <v/>
      </c>
      <c r="B195" s="3" t="str">
        <f>IF(AND(Data!$B195='Individual Type'!$D$2, Data!$K195='All Types'!$D$2,Data!$L195='All Types'!$D$3),Data!$B195,"")</f>
        <v/>
      </c>
      <c r="C195" s="3" t="str">
        <f>IF(F195="","",Data!N195)</f>
        <v/>
      </c>
      <c r="D195" s="3" t="str">
        <f>IF(AND(Data!$B195='Individual Type'!$D$2, Data!$K195='All Types'!$D$2,Data!$L195='All Types'!$D$3),Data!$C195,"")</f>
        <v/>
      </c>
      <c r="E195" s="3" t="str">
        <f>IF($F195="","",Data!P195)</f>
        <v/>
      </c>
      <c r="F195" s="3" t="str">
        <f>IF(AND(Data!$B195='Individual Type'!$D$2, Data!$K195='All Types'!$D$2,Data!$L195='All Types'!$D$3),Data!M195,"")</f>
        <v/>
      </c>
    </row>
    <row r="196">
      <c r="A196" s="102" t="str">
        <f t="shared" si="1"/>
        <v/>
      </c>
      <c r="B196" s="3" t="str">
        <f>IF(AND(Data!$B196='Individual Type'!$D$2, Data!$K196='All Types'!$D$2,Data!$L196='All Types'!$D$3),Data!$B196,"")</f>
        <v/>
      </c>
      <c r="C196" s="3" t="str">
        <f>IF(F196="","",Data!N196)</f>
        <v/>
      </c>
      <c r="D196" s="3" t="str">
        <f>IF(AND(Data!$B196='Individual Type'!$D$2, Data!$K196='All Types'!$D$2,Data!$L196='All Types'!$D$3),Data!$C196,"")</f>
        <v/>
      </c>
      <c r="E196" s="3" t="str">
        <f>IF($F196="","",Data!P196)</f>
        <v/>
      </c>
      <c r="F196" s="3" t="str">
        <f>IF(AND(Data!$B196='Individual Type'!$D$2, Data!$K196='All Types'!$D$2,Data!$L196='All Types'!$D$3),Data!M196,"")</f>
        <v/>
      </c>
    </row>
    <row r="197">
      <c r="A197" s="102" t="str">
        <f t="shared" si="1"/>
        <v/>
      </c>
      <c r="B197" s="3" t="str">
        <f>IF(AND(Data!$B197='Individual Type'!$D$2, Data!$K197='All Types'!$D$2,Data!$L197='All Types'!$D$3),Data!$B197,"")</f>
        <v/>
      </c>
      <c r="C197" s="3" t="str">
        <f>IF(F197="","",Data!N197)</f>
        <v/>
      </c>
      <c r="D197" s="3" t="str">
        <f>IF(AND(Data!$B197='Individual Type'!$D$2, Data!$K197='All Types'!$D$2,Data!$L197='All Types'!$D$3),Data!$C197,"")</f>
        <v/>
      </c>
      <c r="E197" s="3" t="str">
        <f>IF($F197="","",Data!P197)</f>
        <v/>
      </c>
      <c r="F197" s="3" t="str">
        <f>IF(AND(Data!$B197='Individual Type'!$D$2, Data!$K197='All Types'!$D$2,Data!$L197='All Types'!$D$3),Data!M197,"")</f>
        <v/>
      </c>
    </row>
    <row r="198">
      <c r="A198" s="102" t="str">
        <f t="shared" si="1"/>
        <v/>
      </c>
      <c r="B198" s="3" t="str">
        <f>IF(AND(Data!$B198='Individual Type'!$D$2, Data!$K198='All Types'!$D$2,Data!$L198='All Types'!$D$3),Data!$B198,"")</f>
        <v/>
      </c>
      <c r="C198" s="3" t="str">
        <f>IF(F198="","",Data!N198)</f>
        <v/>
      </c>
      <c r="D198" s="3" t="str">
        <f>IF(AND(Data!$B198='Individual Type'!$D$2, Data!$K198='All Types'!$D$2,Data!$L198='All Types'!$D$3),Data!$C198,"")</f>
        <v/>
      </c>
      <c r="E198" s="3" t="str">
        <f>IF($F198="","",Data!P198)</f>
        <v/>
      </c>
      <c r="F198" s="3" t="str">
        <f>IF(AND(Data!$B198='Individual Type'!$D$2, Data!$K198='All Types'!$D$2,Data!$L198='All Types'!$D$3),Data!M198,"")</f>
        <v/>
      </c>
    </row>
    <row r="199">
      <c r="A199" s="102" t="str">
        <f t="shared" si="1"/>
        <v/>
      </c>
      <c r="B199" s="3" t="str">
        <f>IF(AND(Data!$B199='Individual Type'!$D$2, Data!$K199='All Types'!$D$2,Data!$L199='All Types'!$D$3),Data!$B199,"")</f>
        <v/>
      </c>
      <c r="C199" s="3" t="str">
        <f>IF(F199="","",Data!N199)</f>
        <v/>
      </c>
      <c r="D199" s="3" t="str">
        <f>IF(AND(Data!$B199='Individual Type'!$D$2, Data!$K199='All Types'!$D$2,Data!$L199='All Types'!$D$3),Data!$C199,"")</f>
        <v/>
      </c>
      <c r="E199" s="3" t="str">
        <f>IF($F199="","",Data!P199)</f>
        <v/>
      </c>
      <c r="F199" s="3" t="str">
        <f>IF(AND(Data!$B199='Individual Type'!$D$2, Data!$K199='All Types'!$D$2,Data!$L199='All Types'!$D$3),Data!M199,"")</f>
        <v/>
      </c>
    </row>
    <row r="200">
      <c r="A200" s="102" t="str">
        <f t="shared" si="1"/>
        <v/>
      </c>
      <c r="B200" s="3" t="str">
        <f>IF(AND(Data!$B200='Individual Type'!$D$2, Data!$K200='All Types'!$D$2,Data!$L200='All Types'!$D$3),Data!$B200,"")</f>
        <v/>
      </c>
      <c r="C200" s="3" t="str">
        <f>IF(F200="","",Data!N200)</f>
        <v/>
      </c>
      <c r="D200" s="3" t="str">
        <f>IF(AND(Data!$B200='Individual Type'!$D$2, Data!$K200='All Types'!$D$2,Data!$L200='All Types'!$D$3),Data!$C200,"")</f>
        <v/>
      </c>
      <c r="E200" s="3" t="str">
        <f>IF($F200="","",Data!P200)</f>
        <v/>
      </c>
      <c r="F200" s="3" t="str">
        <f>IF(AND(Data!$B200='Individual Type'!$D$2, Data!$K200='All Types'!$D$2,Data!$L200='All Types'!$D$3),Data!M200,"")</f>
        <v/>
      </c>
    </row>
    <row r="201">
      <c r="A201" s="102" t="str">
        <f t="shared" si="1"/>
        <v/>
      </c>
      <c r="B201" s="3" t="str">
        <f>IF(AND(Data!$B201='Individual Type'!$D$2, Data!$K201='All Types'!$D$2,Data!$L201='All Types'!$D$3),Data!$B201,"")</f>
        <v/>
      </c>
      <c r="C201" s="3" t="str">
        <f>IF(F201="","",Data!N201)</f>
        <v/>
      </c>
      <c r="D201" s="3" t="str">
        <f>IF(AND(Data!$B201='Individual Type'!$D$2, Data!$K201='All Types'!$D$2,Data!$L201='All Types'!$D$3),Data!$C201,"")</f>
        <v/>
      </c>
      <c r="E201" s="3" t="str">
        <f>IF($F201="","",Data!P201)</f>
        <v/>
      </c>
      <c r="F201" s="3" t="str">
        <f>IF(AND(Data!$B201='Individual Type'!$D$2, Data!$K201='All Types'!$D$2,Data!$L201='All Types'!$D$3),Data!M201,"")</f>
        <v/>
      </c>
    </row>
    <row r="202">
      <c r="A202" s="102" t="str">
        <f t="shared" si="1"/>
        <v/>
      </c>
      <c r="B202" s="3" t="str">
        <f>IF(AND(Data!$B202='Individual Type'!$D$2, Data!$K202='All Types'!$D$2,Data!$L202='All Types'!$D$3),Data!$B202,"")</f>
        <v/>
      </c>
      <c r="C202" s="3" t="str">
        <f>IF(F202="","",Data!N202)</f>
        <v/>
      </c>
      <c r="D202" s="3" t="str">
        <f>IF(AND(Data!$B202='Individual Type'!$D$2, Data!$K202='All Types'!$D$2,Data!$L202='All Types'!$D$3),Data!$C202,"")</f>
        <v/>
      </c>
      <c r="E202" s="3" t="str">
        <f>IF($F202="","",Data!P202)</f>
        <v/>
      </c>
      <c r="F202" s="3" t="str">
        <f>IF(AND(Data!$B202='Individual Type'!$D$2, Data!$K202='All Types'!$D$2,Data!$L202='All Types'!$D$3),Data!M202,"")</f>
        <v/>
      </c>
    </row>
    <row r="203">
      <c r="A203" s="102" t="str">
        <f t="shared" si="1"/>
        <v/>
      </c>
      <c r="B203" s="3" t="str">
        <f>IF(AND(Data!$B203='Individual Type'!$D$2, Data!$K203='All Types'!$D$2,Data!$L203='All Types'!$D$3),Data!$B203,"")</f>
        <v/>
      </c>
      <c r="C203" s="3" t="str">
        <f>IF(F203="","",Data!N203)</f>
        <v/>
      </c>
      <c r="D203" s="3" t="str">
        <f>IF(AND(Data!$B203='Individual Type'!$D$2, Data!$K203='All Types'!$D$2,Data!$L203='All Types'!$D$3),Data!$C203,"")</f>
        <v/>
      </c>
      <c r="E203" s="3" t="str">
        <f>IF($F203="","",Data!P203)</f>
        <v/>
      </c>
      <c r="F203" s="3" t="str">
        <f>IF(AND(Data!$B203='Individual Type'!$D$2, Data!$K203='All Types'!$D$2,Data!$L203='All Types'!$D$3),Data!M203,"")</f>
        <v/>
      </c>
    </row>
    <row r="204">
      <c r="A204" s="102" t="str">
        <f t="shared" si="1"/>
        <v/>
      </c>
      <c r="B204" s="3" t="str">
        <f>IF(AND(Data!$B204='Individual Type'!$D$2, Data!$K204='All Types'!$D$2,Data!$L204='All Types'!$D$3),Data!$B204,"")</f>
        <v/>
      </c>
      <c r="C204" s="3" t="str">
        <f>IF(F204="","",Data!N204)</f>
        <v/>
      </c>
      <c r="D204" s="3" t="str">
        <f>IF(AND(Data!$B204='Individual Type'!$D$2, Data!$K204='All Types'!$D$2,Data!$L204='All Types'!$D$3),Data!$C204,"")</f>
        <v/>
      </c>
      <c r="E204" s="3" t="str">
        <f>IF($F204="","",Data!P204)</f>
        <v/>
      </c>
      <c r="F204" s="3" t="str">
        <f>IF(AND(Data!$B204='Individual Type'!$D$2, Data!$K204='All Types'!$D$2,Data!$L204='All Types'!$D$3),Data!M204,"")</f>
        <v/>
      </c>
    </row>
    <row r="205">
      <c r="A205" s="102" t="str">
        <f t="shared" si="1"/>
        <v/>
      </c>
      <c r="B205" s="3" t="str">
        <f>IF(AND(Data!$B205='Individual Type'!$D$2, Data!$K205='All Types'!$D$2,Data!$L205='All Types'!$D$3),Data!$B205,"")</f>
        <v/>
      </c>
      <c r="C205" s="3" t="str">
        <f>IF(F205="","",Data!N205)</f>
        <v/>
      </c>
      <c r="D205" s="3" t="str">
        <f>IF(AND(Data!$B205='Individual Type'!$D$2, Data!$K205='All Types'!$D$2,Data!$L205='All Types'!$D$3),Data!$C205,"")</f>
        <v/>
      </c>
      <c r="E205" s="3" t="str">
        <f>IF($F205="","",Data!P205)</f>
        <v/>
      </c>
      <c r="F205" s="3" t="str">
        <f>IF(AND(Data!$B205='Individual Type'!$D$2, Data!$K205='All Types'!$D$2,Data!$L205='All Types'!$D$3),Data!M205,"")</f>
        <v/>
      </c>
    </row>
    <row r="206">
      <c r="A206" s="102" t="str">
        <f t="shared" si="1"/>
        <v/>
      </c>
      <c r="B206" s="3" t="str">
        <f>IF(AND(Data!$B206='Individual Type'!$D$2, Data!$K206='All Types'!$D$2,Data!$L206='All Types'!$D$3),Data!$B206,"")</f>
        <v/>
      </c>
      <c r="C206" s="3" t="str">
        <f>IF(F206="","",Data!N206)</f>
        <v/>
      </c>
      <c r="D206" s="3" t="str">
        <f>IF(AND(Data!$B206='Individual Type'!$D$2, Data!$K206='All Types'!$D$2,Data!$L206='All Types'!$D$3),Data!$C206,"")</f>
        <v/>
      </c>
      <c r="E206" s="3" t="str">
        <f>IF($F206="","",Data!P206)</f>
        <v/>
      </c>
      <c r="F206" s="3" t="str">
        <f>IF(AND(Data!$B206='Individual Type'!$D$2, Data!$K206='All Types'!$D$2,Data!$L206='All Types'!$D$3),Data!M206,"")</f>
        <v/>
      </c>
    </row>
    <row r="207">
      <c r="A207" s="102" t="str">
        <f t="shared" si="1"/>
        <v/>
      </c>
      <c r="B207" s="3" t="str">
        <f>IF(AND(Data!$B207='Individual Type'!$D$2, Data!$K207='All Types'!$D$2,Data!$L207='All Types'!$D$3),Data!$B207,"")</f>
        <v/>
      </c>
      <c r="C207" s="3" t="str">
        <f>IF(F207="","",Data!N207)</f>
        <v/>
      </c>
      <c r="D207" s="3" t="str">
        <f>IF(AND(Data!$B207='Individual Type'!$D$2, Data!$K207='All Types'!$D$2,Data!$L207='All Types'!$D$3),Data!$C207,"")</f>
        <v/>
      </c>
      <c r="E207" s="3" t="str">
        <f>IF($F207="","",Data!P207)</f>
        <v/>
      </c>
      <c r="F207" s="3" t="str">
        <f>IF(AND(Data!$B207='Individual Type'!$D$2, Data!$K207='All Types'!$D$2,Data!$L207='All Types'!$D$3),Data!M207,"")</f>
        <v/>
      </c>
    </row>
    <row r="208">
      <c r="A208" s="102" t="str">
        <f t="shared" si="1"/>
        <v/>
      </c>
      <c r="B208" s="3" t="str">
        <f>IF(AND(Data!$B208='Individual Type'!$D$2, Data!$K208='All Types'!$D$2,Data!$L208='All Types'!$D$3),Data!$B208,"")</f>
        <v/>
      </c>
      <c r="C208" s="3" t="str">
        <f>IF(F208="","",Data!N208)</f>
        <v/>
      </c>
      <c r="D208" s="3" t="str">
        <f>IF(AND(Data!$B208='Individual Type'!$D$2, Data!$K208='All Types'!$D$2,Data!$L208='All Types'!$D$3),Data!$C208,"")</f>
        <v/>
      </c>
      <c r="E208" s="3" t="str">
        <f>IF($F208="","",Data!P208)</f>
        <v/>
      </c>
      <c r="F208" s="3" t="str">
        <f>IF(AND(Data!$B208='Individual Type'!$D$2, Data!$K208='All Types'!$D$2,Data!$L208='All Types'!$D$3),Data!M208,"")</f>
        <v/>
      </c>
    </row>
    <row r="209">
      <c r="A209" s="102" t="str">
        <f t="shared" si="1"/>
        <v/>
      </c>
      <c r="B209" s="3" t="str">
        <f>IF(AND(Data!$B209='Individual Type'!$D$2, Data!$K209='All Types'!$D$2,Data!$L209='All Types'!$D$3),Data!$B209,"")</f>
        <v/>
      </c>
      <c r="C209" s="3" t="str">
        <f>IF(F209="","",Data!N209)</f>
        <v/>
      </c>
      <c r="D209" s="3" t="str">
        <f>IF(AND(Data!$B209='Individual Type'!$D$2, Data!$K209='All Types'!$D$2,Data!$L209='All Types'!$D$3),Data!$C209,"")</f>
        <v/>
      </c>
      <c r="E209" s="3" t="str">
        <f>IF($F209="","",Data!P209)</f>
        <v/>
      </c>
      <c r="F209" s="3" t="str">
        <f>IF(AND(Data!$B209='Individual Type'!$D$2, Data!$K209='All Types'!$D$2,Data!$L209='All Types'!$D$3),Data!M209,"")</f>
        <v/>
      </c>
    </row>
    <row r="210">
      <c r="A210" s="102" t="str">
        <f t="shared" si="1"/>
        <v/>
      </c>
      <c r="B210" s="3" t="str">
        <f>IF(AND(Data!$B210='Individual Type'!$D$2, Data!$K210='All Types'!$D$2,Data!$L210='All Types'!$D$3),Data!$B210,"")</f>
        <v/>
      </c>
      <c r="C210" s="3" t="str">
        <f>IF(F210="","",Data!N210)</f>
        <v/>
      </c>
      <c r="D210" s="3" t="str">
        <f>IF(AND(Data!$B210='Individual Type'!$D$2, Data!$K210='All Types'!$D$2,Data!$L210='All Types'!$D$3),Data!$C210,"")</f>
        <v/>
      </c>
      <c r="E210" s="3" t="str">
        <f>IF($F210="","",Data!P210)</f>
        <v/>
      </c>
      <c r="F210" s="3" t="str">
        <f>IF(AND(Data!$B210='Individual Type'!$D$2, Data!$K210='All Types'!$D$2,Data!$L210='All Types'!$D$3),Data!M210,"")</f>
        <v/>
      </c>
    </row>
    <row r="211">
      <c r="A211" s="102" t="str">
        <f t="shared" si="1"/>
        <v/>
      </c>
      <c r="B211" s="3" t="str">
        <f>IF(AND(Data!$B211='Individual Type'!$D$2, Data!$K211='All Types'!$D$2,Data!$L211='All Types'!$D$3),Data!$B211,"")</f>
        <v/>
      </c>
      <c r="C211" s="3" t="str">
        <f>IF(F211="","",Data!N211)</f>
        <v/>
      </c>
      <c r="D211" s="3" t="str">
        <f>IF(AND(Data!$B211='Individual Type'!$D$2, Data!$K211='All Types'!$D$2,Data!$L211='All Types'!$D$3),Data!$C211,"")</f>
        <v/>
      </c>
      <c r="E211" s="3" t="str">
        <f>IF($F211="","",Data!P211)</f>
        <v/>
      </c>
      <c r="F211" s="3" t="str">
        <f>IF(AND(Data!$B211='Individual Type'!$D$2, Data!$K211='All Types'!$D$2,Data!$L211='All Types'!$D$3),Data!M211,"")</f>
        <v/>
      </c>
    </row>
    <row r="212">
      <c r="A212" s="102" t="str">
        <f t="shared" si="1"/>
        <v/>
      </c>
      <c r="B212" s="3" t="str">
        <f>IF(AND(Data!$B212='Individual Type'!$D$2, Data!$K212='All Types'!$D$2,Data!$L212='All Types'!$D$3),Data!$B212,"")</f>
        <v/>
      </c>
      <c r="C212" s="3" t="str">
        <f>IF(F212="","",Data!N212)</f>
        <v/>
      </c>
      <c r="D212" s="3" t="str">
        <f>IF(AND(Data!$B212='Individual Type'!$D$2, Data!$K212='All Types'!$D$2,Data!$L212='All Types'!$D$3),Data!$C212,"")</f>
        <v/>
      </c>
      <c r="E212" s="3" t="str">
        <f>IF($F212="","",Data!P212)</f>
        <v/>
      </c>
      <c r="F212" s="3" t="str">
        <f>IF(AND(Data!$B212='Individual Type'!$D$2, Data!$K212='All Types'!$D$2,Data!$L212='All Types'!$D$3),Data!M212,"")</f>
        <v/>
      </c>
    </row>
    <row r="213">
      <c r="A213" s="102" t="str">
        <f t="shared" si="1"/>
        <v/>
      </c>
      <c r="B213" s="3" t="str">
        <f>IF(AND(Data!$B213='Individual Type'!$D$2, Data!$K213='All Types'!$D$2,Data!$L213='All Types'!$D$3),Data!$B213,"")</f>
        <v/>
      </c>
      <c r="C213" s="3" t="str">
        <f>IF(F213="","",Data!N213)</f>
        <v/>
      </c>
      <c r="D213" s="3" t="str">
        <f>IF(AND(Data!$B213='Individual Type'!$D$2, Data!$K213='All Types'!$D$2,Data!$L213='All Types'!$D$3),Data!$C213,"")</f>
        <v/>
      </c>
      <c r="E213" s="3" t="str">
        <f>IF($F213="","",Data!P213)</f>
        <v/>
      </c>
      <c r="F213" s="3" t="str">
        <f>IF(AND(Data!$B213='Individual Type'!$D$2, Data!$K213='All Types'!$D$2,Data!$L213='All Types'!$D$3),Data!M213,"")</f>
        <v/>
      </c>
    </row>
    <row r="214">
      <c r="A214" s="102" t="str">
        <f t="shared" si="1"/>
        <v/>
      </c>
      <c r="B214" s="3" t="str">
        <f>IF(AND(Data!$B214='Individual Type'!$D$2, Data!$K214='All Types'!$D$2,Data!$L214='All Types'!$D$3),Data!$B214,"")</f>
        <v/>
      </c>
      <c r="C214" s="3" t="str">
        <f>IF(F214="","",Data!N214)</f>
        <v/>
      </c>
      <c r="D214" s="3" t="str">
        <f>IF(AND(Data!$B214='Individual Type'!$D$2, Data!$K214='All Types'!$D$2,Data!$L214='All Types'!$D$3),Data!$C214,"")</f>
        <v/>
      </c>
      <c r="E214" s="3" t="str">
        <f>IF($F214="","",Data!P214)</f>
        <v/>
      </c>
      <c r="F214" s="3" t="str">
        <f>IF(AND(Data!$B214='Individual Type'!$D$2, Data!$K214='All Types'!$D$2,Data!$L214='All Types'!$D$3),Data!M214,"")</f>
        <v/>
      </c>
    </row>
    <row r="215">
      <c r="A215" s="102" t="str">
        <f t="shared" si="1"/>
        <v/>
      </c>
      <c r="B215" s="3" t="str">
        <f>IF(AND(Data!$B215='Individual Type'!$D$2, Data!$K215='All Types'!$D$2,Data!$L215='All Types'!$D$3),Data!$B215,"")</f>
        <v/>
      </c>
      <c r="C215" s="3" t="str">
        <f>IF(F215="","",Data!N215)</f>
        <v/>
      </c>
      <c r="D215" s="3" t="str">
        <f>IF(AND(Data!$B215='Individual Type'!$D$2, Data!$K215='All Types'!$D$2,Data!$L215='All Types'!$D$3),Data!$C215,"")</f>
        <v/>
      </c>
      <c r="E215" s="3" t="str">
        <f>IF($F215="","",Data!P215)</f>
        <v/>
      </c>
      <c r="F215" s="3" t="str">
        <f>IF(AND(Data!$B215='Individual Type'!$D$2, Data!$K215='All Types'!$D$2,Data!$L215='All Types'!$D$3),Data!M215,"")</f>
        <v/>
      </c>
    </row>
    <row r="216">
      <c r="A216" s="102" t="str">
        <f t="shared" si="1"/>
        <v/>
      </c>
      <c r="B216" s="3" t="str">
        <f>IF(AND(Data!$B216='Individual Type'!$D$2, Data!$K216='All Types'!$D$2,Data!$L216='All Types'!$D$3),Data!$B216,"")</f>
        <v/>
      </c>
      <c r="C216" s="3" t="str">
        <f>IF(F216="","",Data!N216)</f>
        <v/>
      </c>
      <c r="D216" s="3" t="str">
        <f>IF(AND(Data!$B216='Individual Type'!$D$2, Data!$K216='All Types'!$D$2,Data!$L216='All Types'!$D$3),Data!$C216,"")</f>
        <v/>
      </c>
      <c r="E216" s="3" t="str">
        <f>IF($F216="","",Data!P216)</f>
        <v/>
      </c>
      <c r="F216" s="3" t="str">
        <f>IF(AND(Data!$B216='Individual Type'!$D$2, Data!$K216='All Types'!$D$2,Data!$L216='All Types'!$D$3),Data!M216,"")</f>
        <v/>
      </c>
    </row>
    <row r="217">
      <c r="A217" s="102" t="str">
        <f t="shared" si="1"/>
        <v/>
      </c>
      <c r="B217" s="3" t="str">
        <f>IF(AND(Data!$B217='Individual Type'!$D$2, Data!$K217='All Types'!$D$2,Data!$L217='All Types'!$D$3),Data!$B217,"")</f>
        <v/>
      </c>
      <c r="C217" s="3" t="str">
        <f>IF(F217="","",Data!N217)</f>
        <v/>
      </c>
      <c r="D217" s="3" t="str">
        <f>IF(AND(Data!$B217='Individual Type'!$D$2, Data!$K217='All Types'!$D$2,Data!$L217='All Types'!$D$3),Data!$C217,"")</f>
        <v/>
      </c>
      <c r="E217" s="3" t="str">
        <f>IF($F217="","",Data!P217)</f>
        <v/>
      </c>
      <c r="F217" s="3" t="str">
        <f>IF(AND(Data!$B217='Individual Type'!$D$2, Data!$K217='All Types'!$D$2,Data!$L217='All Types'!$D$3),Data!M217,"")</f>
        <v/>
      </c>
    </row>
    <row r="218">
      <c r="A218" s="102" t="str">
        <f t="shared" si="1"/>
        <v/>
      </c>
      <c r="B218" s="3" t="str">
        <f>IF(AND(Data!$B218='Individual Type'!$D$2, Data!$K218='All Types'!$D$2,Data!$L218='All Types'!$D$3),Data!$B218,"")</f>
        <v/>
      </c>
      <c r="C218" s="3" t="str">
        <f>IF(F218="","",Data!N218)</f>
        <v/>
      </c>
      <c r="D218" s="3" t="str">
        <f>IF(AND(Data!$B218='Individual Type'!$D$2, Data!$K218='All Types'!$D$2,Data!$L218='All Types'!$D$3),Data!$C218,"")</f>
        <v/>
      </c>
      <c r="E218" s="3" t="str">
        <f>IF($F218="","",Data!P218)</f>
        <v/>
      </c>
      <c r="F218" s="3" t="str">
        <f>IF(AND(Data!$B218='Individual Type'!$D$2, Data!$K218='All Types'!$D$2,Data!$L218='All Types'!$D$3),Data!M218,"")</f>
        <v/>
      </c>
    </row>
    <row r="219">
      <c r="A219" s="102" t="str">
        <f t="shared" si="1"/>
        <v/>
      </c>
      <c r="B219" s="3" t="str">
        <f>IF(AND(Data!$B219='Individual Type'!$D$2, Data!$K219='All Types'!$D$2,Data!$L219='All Types'!$D$3),Data!$B219,"")</f>
        <v/>
      </c>
      <c r="C219" s="3" t="str">
        <f>IF(F219="","",Data!N219)</f>
        <v/>
      </c>
      <c r="D219" s="3" t="str">
        <f>IF(AND(Data!$B219='Individual Type'!$D$2, Data!$K219='All Types'!$D$2,Data!$L219='All Types'!$D$3),Data!$C219,"")</f>
        <v/>
      </c>
      <c r="E219" s="3" t="str">
        <f>IF($F219="","",Data!P219)</f>
        <v/>
      </c>
      <c r="F219" s="3" t="str">
        <f>IF(AND(Data!$B219='Individual Type'!$D$2, Data!$K219='All Types'!$D$2,Data!$L219='All Types'!$D$3),Data!M219,"")</f>
        <v/>
      </c>
    </row>
    <row r="220">
      <c r="A220" s="102" t="str">
        <f t="shared" si="1"/>
        <v/>
      </c>
      <c r="B220" s="3" t="str">
        <f>IF(AND(Data!$B220='Individual Type'!$D$2, Data!$K220='All Types'!$D$2,Data!$L220='All Types'!$D$3),Data!$B220,"")</f>
        <v/>
      </c>
      <c r="C220" s="3" t="str">
        <f>IF(F220="","",Data!N220)</f>
        <v/>
      </c>
      <c r="D220" s="3" t="str">
        <f>IF(AND(Data!$B220='Individual Type'!$D$2, Data!$K220='All Types'!$D$2,Data!$L220='All Types'!$D$3),Data!$C220,"")</f>
        <v/>
      </c>
      <c r="E220" s="3" t="str">
        <f>IF($F220="","",Data!P220)</f>
        <v/>
      </c>
      <c r="F220" s="3" t="str">
        <f>IF(AND(Data!$B220='Individual Type'!$D$2, Data!$K220='All Types'!$D$2,Data!$L220='All Types'!$D$3),Data!M220,"")</f>
        <v/>
      </c>
    </row>
    <row r="221">
      <c r="A221" s="102" t="str">
        <f t="shared" si="1"/>
        <v/>
      </c>
      <c r="B221" s="3" t="str">
        <f>IF(AND(Data!$B221='Individual Type'!$D$2, Data!$K221='All Types'!$D$2,Data!$L221='All Types'!$D$3),Data!$B221,"")</f>
        <v/>
      </c>
      <c r="C221" s="3" t="str">
        <f>IF(F221="","",Data!N221)</f>
        <v/>
      </c>
      <c r="D221" s="3" t="str">
        <f>IF(AND(Data!$B221='Individual Type'!$D$2, Data!$K221='All Types'!$D$2,Data!$L221='All Types'!$D$3),Data!$C221,"")</f>
        <v/>
      </c>
      <c r="E221" s="3" t="str">
        <f>IF($F221="","",Data!P221)</f>
        <v/>
      </c>
      <c r="F221" s="3" t="str">
        <f>IF(AND(Data!$B221='Individual Type'!$D$2, Data!$K221='All Types'!$D$2,Data!$L221='All Types'!$D$3),Data!M221,"")</f>
        <v/>
      </c>
    </row>
    <row r="222">
      <c r="A222" s="102" t="str">
        <f t="shared" si="1"/>
        <v/>
      </c>
      <c r="B222" s="3" t="str">
        <f>IF(AND(Data!$B222='Individual Type'!$D$2, Data!$K222='All Types'!$D$2,Data!$L222='All Types'!$D$3),Data!$B222,"")</f>
        <v/>
      </c>
      <c r="C222" s="3" t="str">
        <f>IF(F222="","",Data!N222)</f>
        <v/>
      </c>
      <c r="D222" s="3" t="str">
        <f>IF(AND(Data!$B222='Individual Type'!$D$2, Data!$K222='All Types'!$D$2,Data!$L222='All Types'!$D$3),Data!$C222,"")</f>
        <v/>
      </c>
      <c r="E222" s="3" t="str">
        <f>IF($F222="","",Data!P222)</f>
        <v/>
      </c>
      <c r="F222" s="3" t="str">
        <f>IF(AND(Data!$B222='Individual Type'!$D$2, Data!$K222='All Types'!$D$2,Data!$L222='All Types'!$D$3),Data!M222,"")</f>
        <v/>
      </c>
    </row>
    <row r="223">
      <c r="A223" s="102" t="str">
        <f t="shared" si="1"/>
        <v/>
      </c>
      <c r="B223" s="3" t="str">
        <f>IF(AND(Data!$B223='Individual Type'!$D$2, Data!$K223='All Types'!$D$2,Data!$L223='All Types'!$D$3),Data!$B223,"")</f>
        <v/>
      </c>
      <c r="C223" s="3" t="str">
        <f>IF(F223="","",Data!N223)</f>
        <v/>
      </c>
      <c r="D223" s="3" t="str">
        <f>IF(AND(Data!$B223='Individual Type'!$D$2, Data!$K223='All Types'!$D$2,Data!$L223='All Types'!$D$3),Data!$C223,"")</f>
        <v/>
      </c>
      <c r="E223" s="3" t="str">
        <f>IF($F223="","",Data!P223)</f>
        <v/>
      </c>
      <c r="F223" s="3" t="str">
        <f>IF(AND(Data!$B223='Individual Type'!$D$2, Data!$K223='All Types'!$D$2,Data!$L223='All Types'!$D$3),Data!M223,"")</f>
        <v/>
      </c>
    </row>
    <row r="224">
      <c r="A224" s="102" t="str">
        <f t="shared" si="1"/>
        <v/>
      </c>
      <c r="B224" s="3" t="str">
        <f>IF(AND(Data!$B224='Individual Type'!$D$2, Data!$K224='All Types'!$D$2,Data!$L224='All Types'!$D$3),Data!$B224,"")</f>
        <v/>
      </c>
      <c r="C224" s="3" t="str">
        <f>IF(F224="","",Data!N224)</f>
        <v/>
      </c>
      <c r="D224" s="3" t="str">
        <f>IF(AND(Data!$B224='Individual Type'!$D$2, Data!$K224='All Types'!$D$2,Data!$L224='All Types'!$D$3),Data!$C224,"")</f>
        <v/>
      </c>
      <c r="E224" s="3" t="str">
        <f>IF($F224="","",Data!P224)</f>
        <v/>
      </c>
      <c r="F224" s="3" t="str">
        <f>IF(AND(Data!$B224='Individual Type'!$D$2, Data!$K224='All Types'!$D$2,Data!$L224='All Types'!$D$3),Data!M224,"")</f>
        <v/>
      </c>
    </row>
    <row r="225">
      <c r="A225" s="102" t="str">
        <f t="shared" si="1"/>
        <v/>
      </c>
      <c r="B225" s="3" t="str">
        <f>IF(AND(Data!$B225='Individual Type'!$D$2, Data!$K225='All Types'!$D$2,Data!$L225='All Types'!$D$3),Data!$B225,"")</f>
        <v/>
      </c>
      <c r="C225" s="3" t="str">
        <f>IF(F225="","",Data!N225)</f>
        <v/>
      </c>
      <c r="D225" s="3" t="str">
        <f>IF(AND(Data!$B225='Individual Type'!$D$2, Data!$K225='All Types'!$D$2,Data!$L225='All Types'!$D$3),Data!$C225,"")</f>
        <v/>
      </c>
      <c r="E225" s="3" t="str">
        <f>IF($F225="","",Data!P225)</f>
        <v/>
      </c>
      <c r="F225" s="3" t="str">
        <f>IF(AND(Data!$B225='Individual Type'!$D$2, Data!$K225='All Types'!$D$2,Data!$L225='All Types'!$D$3),Data!M225,"")</f>
        <v/>
      </c>
    </row>
    <row r="226">
      <c r="A226" s="102" t="str">
        <f t="shared" si="1"/>
        <v/>
      </c>
      <c r="B226" s="3" t="str">
        <f>IF(AND(Data!$B226='Individual Type'!$D$2, Data!$K226='All Types'!$D$2,Data!$L226='All Types'!$D$3),Data!$B226,"")</f>
        <v/>
      </c>
      <c r="C226" s="3" t="str">
        <f>IF(F226="","",Data!N226)</f>
        <v/>
      </c>
      <c r="D226" s="3" t="str">
        <f>IF(AND(Data!$B226='Individual Type'!$D$2, Data!$K226='All Types'!$D$2,Data!$L226='All Types'!$D$3),Data!$C226,"")</f>
        <v/>
      </c>
      <c r="E226" s="3" t="str">
        <f>IF($F226="","",Data!P226)</f>
        <v/>
      </c>
      <c r="F226" s="3" t="str">
        <f>IF(AND(Data!$B226='Individual Type'!$D$2, Data!$K226='All Types'!$D$2,Data!$L226='All Types'!$D$3),Data!M226,"")</f>
        <v/>
      </c>
    </row>
    <row r="227">
      <c r="A227" s="102" t="str">
        <f t="shared" si="1"/>
        <v/>
      </c>
      <c r="B227" s="3" t="str">
        <f>IF(AND(Data!$B227='Individual Type'!$D$2, Data!$K227='All Types'!$D$2,Data!$L227='All Types'!$D$3),Data!$B227,"")</f>
        <v/>
      </c>
      <c r="C227" s="3" t="str">
        <f>IF(F227="","",Data!N227)</f>
        <v/>
      </c>
      <c r="D227" s="3" t="str">
        <f>IF(AND(Data!$B227='Individual Type'!$D$2, Data!$K227='All Types'!$D$2,Data!$L227='All Types'!$D$3),Data!$C227,"")</f>
        <v/>
      </c>
      <c r="E227" s="3" t="str">
        <f>IF($F227="","",Data!P227)</f>
        <v/>
      </c>
      <c r="F227" s="3" t="str">
        <f>IF(AND(Data!$B227='Individual Type'!$D$2, Data!$K227='All Types'!$D$2,Data!$L227='All Types'!$D$3),Data!M227,"")</f>
        <v/>
      </c>
    </row>
    <row r="228">
      <c r="A228" s="102" t="str">
        <f t="shared" si="1"/>
        <v/>
      </c>
      <c r="B228" s="3" t="str">
        <f>IF(AND(Data!$B228='Individual Type'!$D$2, Data!$K228='All Types'!$D$2,Data!$L228='All Types'!$D$3),Data!$B228,"")</f>
        <v/>
      </c>
      <c r="C228" s="3" t="str">
        <f>IF(F228="","",Data!N228)</f>
        <v/>
      </c>
      <c r="D228" s="3" t="str">
        <f>IF(AND(Data!$B228='Individual Type'!$D$2, Data!$K228='All Types'!$D$2,Data!$L228='All Types'!$D$3),Data!$C228,"")</f>
        <v/>
      </c>
      <c r="E228" s="3" t="str">
        <f>IF($F228="","",Data!P228)</f>
        <v/>
      </c>
      <c r="F228" s="3" t="str">
        <f>IF(AND(Data!$B228='Individual Type'!$D$2, Data!$K228='All Types'!$D$2,Data!$L228='All Types'!$D$3),Data!M228,"")</f>
        <v/>
      </c>
    </row>
    <row r="229">
      <c r="A229" s="102" t="str">
        <f t="shared" si="1"/>
        <v/>
      </c>
      <c r="B229" s="3" t="str">
        <f>IF(AND(Data!$B229='Individual Type'!$D$2, Data!$K229='All Types'!$D$2,Data!$L229='All Types'!$D$3),Data!$B229,"")</f>
        <v/>
      </c>
      <c r="C229" s="3" t="str">
        <f>IF(F229="","",Data!N229)</f>
        <v/>
      </c>
      <c r="D229" s="3" t="str">
        <f>IF(AND(Data!$B229='Individual Type'!$D$2, Data!$K229='All Types'!$D$2,Data!$L229='All Types'!$D$3),Data!$C229,"")</f>
        <v/>
      </c>
      <c r="E229" s="3" t="str">
        <f>IF($F229="","",Data!P229)</f>
        <v/>
      </c>
      <c r="F229" s="3" t="str">
        <f>IF(AND(Data!$B229='Individual Type'!$D$2, Data!$K229='All Types'!$D$2,Data!$L229='All Types'!$D$3),Data!M229,"")</f>
        <v/>
      </c>
    </row>
    <row r="230">
      <c r="A230" s="102" t="str">
        <f t="shared" si="1"/>
        <v/>
      </c>
      <c r="B230" s="3" t="str">
        <f>IF(AND(Data!$B230='Individual Type'!$D$2, Data!$K230='All Types'!$D$2,Data!$L230='All Types'!$D$3),Data!$B230,"")</f>
        <v/>
      </c>
      <c r="C230" s="3" t="str">
        <f>IF(F230="","",Data!N230)</f>
        <v/>
      </c>
      <c r="D230" s="3" t="str">
        <f>IF(AND(Data!$B230='Individual Type'!$D$2, Data!$K230='All Types'!$D$2,Data!$L230='All Types'!$D$3),Data!$C230,"")</f>
        <v/>
      </c>
      <c r="E230" s="3" t="str">
        <f>IF($F230="","",Data!P230)</f>
        <v/>
      </c>
      <c r="F230" s="3" t="str">
        <f>IF(AND(Data!$B230='Individual Type'!$D$2, Data!$K230='All Types'!$D$2,Data!$L230='All Types'!$D$3),Data!M230,"")</f>
        <v/>
      </c>
    </row>
    <row r="231">
      <c r="A231" s="102" t="str">
        <f t="shared" si="1"/>
        <v/>
      </c>
      <c r="B231" s="3" t="str">
        <f>IF(AND(Data!$B231='Individual Type'!$D$2, Data!$K231='All Types'!$D$2,Data!$L231='All Types'!$D$3),Data!$B231,"")</f>
        <v/>
      </c>
      <c r="C231" s="3" t="str">
        <f>IF(F231="","",Data!N231)</f>
        <v/>
      </c>
      <c r="D231" s="3" t="str">
        <f>IF(AND(Data!$B231='Individual Type'!$D$2, Data!$K231='All Types'!$D$2,Data!$L231='All Types'!$D$3),Data!$C231,"")</f>
        <v/>
      </c>
      <c r="E231" s="3" t="str">
        <f>IF($F231="","",Data!P231)</f>
        <v/>
      </c>
      <c r="F231" s="3" t="str">
        <f>IF(AND(Data!$B231='Individual Type'!$D$2, Data!$K231='All Types'!$D$2,Data!$L231='All Types'!$D$3),Data!M231,"")</f>
        <v/>
      </c>
    </row>
    <row r="232">
      <c r="A232" s="102" t="str">
        <f t="shared" si="1"/>
        <v/>
      </c>
      <c r="B232" s="3" t="str">
        <f>IF(AND(Data!$B232='Individual Type'!$D$2, Data!$K232='All Types'!$D$2,Data!$L232='All Types'!$D$3),Data!$B232,"")</f>
        <v/>
      </c>
      <c r="C232" s="3" t="str">
        <f>IF(F232="","",Data!N232)</f>
        <v/>
      </c>
      <c r="D232" s="3" t="str">
        <f>IF(AND(Data!$B232='Individual Type'!$D$2, Data!$K232='All Types'!$D$2,Data!$L232='All Types'!$D$3),Data!$C232,"")</f>
        <v/>
      </c>
      <c r="E232" s="3" t="str">
        <f>IF($F232="","",Data!P232)</f>
        <v/>
      </c>
      <c r="F232" s="3" t="str">
        <f>IF(AND(Data!$B232='Individual Type'!$D$2, Data!$K232='All Types'!$D$2,Data!$L232='All Types'!$D$3),Data!M232,"")</f>
        <v/>
      </c>
    </row>
    <row r="233">
      <c r="A233" s="102" t="str">
        <f t="shared" si="1"/>
        <v/>
      </c>
      <c r="B233" s="3" t="str">
        <f>IF(AND(Data!$B233='Individual Type'!$D$2, Data!$K233='All Types'!$D$2,Data!$L233='All Types'!$D$3),Data!$B233,"")</f>
        <v/>
      </c>
      <c r="C233" s="3" t="str">
        <f>IF(F233="","",Data!N233)</f>
        <v/>
      </c>
      <c r="D233" s="3" t="str">
        <f>IF(AND(Data!$B233='Individual Type'!$D$2, Data!$K233='All Types'!$D$2,Data!$L233='All Types'!$D$3),Data!$C233,"")</f>
        <v/>
      </c>
      <c r="E233" s="3" t="str">
        <f>IF($F233="","",Data!P233)</f>
        <v/>
      </c>
      <c r="F233" s="3" t="str">
        <f>IF(AND(Data!$B233='Individual Type'!$D$2, Data!$K233='All Types'!$D$2,Data!$L233='All Types'!$D$3),Data!M233,"")</f>
        <v/>
      </c>
    </row>
    <row r="234">
      <c r="A234" s="102" t="str">
        <f t="shared" si="1"/>
        <v/>
      </c>
      <c r="B234" s="3" t="str">
        <f>IF(AND(Data!$B234='Individual Type'!$D$2, Data!$K234='All Types'!$D$2,Data!$L234='All Types'!$D$3),Data!$B234,"")</f>
        <v/>
      </c>
      <c r="C234" s="3" t="str">
        <f>IF(F234="","",Data!N234)</f>
        <v/>
      </c>
      <c r="D234" s="3" t="str">
        <f>IF(AND(Data!$B234='Individual Type'!$D$2, Data!$K234='All Types'!$D$2,Data!$L234='All Types'!$D$3),Data!$C234,"")</f>
        <v/>
      </c>
      <c r="E234" s="3" t="str">
        <f>IF($F234="","",Data!P234)</f>
        <v/>
      </c>
      <c r="F234" s="3" t="str">
        <f>IF(AND(Data!$B234='Individual Type'!$D$2, Data!$K234='All Types'!$D$2,Data!$L234='All Types'!$D$3),Data!M234,"")</f>
        <v/>
      </c>
    </row>
    <row r="235">
      <c r="A235" s="102" t="str">
        <f t="shared" si="1"/>
        <v/>
      </c>
      <c r="B235" s="3" t="str">
        <f>IF(AND(Data!$B235='Individual Type'!$D$2, Data!$K235='All Types'!$D$2,Data!$L235='All Types'!$D$3),Data!$B235,"")</f>
        <v/>
      </c>
      <c r="C235" s="3" t="str">
        <f>IF(F235="","",Data!N235)</f>
        <v/>
      </c>
      <c r="D235" s="3" t="str">
        <f>IF(AND(Data!$B235='Individual Type'!$D$2, Data!$K235='All Types'!$D$2,Data!$L235='All Types'!$D$3),Data!$C235,"")</f>
        <v/>
      </c>
      <c r="E235" s="3" t="str">
        <f>IF($F235="","",Data!P235)</f>
        <v/>
      </c>
      <c r="F235" s="3" t="str">
        <f>IF(AND(Data!$B235='Individual Type'!$D$2, Data!$K235='All Types'!$D$2,Data!$L235='All Types'!$D$3),Data!M235,"")</f>
        <v/>
      </c>
    </row>
    <row r="236">
      <c r="A236" s="102" t="str">
        <f t="shared" si="1"/>
        <v/>
      </c>
      <c r="B236" s="3" t="str">
        <f>IF(AND(Data!$B236='Individual Type'!$D$2, Data!$K236='All Types'!$D$2,Data!$L236='All Types'!$D$3),Data!$B236,"")</f>
        <v/>
      </c>
      <c r="C236" s="3" t="str">
        <f>IF(F236="","",Data!N236)</f>
        <v/>
      </c>
      <c r="D236" s="3" t="str">
        <f>IF(AND(Data!$B236='Individual Type'!$D$2, Data!$K236='All Types'!$D$2,Data!$L236='All Types'!$D$3),Data!$C236,"")</f>
        <v/>
      </c>
      <c r="E236" s="3" t="str">
        <f>IF($F236="","",Data!P236)</f>
        <v/>
      </c>
      <c r="F236" s="3" t="str">
        <f>IF(AND(Data!$B236='Individual Type'!$D$2, Data!$K236='All Types'!$D$2,Data!$L236='All Types'!$D$3),Data!M236,"")</f>
        <v/>
      </c>
    </row>
    <row r="237">
      <c r="A237" s="102" t="str">
        <f t="shared" si="1"/>
        <v/>
      </c>
      <c r="B237" s="3" t="str">
        <f>IF(AND(Data!$B237='Individual Type'!$D$2, Data!$K237='All Types'!$D$2,Data!$L237='All Types'!$D$3),Data!$B237,"")</f>
        <v/>
      </c>
      <c r="C237" s="3" t="str">
        <f>IF(F237="","",Data!N237)</f>
        <v/>
      </c>
      <c r="D237" s="3" t="str">
        <f>IF(AND(Data!$B237='Individual Type'!$D$2, Data!$K237='All Types'!$D$2,Data!$L237='All Types'!$D$3),Data!$C237,"")</f>
        <v/>
      </c>
      <c r="E237" s="3" t="str">
        <f>IF($F237="","",Data!P237)</f>
        <v/>
      </c>
      <c r="F237" s="3" t="str">
        <f>IF(AND(Data!$B237='Individual Type'!$D$2, Data!$K237='All Types'!$D$2,Data!$L237='All Types'!$D$3),Data!M237,"")</f>
        <v/>
      </c>
    </row>
    <row r="238">
      <c r="A238" s="102" t="str">
        <f t="shared" si="1"/>
        <v/>
      </c>
      <c r="B238" s="3" t="str">
        <f>IF(AND(Data!$B238='Individual Type'!$D$2, Data!$K238='All Types'!$D$2,Data!$L238='All Types'!$D$3),Data!$B238,"")</f>
        <v/>
      </c>
      <c r="C238" s="3" t="str">
        <f>IF(F238="","",Data!N238)</f>
        <v/>
      </c>
      <c r="D238" s="3" t="str">
        <f>IF(AND(Data!$B238='Individual Type'!$D$2, Data!$K238='All Types'!$D$2,Data!$L238='All Types'!$D$3),Data!$C238,"")</f>
        <v/>
      </c>
      <c r="E238" s="3" t="str">
        <f>IF($F238="","",Data!P238)</f>
        <v/>
      </c>
      <c r="F238" s="3" t="str">
        <f>IF(AND(Data!$B238='Individual Type'!$D$2, Data!$K238='All Types'!$D$2,Data!$L238='All Types'!$D$3),Data!M238,"")</f>
        <v/>
      </c>
    </row>
    <row r="239">
      <c r="A239" s="102" t="str">
        <f t="shared" si="1"/>
        <v/>
      </c>
      <c r="B239" s="3" t="str">
        <f>IF(AND(Data!$B239='Individual Type'!$D$2, Data!$K239='All Types'!$D$2,Data!$L239='All Types'!$D$3),Data!$B239,"")</f>
        <v/>
      </c>
      <c r="C239" s="3" t="str">
        <f>IF(F239="","",Data!N239)</f>
        <v/>
      </c>
      <c r="D239" s="3" t="str">
        <f>IF(AND(Data!$B239='Individual Type'!$D$2, Data!$K239='All Types'!$D$2,Data!$L239='All Types'!$D$3),Data!$C239,"")</f>
        <v/>
      </c>
      <c r="E239" s="3" t="str">
        <f>IF($F239="","",Data!P239)</f>
        <v/>
      </c>
      <c r="F239" s="3" t="str">
        <f>IF(AND(Data!$B239='Individual Type'!$D$2, Data!$K239='All Types'!$D$2,Data!$L239='All Types'!$D$3),Data!M239,"")</f>
        <v/>
      </c>
    </row>
    <row r="240">
      <c r="A240" s="102" t="str">
        <f t="shared" si="1"/>
        <v/>
      </c>
      <c r="B240" s="3" t="str">
        <f>IF(AND(Data!$B240='Individual Type'!$D$2, Data!$K240='All Types'!$D$2,Data!$L240='All Types'!$D$3),Data!$B240,"")</f>
        <v/>
      </c>
      <c r="C240" s="3" t="str">
        <f>IF(F240="","",Data!N240)</f>
        <v/>
      </c>
      <c r="D240" s="3" t="str">
        <f>IF(AND(Data!$B240='Individual Type'!$D$2, Data!$K240='All Types'!$D$2,Data!$L240='All Types'!$D$3),Data!$C240,"")</f>
        <v/>
      </c>
      <c r="E240" s="3" t="str">
        <f>IF($F240="","",Data!P240)</f>
        <v/>
      </c>
      <c r="F240" s="3" t="str">
        <f>IF(AND(Data!$B240='Individual Type'!$D$2, Data!$K240='All Types'!$D$2,Data!$L240='All Types'!$D$3),Data!M240,"")</f>
        <v/>
      </c>
    </row>
    <row r="241">
      <c r="A241" s="102" t="str">
        <f t="shared" si="1"/>
        <v/>
      </c>
      <c r="B241" s="3" t="str">
        <f>IF(AND(Data!$B241='Individual Type'!$D$2, Data!$K241='All Types'!$D$2,Data!$L241='All Types'!$D$3),Data!$B241,"")</f>
        <v/>
      </c>
      <c r="C241" s="3" t="str">
        <f>IF(F241="","",Data!N241)</f>
        <v/>
      </c>
      <c r="D241" s="3" t="str">
        <f>IF(AND(Data!$B241='Individual Type'!$D$2, Data!$K241='All Types'!$D$2,Data!$L241='All Types'!$D$3),Data!$C241,"")</f>
        <v/>
      </c>
      <c r="E241" s="3" t="str">
        <f>IF($F241="","",Data!P241)</f>
        <v/>
      </c>
      <c r="F241" s="3" t="str">
        <f>IF(AND(Data!$B241='Individual Type'!$D$2, Data!$K241='All Types'!$D$2,Data!$L241='All Types'!$D$3),Data!M241,"")</f>
        <v/>
      </c>
    </row>
    <row r="242">
      <c r="A242" s="102" t="str">
        <f t="shared" si="1"/>
        <v/>
      </c>
      <c r="B242" s="3" t="str">
        <f>IF(AND(Data!$B242='Individual Type'!$D$2, Data!$K242='All Types'!$D$2,Data!$L242='All Types'!$D$3),Data!$B242,"")</f>
        <v/>
      </c>
      <c r="C242" s="3" t="str">
        <f>IF(F242="","",Data!N242)</f>
        <v/>
      </c>
      <c r="D242" s="3" t="str">
        <f>IF(AND(Data!$B242='Individual Type'!$D$2, Data!$K242='All Types'!$D$2,Data!$L242='All Types'!$D$3),Data!$C242,"")</f>
        <v/>
      </c>
      <c r="E242" s="3" t="str">
        <f>IF($F242="","",Data!P242)</f>
        <v/>
      </c>
      <c r="F242" s="3" t="str">
        <f>IF(AND(Data!$B242='Individual Type'!$D$2, Data!$K242='All Types'!$D$2,Data!$L242='All Types'!$D$3),Data!M242,"")</f>
        <v/>
      </c>
    </row>
    <row r="243">
      <c r="A243" s="102" t="str">
        <f t="shared" si="1"/>
        <v/>
      </c>
      <c r="B243" s="3" t="str">
        <f>IF(AND(Data!$B243='Individual Type'!$D$2, Data!$K243='All Types'!$D$2,Data!$L243='All Types'!$D$3),Data!$B243,"")</f>
        <v/>
      </c>
      <c r="C243" s="3" t="str">
        <f>IF(F243="","",Data!N243)</f>
        <v/>
      </c>
      <c r="D243" s="3" t="str">
        <f>IF(AND(Data!$B243='Individual Type'!$D$2, Data!$K243='All Types'!$D$2,Data!$L243='All Types'!$D$3),Data!$C243,"")</f>
        <v/>
      </c>
      <c r="E243" s="3" t="str">
        <f>IF($F243="","",Data!P243)</f>
        <v/>
      </c>
      <c r="F243" s="3" t="str">
        <f>IF(AND(Data!$B243='Individual Type'!$D$2, Data!$K243='All Types'!$D$2,Data!$L243='All Types'!$D$3),Data!M243,"")</f>
        <v/>
      </c>
    </row>
    <row r="244">
      <c r="A244" s="102" t="str">
        <f t="shared" si="1"/>
        <v/>
      </c>
      <c r="B244" s="3" t="str">
        <f>IF(AND(Data!$B244='Individual Type'!$D$2, Data!$K244='All Types'!$D$2,Data!$L244='All Types'!$D$3),Data!$B244,"")</f>
        <v/>
      </c>
      <c r="C244" s="3" t="str">
        <f>IF(F244="","",Data!N244)</f>
        <v/>
      </c>
      <c r="D244" s="3" t="str">
        <f>IF(AND(Data!$B244='Individual Type'!$D$2, Data!$K244='All Types'!$D$2,Data!$L244='All Types'!$D$3),Data!$C244,"")</f>
        <v/>
      </c>
      <c r="E244" s="3" t="str">
        <f>IF($F244="","",Data!P244)</f>
        <v/>
      </c>
      <c r="F244" s="3" t="str">
        <f>IF(AND(Data!$B244='Individual Type'!$D$2, Data!$K244='All Types'!$D$2,Data!$L244='All Types'!$D$3),Data!M244,"")</f>
        <v/>
      </c>
    </row>
    <row r="245">
      <c r="A245" s="102" t="str">
        <f t="shared" si="1"/>
        <v/>
      </c>
      <c r="B245" s="3" t="str">
        <f>IF(AND(Data!$B245='Individual Type'!$D$2, Data!$K245='All Types'!$D$2,Data!$L245='All Types'!$D$3),Data!$B245,"")</f>
        <v/>
      </c>
      <c r="C245" s="3" t="str">
        <f>IF(F245="","",Data!N245)</f>
        <v/>
      </c>
      <c r="D245" s="3" t="str">
        <f>IF(AND(Data!$B245='Individual Type'!$D$2, Data!$K245='All Types'!$D$2,Data!$L245='All Types'!$D$3),Data!$C245,"")</f>
        <v/>
      </c>
      <c r="E245" s="3" t="str">
        <f>IF($F245="","",Data!P245)</f>
        <v/>
      </c>
      <c r="F245" s="3" t="str">
        <f>IF(AND(Data!$B245='Individual Type'!$D$2, Data!$K245='All Types'!$D$2,Data!$L245='All Types'!$D$3),Data!M245,"")</f>
        <v/>
      </c>
    </row>
    <row r="246">
      <c r="A246" s="102" t="str">
        <f t="shared" si="1"/>
        <v/>
      </c>
      <c r="B246" s="3" t="str">
        <f>IF(AND(Data!$B246='Individual Type'!$D$2, Data!$K246='All Types'!$D$2,Data!$L246='All Types'!$D$3),Data!$B246,"")</f>
        <v/>
      </c>
      <c r="C246" s="3" t="str">
        <f>IF(F246="","",Data!N246)</f>
        <v/>
      </c>
      <c r="D246" s="3" t="str">
        <f>IF(AND(Data!$B246='Individual Type'!$D$2, Data!$K246='All Types'!$D$2,Data!$L246='All Types'!$D$3),Data!$C246,"")</f>
        <v/>
      </c>
      <c r="E246" s="3" t="str">
        <f>IF($F246="","",Data!P246)</f>
        <v/>
      </c>
      <c r="F246" s="3" t="str">
        <f>IF(AND(Data!$B246='Individual Type'!$D$2, Data!$K246='All Types'!$D$2,Data!$L246='All Types'!$D$3),Data!M246,"")</f>
        <v/>
      </c>
    </row>
    <row r="247">
      <c r="A247" s="102" t="str">
        <f t="shared" si="1"/>
        <v/>
      </c>
      <c r="B247" s="3" t="str">
        <f>IF(AND(Data!$B247='Individual Type'!$D$2, Data!$K247='All Types'!$D$2,Data!$L247='All Types'!$D$3),Data!$B247,"")</f>
        <v/>
      </c>
      <c r="C247" s="3" t="str">
        <f>IF(F247="","",Data!N247)</f>
        <v/>
      </c>
      <c r="D247" s="3" t="str">
        <f>IF(AND(Data!$B247='Individual Type'!$D$2, Data!$K247='All Types'!$D$2,Data!$L247='All Types'!$D$3),Data!$C247,"")</f>
        <v/>
      </c>
      <c r="E247" s="3" t="str">
        <f>IF($F247="","",Data!P247)</f>
        <v/>
      </c>
      <c r="F247" s="3" t="str">
        <f>IF(AND(Data!$B247='Individual Type'!$D$2, Data!$K247='All Types'!$D$2,Data!$L247='All Types'!$D$3),Data!M247,"")</f>
        <v/>
      </c>
    </row>
    <row r="248">
      <c r="A248" s="102" t="str">
        <f t="shared" si="1"/>
        <v/>
      </c>
      <c r="B248" s="3" t="str">
        <f>IF(AND(Data!$B248='Individual Type'!$D$2, Data!$K248='All Types'!$D$2,Data!$L248='All Types'!$D$3),Data!$B248,"")</f>
        <v/>
      </c>
      <c r="C248" s="3" t="str">
        <f>IF(F248="","",Data!N248)</f>
        <v/>
      </c>
      <c r="D248" s="3" t="str">
        <f>IF(AND(Data!$B248='Individual Type'!$D$2, Data!$K248='All Types'!$D$2,Data!$L248='All Types'!$D$3),Data!$C248,"")</f>
        <v/>
      </c>
      <c r="E248" s="3" t="str">
        <f>IF($F248="","",Data!P248)</f>
        <v/>
      </c>
      <c r="F248" s="3" t="str">
        <f>IF(AND(Data!$B248='Individual Type'!$D$2, Data!$K248='All Types'!$D$2,Data!$L248='All Types'!$D$3),Data!M248,"")</f>
        <v/>
      </c>
    </row>
    <row r="249">
      <c r="A249" s="102" t="str">
        <f t="shared" si="1"/>
        <v/>
      </c>
      <c r="B249" s="3" t="str">
        <f>IF(AND(Data!$B249='Individual Type'!$D$2, Data!$K249='All Types'!$D$2,Data!$L249='All Types'!$D$3),Data!$B249,"")</f>
        <v/>
      </c>
      <c r="C249" s="3" t="str">
        <f>IF(F249="","",Data!N249)</f>
        <v/>
      </c>
      <c r="D249" s="3" t="str">
        <f>IF(AND(Data!$B249='Individual Type'!$D$2, Data!$K249='All Types'!$D$2,Data!$L249='All Types'!$D$3),Data!$C249,"")</f>
        <v/>
      </c>
      <c r="E249" s="3" t="str">
        <f>IF($F249="","",Data!P249)</f>
        <v/>
      </c>
      <c r="F249" s="3" t="str">
        <f>IF(AND(Data!$B249='Individual Type'!$D$2, Data!$K249='All Types'!$D$2,Data!$L249='All Types'!$D$3),Data!M249,"")</f>
        <v/>
      </c>
    </row>
    <row r="250">
      <c r="A250" s="102" t="str">
        <f t="shared" si="1"/>
        <v/>
      </c>
      <c r="B250" s="3" t="str">
        <f>IF(AND(Data!$B250='Individual Type'!$D$2, Data!$K250='All Types'!$D$2,Data!$L250='All Types'!$D$3),Data!$B250,"")</f>
        <v/>
      </c>
      <c r="C250" s="3" t="str">
        <f>IF(F250="","",Data!N250)</f>
        <v/>
      </c>
      <c r="D250" s="3" t="str">
        <f>IF(AND(Data!$B250='Individual Type'!$D$2, Data!$K250='All Types'!$D$2,Data!$L250='All Types'!$D$3),Data!$C250,"")</f>
        <v/>
      </c>
      <c r="E250" s="3" t="str">
        <f>IF($F250="","",Data!P250)</f>
        <v/>
      </c>
      <c r="F250" s="3" t="str">
        <f>IF(AND(Data!$B250='Individual Type'!$D$2, Data!$K250='All Types'!$D$2,Data!$L250='All Types'!$D$3),Data!M250,"")</f>
        <v/>
      </c>
    </row>
    <row r="251">
      <c r="A251" s="102" t="str">
        <f t="shared" si="1"/>
        <v/>
      </c>
      <c r="B251" s="3" t="str">
        <f>IF(AND(Data!$B251='Individual Type'!$D$2, Data!$K251='All Types'!$D$2,Data!$L251='All Types'!$D$3),Data!$B251,"")</f>
        <v/>
      </c>
      <c r="C251" s="3" t="str">
        <f>IF(F251="","",Data!N251)</f>
        <v/>
      </c>
      <c r="D251" s="3" t="str">
        <f>IF(AND(Data!$B251='Individual Type'!$D$2, Data!$K251='All Types'!$D$2,Data!$L251='All Types'!$D$3),Data!$C251,"")</f>
        <v/>
      </c>
      <c r="E251" s="3" t="str">
        <f>IF($F251="","",Data!P251)</f>
        <v/>
      </c>
      <c r="F251" s="3" t="str">
        <f>IF(AND(Data!$B251='Individual Type'!$D$2, Data!$K251='All Types'!$D$2,Data!$L251='All Types'!$D$3),Data!M251,"")</f>
        <v/>
      </c>
    </row>
    <row r="252">
      <c r="A252" s="102" t="str">
        <f t="shared" si="1"/>
        <v/>
      </c>
      <c r="B252" s="3" t="str">
        <f>IF(AND(Data!$B252='Individual Type'!$D$2, Data!$K252='All Types'!$D$2,Data!$L252='All Types'!$D$3),Data!$B252,"")</f>
        <v/>
      </c>
      <c r="C252" s="3" t="str">
        <f>IF(F252="","",Data!N252)</f>
        <v/>
      </c>
      <c r="D252" s="3" t="str">
        <f>IF(AND(Data!$B252='Individual Type'!$D$2, Data!$K252='All Types'!$D$2,Data!$L252='All Types'!$D$3),Data!$C252,"")</f>
        <v/>
      </c>
      <c r="E252" s="3" t="str">
        <f>IF($F252="","",Data!P252)</f>
        <v/>
      </c>
      <c r="F252" s="3" t="str">
        <f>IF(AND(Data!$B252='Individual Type'!$D$2, Data!$K252='All Types'!$D$2,Data!$L252='All Types'!$D$3),Data!M252,"")</f>
        <v/>
      </c>
    </row>
    <row r="253">
      <c r="A253" s="102" t="str">
        <f t="shared" si="1"/>
        <v/>
      </c>
      <c r="B253" s="3" t="str">
        <f>IF(AND(Data!$B253='Individual Type'!$D$2, Data!$K253='All Types'!$D$2,Data!$L253='All Types'!$D$3),Data!$B253,"")</f>
        <v/>
      </c>
      <c r="C253" s="3" t="str">
        <f>IF(F253="","",Data!N253)</f>
        <v/>
      </c>
      <c r="D253" s="3" t="str">
        <f>IF(AND(Data!$B253='Individual Type'!$D$2, Data!$K253='All Types'!$D$2,Data!$L253='All Types'!$D$3),Data!$C253,"")</f>
        <v/>
      </c>
      <c r="E253" s="3" t="str">
        <f>IF($F253="","",Data!P253)</f>
        <v/>
      </c>
      <c r="F253" s="3" t="str">
        <f>IF(AND(Data!$B253='Individual Type'!$D$2, Data!$K253='All Types'!$D$2,Data!$L253='All Types'!$D$3),Data!M253,"")</f>
        <v/>
      </c>
    </row>
    <row r="254">
      <c r="A254" s="102" t="str">
        <f t="shared" si="1"/>
        <v/>
      </c>
      <c r="B254" s="3" t="str">
        <f>IF(AND(Data!$B254='Individual Type'!$D$2, Data!$K254='All Types'!$D$2,Data!$L254='All Types'!$D$3),Data!$B254,"")</f>
        <v/>
      </c>
      <c r="C254" s="3" t="str">
        <f>IF(F254="","",Data!N254)</f>
        <v/>
      </c>
      <c r="D254" s="3" t="str">
        <f>IF(AND(Data!$B254='Individual Type'!$D$2, Data!$K254='All Types'!$D$2,Data!$L254='All Types'!$D$3),Data!$C254,"")</f>
        <v/>
      </c>
      <c r="E254" s="3" t="str">
        <f>IF($F254="","",Data!P254)</f>
        <v/>
      </c>
      <c r="F254" s="3" t="str">
        <f>IF(AND(Data!$B254='Individual Type'!$D$2, Data!$K254='All Types'!$D$2,Data!$L254='All Types'!$D$3),Data!M254,"")</f>
        <v/>
      </c>
    </row>
    <row r="255">
      <c r="A255" s="102" t="str">
        <f t="shared" si="1"/>
        <v/>
      </c>
      <c r="B255" s="3" t="str">
        <f>IF(AND(Data!$B255='Individual Type'!$D$2, Data!$K255='All Types'!$D$2,Data!$L255='All Types'!$D$3),Data!$B255,"")</f>
        <v/>
      </c>
      <c r="C255" s="3" t="str">
        <f>IF(F255="","",Data!N255)</f>
        <v/>
      </c>
      <c r="D255" s="3" t="str">
        <f>IF(AND(Data!$B255='Individual Type'!$D$2, Data!$K255='All Types'!$D$2,Data!$L255='All Types'!$D$3),Data!$C255,"")</f>
        <v/>
      </c>
      <c r="E255" s="3" t="str">
        <f>IF($F255="","",Data!P255)</f>
        <v/>
      </c>
      <c r="F255" s="3" t="str">
        <f>IF(AND(Data!$B255='Individual Type'!$D$2, Data!$K255='All Types'!$D$2,Data!$L255='All Types'!$D$3),Data!M255,"")</f>
        <v/>
      </c>
    </row>
    <row r="256">
      <c r="A256" s="102" t="str">
        <f t="shared" si="1"/>
        <v/>
      </c>
      <c r="B256" s="3" t="str">
        <f>IF(AND(Data!$B256='Individual Type'!$D$2, Data!$K256='All Types'!$D$2,Data!$L256='All Types'!$D$3),Data!$B256,"")</f>
        <v/>
      </c>
      <c r="C256" s="3" t="str">
        <f>IF(F256="","",Data!N256)</f>
        <v/>
      </c>
      <c r="D256" s="3" t="str">
        <f>IF(AND(Data!$B256='Individual Type'!$D$2, Data!$K256='All Types'!$D$2,Data!$L256='All Types'!$D$3),Data!$C256,"")</f>
        <v/>
      </c>
      <c r="E256" s="3" t="str">
        <f>IF($F256="","",Data!P256)</f>
        <v/>
      </c>
      <c r="F256" s="3" t="str">
        <f>IF(AND(Data!$B256='Individual Type'!$D$2, Data!$K256='All Types'!$D$2,Data!$L256='All Types'!$D$3),Data!M256,"")</f>
        <v/>
      </c>
    </row>
    <row r="257">
      <c r="A257" s="102" t="str">
        <f t="shared" si="1"/>
        <v/>
      </c>
      <c r="B257" s="3" t="str">
        <f>IF(AND(Data!$B257='Individual Type'!$D$2, Data!$K257='All Types'!$D$2,Data!$L257='All Types'!$D$3),Data!$B257,"")</f>
        <v/>
      </c>
      <c r="C257" s="3" t="str">
        <f>IF(F257="","",Data!N257)</f>
        <v/>
      </c>
      <c r="D257" s="3" t="str">
        <f>IF(AND(Data!$B257='Individual Type'!$D$2, Data!$K257='All Types'!$D$2,Data!$L257='All Types'!$D$3),Data!$C257,"")</f>
        <v/>
      </c>
      <c r="E257" s="3" t="str">
        <f>IF($F257="","",Data!P257)</f>
        <v/>
      </c>
      <c r="F257" s="3" t="str">
        <f>IF(AND(Data!$B257='Individual Type'!$D$2, Data!$K257='All Types'!$D$2,Data!$L257='All Types'!$D$3),Data!M257,"")</f>
        <v/>
      </c>
    </row>
    <row r="258">
      <c r="A258" s="102" t="str">
        <f t="shared" si="1"/>
        <v/>
      </c>
      <c r="B258" s="3" t="str">
        <f>IF(AND(Data!$B258='Individual Type'!$D$2, Data!$K258='All Types'!$D$2,Data!$L258='All Types'!$D$3),Data!$B258,"")</f>
        <v/>
      </c>
      <c r="C258" s="3" t="str">
        <f>IF(F258="","",Data!N258)</f>
        <v/>
      </c>
      <c r="D258" s="3" t="str">
        <f>IF(AND(Data!$B258='Individual Type'!$D$2, Data!$K258='All Types'!$D$2,Data!$L258='All Types'!$D$3),Data!$C258,"")</f>
        <v/>
      </c>
      <c r="E258" s="3" t="str">
        <f>IF($F258="","",Data!P258)</f>
        <v/>
      </c>
      <c r="F258" s="3" t="str">
        <f>IF(AND(Data!$B258='Individual Type'!$D$2, Data!$K258='All Types'!$D$2,Data!$L258='All Types'!$D$3),Data!M258,"")</f>
        <v/>
      </c>
    </row>
    <row r="259">
      <c r="A259" s="102" t="str">
        <f t="shared" si="1"/>
        <v/>
      </c>
      <c r="B259" s="3" t="str">
        <f>IF(AND(Data!$B259='Individual Type'!$D$2, Data!$K259='All Types'!$D$2,Data!$L259='All Types'!$D$3),Data!$B259,"")</f>
        <v/>
      </c>
      <c r="C259" s="3" t="str">
        <f>IF(F259="","",Data!N259)</f>
        <v/>
      </c>
      <c r="D259" s="3" t="str">
        <f>IF(AND(Data!$B259='Individual Type'!$D$2, Data!$K259='All Types'!$D$2,Data!$L259='All Types'!$D$3),Data!$C259,"")</f>
        <v/>
      </c>
      <c r="E259" s="3" t="str">
        <f>IF($F259="","",Data!P259)</f>
        <v/>
      </c>
      <c r="F259" s="3" t="str">
        <f>IF(AND(Data!$B259='Individual Type'!$D$2, Data!$K259='All Types'!$D$2,Data!$L259='All Types'!$D$3),Data!M259,"")</f>
        <v/>
      </c>
    </row>
    <row r="260">
      <c r="A260" s="102" t="str">
        <f t="shared" si="1"/>
        <v/>
      </c>
      <c r="B260" s="3" t="str">
        <f>IF(AND(Data!$B260='Individual Type'!$D$2, Data!$K260='All Types'!$D$2,Data!$L260='All Types'!$D$3),Data!$B260,"")</f>
        <v/>
      </c>
      <c r="C260" s="3" t="str">
        <f>IF(F260="","",Data!N260)</f>
        <v/>
      </c>
      <c r="D260" s="3" t="str">
        <f>IF(AND(Data!$B260='Individual Type'!$D$2, Data!$K260='All Types'!$D$2,Data!$L260='All Types'!$D$3),Data!$C260,"")</f>
        <v/>
      </c>
      <c r="E260" s="3" t="str">
        <f>IF($F260="","",Data!P260)</f>
        <v/>
      </c>
      <c r="F260" s="3" t="str">
        <f>IF(AND(Data!$B260='Individual Type'!$D$2, Data!$K260='All Types'!$D$2,Data!$L260='All Types'!$D$3),Data!M260,"")</f>
        <v/>
      </c>
    </row>
    <row r="261">
      <c r="A261" s="102" t="str">
        <f t="shared" si="1"/>
        <v/>
      </c>
      <c r="B261" s="3" t="str">
        <f>IF(AND(Data!$B261='Individual Type'!$D$2, Data!$K261='All Types'!$D$2,Data!$L261='All Types'!$D$3),Data!$B261,"")</f>
        <v/>
      </c>
      <c r="C261" s="3" t="str">
        <f>IF(F261="","",Data!N261)</f>
        <v/>
      </c>
      <c r="D261" s="3" t="str">
        <f>IF(AND(Data!$B261='Individual Type'!$D$2, Data!$K261='All Types'!$D$2,Data!$L261='All Types'!$D$3),Data!$C261,"")</f>
        <v/>
      </c>
      <c r="E261" s="3" t="str">
        <f>IF($F261="","",Data!P261)</f>
        <v/>
      </c>
      <c r="F261" s="3" t="str">
        <f>IF(AND(Data!$B261='Individual Type'!$D$2, Data!$K261='All Types'!$D$2,Data!$L261='All Types'!$D$3),Data!M261,"")</f>
        <v/>
      </c>
    </row>
    <row r="262">
      <c r="A262" s="102" t="str">
        <f t="shared" si="1"/>
        <v/>
      </c>
      <c r="B262" s="3" t="str">
        <f>IF(AND(Data!$B262='Individual Type'!$D$2, Data!$K262='All Types'!$D$2,Data!$L262='All Types'!$D$3),Data!$B262,"")</f>
        <v/>
      </c>
      <c r="C262" s="3" t="str">
        <f>IF(F262="","",Data!N262)</f>
        <v/>
      </c>
      <c r="D262" s="3" t="str">
        <f>IF(AND(Data!$B262='Individual Type'!$D$2, Data!$K262='All Types'!$D$2,Data!$L262='All Types'!$D$3),Data!$C262,"")</f>
        <v/>
      </c>
      <c r="E262" s="3" t="str">
        <f>IF($F262="","",Data!P262)</f>
        <v/>
      </c>
      <c r="F262" s="3" t="str">
        <f>IF(AND(Data!$B262='Individual Type'!$D$2, Data!$K262='All Types'!$D$2,Data!$L262='All Types'!$D$3),Data!M262,"")</f>
        <v/>
      </c>
    </row>
    <row r="263">
      <c r="A263" s="102" t="str">
        <f t="shared" si="1"/>
        <v/>
      </c>
      <c r="B263" s="3" t="str">
        <f>IF(AND(Data!$B263='Individual Type'!$D$2, Data!$K263='All Types'!$D$2,Data!$L263='All Types'!$D$3),Data!$B263,"")</f>
        <v/>
      </c>
      <c r="C263" s="3" t="str">
        <f>IF(F263="","",Data!N263)</f>
        <v/>
      </c>
      <c r="D263" s="3" t="str">
        <f>IF(AND(Data!$B263='Individual Type'!$D$2, Data!$K263='All Types'!$D$2,Data!$L263='All Types'!$D$3),Data!$C263,"")</f>
        <v/>
      </c>
      <c r="E263" s="3" t="str">
        <f>IF($F263="","",Data!P263)</f>
        <v/>
      </c>
      <c r="F263" s="3" t="str">
        <f>IF(AND(Data!$B263='Individual Type'!$D$2, Data!$K263='All Types'!$D$2,Data!$L263='All Types'!$D$3),Data!M263,"")</f>
        <v/>
      </c>
    </row>
    <row r="264">
      <c r="A264" s="102" t="str">
        <f t="shared" si="1"/>
        <v/>
      </c>
      <c r="B264" s="3" t="str">
        <f>IF(AND(Data!$B264='Individual Type'!$D$2, Data!$K264='All Types'!$D$2,Data!$L264='All Types'!$D$3),Data!$B264,"")</f>
        <v/>
      </c>
      <c r="C264" s="3" t="str">
        <f>IF(F264="","",Data!N264)</f>
        <v/>
      </c>
      <c r="D264" s="3" t="str">
        <f>IF(AND(Data!$B264='Individual Type'!$D$2, Data!$K264='All Types'!$D$2,Data!$L264='All Types'!$D$3),Data!$C264,"")</f>
        <v/>
      </c>
      <c r="E264" s="3" t="str">
        <f>IF($F264="","",Data!P264)</f>
        <v/>
      </c>
      <c r="F264" s="3" t="str">
        <f>IF(AND(Data!$B264='Individual Type'!$D$2, Data!$K264='All Types'!$D$2,Data!$L264='All Types'!$D$3),Data!M264,"")</f>
        <v/>
      </c>
    </row>
    <row r="265">
      <c r="A265" s="102" t="str">
        <f t="shared" si="1"/>
        <v/>
      </c>
      <c r="B265" s="3" t="str">
        <f>IF(AND(Data!$B265='Individual Type'!$D$2, Data!$K265='All Types'!$D$2,Data!$L265='All Types'!$D$3),Data!$B265,"")</f>
        <v/>
      </c>
      <c r="C265" s="3" t="str">
        <f>IF(F265="","",Data!N265)</f>
        <v/>
      </c>
      <c r="D265" s="3" t="str">
        <f>IF(AND(Data!$B265='Individual Type'!$D$2, Data!$K265='All Types'!$D$2,Data!$L265='All Types'!$D$3),Data!$C265,"")</f>
        <v/>
      </c>
      <c r="E265" s="3" t="str">
        <f>IF($F265="","",Data!P265)</f>
        <v/>
      </c>
      <c r="F265" s="3" t="str">
        <f>IF(AND(Data!$B265='Individual Type'!$D$2, Data!$K265='All Types'!$D$2,Data!$L265='All Types'!$D$3),Data!M265,"")</f>
        <v/>
      </c>
    </row>
    <row r="266">
      <c r="A266" s="102" t="str">
        <f t="shared" si="1"/>
        <v/>
      </c>
      <c r="B266" s="3" t="str">
        <f>IF(AND(Data!$B266='Individual Type'!$D$2, Data!$K266='All Types'!$D$2,Data!$L266='All Types'!$D$3),Data!$B266,"")</f>
        <v/>
      </c>
      <c r="C266" s="3" t="str">
        <f>IF(F266="","",Data!N266)</f>
        <v/>
      </c>
      <c r="D266" s="3" t="str">
        <f>IF(AND(Data!$B266='Individual Type'!$D$2, Data!$K266='All Types'!$D$2,Data!$L266='All Types'!$D$3),Data!$C266,"")</f>
        <v/>
      </c>
      <c r="E266" s="3" t="str">
        <f>IF($F266="","",Data!P266)</f>
        <v/>
      </c>
      <c r="F266" s="3" t="str">
        <f>IF(AND(Data!$B266='Individual Type'!$D$2, Data!$K266='All Types'!$D$2,Data!$L266='All Types'!$D$3),Data!M266,"")</f>
        <v/>
      </c>
    </row>
    <row r="267">
      <c r="A267" s="102" t="str">
        <f t="shared" si="1"/>
        <v/>
      </c>
      <c r="B267" s="3" t="str">
        <f>IF(AND(Data!$B267='Individual Type'!$D$2, Data!$K267='All Types'!$D$2,Data!$L267='All Types'!$D$3),Data!$B267,"")</f>
        <v/>
      </c>
      <c r="C267" s="3" t="str">
        <f>IF(F267="","",Data!N267)</f>
        <v/>
      </c>
      <c r="D267" s="3" t="str">
        <f>IF(AND(Data!$B267='Individual Type'!$D$2, Data!$K267='All Types'!$D$2,Data!$L267='All Types'!$D$3),Data!$C267,"")</f>
        <v/>
      </c>
      <c r="E267" s="3" t="str">
        <f>IF($F267="","",Data!P267)</f>
        <v/>
      </c>
      <c r="F267" s="3" t="str">
        <f>IF(AND(Data!$B267='Individual Type'!$D$2, Data!$K267='All Types'!$D$2,Data!$L267='All Types'!$D$3),Data!M267,"")</f>
        <v/>
      </c>
    </row>
    <row r="268">
      <c r="A268" s="102" t="str">
        <f t="shared" si="1"/>
        <v/>
      </c>
      <c r="B268" s="3" t="str">
        <f>IF(AND(Data!$B268='Individual Type'!$D$2, Data!$K268='All Types'!$D$2,Data!$L268='All Types'!$D$3),Data!$B268,"")</f>
        <v/>
      </c>
      <c r="C268" s="3" t="str">
        <f>IF(F268="","",Data!N268)</f>
        <v/>
      </c>
      <c r="D268" s="3" t="str">
        <f>IF(AND(Data!$B268='Individual Type'!$D$2, Data!$K268='All Types'!$D$2,Data!$L268='All Types'!$D$3),Data!$C268,"")</f>
        <v/>
      </c>
      <c r="E268" s="3" t="str">
        <f>IF($F268="","",Data!P268)</f>
        <v/>
      </c>
      <c r="F268" s="3" t="str">
        <f>IF(AND(Data!$B268='Individual Type'!$D$2, Data!$K268='All Types'!$D$2,Data!$L268='All Types'!$D$3),Data!M268,"")</f>
        <v/>
      </c>
    </row>
    <row r="269">
      <c r="A269" s="102" t="str">
        <f t="shared" si="1"/>
        <v/>
      </c>
      <c r="B269" s="3" t="str">
        <f>IF(AND(Data!$B269='Individual Type'!$D$2, Data!$K269='All Types'!$D$2,Data!$L269='All Types'!$D$3),Data!$B269,"")</f>
        <v/>
      </c>
      <c r="C269" s="3" t="str">
        <f>IF(F269="","",Data!N269)</f>
        <v/>
      </c>
      <c r="D269" s="3" t="str">
        <f>IF(AND(Data!$B269='Individual Type'!$D$2, Data!$K269='All Types'!$D$2,Data!$L269='All Types'!$D$3),Data!$C269,"")</f>
        <v/>
      </c>
      <c r="E269" s="3" t="str">
        <f>IF($F269="","",Data!P269)</f>
        <v/>
      </c>
      <c r="F269" s="3" t="str">
        <f>IF(AND(Data!$B269='Individual Type'!$D$2, Data!$K269='All Types'!$D$2,Data!$L269='All Types'!$D$3),Data!M269,"")</f>
        <v/>
      </c>
    </row>
    <row r="270">
      <c r="A270" s="102" t="str">
        <f t="shared" si="1"/>
        <v/>
      </c>
      <c r="B270" s="3" t="str">
        <f>IF(AND(Data!$B270='Individual Type'!$D$2, Data!$K270='All Types'!$D$2,Data!$L270='All Types'!$D$3),Data!$B270,"")</f>
        <v/>
      </c>
      <c r="C270" s="3" t="str">
        <f>IF(F270="","",Data!N270)</f>
        <v/>
      </c>
      <c r="D270" s="3" t="str">
        <f>IF(AND(Data!$B270='Individual Type'!$D$2, Data!$K270='All Types'!$D$2,Data!$L270='All Types'!$D$3),Data!$C270,"")</f>
        <v/>
      </c>
      <c r="E270" s="3" t="str">
        <f>IF($F270="","",Data!P270)</f>
        <v/>
      </c>
      <c r="F270" s="3" t="str">
        <f>IF(AND(Data!$B270='Individual Type'!$D$2, Data!$K270='All Types'!$D$2,Data!$L270='All Types'!$D$3),Data!M270,"")</f>
        <v/>
      </c>
    </row>
    <row r="271">
      <c r="A271" s="102" t="str">
        <f t="shared" si="1"/>
        <v/>
      </c>
      <c r="B271" s="3" t="str">
        <f>IF(AND(Data!$B271='Individual Type'!$D$2, Data!$K271='All Types'!$D$2,Data!$L271='All Types'!$D$3),Data!$B271,"")</f>
        <v/>
      </c>
      <c r="C271" s="3" t="str">
        <f>IF(F271="","",Data!N271)</f>
        <v/>
      </c>
      <c r="D271" s="3" t="str">
        <f>IF(AND(Data!$B271='Individual Type'!$D$2, Data!$K271='All Types'!$D$2,Data!$L271='All Types'!$D$3),Data!$C271,"")</f>
        <v/>
      </c>
      <c r="E271" s="3" t="str">
        <f>IF($F271="","",Data!P271)</f>
        <v/>
      </c>
      <c r="F271" s="3" t="str">
        <f>IF(AND(Data!$B271='Individual Type'!$D$2, Data!$K271='All Types'!$D$2,Data!$L271='All Types'!$D$3),Data!M271,"")</f>
        <v/>
      </c>
    </row>
    <row r="272">
      <c r="A272" s="102" t="str">
        <f t="shared" si="1"/>
        <v/>
      </c>
      <c r="B272" s="3" t="str">
        <f>IF(AND(Data!$B272='Individual Type'!$D$2, Data!$K272='All Types'!$D$2,Data!$L272='All Types'!$D$3),Data!$B272,"")</f>
        <v/>
      </c>
      <c r="C272" s="3" t="str">
        <f>IF(F272="","",Data!N272)</f>
        <v/>
      </c>
      <c r="D272" s="3" t="str">
        <f>IF(AND(Data!$B272='Individual Type'!$D$2, Data!$K272='All Types'!$D$2,Data!$L272='All Types'!$D$3),Data!$C272,"")</f>
        <v/>
      </c>
      <c r="E272" s="3" t="str">
        <f>IF($F272="","",Data!P272)</f>
        <v/>
      </c>
      <c r="F272" s="3" t="str">
        <f>IF(AND(Data!$B272='Individual Type'!$D$2, Data!$K272='All Types'!$D$2,Data!$L272='All Types'!$D$3),Data!M272,"")</f>
        <v/>
      </c>
    </row>
    <row r="273">
      <c r="A273" s="102" t="str">
        <f t="shared" si="1"/>
        <v/>
      </c>
      <c r="B273" s="3" t="str">
        <f>IF(AND(Data!$B273='Individual Type'!$D$2, Data!$K273='All Types'!$D$2,Data!$L273='All Types'!$D$3),Data!$B273,"")</f>
        <v/>
      </c>
      <c r="C273" s="3" t="str">
        <f>IF(F273="","",Data!N273)</f>
        <v/>
      </c>
      <c r="D273" s="3" t="str">
        <f>IF(AND(Data!$B273='Individual Type'!$D$2, Data!$K273='All Types'!$D$2,Data!$L273='All Types'!$D$3),Data!$C273,"")</f>
        <v/>
      </c>
      <c r="E273" s="3" t="str">
        <f>IF($F273="","",Data!P273)</f>
        <v/>
      </c>
      <c r="F273" s="3" t="str">
        <f>IF(AND(Data!$B273='Individual Type'!$D$2, Data!$K273='All Types'!$D$2,Data!$L273='All Types'!$D$3),Data!M273,"")</f>
        <v/>
      </c>
    </row>
    <row r="274">
      <c r="A274" s="102" t="str">
        <f t="shared" si="1"/>
        <v/>
      </c>
      <c r="B274" s="3" t="str">
        <f>IF(AND(Data!$B274='Individual Type'!$D$2, Data!$K274='All Types'!$D$2,Data!$L274='All Types'!$D$3),Data!$B274,"")</f>
        <v/>
      </c>
      <c r="C274" s="3" t="str">
        <f>IF(F274="","",Data!N274)</f>
        <v/>
      </c>
      <c r="D274" s="3" t="str">
        <f>IF(AND(Data!$B274='Individual Type'!$D$2, Data!$K274='All Types'!$D$2,Data!$L274='All Types'!$D$3),Data!$C274,"")</f>
        <v/>
      </c>
      <c r="E274" s="3" t="str">
        <f>IF($F274="","",Data!P274)</f>
        <v/>
      </c>
      <c r="F274" s="3" t="str">
        <f>IF(AND(Data!$B274='Individual Type'!$D$2, Data!$K274='All Types'!$D$2,Data!$L274='All Types'!$D$3),Data!M274,"")</f>
        <v/>
      </c>
    </row>
    <row r="275">
      <c r="A275" s="102" t="str">
        <f t="shared" si="1"/>
        <v/>
      </c>
      <c r="B275" s="3" t="str">
        <f>IF(AND(Data!$B275='Individual Type'!$D$2, Data!$K275='All Types'!$D$2,Data!$L275='All Types'!$D$3),Data!$B275,"")</f>
        <v/>
      </c>
      <c r="C275" s="3" t="str">
        <f>IF(F275="","",Data!N275)</f>
        <v/>
      </c>
      <c r="D275" s="3" t="str">
        <f>IF(AND(Data!$B275='Individual Type'!$D$2, Data!$K275='All Types'!$D$2,Data!$L275='All Types'!$D$3),Data!$C275,"")</f>
        <v/>
      </c>
      <c r="E275" s="3" t="str">
        <f>IF($F275="","",Data!P275)</f>
        <v/>
      </c>
      <c r="F275" s="3" t="str">
        <f>IF(AND(Data!$B275='Individual Type'!$D$2, Data!$K275='All Types'!$D$2,Data!$L275='All Types'!$D$3),Data!M275,"")</f>
        <v/>
      </c>
    </row>
    <row r="276">
      <c r="A276" s="102" t="str">
        <f t="shared" si="1"/>
        <v/>
      </c>
      <c r="B276" s="3" t="str">
        <f>IF(AND(Data!$B276='Individual Type'!$D$2, Data!$K276='All Types'!$D$2,Data!$L276='All Types'!$D$3),Data!$B276,"")</f>
        <v/>
      </c>
      <c r="C276" s="3" t="str">
        <f>IF(F276="","",Data!N276)</f>
        <v/>
      </c>
      <c r="D276" s="3" t="str">
        <f>IF(AND(Data!$B276='Individual Type'!$D$2, Data!$K276='All Types'!$D$2,Data!$L276='All Types'!$D$3),Data!$C276,"")</f>
        <v/>
      </c>
      <c r="E276" s="3" t="str">
        <f>IF($F276="","",Data!P276)</f>
        <v/>
      </c>
      <c r="F276" s="3" t="str">
        <f>IF(AND(Data!$B276='Individual Type'!$D$2, Data!$K276='All Types'!$D$2,Data!$L276='All Types'!$D$3),Data!M276,"")</f>
        <v/>
      </c>
    </row>
    <row r="277">
      <c r="A277" s="102" t="str">
        <f t="shared" si="1"/>
        <v/>
      </c>
      <c r="B277" s="3" t="str">
        <f>IF(AND(Data!$B277='Individual Type'!$D$2, Data!$K277='All Types'!$D$2,Data!$L277='All Types'!$D$3),Data!$B277,"")</f>
        <v/>
      </c>
      <c r="C277" s="3" t="str">
        <f>IF(F277="","",Data!N277)</f>
        <v/>
      </c>
      <c r="D277" s="3" t="str">
        <f>IF(AND(Data!$B277='Individual Type'!$D$2, Data!$K277='All Types'!$D$2,Data!$L277='All Types'!$D$3),Data!$C277,"")</f>
        <v/>
      </c>
      <c r="E277" s="3" t="str">
        <f>IF($F277="","",Data!P277)</f>
        <v/>
      </c>
      <c r="F277" s="3" t="str">
        <f>IF(AND(Data!$B277='Individual Type'!$D$2, Data!$K277='All Types'!$D$2,Data!$L277='All Types'!$D$3),Data!M277,"")</f>
        <v/>
      </c>
    </row>
    <row r="278">
      <c r="A278" s="102" t="str">
        <f t="shared" si="1"/>
        <v/>
      </c>
      <c r="B278" s="3" t="str">
        <f>IF(AND(Data!$B278='Individual Type'!$D$2, Data!$K278='All Types'!$D$2,Data!$L278='All Types'!$D$3),Data!$B278,"")</f>
        <v/>
      </c>
      <c r="C278" s="3" t="str">
        <f>IF(F278="","",Data!N278)</f>
        <v/>
      </c>
      <c r="D278" s="3" t="str">
        <f>IF(AND(Data!$B278='Individual Type'!$D$2, Data!$K278='All Types'!$D$2,Data!$L278='All Types'!$D$3),Data!$C278,"")</f>
        <v/>
      </c>
      <c r="E278" s="3" t="str">
        <f>IF($F278="","",Data!P278)</f>
        <v/>
      </c>
      <c r="F278" s="3" t="str">
        <f>IF(AND(Data!$B278='Individual Type'!$D$2, Data!$K278='All Types'!$D$2,Data!$L278='All Types'!$D$3),Data!M278,"")</f>
        <v/>
      </c>
    </row>
    <row r="279">
      <c r="A279" s="102" t="str">
        <f t="shared" si="1"/>
        <v/>
      </c>
      <c r="B279" s="3" t="str">
        <f>IF(AND(Data!$B279='Individual Type'!$D$2, Data!$K279='All Types'!$D$2,Data!$L279='All Types'!$D$3),Data!$B279,"")</f>
        <v/>
      </c>
      <c r="C279" s="3" t="str">
        <f>IF(F279="","",Data!N279)</f>
        <v/>
      </c>
      <c r="D279" s="3" t="str">
        <f>IF(AND(Data!$B279='Individual Type'!$D$2, Data!$K279='All Types'!$D$2,Data!$L279='All Types'!$D$3),Data!$C279,"")</f>
        <v/>
      </c>
      <c r="E279" s="3" t="str">
        <f>IF($F279="","",Data!P279)</f>
        <v/>
      </c>
      <c r="F279" s="3" t="str">
        <f>IF(AND(Data!$B279='Individual Type'!$D$2, Data!$K279='All Types'!$D$2,Data!$L279='All Types'!$D$3),Data!M279,"")</f>
        <v/>
      </c>
    </row>
    <row r="280">
      <c r="A280" s="102" t="str">
        <f t="shared" si="1"/>
        <v/>
      </c>
      <c r="B280" s="3" t="str">
        <f>IF(AND(Data!$B280='Individual Type'!$D$2, Data!$K280='All Types'!$D$2,Data!$L280='All Types'!$D$3),Data!$B280,"")</f>
        <v/>
      </c>
      <c r="C280" s="3" t="str">
        <f>IF(F280="","",Data!N280)</f>
        <v/>
      </c>
      <c r="D280" s="3" t="str">
        <f>IF(AND(Data!$B280='Individual Type'!$D$2, Data!$K280='All Types'!$D$2,Data!$L280='All Types'!$D$3),Data!$C280,"")</f>
        <v/>
      </c>
      <c r="E280" s="3" t="str">
        <f>IF($F280="","",Data!P280)</f>
        <v/>
      </c>
      <c r="F280" s="3" t="str">
        <f>IF(AND(Data!$B280='Individual Type'!$D$2, Data!$K280='All Types'!$D$2,Data!$L280='All Types'!$D$3),Data!M280,"")</f>
        <v/>
      </c>
    </row>
    <row r="281">
      <c r="A281" s="102" t="str">
        <f t="shared" si="1"/>
        <v/>
      </c>
      <c r="B281" s="3" t="str">
        <f>IF(AND(Data!$B281='Individual Type'!$D$2, Data!$K281='All Types'!$D$2,Data!$L281='All Types'!$D$3),Data!$B281,"")</f>
        <v/>
      </c>
      <c r="C281" s="3" t="str">
        <f>IF(F281="","",Data!N281)</f>
        <v/>
      </c>
      <c r="D281" s="3" t="str">
        <f>IF(AND(Data!$B281='Individual Type'!$D$2, Data!$K281='All Types'!$D$2,Data!$L281='All Types'!$D$3),Data!$C281,"")</f>
        <v/>
      </c>
      <c r="E281" s="3" t="str">
        <f>IF($F281="","",Data!P281)</f>
        <v/>
      </c>
      <c r="F281" s="3" t="str">
        <f>IF(AND(Data!$B281='Individual Type'!$D$2, Data!$K281='All Types'!$D$2,Data!$L281='All Types'!$D$3),Data!M281,"")</f>
        <v/>
      </c>
    </row>
    <row r="282">
      <c r="A282" s="102" t="str">
        <f t="shared" si="1"/>
        <v/>
      </c>
      <c r="B282" s="3" t="str">
        <f>IF(AND(Data!$B282='Individual Type'!$D$2, Data!$K282='All Types'!$D$2,Data!$L282='All Types'!$D$3),Data!$B282,"")</f>
        <v/>
      </c>
      <c r="C282" s="3" t="str">
        <f>IF(F282="","",Data!N282)</f>
        <v/>
      </c>
      <c r="D282" s="3" t="str">
        <f>IF(AND(Data!$B282='Individual Type'!$D$2, Data!$K282='All Types'!$D$2,Data!$L282='All Types'!$D$3),Data!$C282,"")</f>
        <v/>
      </c>
      <c r="E282" s="3" t="str">
        <f>IF($F282="","",Data!P282)</f>
        <v/>
      </c>
      <c r="F282" s="3" t="str">
        <f>IF(AND(Data!$B282='Individual Type'!$D$2, Data!$K282='All Types'!$D$2,Data!$L282='All Types'!$D$3),Data!M282,"")</f>
        <v/>
      </c>
    </row>
    <row r="283">
      <c r="A283" s="102" t="str">
        <f t="shared" si="1"/>
        <v/>
      </c>
      <c r="B283" s="3" t="str">
        <f>IF(AND(Data!$B283='Individual Type'!$D$2, Data!$K283='All Types'!$D$2,Data!$L283='All Types'!$D$3),Data!$B283,"")</f>
        <v/>
      </c>
      <c r="C283" s="3" t="str">
        <f>IF(F283="","",Data!N283)</f>
        <v/>
      </c>
      <c r="D283" s="3" t="str">
        <f>IF(AND(Data!$B283='Individual Type'!$D$2, Data!$K283='All Types'!$D$2,Data!$L283='All Types'!$D$3),Data!$C283,"")</f>
        <v/>
      </c>
      <c r="E283" s="3" t="str">
        <f>IF($F283="","",Data!P283)</f>
        <v/>
      </c>
      <c r="F283" s="3" t="str">
        <f>IF(AND(Data!$B283='Individual Type'!$D$2, Data!$K283='All Types'!$D$2,Data!$L283='All Types'!$D$3),Data!M283,"")</f>
        <v/>
      </c>
    </row>
    <row r="284">
      <c r="A284" s="102" t="str">
        <f t="shared" si="1"/>
        <v/>
      </c>
      <c r="B284" s="3" t="str">
        <f>IF(AND(Data!$B284='Individual Type'!$D$2, Data!$K284='All Types'!$D$2,Data!$L284='All Types'!$D$3),Data!$B284,"")</f>
        <v/>
      </c>
      <c r="C284" s="3" t="str">
        <f>IF(F284="","",Data!N284)</f>
        <v/>
      </c>
      <c r="D284" s="3" t="str">
        <f>IF(AND(Data!$B284='Individual Type'!$D$2, Data!$K284='All Types'!$D$2,Data!$L284='All Types'!$D$3),Data!$C284,"")</f>
        <v/>
      </c>
      <c r="E284" s="3" t="str">
        <f>IF($F284="","",Data!P284)</f>
        <v/>
      </c>
      <c r="F284" s="3" t="str">
        <f>IF(AND(Data!$B284='Individual Type'!$D$2, Data!$K284='All Types'!$D$2,Data!$L284='All Types'!$D$3),Data!M284,"")</f>
        <v/>
      </c>
    </row>
    <row r="285">
      <c r="A285" s="102" t="str">
        <f t="shared" si="1"/>
        <v/>
      </c>
      <c r="B285" s="3" t="str">
        <f>IF(AND(Data!$B285='Individual Type'!$D$2, Data!$K285='All Types'!$D$2,Data!$L285='All Types'!$D$3),Data!$B285,"")</f>
        <v/>
      </c>
      <c r="C285" s="3" t="str">
        <f>IF(F285="","",Data!N285)</f>
        <v/>
      </c>
      <c r="D285" s="3" t="str">
        <f>IF(AND(Data!$B285='Individual Type'!$D$2, Data!$K285='All Types'!$D$2,Data!$L285='All Types'!$D$3),Data!$C285,"")</f>
        <v/>
      </c>
      <c r="E285" s="3" t="str">
        <f>IF($F285="","",Data!P285)</f>
        <v/>
      </c>
      <c r="F285" s="3" t="str">
        <f>IF(AND(Data!$B285='Individual Type'!$D$2, Data!$K285='All Types'!$D$2,Data!$L285='All Types'!$D$3),Data!M285,"")</f>
        <v/>
      </c>
    </row>
    <row r="286">
      <c r="A286" s="102" t="str">
        <f t="shared" si="1"/>
        <v/>
      </c>
      <c r="B286" s="3" t="str">
        <f>IF(AND(Data!$B286='Individual Type'!$D$2, Data!$K286='All Types'!$D$2,Data!$L286='All Types'!$D$3),Data!$B286,"")</f>
        <v/>
      </c>
      <c r="C286" s="3" t="str">
        <f>IF(F286="","",Data!N286)</f>
        <v/>
      </c>
      <c r="D286" s="3" t="str">
        <f>IF(AND(Data!$B286='Individual Type'!$D$2, Data!$K286='All Types'!$D$2,Data!$L286='All Types'!$D$3),Data!$C286,"")</f>
        <v/>
      </c>
      <c r="E286" s="3" t="str">
        <f>IF($F286="","",Data!P286)</f>
        <v/>
      </c>
      <c r="F286" s="3" t="str">
        <f>IF(AND(Data!$B286='Individual Type'!$D$2, Data!$K286='All Types'!$D$2,Data!$L286='All Types'!$D$3),Data!M286,"")</f>
        <v/>
      </c>
    </row>
    <row r="287">
      <c r="A287" s="102" t="str">
        <f t="shared" si="1"/>
        <v/>
      </c>
      <c r="B287" s="3" t="str">
        <f>IF(AND(Data!$B287='Individual Type'!$D$2, Data!$K287='All Types'!$D$2,Data!$L287='All Types'!$D$3),Data!$B287,"")</f>
        <v/>
      </c>
      <c r="C287" s="3" t="str">
        <f>IF(F287="","",Data!N287)</f>
        <v/>
      </c>
      <c r="D287" s="3" t="str">
        <f>IF(AND(Data!$B287='Individual Type'!$D$2, Data!$K287='All Types'!$D$2,Data!$L287='All Types'!$D$3),Data!$C287,"")</f>
        <v/>
      </c>
      <c r="E287" s="3" t="str">
        <f>IF($F287="","",Data!P287)</f>
        <v/>
      </c>
      <c r="F287" s="3" t="str">
        <f>IF(AND(Data!$B287='Individual Type'!$D$2, Data!$K287='All Types'!$D$2,Data!$L287='All Types'!$D$3),Data!M287,"")</f>
        <v/>
      </c>
    </row>
    <row r="288">
      <c r="A288" s="102" t="str">
        <f t="shared" si="1"/>
        <v/>
      </c>
      <c r="B288" s="3" t="str">
        <f>IF(AND(Data!$B288='Individual Type'!$D$2, Data!$K288='All Types'!$D$2,Data!$L288='All Types'!$D$3),Data!$B288,"")</f>
        <v/>
      </c>
      <c r="C288" s="3" t="str">
        <f>IF(F288="","",Data!N288)</f>
        <v/>
      </c>
      <c r="D288" s="3" t="str">
        <f>IF(AND(Data!$B288='Individual Type'!$D$2, Data!$K288='All Types'!$D$2,Data!$L288='All Types'!$D$3),Data!$C288,"")</f>
        <v/>
      </c>
      <c r="E288" s="3" t="str">
        <f>IF($F288="","",Data!P288)</f>
        <v/>
      </c>
      <c r="F288" s="3" t="str">
        <f>IF(AND(Data!$B288='Individual Type'!$D$2, Data!$K288='All Types'!$D$2,Data!$L288='All Types'!$D$3),Data!M288,"")</f>
        <v/>
      </c>
    </row>
    <row r="289">
      <c r="A289" s="102" t="str">
        <f t="shared" si="1"/>
        <v/>
      </c>
      <c r="B289" s="3" t="str">
        <f>IF(AND(Data!$B289='Individual Type'!$D$2, Data!$K289='All Types'!$D$2,Data!$L289='All Types'!$D$3),Data!$B289,"")</f>
        <v/>
      </c>
      <c r="C289" s="3" t="str">
        <f>IF(F289="","",Data!N289)</f>
        <v/>
      </c>
      <c r="D289" s="3" t="str">
        <f>IF(AND(Data!$B289='Individual Type'!$D$2, Data!$K289='All Types'!$D$2,Data!$L289='All Types'!$D$3),Data!$C289,"")</f>
        <v/>
      </c>
      <c r="E289" s="3" t="str">
        <f>IF($F289="","",Data!P289)</f>
        <v/>
      </c>
      <c r="F289" s="3" t="str">
        <f>IF(AND(Data!$B289='Individual Type'!$D$2, Data!$K289='All Types'!$D$2,Data!$L289='All Types'!$D$3),Data!M289,"")</f>
        <v/>
      </c>
    </row>
    <row r="290">
      <c r="A290" s="102" t="str">
        <f t="shared" si="1"/>
        <v/>
      </c>
      <c r="B290" s="3" t="str">
        <f>IF(AND(Data!$B290='Individual Type'!$D$2, Data!$K290='All Types'!$D$2,Data!$L290='All Types'!$D$3),Data!$B290,"")</f>
        <v/>
      </c>
      <c r="C290" s="3" t="str">
        <f>IF(F290="","",Data!N290)</f>
        <v/>
      </c>
      <c r="D290" s="3" t="str">
        <f>IF(AND(Data!$B290='Individual Type'!$D$2, Data!$K290='All Types'!$D$2,Data!$L290='All Types'!$D$3),Data!$C290,"")</f>
        <v/>
      </c>
      <c r="E290" s="3" t="str">
        <f>IF($F290="","",Data!P290)</f>
        <v/>
      </c>
      <c r="F290" s="3" t="str">
        <f>IF(AND(Data!$B290='Individual Type'!$D$2, Data!$K290='All Types'!$D$2,Data!$L290='All Types'!$D$3),Data!M290,"")</f>
        <v/>
      </c>
    </row>
    <row r="291">
      <c r="A291" s="102" t="str">
        <f t="shared" si="1"/>
        <v/>
      </c>
      <c r="B291" s="3" t="str">
        <f>IF(AND(Data!$B291='Individual Type'!$D$2, Data!$K291='All Types'!$D$2,Data!$L291='All Types'!$D$3),Data!$B291,"")</f>
        <v/>
      </c>
      <c r="C291" s="3" t="str">
        <f>IF(F291="","",Data!N291)</f>
        <v/>
      </c>
      <c r="D291" s="3" t="str">
        <f>IF(AND(Data!$B291='Individual Type'!$D$2, Data!$K291='All Types'!$D$2,Data!$L291='All Types'!$D$3),Data!$C291,"")</f>
        <v/>
      </c>
      <c r="E291" s="3" t="str">
        <f>IF($F291="","",Data!P291)</f>
        <v/>
      </c>
      <c r="F291" s="3" t="str">
        <f>IF(AND(Data!$B291='Individual Type'!$D$2, Data!$K291='All Types'!$D$2,Data!$L291='All Types'!$D$3),Data!M291,"")</f>
        <v/>
      </c>
    </row>
    <row r="292">
      <c r="A292" s="102" t="str">
        <f t="shared" si="1"/>
        <v/>
      </c>
      <c r="B292" s="3" t="str">
        <f>IF(AND(Data!$B292='Individual Type'!$D$2, Data!$K292='All Types'!$D$2,Data!$L292='All Types'!$D$3),Data!$B292,"")</f>
        <v/>
      </c>
      <c r="C292" s="3" t="str">
        <f>IF(F292="","",Data!N292)</f>
        <v/>
      </c>
      <c r="D292" s="3" t="str">
        <f>IF(AND(Data!$B292='Individual Type'!$D$2, Data!$K292='All Types'!$D$2,Data!$L292='All Types'!$D$3),Data!$C292,"")</f>
        <v/>
      </c>
      <c r="E292" s="3" t="str">
        <f>IF($F292="","",Data!P292)</f>
        <v/>
      </c>
      <c r="F292" s="3" t="str">
        <f>IF(AND(Data!$B292='Individual Type'!$D$2, Data!$K292='All Types'!$D$2,Data!$L292='All Types'!$D$3),Data!M292,"")</f>
        <v/>
      </c>
    </row>
    <row r="293">
      <c r="A293" s="102" t="str">
        <f t="shared" si="1"/>
        <v/>
      </c>
      <c r="B293" s="3" t="str">
        <f>IF(AND(Data!$B293='Individual Type'!$D$2, Data!$K293='All Types'!$D$2,Data!$L293='All Types'!$D$3),Data!$B293,"")</f>
        <v/>
      </c>
      <c r="C293" s="3" t="str">
        <f>IF(F293="","",Data!N293)</f>
        <v/>
      </c>
      <c r="D293" s="3" t="str">
        <f>IF(AND(Data!$B293='Individual Type'!$D$2, Data!$K293='All Types'!$D$2,Data!$L293='All Types'!$D$3),Data!$C293,"")</f>
        <v/>
      </c>
      <c r="E293" s="3" t="str">
        <f>IF($F293="","",Data!P293)</f>
        <v/>
      </c>
      <c r="F293" s="3" t="str">
        <f>IF(AND(Data!$B293='Individual Type'!$D$2, Data!$K293='All Types'!$D$2,Data!$L293='All Types'!$D$3),Data!M293,"")</f>
        <v/>
      </c>
    </row>
    <row r="294">
      <c r="A294" s="102" t="str">
        <f t="shared" si="1"/>
        <v/>
      </c>
      <c r="B294" s="3" t="str">
        <f>IF(AND(Data!$B294='Individual Type'!$D$2, Data!$K294='All Types'!$D$2,Data!$L294='All Types'!$D$3),Data!$B294,"")</f>
        <v/>
      </c>
      <c r="C294" s="3" t="str">
        <f>IF(F294="","",Data!N294)</f>
        <v/>
      </c>
      <c r="D294" s="3" t="str">
        <f>IF(AND(Data!$B294='Individual Type'!$D$2, Data!$K294='All Types'!$D$2,Data!$L294='All Types'!$D$3),Data!$C294,"")</f>
        <v/>
      </c>
      <c r="E294" s="3" t="str">
        <f>IF($F294="","",Data!P294)</f>
        <v/>
      </c>
      <c r="F294" s="3" t="str">
        <f>IF(AND(Data!$B294='Individual Type'!$D$2, Data!$K294='All Types'!$D$2,Data!$L294='All Types'!$D$3),Data!M294,"")</f>
        <v/>
      </c>
    </row>
    <row r="295">
      <c r="A295" s="102" t="str">
        <f t="shared" si="1"/>
        <v/>
      </c>
      <c r="B295" s="3" t="str">
        <f>IF(AND(Data!$B295='Individual Type'!$D$2, Data!$K295='All Types'!$D$2,Data!$L295='All Types'!$D$3),Data!$B295,"")</f>
        <v/>
      </c>
      <c r="C295" s="3" t="str">
        <f>IF(F295="","",Data!N295)</f>
        <v/>
      </c>
      <c r="D295" s="3" t="str">
        <f>IF(AND(Data!$B295='Individual Type'!$D$2, Data!$K295='All Types'!$D$2,Data!$L295='All Types'!$D$3),Data!$C295,"")</f>
        <v/>
      </c>
      <c r="E295" s="3" t="str">
        <f>IF($F295="","",Data!P295)</f>
        <v/>
      </c>
      <c r="F295" s="3" t="str">
        <f>IF(AND(Data!$B295='Individual Type'!$D$2, Data!$K295='All Types'!$D$2,Data!$L295='All Types'!$D$3),Data!M295,"")</f>
        <v/>
      </c>
    </row>
    <row r="296">
      <c r="A296" s="102" t="str">
        <f t="shared" si="1"/>
        <v/>
      </c>
      <c r="B296" s="3" t="str">
        <f>IF(AND(Data!$B296='Individual Type'!$D$2, Data!$K296='All Types'!$D$2,Data!$L296='All Types'!$D$3),Data!$B296,"")</f>
        <v/>
      </c>
      <c r="C296" s="3" t="str">
        <f>IF(F296="","",Data!N296)</f>
        <v/>
      </c>
      <c r="D296" s="3" t="str">
        <f>IF(AND(Data!$B296='Individual Type'!$D$2, Data!$K296='All Types'!$D$2,Data!$L296='All Types'!$D$3),Data!$C296,"")</f>
        <v/>
      </c>
      <c r="E296" s="3" t="str">
        <f>IF($F296="","",Data!P296)</f>
        <v/>
      </c>
      <c r="F296" s="3" t="str">
        <f>IF(AND(Data!$B296='Individual Type'!$D$2, Data!$K296='All Types'!$D$2,Data!$L296='All Types'!$D$3),Data!M296,"")</f>
        <v/>
      </c>
    </row>
    <row r="297">
      <c r="A297" s="102" t="str">
        <f t="shared" si="1"/>
        <v/>
      </c>
      <c r="B297" s="3" t="str">
        <f>IF(AND(Data!$B297='Individual Type'!$D$2, Data!$K297='All Types'!$D$2,Data!$L297='All Types'!$D$3),Data!$B297,"")</f>
        <v/>
      </c>
      <c r="C297" s="3" t="str">
        <f>IF(F297="","",Data!N297)</f>
        <v/>
      </c>
      <c r="D297" s="3" t="str">
        <f>IF(AND(Data!$B297='Individual Type'!$D$2, Data!$K297='All Types'!$D$2,Data!$L297='All Types'!$D$3),Data!$C297,"")</f>
        <v/>
      </c>
      <c r="E297" s="3" t="str">
        <f>IF($F297="","",Data!P297)</f>
        <v/>
      </c>
      <c r="F297" s="3" t="str">
        <f>IF(AND(Data!$B297='Individual Type'!$D$2, Data!$K297='All Types'!$D$2,Data!$L297='All Types'!$D$3),Data!M297,"")</f>
        <v/>
      </c>
    </row>
    <row r="298">
      <c r="A298" s="102" t="str">
        <f t="shared" si="1"/>
        <v/>
      </c>
      <c r="B298" s="3" t="str">
        <f>IF(AND(Data!$B298='Individual Type'!$D$2, Data!$K298='All Types'!$D$2,Data!$L298='All Types'!$D$3),Data!$B298,"")</f>
        <v/>
      </c>
      <c r="C298" s="3" t="str">
        <f>IF(F298="","",Data!N298)</f>
        <v/>
      </c>
      <c r="D298" s="3" t="str">
        <f>IF(AND(Data!$B298='Individual Type'!$D$2, Data!$K298='All Types'!$D$2,Data!$L298='All Types'!$D$3),Data!$C298,"")</f>
        <v/>
      </c>
      <c r="E298" s="3" t="str">
        <f>IF($F298="","",Data!P298)</f>
        <v/>
      </c>
      <c r="F298" s="3" t="str">
        <f>IF(AND(Data!$B298='Individual Type'!$D$2, Data!$K298='All Types'!$D$2,Data!$L298='All Types'!$D$3),Data!M298,"")</f>
        <v/>
      </c>
    </row>
    <row r="299">
      <c r="A299" s="102" t="str">
        <f t="shared" si="1"/>
        <v/>
      </c>
      <c r="B299" s="3" t="str">
        <f>IF(AND(Data!$B299='Individual Type'!$D$2, Data!$K299='All Types'!$D$2,Data!$L299='All Types'!$D$3),Data!$B299,"")</f>
        <v/>
      </c>
      <c r="C299" s="3" t="str">
        <f>IF(F299="","",Data!N299)</f>
        <v/>
      </c>
      <c r="D299" s="3" t="str">
        <f>IF(AND(Data!$B299='Individual Type'!$D$2, Data!$K299='All Types'!$D$2,Data!$L299='All Types'!$D$3),Data!$C299,"")</f>
        <v/>
      </c>
      <c r="E299" s="3" t="str">
        <f>IF($F299="","",Data!P299)</f>
        <v/>
      </c>
      <c r="F299" s="3" t="str">
        <f>IF(AND(Data!$B299='Individual Type'!$D$2, Data!$K299='All Types'!$D$2,Data!$L299='All Types'!$D$3),Data!M299,"")</f>
        <v/>
      </c>
    </row>
    <row r="300">
      <c r="A300" s="102" t="str">
        <f t="shared" si="1"/>
        <v/>
      </c>
      <c r="B300" s="3" t="str">
        <f>IF(AND(Data!$B300='Individual Type'!$D$2, Data!$K300='All Types'!$D$2,Data!$L300='All Types'!$D$3),Data!$B300,"")</f>
        <v/>
      </c>
      <c r="C300" s="3" t="str">
        <f>IF(F300="","",Data!N300)</f>
        <v/>
      </c>
      <c r="D300" s="3" t="str">
        <f>IF(AND(Data!$B300='Individual Type'!$D$2, Data!$K300='All Types'!$D$2,Data!$L300='All Types'!$D$3),Data!$C300,"")</f>
        <v/>
      </c>
      <c r="E300" s="3" t="str">
        <f>IF($F300="","",Data!P300)</f>
        <v/>
      </c>
      <c r="F300" s="3" t="str">
        <f>IF(AND(Data!$B300='Individual Type'!$D$2, Data!$K300='All Types'!$D$2,Data!$L300='All Types'!$D$3),Data!M300,"")</f>
        <v/>
      </c>
    </row>
    <row r="301">
      <c r="A301" s="102" t="str">
        <f t="shared" si="1"/>
        <v/>
      </c>
      <c r="B301" s="3" t="str">
        <f>IF(AND(Data!$B301='Individual Type'!$D$2, Data!$K301='All Types'!$D$2,Data!$L301='All Types'!$D$3),Data!$B301,"")</f>
        <v/>
      </c>
      <c r="C301" s="3" t="str">
        <f>IF(F301="","",Data!N301)</f>
        <v/>
      </c>
      <c r="D301" s="3" t="str">
        <f>IF(AND(Data!$B301='Individual Type'!$D$2, Data!$K301='All Types'!$D$2,Data!$L301='All Types'!$D$3),Data!$C301,"")</f>
        <v/>
      </c>
      <c r="E301" s="3" t="str">
        <f>IF($F301="","",Data!P301)</f>
        <v/>
      </c>
      <c r="F301" s="3" t="str">
        <f>IF(AND(Data!$B301='Individual Type'!$D$2, Data!$K301='All Types'!$D$2,Data!$L301='All Types'!$D$3),Data!M301,"")</f>
        <v/>
      </c>
    </row>
    <row r="302">
      <c r="A302" s="102" t="str">
        <f t="shared" si="1"/>
        <v/>
      </c>
      <c r="B302" s="3" t="str">
        <f>IF(AND(Data!$B302='Individual Type'!$D$2, Data!$K302='All Types'!$D$2,Data!$L302='All Types'!$D$3),Data!$B302,"")</f>
        <v/>
      </c>
      <c r="C302" s="3" t="str">
        <f>IF(F302="","",Data!N302)</f>
        <v/>
      </c>
      <c r="D302" s="3" t="str">
        <f>IF(AND(Data!$B302='Individual Type'!$D$2, Data!$K302='All Types'!$D$2,Data!$L302='All Types'!$D$3),Data!$C302,"")</f>
        <v/>
      </c>
      <c r="E302" s="3" t="str">
        <f>IF($F302="","",Data!P302)</f>
        <v/>
      </c>
      <c r="F302" s="3" t="str">
        <f>IF(AND(Data!$B302='Individual Type'!$D$2, Data!$K302='All Types'!$D$2,Data!$L302='All Types'!$D$3),Data!M302,"")</f>
        <v/>
      </c>
    </row>
    <row r="303">
      <c r="A303" s="102" t="str">
        <f t="shared" si="1"/>
        <v/>
      </c>
      <c r="B303" s="3" t="str">
        <f>IF(AND(Data!$B303='Individual Type'!$D$2, Data!$K303='All Types'!$D$2,Data!$L303='All Types'!$D$3),Data!$B303,"")</f>
        <v/>
      </c>
      <c r="C303" s="3" t="str">
        <f>IF(F303="","",Data!N303)</f>
        <v/>
      </c>
      <c r="D303" s="3" t="str">
        <f>IF(AND(Data!$B303='Individual Type'!$D$2, Data!$K303='All Types'!$D$2,Data!$L303='All Types'!$D$3),Data!$C303,"")</f>
        <v/>
      </c>
      <c r="E303" s="3" t="str">
        <f>IF($F303="","",Data!P303)</f>
        <v/>
      </c>
      <c r="F303" s="3" t="str">
        <f>IF(AND(Data!$B303='Individual Type'!$D$2, Data!$K303='All Types'!$D$2,Data!$L303='All Types'!$D$3),Data!M303,"")</f>
        <v/>
      </c>
    </row>
    <row r="304">
      <c r="A304" s="102" t="str">
        <f t="shared" si="1"/>
        <v/>
      </c>
      <c r="B304" s="3" t="str">
        <f>IF(AND(Data!$B304='Individual Type'!$D$2, Data!$K304='All Types'!$D$2,Data!$L304='All Types'!$D$3),Data!$B304,"")</f>
        <v/>
      </c>
      <c r="C304" s="3" t="str">
        <f>IF(F304="","",Data!N304)</f>
        <v/>
      </c>
      <c r="D304" s="3" t="str">
        <f>IF(AND(Data!$B304='Individual Type'!$D$2, Data!$K304='All Types'!$D$2,Data!$L304='All Types'!$D$3),Data!$C304,"")</f>
        <v/>
      </c>
      <c r="E304" s="3" t="str">
        <f>IF($F304="","",Data!P304)</f>
        <v/>
      </c>
      <c r="F304" s="3" t="str">
        <f>IF(AND(Data!$B304='Individual Type'!$D$2, Data!$K304='All Types'!$D$2,Data!$L304='All Types'!$D$3),Data!M304,"")</f>
        <v/>
      </c>
    </row>
    <row r="305">
      <c r="A305" s="102" t="str">
        <f t="shared" si="1"/>
        <v/>
      </c>
      <c r="B305" s="3" t="str">
        <f>IF(AND(Data!$B305='Individual Type'!$D$2, Data!$K305='All Types'!$D$2,Data!$L305='All Types'!$D$3),Data!$B305,"")</f>
        <v/>
      </c>
      <c r="C305" s="3" t="str">
        <f>IF(F305="","",Data!N305)</f>
        <v/>
      </c>
      <c r="D305" s="3" t="str">
        <f>IF(AND(Data!$B305='Individual Type'!$D$2, Data!$K305='All Types'!$D$2,Data!$L305='All Types'!$D$3),Data!$C305,"")</f>
        <v/>
      </c>
      <c r="E305" s="3" t="str">
        <f>IF($F305="","",Data!P305)</f>
        <v/>
      </c>
      <c r="F305" s="3" t="str">
        <f>IF(AND(Data!$B305='Individual Type'!$D$2, Data!$K305='All Types'!$D$2,Data!$L305='All Types'!$D$3),Data!M305,"")</f>
        <v/>
      </c>
    </row>
    <row r="306">
      <c r="A306" s="102" t="str">
        <f t="shared" si="1"/>
        <v/>
      </c>
      <c r="B306" s="3" t="str">
        <f>IF(AND(Data!$B306='Individual Type'!$D$2, Data!$K306='All Types'!$D$2,Data!$L306='All Types'!$D$3),Data!$B306,"")</f>
        <v/>
      </c>
      <c r="C306" s="3" t="str">
        <f>IF(F306="","",Data!N306)</f>
        <v/>
      </c>
      <c r="D306" s="3" t="str">
        <f>IF(AND(Data!$B306='Individual Type'!$D$2, Data!$K306='All Types'!$D$2,Data!$L306='All Types'!$D$3),Data!$C306,"")</f>
        <v/>
      </c>
      <c r="E306" s="3" t="str">
        <f>IF($F306="","",Data!P306)</f>
        <v/>
      </c>
      <c r="F306" s="3" t="str">
        <f>IF(AND(Data!$B306='Individual Type'!$D$2, Data!$K306='All Types'!$D$2,Data!$L306='All Types'!$D$3),Data!M306,"")</f>
        <v/>
      </c>
    </row>
    <row r="307">
      <c r="A307" s="102" t="str">
        <f t="shared" si="1"/>
        <v/>
      </c>
      <c r="B307" s="3" t="str">
        <f>IF(AND(Data!$B307='Individual Type'!$D$2, Data!$K307='All Types'!$D$2,Data!$L307='All Types'!$D$3),Data!$B307,"")</f>
        <v/>
      </c>
      <c r="C307" s="3" t="str">
        <f>IF(F307="","",Data!N307)</f>
        <v/>
      </c>
      <c r="D307" s="3" t="str">
        <f>IF(AND(Data!$B307='Individual Type'!$D$2, Data!$K307='All Types'!$D$2,Data!$L307='All Types'!$D$3),Data!$C307,"")</f>
        <v/>
      </c>
      <c r="E307" s="3" t="str">
        <f>IF($F307="","",Data!P307)</f>
        <v/>
      </c>
      <c r="F307" s="3" t="str">
        <f>IF(AND(Data!$B307='Individual Type'!$D$2, Data!$K307='All Types'!$D$2,Data!$L307='All Types'!$D$3),Data!M307,"")</f>
        <v/>
      </c>
    </row>
    <row r="308">
      <c r="A308" s="102" t="str">
        <f t="shared" si="1"/>
        <v/>
      </c>
      <c r="B308" s="3" t="str">
        <f>IF(AND(Data!$B308='Individual Type'!$D$2, Data!$K308='All Types'!$D$2,Data!$L308='All Types'!$D$3),Data!$B308,"")</f>
        <v/>
      </c>
      <c r="C308" s="3" t="str">
        <f>IF(F308="","",Data!N308)</f>
        <v/>
      </c>
      <c r="D308" s="3" t="str">
        <f>IF(AND(Data!$B308='Individual Type'!$D$2, Data!$K308='All Types'!$D$2,Data!$L308='All Types'!$D$3),Data!$C308,"")</f>
        <v/>
      </c>
      <c r="E308" s="3" t="str">
        <f>IF($F308="","",Data!P308)</f>
        <v/>
      </c>
      <c r="F308" s="3" t="str">
        <f>IF(AND(Data!$B308='Individual Type'!$D$2, Data!$K308='All Types'!$D$2,Data!$L308='All Types'!$D$3),Data!M308,"")</f>
        <v/>
      </c>
    </row>
    <row r="309">
      <c r="A309" s="102" t="str">
        <f t="shared" si="1"/>
        <v/>
      </c>
      <c r="B309" s="3" t="str">
        <f>IF(AND(Data!$B309='Individual Type'!$D$2, Data!$K309='All Types'!$D$2,Data!$L309='All Types'!$D$3),Data!$B309,"")</f>
        <v/>
      </c>
      <c r="C309" s="3" t="str">
        <f>IF(F309="","",Data!N309)</f>
        <v/>
      </c>
      <c r="D309" s="3" t="str">
        <f>IF(AND(Data!$B309='Individual Type'!$D$2, Data!$K309='All Types'!$D$2,Data!$L309='All Types'!$D$3),Data!$C309,"")</f>
        <v/>
      </c>
      <c r="E309" s="3" t="str">
        <f>IF($F309="","",Data!P309)</f>
        <v/>
      </c>
      <c r="F309" s="3" t="str">
        <f>IF(AND(Data!$B309='Individual Type'!$D$2, Data!$K309='All Types'!$D$2,Data!$L309='All Types'!$D$3),Data!M309,"")</f>
        <v/>
      </c>
    </row>
    <row r="310">
      <c r="A310" s="102" t="str">
        <f t="shared" si="1"/>
        <v/>
      </c>
      <c r="B310" s="3" t="str">
        <f>IF(AND(Data!$B310='Individual Type'!$D$2, Data!$K310='All Types'!$D$2,Data!$L310='All Types'!$D$3),Data!$B310,"")</f>
        <v/>
      </c>
      <c r="C310" s="3" t="str">
        <f>IF(F310="","",Data!N310)</f>
        <v/>
      </c>
      <c r="D310" s="3" t="str">
        <f>IF(AND(Data!$B310='Individual Type'!$D$2, Data!$K310='All Types'!$D$2,Data!$L310='All Types'!$D$3),Data!$C310,"")</f>
        <v/>
      </c>
      <c r="E310" s="3" t="str">
        <f>IF($F310="","",Data!P310)</f>
        <v/>
      </c>
      <c r="F310" s="3" t="str">
        <f>IF(AND(Data!$B310='Individual Type'!$D$2, Data!$K310='All Types'!$D$2,Data!$L310='All Types'!$D$3),Data!M310,"")</f>
        <v/>
      </c>
    </row>
    <row r="311">
      <c r="A311" s="102" t="str">
        <f t="shared" si="1"/>
        <v/>
      </c>
      <c r="B311" s="3" t="str">
        <f>IF(AND(Data!$B311='Individual Type'!$D$2, Data!$K311='All Types'!$D$2,Data!$L311='All Types'!$D$3),Data!$B311,"")</f>
        <v/>
      </c>
      <c r="C311" s="3" t="str">
        <f>IF(F311="","",Data!N311)</f>
        <v/>
      </c>
      <c r="D311" s="3" t="str">
        <f>IF(AND(Data!$B311='Individual Type'!$D$2, Data!$K311='All Types'!$D$2,Data!$L311='All Types'!$D$3),Data!$C311,"")</f>
        <v/>
      </c>
      <c r="E311" s="3" t="str">
        <f>IF($F311="","",Data!P311)</f>
        <v/>
      </c>
      <c r="F311" s="3" t="str">
        <f>IF(AND(Data!$B311='Individual Type'!$D$2, Data!$K311='All Types'!$D$2,Data!$L311='All Types'!$D$3),Data!M311,"")</f>
        <v/>
      </c>
    </row>
    <row r="312">
      <c r="A312" s="102" t="str">
        <f t="shared" si="1"/>
        <v/>
      </c>
      <c r="B312" s="3" t="str">
        <f>IF(AND(Data!$B312='Individual Type'!$D$2, Data!$K312='All Types'!$D$2,Data!$L312='All Types'!$D$3),Data!$B312,"")</f>
        <v/>
      </c>
      <c r="C312" s="3" t="str">
        <f>IF(F312="","",Data!N312)</f>
        <v/>
      </c>
      <c r="D312" s="3" t="str">
        <f>IF(AND(Data!$B312='Individual Type'!$D$2, Data!$K312='All Types'!$D$2,Data!$L312='All Types'!$D$3),Data!$C312,"")</f>
        <v/>
      </c>
      <c r="E312" s="3" t="str">
        <f>IF($F312="","",Data!P312)</f>
        <v/>
      </c>
      <c r="F312" s="3" t="str">
        <f>IF(AND(Data!$B312='Individual Type'!$D$2, Data!$K312='All Types'!$D$2,Data!$L312='All Types'!$D$3),Data!M312,"")</f>
        <v/>
      </c>
    </row>
    <row r="313">
      <c r="A313" s="102" t="str">
        <f t="shared" si="1"/>
        <v/>
      </c>
      <c r="B313" s="3" t="str">
        <f>IF(AND(Data!$B313='Individual Type'!$D$2, Data!$K313='All Types'!$D$2,Data!$L313='All Types'!$D$3),Data!$B313,"")</f>
        <v/>
      </c>
      <c r="C313" s="3" t="str">
        <f>IF(F313="","",Data!N313)</f>
        <v/>
      </c>
      <c r="D313" s="3" t="str">
        <f>IF(AND(Data!$B313='Individual Type'!$D$2, Data!$K313='All Types'!$D$2,Data!$L313='All Types'!$D$3),Data!$C313,"")</f>
        <v/>
      </c>
      <c r="E313" s="3" t="str">
        <f>IF($F313="","",Data!P313)</f>
        <v/>
      </c>
      <c r="F313" s="3" t="str">
        <f>IF(AND(Data!$B313='Individual Type'!$D$2, Data!$K313='All Types'!$D$2,Data!$L313='All Types'!$D$3),Data!M313,"")</f>
        <v/>
      </c>
    </row>
    <row r="314">
      <c r="A314" s="102" t="str">
        <f t="shared" si="1"/>
        <v/>
      </c>
      <c r="B314" s="3" t="str">
        <f>IF(AND(Data!$B314='Individual Type'!$D$2, Data!$K314='All Types'!$D$2,Data!$L314='All Types'!$D$3),Data!$B314,"")</f>
        <v/>
      </c>
      <c r="C314" s="3" t="str">
        <f>IF(F314="","",Data!N314)</f>
        <v/>
      </c>
      <c r="D314" s="3" t="str">
        <f>IF(AND(Data!$B314='Individual Type'!$D$2, Data!$K314='All Types'!$D$2,Data!$L314='All Types'!$D$3),Data!$C314,"")</f>
        <v/>
      </c>
      <c r="E314" s="3" t="str">
        <f>IF($F314="","",Data!P314)</f>
        <v/>
      </c>
      <c r="F314" s="3" t="str">
        <f>IF(AND(Data!$B314='Individual Type'!$D$2, Data!$K314='All Types'!$D$2,Data!$L314='All Types'!$D$3),Data!M314,"")</f>
        <v/>
      </c>
    </row>
    <row r="315">
      <c r="A315" s="102" t="str">
        <f t="shared" si="1"/>
        <v/>
      </c>
      <c r="B315" s="3" t="str">
        <f>IF(AND(Data!$B315='Individual Type'!$D$2, Data!$K315='All Types'!$D$2,Data!$L315='All Types'!$D$3),Data!$B315,"")</f>
        <v/>
      </c>
      <c r="C315" s="3" t="str">
        <f>IF(F315="","",Data!N315)</f>
        <v/>
      </c>
      <c r="D315" s="3" t="str">
        <f>IF(AND(Data!$B315='Individual Type'!$D$2, Data!$K315='All Types'!$D$2,Data!$L315='All Types'!$D$3),Data!$C315,"")</f>
        <v/>
      </c>
      <c r="E315" s="3" t="str">
        <f>IF($F315="","",Data!P315)</f>
        <v/>
      </c>
      <c r="F315" s="3" t="str">
        <f>IF(AND(Data!$B315='Individual Type'!$D$2, Data!$K315='All Types'!$D$2,Data!$L315='All Types'!$D$3),Data!M315,"")</f>
        <v/>
      </c>
    </row>
    <row r="316">
      <c r="A316" s="102" t="str">
        <f t="shared" si="1"/>
        <v/>
      </c>
      <c r="B316" s="3" t="str">
        <f>IF(AND(Data!$B316='Individual Type'!$D$2, Data!$K316='All Types'!$D$2,Data!$L316='All Types'!$D$3),Data!$B316,"")</f>
        <v/>
      </c>
      <c r="C316" s="3" t="str">
        <f>IF(F316="","",Data!N316)</f>
        <v/>
      </c>
      <c r="D316" s="3" t="str">
        <f>IF(AND(Data!$B316='Individual Type'!$D$2, Data!$K316='All Types'!$D$2,Data!$L316='All Types'!$D$3),Data!$C316,"")</f>
        <v/>
      </c>
      <c r="E316" s="3" t="str">
        <f>IF($F316="","",Data!P316)</f>
        <v/>
      </c>
      <c r="F316" s="3" t="str">
        <f>IF(AND(Data!$B316='Individual Type'!$D$2, Data!$K316='All Types'!$D$2,Data!$L316='All Types'!$D$3),Data!M316,"")</f>
        <v/>
      </c>
    </row>
    <row r="317">
      <c r="A317" s="102" t="str">
        <f t="shared" si="1"/>
        <v/>
      </c>
      <c r="B317" s="3" t="str">
        <f>IF(AND(Data!$B317='Individual Type'!$D$2, Data!$K317='All Types'!$D$2,Data!$L317='All Types'!$D$3),Data!$B317,"")</f>
        <v/>
      </c>
      <c r="C317" s="3" t="str">
        <f>IF(F317="","",Data!N317)</f>
        <v/>
      </c>
      <c r="D317" s="3" t="str">
        <f>IF(AND(Data!$B317='Individual Type'!$D$2, Data!$K317='All Types'!$D$2,Data!$L317='All Types'!$D$3),Data!$C317,"")</f>
        <v/>
      </c>
      <c r="E317" s="3" t="str">
        <f>IF($F317="","",Data!P317)</f>
        <v/>
      </c>
      <c r="F317" s="3" t="str">
        <f>IF(AND(Data!$B317='Individual Type'!$D$2, Data!$K317='All Types'!$D$2,Data!$L317='All Types'!$D$3),Data!M317,"")</f>
        <v/>
      </c>
    </row>
    <row r="318">
      <c r="A318" s="102" t="str">
        <f t="shared" si="1"/>
        <v/>
      </c>
      <c r="B318" s="3" t="str">
        <f>IF(AND(Data!$B318='Individual Type'!$D$2, Data!$K318='All Types'!$D$2,Data!$L318='All Types'!$D$3),Data!$B318,"")</f>
        <v/>
      </c>
      <c r="C318" s="3" t="str">
        <f>IF(F318="","",Data!N318)</f>
        <v/>
      </c>
      <c r="D318" s="3" t="str">
        <f>IF(AND(Data!$B318='Individual Type'!$D$2, Data!$K318='All Types'!$D$2,Data!$L318='All Types'!$D$3),Data!$C318,"")</f>
        <v/>
      </c>
      <c r="E318" s="3" t="str">
        <f>IF($F318="","",Data!P318)</f>
        <v/>
      </c>
      <c r="F318" s="3" t="str">
        <f>IF(AND(Data!$B318='Individual Type'!$D$2, Data!$K318='All Types'!$D$2,Data!$L318='All Types'!$D$3),Data!M318,"")</f>
        <v/>
      </c>
    </row>
    <row r="319">
      <c r="A319" s="102" t="str">
        <f t="shared" si="1"/>
        <v/>
      </c>
      <c r="B319" s="3" t="str">
        <f>IF(AND(Data!$B319='Individual Type'!$D$2, Data!$K319='All Types'!$D$2,Data!$L319='All Types'!$D$3),Data!$B319,"")</f>
        <v/>
      </c>
      <c r="C319" s="3" t="str">
        <f>IF(F319="","",Data!N319)</f>
        <v/>
      </c>
      <c r="D319" s="3" t="str">
        <f>IF(AND(Data!$B319='Individual Type'!$D$2, Data!$K319='All Types'!$D$2,Data!$L319='All Types'!$D$3),Data!$C319,"")</f>
        <v/>
      </c>
      <c r="E319" s="3" t="str">
        <f>IF($F319="","",Data!P319)</f>
        <v/>
      </c>
      <c r="F319" s="3" t="str">
        <f>IF(AND(Data!$B319='Individual Type'!$D$2, Data!$K319='All Types'!$D$2,Data!$L319='All Types'!$D$3),Data!M319,"")</f>
        <v/>
      </c>
    </row>
    <row r="320">
      <c r="A320" s="102" t="str">
        <f t="shared" si="1"/>
        <v/>
      </c>
      <c r="B320" s="3" t="str">
        <f>IF(AND(Data!$B320='Individual Type'!$D$2, Data!$K320='All Types'!$D$2,Data!$L320='All Types'!$D$3),Data!$B320,"")</f>
        <v/>
      </c>
      <c r="C320" s="3" t="str">
        <f>IF(F320="","",Data!N320)</f>
        <v/>
      </c>
      <c r="D320" s="3" t="str">
        <f>IF(AND(Data!$B320='Individual Type'!$D$2, Data!$K320='All Types'!$D$2,Data!$L320='All Types'!$D$3),Data!$C320,"")</f>
        <v/>
      </c>
      <c r="E320" s="3" t="str">
        <f>IF($F320="","",Data!P320)</f>
        <v/>
      </c>
      <c r="F320" s="3" t="str">
        <f>IF(AND(Data!$B320='Individual Type'!$D$2, Data!$K320='All Types'!$D$2,Data!$L320='All Types'!$D$3),Data!M320,"")</f>
        <v/>
      </c>
    </row>
    <row r="321">
      <c r="A321" s="102" t="str">
        <f t="shared" si="1"/>
        <v/>
      </c>
      <c r="B321" s="3" t="str">
        <f>IF(AND(Data!$B321='Individual Type'!$D$2, Data!$K321='All Types'!$D$2,Data!$L321='All Types'!$D$3),Data!$B321,"")</f>
        <v/>
      </c>
      <c r="C321" s="3" t="str">
        <f>IF(F321="","",Data!N321)</f>
        <v/>
      </c>
      <c r="D321" s="3" t="str">
        <f>IF(AND(Data!$B321='Individual Type'!$D$2, Data!$K321='All Types'!$D$2,Data!$L321='All Types'!$D$3),Data!$C321,"")</f>
        <v/>
      </c>
      <c r="E321" s="3" t="str">
        <f>IF($F321="","",Data!P321)</f>
        <v/>
      </c>
      <c r="F321" s="3" t="str">
        <f>IF(AND(Data!$B321='Individual Type'!$D$2, Data!$K321='All Types'!$D$2,Data!$L321='All Types'!$D$3),Data!M321,"")</f>
        <v/>
      </c>
    </row>
    <row r="322">
      <c r="A322" s="102" t="str">
        <f t="shared" si="1"/>
        <v/>
      </c>
      <c r="B322" s="3" t="str">
        <f>IF(AND(Data!$B322='Individual Type'!$D$2, Data!$K322='All Types'!$D$2,Data!$L322='All Types'!$D$3),Data!$B322,"")</f>
        <v/>
      </c>
      <c r="C322" s="3" t="str">
        <f>IF(F322="","",Data!N322)</f>
        <v/>
      </c>
      <c r="D322" s="3" t="str">
        <f>IF(AND(Data!$B322='Individual Type'!$D$2, Data!$K322='All Types'!$D$2,Data!$L322='All Types'!$D$3),Data!$C322,"")</f>
        <v/>
      </c>
      <c r="E322" s="3" t="str">
        <f>IF($F322="","",Data!P322)</f>
        <v/>
      </c>
      <c r="F322" s="3" t="str">
        <f>IF(AND(Data!$B322='Individual Type'!$D$2, Data!$K322='All Types'!$D$2,Data!$L322='All Types'!$D$3),Data!M322,"")</f>
        <v/>
      </c>
    </row>
    <row r="323">
      <c r="A323" s="102" t="str">
        <f t="shared" si="1"/>
        <v/>
      </c>
      <c r="B323" s="3" t="str">
        <f>IF(AND(Data!$B323='Individual Type'!$D$2, Data!$K323='All Types'!$D$2,Data!$L323='All Types'!$D$3),Data!$B323,"")</f>
        <v/>
      </c>
      <c r="C323" s="3" t="str">
        <f>IF(F323="","",Data!N323)</f>
        <v/>
      </c>
      <c r="D323" s="3" t="str">
        <f>IF(AND(Data!$B323='Individual Type'!$D$2, Data!$K323='All Types'!$D$2,Data!$L323='All Types'!$D$3),Data!$C323,"")</f>
        <v/>
      </c>
      <c r="E323" s="3" t="str">
        <f>IF($F323="","",Data!P323)</f>
        <v/>
      </c>
      <c r="F323" s="3" t="str">
        <f>IF(AND(Data!$B323='Individual Type'!$D$2, Data!$K323='All Types'!$D$2,Data!$L323='All Types'!$D$3),Data!M323,"")</f>
        <v/>
      </c>
    </row>
    <row r="324">
      <c r="A324" s="102" t="str">
        <f t="shared" si="1"/>
        <v/>
      </c>
      <c r="B324" s="3" t="str">
        <f>IF(AND(Data!$B324='Individual Type'!$D$2, Data!$K324='All Types'!$D$2,Data!$L324='All Types'!$D$3),Data!$B324,"")</f>
        <v/>
      </c>
      <c r="C324" s="3" t="str">
        <f>IF(F324="","",Data!N324)</f>
        <v/>
      </c>
      <c r="D324" s="3" t="str">
        <f>IF(AND(Data!$B324='Individual Type'!$D$2, Data!$K324='All Types'!$D$2,Data!$L324='All Types'!$D$3),Data!$C324,"")</f>
        <v/>
      </c>
      <c r="E324" s="3" t="str">
        <f>IF($F324="","",Data!P324)</f>
        <v/>
      </c>
      <c r="F324" s="3" t="str">
        <f>IF(AND(Data!$B324='Individual Type'!$D$2, Data!$K324='All Types'!$D$2,Data!$L324='All Types'!$D$3),Data!M324,"")</f>
        <v/>
      </c>
    </row>
    <row r="325">
      <c r="A325" s="102" t="str">
        <f t="shared" si="1"/>
        <v/>
      </c>
      <c r="B325" s="3" t="str">
        <f>IF(AND(Data!$B325='Individual Type'!$D$2, Data!$K325='All Types'!$D$2,Data!$L325='All Types'!$D$3),Data!$B325,"")</f>
        <v/>
      </c>
      <c r="C325" s="3" t="str">
        <f>IF(F325="","",Data!N325)</f>
        <v/>
      </c>
      <c r="D325" s="3" t="str">
        <f>IF(AND(Data!$B325='Individual Type'!$D$2, Data!$K325='All Types'!$D$2,Data!$L325='All Types'!$D$3),Data!$C325,"")</f>
        <v/>
      </c>
      <c r="E325" s="3" t="str">
        <f>IF($F325="","",Data!P325)</f>
        <v/>
      </c>
      <c r="F325" s="3" t="str">
        <f>IF(AND(Data!$B325='Individual Type'!$D$2, Data!$K325='All Types'!$D$2,Data!$L325='All Types'!$D$3),Data!M325,"")</f>
        <v/>
      </c>
    </row>
    <row r="326">
      <c r="A326" s="102" t="str">
        <f t="shared" si="1"/>
        <v/>
      </c>
      <c r="B326" s="3" t="str">
        <f>IF(AND(Data!$B326='Individual Type'!$D$2, Data!$K326='All Types'!$D$2,Data!$L326='All Types'!$D$3),Data!$B326,"")</f>
        <v/>
      </c>
      <c r="C326" s="3" t="str">
        <f>IF(F326="","",Data!N326)</f>
        <v/>
      </c>
      <c r="D326" s="3" t="str">
        <f>IF(AND(Data!$B326='Individual Type'!$D$2, Data!$K326='All Types'!$D$2,Data!$L326='All Types'!$D$3),Data!$C326,"")</f>
        <v/>
      </c>
      <c r="E326" s="3" t="str">
        <f>IF($F326="","",Data!P326)</f>
        <v/>
      </c>
      <c r="F326" s="3" t="str">
        <f>IF(AND(Data!$B326='Individual Type'!$D$2, Data!$K326='All Types'!$D$2,Data!$L326='All Types'!$D$3),Data!M326,"")</f>
        <v/>
      </c>
    </row>
    <row r="327">
      <c r="A327" s="102" t="str">
        <f t="shared" si="1"/>
        <v/>
      </c>
      <c r="B327" s="3" t="str">
        <f>IF(AND(Data!$B327='Individual Type'!$D$2, Data!$K327='All Types'!$D$2,Data!$L327='All Types'!$D$3),Data!$B327,"")</f>
        <v/>
      </c>
      <c r="C327" s="3" t="str">
        <f>IF(F327="","",Data!N327)</f>
        <v/>
      </c>
      <c r="D327" s="3" t="str">
        <f>IF(AND(Data!$B327='Individual Type'!$D$2, Data!$K327='All Types'!$D$2,Data!$L327='All Types'!$D$3),Data!$C327,"")</f>
        <v/>
      </c>
      <c r="E327" s="3" t="str">
        <f>IF($F327="","",Data!P327)</f>
        <v/>
      </c>
      <c r="F327" s="3" t="str">
        <f>IF(AND(Data!$B327='Individual Type'!$D$2, Data!$K327='All Types'!$D$2,Data!$L327='All Types'!$D$3),Data!M327,"")</f>
        <v/>
      </c>
    </row>
    <row r="328">
      <c r="A328" s="102" t="str">
        <f t="shared" si="1"/>
        <v/>
      </c>
      <c r="B328" s="3" t="str">
        <f>IF(AND(Data!$B328='Individual Type'!$D$2, Data!$K328='All Types'!$D$2,Data!$L328='All Types'!$D$3),Data!$B328,"")</f>
        <v/>
      </c>
      <c r="C328" s="3" t="str">
        <f>IF(F328="","",Data!N328)</f>
        <v/>
      </c>
      <c r="D328" s="3" t="str">
        <f>IF(AND(Data!$B328='Individual Type'!$D$2, Data!$K328='All Types'!$D$2,Data!$L328='All Types'!$D$3),Data!$C328,"")</f>
        <v/>
      </c>
      <c r="E328" s="3" t="str">
        <f>IF($F328="","",Data!P328)</f>
        <v/>
      </c>
      <c r="F328" s="3" t="str">
        <f>IF(AND(Data!$B328='Individual Type'!$D$2, Data!$K328='All Types'!$D$2,Data!$L328='All Types'!$D$3),Data!M328,"")</f>
        <v/>
      </c>
    </row>
    <row r="329">
      <c r="A329" s="102" t="str">
        <f t="shared" si="1"/>
        <v/>
      </c>
      <c r="B329" s="3" t="str">
        <f>IF(AND(Data!$B329='Individual Type'!$D$2, Data!$K329='All Types'!$D$2,Data!$L329='All Types'!$D$3),Data!$B329,"")</f>
        <v/>
      </c>
      <c r="C329" s="3" t="str">
        <f>IF(F329="","",Data!N329)</f>
        <v/>
      </c>
      <c r="D329" s="3" t="str">
        <f>IF(AND(Data!$B329='Individual Type'!$D$2, Data!$K329='All Types'!$D$2,Data!$L329='All Types'!$D$3),Data!$C329,"")</f>
        <v/>
      </c>
      <c r="E329" s="3" t="str">
        <f>IF($F329="","",Data!P329)</f>
        <v/>
      </c>
      <c r="F329" s="3" t="str">
        <f>IF(AND(Data!$B329='Individual Type'!$D$2, Data!$K329='All Types'!$D$2,Data!$L329='All Types'!$D$3),Data!M329,"")</f>
        <v/>
      </c>
    </row>
    <row r="330">
      <c r="A330" s="102" t="str">
        <f t="shared" si="1"/>
        <v/>
      </c>
      <c r="B330" s="3" t="str">
        <f>IF(AND(Data!$B330='Individual Type'!$D$2, Data!$K330='All Types'!$D$2,Data!$L330='All Types'!$D$3),Data!$B330,"")</f>
        <v/>
      </c>
      <c r="C330" s="3" t="str">
        <f>IF(F330="","",Data!N330)</f>
        <v/>
      </c>
      <c r="D330" s="3" t="str">
        <f>IF(AND(Data!$B330='Individual Type'!$D$2, Data!$K330='All Types'!$D$2,Data!$L330='All Types'!$D$3),Data!$C330,"")</f>
        <v/>
      </c>
      <c r="E330" s="3" t="str">
        <f>IF($F330="","",Data!P330)</f>
        <v/>
      </c>
      <c r="F330" s="3" t="str">
        <f>IF(AND(Data!$B330='Individual Type'!$D$2, Data!$K330='All Types'!$D$2,Data!$L330='All Types'!$D$3),Data!M330,"")</f>
        <v/>
      </c>
    </row>
    <row r="331">
      <c r="A331" s="102" t="str">
        <f t="shared" si="1"/>
        <v/>
      </c>
      <c r="B331" s="3" t="str">
        <f>IF(AND(Data!$B331='Individual Type'!$D$2, Data!$K331='All Types'!$D$2,Data!$L331='All Types'!$D$3),Data!$B331,"")</f>
        <v/>
      </c>
      <c r="C331" s="3" t="str">
        <f>IF(F331="","",Data!N331)</f>
        <v/>
      </c>
      <c r="D331" s="3" t="str">
        <f>IF(AND(Data!$B331='Individual Type'!$D$2, Data!$K331='All Types'!$D$2,Data!$L331='All Types'!$D$3),Data!$C331,"")</f>
        <v/>
      </c>
      <c r="E331" s="3" t="str">
        <f>IF($F331="","",Data!P331)</f>
        <v/>
      </c>
      <c r="F331" s="3" t="str">
        <f>IF(AND(Data!$B331='Individual Type'!$D$2, Data!$K331='All Types'!$D$2,Data!$L331='All Types'!$D$3),Data!M331,"")</f>
        <v/>
      </c>
    </row>
    <row r="332">
      <c r="A332" s="102" t="str">
        <f t="shared" si="1"/>
        <v/>
      </c>
      <c r="B332" s="3" t="str">
        <f>IF(AND(Data!$B332='Individual Type'!$D$2, Data!$K332='All Types'!$D$2,Data!$L332='All Types'!$D$3),Data!$B332,"")</f>
        <v/>
      </c>
      <c r="C332" s="3" t="str">
        <f>IF(F332="","",Data!N332)</f>
        <v/>
      </c>
      <c r="D332" s="3" t="str">
        <f>IF(AND(Data!$B332='Individual Type'!$D$2, Data!$K332='All Types'!$D$2,Data!$L332='All Types'!$D$3),Data!$C332,"")</f>
        <v/>
      </c>
      <c r="E332" s="3" t="str">
        <f>IF($F332="","",Data!P332)</f>
        <v/>
      </c>
      <c r="F332" s="3" t="str">
        <f>IF(AND(Data!$B332='Individual Type'!$D$2, Data!$K332='All Types'!$D$2,Data!$L332='All Types'!$D$3),Data!M332,"")</f>
        <v/>
      </c>
    </row>
    <row r="333">
      <c r="A333" s="102" t="str">
        <f t="shared" si="1"/>
        <v/>
      </c>
      <c r="B333" s="3" t="str">
        <f>IF(AND(Data!$B333='Individual Type'!$D$2, Data!$K333='All Types'!$D$2,Data!$L333='All Types'!$D$3),Data!$B333,"")</f>
        <v/>
      </c>
      <c r="C333" s="3" t="str">
        <f>IF(F333="","",Data!N333)</f>
        <v/>
      </c>
      <c r="D333" s="3" t="str">
        <f>IF(AND(Data!$B333='Individual Type'!$D$2, Data!$K333='All Types'!$D$2,Data!$L333='All Types'!$D$3),Data!$C333,"")</f>
        <v/>
      </c>
      <c r="E333" s="3" t="str">
        <f>IF($F333="","",Data!P333)</f>
        <v/>
      </c>
      <c r="F333" s="3" t="str">
        <f>IF(AND(Data!$B333='Individual Type'!$D$2, Data!$K333='All Types'!$D$2,Data!$L333='All Types'!$D$3),Data!M333,"")</f>
        <v/>
      </c>
    </row>
    <row r="334">
      <c r="A334" s="102" t="str">
        <f t="shared" si="1"/>
        <v/>
      </c>
      <c r="B334" s="3" t="str">
        <f>IF(AND(Data!$B334='Individual Type'!$D$2, Data!$K334='All Types'!$D$2,Data!$L334='All Types'!$D$3),Data!$B334,"")</f>
        <v/>
      </c>
      <c r="C334" s="3" t="str">
        <f>IF(F334="","",Data!N334)</f>
        <v/>
      </c>
      <c r="D334" s="3" t="str">
        <f>IF(AND(Data!$B334='Individual Type'!$D$2, Data!$K334='All Types'!$D$2,Data!$L334='All Types'!$D$3),Data!$C334,"")</f>
        <v/>
      </c>
      <c r="E334" s="3" t="str">
        <f>IF($F334="","",Data!P334)</f>
        <v/>
      </c>
      <c r="F334" s="3" t="str">
        <f>IF(AND(Data!$B334='Individual Type'!$D$2, Data!$K334='All Types'!$D$2,Data!$L334='All Types'!$D$3),Data!M334,"")</f>
        <v/>
      </c>
    </row>
    <row r="335">
      <c r="A335" s="102" t="str">
        <f t="shared" si="1"/>
        <v/>
      </c>
      <c r="B335" s="3" t="str">
        <f>IF(AND(Data!$B335='Individual Type'!$D$2, Data!$K335='All Types'!$D$2,Data!$L335='All Types'!$D$3),Data!$B335,"")</f>
        <v/>
      </c>
      <c r="C335" s="3" t="str">
        <f>IF(F335="","",Data!N335)</f>
        <v/>
      </c>
      <c r="D335" s="3" t="str">
        <f>IF(AND(Data!$B335='Individual Type'!$D$2, Data!$K335='All Types'!$D$2,Data!$L335='All Types'!$D$3),Data!$C335,"")</f>
        <v/>
      </c>
      <c r="E335" s="3" t="str">
        <f>IF($F335="","",Data!P335)</f>
        <v/>
      </c>
      <c r="F335" s="3" t="str">
        <f>IF(AND(Data!$B335='Individual Type'!$D$2, Data!$K335='All Types'!$D$2,Data!$L335='All Types'!$D$3),Data!M335,"")</f>
        <v/>
      </c>
    </row>
    <row r="336">
      <c r="A336" s="102" t="str">
        <f t="shared" si="1"/>
        <v/>
      </c>
      <c r="B336" s="3" t="str">
        <f>IF(AND(Data!$B336='Individual Type'!$D$2, Data!$K336='All Types'!$D$2,Data!$L336='All Types'!$D$3),Data!$B336,"")</f>
        <v/>
      </c>
      <c r="C336" s="3" t="str">
        <f>IF(F336="","",Data!N336)</f>
        <v/>
      </c>
      <c r="D336" s="3" t="str">
        <f>IF(AND(Data!$B336='Individual Type'!$D$2, Data!$K336='All Types'!$D$2,Data!$L336='All Types'!$D$3),Data!$C336,"")</f>
        <v/>
      </c>
      <c r="E336" s="3" t="str">
        <f>IF($F336="","",Data!P336)</f>
        <v/>
      </c>
      <c r="F336" s="3" t="str">
        <f>IF(AND(Data!$B336='Individual Type'!$D$2, Data!$K336='All Types'!$D$2,Data!$L336='All Types'!$D$3),Data!M336,"")</f>
        <v/>
      </c>
    </row>
    <row r="337">
      <c r="A337" s="102" t="str">
        <f t="shared" si="1"/>
        <v/>
      </c>
      <c r="B337" s="3" t="str">
        <f>IF(AND(Data!$B337='Individual Type'!$D$2, Data!$K337='All Types'!$D$2,Data!$L337='All Types'!$D$3),Data!$B337,"")</f>
        <v/>
      </c>
      <c r="C337" s="3" t="str">
        <f>IF(F337="","",Data!N337)</f>
        <v/>
      </c>
      <c r="D337" s="3" t="str">
        <f>IF(AND(Data!$B337='Individual Type'!$D$2, Data!$K337='All Types'!$D$2,Data!$L337='All Types'!$D$3),Data!$C337,"")</f>
        <v/>
      </c>
      <c r="E337" s="3" t="str">
        <f>IF($F337="","",Data!P337)</f>
        <v/>
      </c>
      <c r="F337" s="3" t="str">
        <f>IF(AND(Data!$B337='Individual Type'!$D$2, Data!$K337='All Types'!$D$2,Data!$L337='All Types'!$D$3),Data!M337,"")</f>
        <v/>
      </c>
    </row>
    <row r="338">
      <c r="A338" s="102" t="str">
        <f t="shared" si="1"/>
        <v/>
      </c>
      <c r="B338" s="3" t="str">
        <f>IF(AND(Data!$B338='Individual Type'!$D$2, Data!$K338='All Types'!$D$2,Data!$L338='All Types'!$D$3),Data!$B338,"")</f>
        <v/>
      </c>
      <c r="C338" s="3" t="str">
        <f>IF(F338="","",Data!N338)</f>
        <v/>
      </c>
      <c r="D338" s="3" t="str">
        <f>IF(AND(Data!$B338='Individual Type'!$D$2, Data!$K338='All Types'!$D$2,Data!$L338='All Types'!$D$3),Data!$C338,"")</f>
        <v/>
      </c>
      <c r="E338" s="3" t="str">
        <f>IF($F338="","",Data!P338)</f>
        <v/>
      </c>
      <c r="F338" s="3" t="str">
        <f>IF(AND(Data!$B338='Individual Type'!$D$2, Data!$K338='All Types'!$D$2,Data!$L338='All Types'!$D$3),Data!M338,"")</f>
        <v/>
      </c>
    </row>
    <row r="339">
      <c r="A339" s="102" t="str">
        <f t="shared" si="1"/>
        <v/>
      </c>
      <c r="B339" s="3" t="str">
        <f>IF(AND(Data!$B339='Individual Type'!$D$2, Data!$K339='All Types'!$D$2,Data!$L339='All Types'!$D$3),Data!$B339,"")</f>
        <v/>
      </c>
      <c r="C339" s="3" t="str">
        <f>IF(F339="","",Data!N339)</f>
        <v/>
      </c>
      <c r="D339" s="3" t="str">
        <f>IF(AND(Data!$B339='Individual Type'!$D$2, Data!$K339='All Types'!$D$2,Data!$L339='All Types'!$D$3),Data!$C339,"")</f>
        <v/>
      </c>
      <c r="E339" s="3" t="str">
        <f>IF($F339="","",Data!P339)</f>
        <v/>
      </c>
      <c r="F339" s="3" t="str">
        <f>IF(AND(Data!$B339='Individual Type'!$D$2, Data!$K339='All Types'!$D$2,Data!$L339='All Types'!$D$3),Data!M339,"")</f>
        <v/>
      </c>
    </row>
    <row r="340">
      <c r="A340" s="102" t="str">
        <f t="shared" si="1"/>
        <v/>
      </c>
      <c r="B340" s="3" t="str">
        <f>IF(AND(Data!$B340='Individual Type'!$D$2, Data!$K340='All Types'!$D$2,Data!$L340='All Types'!$D$3),Data!$B340,"")</f>
        <v/>
      </c>
      <c r="C340" s="3" t="str">
        <f>IF(F340="","",Data!N340)</f>
        <v/>
      </c>
      <c r="D340" s="3" t="str">
        <f>IF(AND(Data!$B340='Individual Type'!$D$2, Data!$K340='All Types'!$D$2,Data!$L340='All Types'!$D$3),Data!$C340,"")</f>
        <v/>
      </c>
      <c r="E340" s="3" t="str">
        <f>IF($F340="","",Data!P340)</f>
        <v/>
      </c>
      <c r="F340" s="3" t="str">
        <f>IF(AND(Data!$B340='Individual Type'!$D$2, Data!$K340='All Types'!$D$2,Data!$L340='All Types'!$D$3),Data!M340,"")</f>
        <v/>
      </c>
    </row>
    <row r="341">
      <c r="A341" s="102" t="str">
        <f t="shared" si="1"/>
        <v/>
      </c>
      <c r="B341" s="3" t="str">
        <f>IF(AND(Data!$B341='Individual Type'!$D$2, Data!$K341='All Types'!$D$2,Data!$L341='All Types'!$D$3),Data!$B341,"")</f>
        <v/>
      </c>
      <c r="C341" s="3" t="str">
        <f>IF(F341="","",Data!N341)</f>
        <v/>
      </c>
      <c r="D341" s="3" t="str">
        <f>IF(AND(Data!$B341='Individual Type'!$D$2, Data!$K341='All Types'!$D$2,Data!$L341='All Types'!$D$3),Data!$C341,"")</f>
        <v/>
      </c>
      <c r="E341" s="3" t="str">
        <f>IF($F341="","",Data!P341)</f>
        <v/>
      </c>
      <c r="F341" s="3" t="str">
        <f>IF(AND(Data!$B341='Individual Type'!$D$2, Data!$K341='All Types'!$D$2,Data!$L341='All Types'!$D$3),Data!M341,"")</f>
        <v/>
      </c>
    </row>
    <row r="342">
      <c r="A342" s="102" t="str">
        <f t="shared" si="1"/>
        <v/>
      </c>
      <c r="B342" s="3" t="str">
        <f>IF(AND(Data!$B342='Individual Type'!$D$2, Data!$K342='All Types'!$D$2,Data!$L342='All Types'!$D$3),Data!$B342,"")</f>
        <v/>
      </c>
      <c r="C342" s="3" t="str">
        <f>IF(F342="","",Data!N342)</f>
        <v/>
      </c>
      <c r="D342" s="3" t="str">
        <f>IF(AND(Data!$B342='Individual Type'!$D$2, Data!$K342='All Types'!$D$2,Data!$L342='All Types'!$D$3),Data!$C342,"")</f>
        <v/>
      </c>
      <c r="E342" s="3" t="str">
        <f>IF($F342="","",Data!P342)</f>
        <v/>
      </c>
      <c r="F342" s="3" t="str">
        <f>IF(AND(Data!$B342='Individual Type'!$D$2, Data!$K342='All Types'!$D$2,Data!$L342='All Types'!$D$3),Data!M342,"")</f>
        <v/>
      </c>
    </row>
    <row r="343">
      <c r="A343" s="102" t="str">
        <f t="shared" si="1"/>
        <v/>
      </c>
      <c r="B343" s="3" t="str">
        <f>IF(AND(Data!$B343='Individual Type'!$D$2, Data!$K343='All Types'!$D$2,Data!$L343='All Types'!$D$3),Data!$B343,"")</f>
        <v/>
      </c>
      <c r="C343" s="3" t="str">
        <f>IF(F343="","",Data!N343)</f>
        <v/>
      </c>
      <c r="D343" s="3" t="str">
        <f>IF(AND(Data!$B343='Individual Type'!$D$2, Data!$K343='All Types'!$D$2,Data!$L343='All Types'!$D$3),Data!$C343,"")</f>
        <v/>
      </c>
      <c r="E343" s="3" t="str">
        <f>IF($F343="","",Data!P343)</f>
        <v/>
      </c>
      <c r="F343" s="3" t="str">
        <f>IF(AND(Data!$B343='Individual Type'!$D$2, Data!$K343='All Types'!$D$2,Data!$L343='All Types'!$D$3),Data!M343,"")</f>
        <v/>
      </c>
    </row>
    <row r="344">
      <c r="A344" s="102" t="str">
        <f t="shared" si="1"/>
        <v/>
      </c>
      <c r="B344" s="3" t="str">
        <f>IF(AND(Data!$B344='Individual Type'!$D$2, Data!$K344='All Types'!$D$2,Data!$L344='All Types'!$D$3),Data!$B344,"")</f>
        <v/>
      </c>
      <c r="C344" s="3" t="str">
        <f>IF(F344="","",Data!N344)</f>
        <v/>
      </c>
      <c r="D344" s="3" t="str">
        <f>IF(AND(Data!$B344='Individual Type'!$D$2, Data!$K344='All Types'!$D$2,Data!$L344='All Types'!$D$3),Data!$C344,"")</f>
        <v/>
      </c>
      <c r="E344" s="3" t="str">
        <f>IF($F344="","",Data!P344)</f>
        <v/>
      </c>
      <c r="F344" s="3" t="str">
        <f>IF(AND(Data!$B344='Individual Type'!$D$2, Data!$K344='All Types'!$D$2,Data!$L344='All Types'!$D$3),Data!M344,"")</f>
        <v/>
      </c>
    </row>
    <row r="345">
      <c r="A345" s="102" t="str">
        <f t="shared" si="1"/>
        <v/>
      </c>
      <c r="B345" s="3" t="str">
        <f>IF(AND(Data!$B345='Individual Type'!$D$2, Data!$K345='All Types'!$D$2,Data!$L345='All Types'!$D$3),Data!$B345,"")</f>
        <v/>
      </c>
      <c r="C345" s="3" t="str">
        <f>IF(F345="","",Data!N345)</f>
        <v/>
      </c>
      <c r="D345" s="3" t="str">
        <f>IF(AND(Data!$B345='Individual Type'!$D$2, Data!$K345='All Types'!$D$2,Data!$L345='All Types'!$D$3),Data!$C345,"")</f>
        <v/>
      </c>
      <c r="E345" s="3" t="str">
        <f>IF($F345="","",Data!P345)</f>
        <v/>
      </c>
      <c r="F345" s="3" t="str">
        <f>IF(AND(Data!$B345='Individual Type'!$D$2, Data!$K345='All Types'!$D$2,Data!$L345='All Types'!$D$3),Data!M345,"")</f>
        <v/>
      </c>
    </row>
    <row r="346">
      <c r="A346" s="102" t="str">
        <f t="shared" si="1"/>
        <v/>
      </c>
      <c r="B346" s="3" t="str">
        <f>IF(AND(Data!$B346='Individual Type'!$D$2, Data!$K346='All Types'!$D$2,Data!$L346='All Types'!$D$3),Data!$B346,"")</f>
        <v/>
      </c>
      <c r="C346" s="3" t="str">
        <f>IF(F346="","",Data!N346)</f>
        <v/>
      </c>
      <c r="D346" s="3" t="str">
        <f>IF(AND(Data!$B346='Individual Type'!$D$2, Data!$K346='All Types'!$D$2,Data!$L346='All Types'!$D$3),Data!$C346,"")</f>
        <v/>
      </c>
      <c r="E346" s="3" t="str">
        <f>IF($F346="","",Data!P346)</f>
        <v/>
      </c>
      <c r="F346" s="3" t="str">
        <f>IF(AND(Data!$B346='Individual Type'!$D$2, Data!$K346='All Types'!$D$2,Data!$L346='All Types'!$D$3),Data!M346,"")</f>
        <v/>
      </c>
    </row>
    <row r="347">
      <c r="A347" s="102" t="str">
        <f t="shared" si="1"/>
        <v/>
      </c>
      <c r="B347" s="3" t="str">
        <f>IF(AND(Data!$B347='Individual Type'!$D$2, Data!$K347='All Types'!$D$2,Data!$L347='All Types'!$D$3),Data!$B347,"")</f>
        <v/>
      </c>
      <c r="C347" s="3" t="str">
        <f>IF(F347="","",Data!N347)</f>
        <v/>
      </c>
      <c r="D347" s="3" t="str">
        <f>IF(AND(Data!$B347='Individual Type'!$D$2, Data!$K347='All Types'!$D$2,Data!$L347='All Types'!$D$3),Data!$C347,"")</f>
        <v/>
      </c>
      <c r="E347" s="3" t="str">
        <f>IF($F347="","",Data!P347)</f>
        <v/>
      </c>
      <c r="F347" s="3" t="str">
        <f>IF(AND(Data!$B347='Individual Type'!$D$2, Data!$K347='All Types'!$D$2,Data!$L347='All Types'!$D$3),Data!M347,"")</f>
        <v/>
      </c>
    </row>
    <row r="348">
      <c r="A348" s="102" t="str">
        <f t="shared" si="1"/>
        <v/>
      </c>
      <c r="B348" s="3" t="str">
        <f>IF(AND(Data!$B348='Individual Type'!$D$2, Data!$K348='All Types'!$D$2,Data!$L348='All Types'!$D$3),Data!$B348,"")</f>
        <v/>
      </c>
      <c r="C348" s="3" t="str">
        <f>IF(F348="","",Data!N348)</f>
        <v/>
      </c>
      <c r="D348" s="3" t="str">
        <f>IF(AND(Data!$B348='Individual Type'!$D$2, Data!$K348='All Types'!$D$2,Data!$L348='All Types'!$D$3),Data!$C348,"")</f>
        <v/>
      </c>
      <c r="E348" s="3" t="str">
        <f>IF($F348="","",Data!P348)</f>
        <v/>
      </c>
      <c r="F348" s="3" t="str">
        <f>IF(AND(Data!$B348='Individual Type'!$D$2, Data!$K348='All Types'!$D$2,Data!$L348='All Types'!$D$3),Data!M348,"")</f>
        <v/>
      </c>
    </row>
    <row r="349">
      <c r="A349" s="102" t="str">
        <f t="shared" si="1"/>
        <v/>
      </c>
      <c r="B349" s="3" t="str">
        <f>IF(AND(Data!$B349='Individual Type'!$D$2, Data!$K349='All Types'!$D$2,Data!$L349='All Types'!$D$3),Data!$B349,"")</f>
        <v/>
      </c>
      <c r="C349" s="3" t="str">
        <f>IF(F349="","",Data!N349)</f>
        <v/>
      </c>
      <c r="D349" s="3" t="str">
        <f>IF(AND(Data!$B349='Individual Type'!$D$2, Data!$K349='All Types'!$D$2,Data!$L349='All Types'!$D$3),Data!$C349,"")</f>
        <v/>
      </c>
      <c r="E349" s="3" t="str">
        <f>IF($F349="","",Data!P349)</f>
        <v/>
      </c>
      <c r="F349" s="3" t="str">
        <f>IF(AND(Data!$B349='Individual Type'!$D$2, Data!$K349='All Types'!$D$2,Data!$L349='All Types'!$D$3),Data!M349,"")</f>
        <v/>
      </c>
    </row>
    <row r="350">
      <c r="A350" s="102" t="str">
        <f t="shared" si="1"/>
        <v/>
      </c>
      <c r="B350" s="3" t="str">
        <f>IF(AND(Data!$B350='Individual Type'!$D$2, Data!$K350='All Types'!$D$2,Data!$L350='All Types'!$D$3),Data!$B350,"")</f>
        <v/>
      </c>
      <c r="C350" s="3" t="str">
        <f>IF(F350="","",Data!N350)</f>
        <v/>
      </c>
      <c r="D350" s="3" t="str">
        <f>IF(AND(Data!$B350='Individual Type'!$D$2, Data!$K350='All Types'!$D$2,Data!$L350='All Types'!$D$3),Data!$C350,"")</f>
        <v/>
      </c>
      <c r="E350" s="3" t="str">
        <f>IF($F350="","",Data!P350)</f>
        <v/>
      </c>
      <c r="F350" s="3" t="str">
        <f>IF(AND(Data!$B350='Individual Type'!$D$2, Data!$K350='All Types'!$D$2,Data!$L350='All Types'!$D$3),Data!M350,"")</f>
        <v/>
      </c>
    </row>
    <row r="351">
      <c r="A351" s="102" t="str">
        <f t="shared" si="1"/>
        <v/>
      </c>
      <c r="B351" s="3" t="str">
        <f>IF(AND(Data!$B351='Individual Type'!$D$2, Data!$K351='All Types'!$D$2,Data!$L351='All Types'!$D$3),Data!$B351,"")</f>
        <v/>
      </c>
      <c r="C351" s="3" t="str">
        <f>IF(F351="","",Data!N351)</f>
        <v/>
      </c>
      <c r="D351" s="3" t="str">
        <f>IF(AND(Data!$B351='Individual Type'!$D$2, Data!$K351='All Types'!$D$2,Data!$L351='All Types'!$D$3),Data!$C351,"")</f>
        <v/>
      </c>
      <c r="E351" s="3" t="str">
        <f>IF($F351="","",Data!P351)</f>
        <v/>
      </c>
      <c r="F351" s="3" t="str">
        <f>IF(AND(Data!$B351='Individual Type'!$D$2, Data!$K351='All Types'!$D$2,Data!$L351='All Types'!$D$3),Data!M351,"")</f>
        <v/>
      </c>
    </row>
    <row r="352">
      <c r="A352" s="102" t="str">
        <f t="shared" si="1"/>
        <v/>
      </c>
      <c r="B352" s="3" t="str">
        <f>IF(AND(Data!$B352='Individual Type'!$D$2, Data!$K352='All Types'!$D$2,Data!$L352='All Types'!$D$3),Data!$B352,"")</f>
        <v/>
      </c>
      <c r="C352" s="3" t="str">
        <f>IF(F352="","",Data!N352)</f>
        <v/>
      </c>
      <c r="D352" s="3" t="str">
        <f>IF(AND(Data!$B352='Individual Type'!$D$2, Data!$K352='All Types'!$D$2,Data!$L352='All Types'!$D$3),Data!$C352,"")</f>
        <v/>
      </c>
      <c r="E352" s="3" t="str">
        <f>IF($F352="","",Data!P352)</f>
        <v/>
      </c>
      <c r="F352" s="3" t="str">
        <f>IF(AND(Data!$B352='Individual Type'!$D$2, Data!$K352='All Types'!$D$2,Data!$L352='All Types'!$D$3),Data!M352,"")</f>
        <v/>
      </c>
    </row>
    <row r="353">
      <c r="A353" s="102" t="str">
        <f t="shared" si="1"/>
        <v/>
      </c>
      <c r="B353" s="3" t="str">
        <f>IF(AND(Data!$B353='Individual Type'!$D$2, Data!$K353='All Types'!$D$2,Data!$L353='All Types'!$D$3),Data!$B353,"")</f>
        <v/>
      </c>
      <c r="C353" s="3" t="str">
        <f>IF(F353="","",Data!N353)</f>
        <v/>
      </c>
      <c r="D353" s="3" t="str">
        <f>IF(AND(Data!$B353='Individual Type'!$D$2, Data!$K353='All Types'!$D$2,Data!$L353='All Types'!$D$3),Data!$C353,"")</f>
        <v/>
      </c>
      <c r="E353" s="3" t="str">
        <f>IF($F353="","",Data!P353)</f>
        <v/>
      </c>
      <c r="F353" s="3" t="str">
        <f>IF(AND(Data!$B353='Individual Type'!$D$2, Data!$K353='All Types'!$D$2,Data!$L353='All Types'!$D$3),Data!M353,"")</f>
        <v/>
      </c>
    </row>
    <row r="354">
      <c r="A354" s="102" t="str">
        <f t="shared" si="1"/>
        <v/>
      </c>
      <c r="B354" s="3" t="str">
        <f>IF(AND(Data!$B354='Individual Type'!$D$2, Data!$K354='All Types'!$D$2,Data!$L354='All Types'!$D$3),Data!$B354,"")</f>
        <v/>
      </c>
      <c r="C354" s="3" t="str">
        <f>IF(F354="","",Data!N354)</f>
        <v/>
      </c>
      <c r="D354" s="3" t="str">
        <f>IF(AND(Data!$B354='Individual Type'!$D$2, Data!$K354='All Types'!$D$2,Data!$L354='All Types'!$D$3),Data!$C354,"")</f>
        <v/>
      </c>
      <c r="E354" s="3" t="str">
        <f>IF($F354="","",Data!P354)</f>
        <v/>
      </c>
      <c r="F354" s="3" t="str">
        <f>IF(AND(Data!$B354='Individual Type'!$D$2, Data!$K354='All Types'!$D$2,Data!$L354='All Types'!$D$3),Data!M354,"")</f>
        <v/>
      </c>
    </row>
    <row r="355">
      <c r="A355" s="102" t="str">
        <f t="shared" si="1"/>
        <v/>
      </c>
      <c r="B355" s="3" t="str">
        <f>IF(AND(Data!$B355='Individual Type'!$D$2, Data!$K355='All Types'!$D$2,Data!$L355='All Types'!$D$3),Data!$B355,"")</f>
        <v/>
      </c>
      <c r="C355" s="3" t="str">
        <f>IF(F355="","",Data!N355)</f>
        <v/>
      </c>
      <c r="D355" s="3" t="str">
        <f>IF(AND(Data!$B355='Individual Type'!$D$2, Data!$K355='All Types'!$D$2,Data!$L355='All Types'!$D$3),Data!$C355,"")</f>
        <v/>
      </c>
      <c r="E355" s="3" t="str">
        <f>IF($F355="","",Data!P355)</f>
        <v/>
      </c>
      <c r="F355" s="3" t="str">
        <f>IF(AND(Data!$B355='Individual Type'!$D$2, Data!$K355='All Types'!$D$2,Data!$L355='All Types'!$D$3),Data!M355,"")</f>
        <v/>
      </c>
    </row>
    <row r="356">
      <c r="A356" s="102" t="str">
        <f t="shared" si="1"/>
        <v/>
      </c>
      <c r="B356" s="3" t="str">
        <f>IF(AND(Data!$B356='Individual Type'!$D$2, Data!$K356='All Types'!$D$2,Data!$L356='All Types'!$D$3),Data!$B356,"")</f>
        <v/>
      </c>
      <c r="C356" s="3" t="str">
        <f>IF(F356="","",Data!N356)</f>
        <v/>
      </c>
      <c r="D356" s="3" t="str">
        <f>IF(AND(Data!$B356='Individual Type'!$D$2, Data!$K356='All Types'!$D$2,Data!$L356='All Types'!$D$3),Data!$C356,"")</f>
        <v/>
      </c>
      <c r="E356" s="3" t="str">
        <f>IF($F356="","",Data!P356)</f>
        <v/>
      </c>
      <c r="F356" s="3" t="str">
        <f>IF(AND(Data!$B356='Individual Type'!$D$2, Data!$K356='All Types'!$D$2,Data!$L356='All Types'!$D$3),Data!M356,"")</f>
        <v/>
      </c>
    </row>
    <row r="357">
      <c r="A357" s="102" t="str">
        <f t="shared" si="1"/>
        <v/>
      </c>
      <c r="B357" s="3" t="str">
        <f>IF(AND(Data!$B357='Individual Type'!$D$2, Data!$K357='All Types'!$D$2,Data!$L357='All Types'!$D$3),Data!$B357,"")</f>
        <v/>
      </c>
      <c r="C357" s="3" t="str">
        <f>IF(F357="","",Data!N357)</f>
        <v/>
      </c>
      <c r="D357" s="3" t="str">
        <f>IF(AND(Data!$B357='Individual Type'!$D$2, Data!$K357='All Types'!$D$2,Data!$L357='All Types'!$D$3),Data!$C357,"")</f>
        <v/>
      </c>
      <c r="E357" s="3" t="str">
        <f>IF($F357="","",Data!P357)</f>
        <v/>
      </c>
      <c r="F357" s="3" t="str">
        <f>IF(AND(Data!$B357='Individual Type'!$D$2, Data!$K357='All Types'!$D$2,Data!$L357='All Types'!$D$3),Data!M357,"")</f>
        <v/>
      </c>
    </row>
    <row r="358">
      <c r="A358" s="102" t="str">
        <f t="shared" si="1"/>
        <v/>
      </c>
      <c r="B358" s="3" t="str">
        <f>IF(AND(Data!$B358='Individual Type'!$D$2, Data!$K358='All Types'!$D$2,Data!$L358='All Types'!$D$3),Data!$B358,"")</f>
        <v/>
      </c>
      <c r="C358" s="3" t="str">
        <f>IF(F358="","",Data!N358)</f>
        <v/>
      </c>
      <c r="D358" s="3" t="str">
        <f>IF(AND(Data!$B358='Individual Type'!$D$2, Data!$K358='All Types'!$D$2,Data!$L358='All Types'!$D$3),Data!$C358,"")</f>
        <v/>
      </c>
      <c r="E358" s="3" t="str">
        <f>IF($F358="","",Data!P358)</f>
        <v/>
      </c>
      <c r="F358" s="3" t="str">
        <f>IF(AND(Data!$B358='Individual Type'!$D$2, Data!$K358='All Types'!$D$2,Data!$L358='All Types'!$D$3),Data!M358,"")</f>
        <v/>
      </c>
    </row>
    <row r="359">
      <c r="A359" s="102" t="str">
        <f t="shared" si="1"/>
        <v/>
      </c>
      <c r="B359" s="3" t="str">
        <f>IF(AND(Data!$B359='Individual Type'!$D$2, Data!$K359='All Types'!$D$2,Data!$L359='All Types'!$D$3),Data!$B359,"")</f>
        <v/>
      </c>
      <c r="C359" s="3" t="str">
        <f>IF(F359="","",Data!N359)</f>
        <v/>
      </c>
      <c r="D359" s="3" t="str">
        <f>IF(AND(Data!$B359='Individual Type'!$D$2, Data!$K359='All Types'!$D$2,Data!$L359='All Types'!$D$3),Data!$C359,"")</f>
        <v/>
      </c>
      <c r="E359" s="3" t="str">
        <f>IF($F359="","",Data!P359)</f>
        <v/>
      </c>
      <c r="F359" s="3" t="str">
        <f>IF(AND(Data!$B359='Individual Type'!$D$2, Data!$K359='All Types'!$D$2,Data!$L359='All Types'!$D$3),Data!M359,"")</f>
        <v/>
      </c>
    </row>
    <row r="360">
      <c r="A360" s="102" t="str">
        <f t="shared" si="1"/>
        <v/>
      </c>
      <c r="B360" s="3" t="str">
        <f>IF(AND(Data!$B360='Individual Type'!$D$2, Data!$K360='All Types'!$D$2,Data!$L360='All Types'!$D$3),Data!$B360,"")</f>
        <v/>
      </c>
      <c r="C360" s="3" t="str">
        <f>IF(F360="","",Data!N360)</f>
        <v/>
      </c>
      <c r="D360" s="3" t="str">
        <f>IF(AND(Data!$B360='Individual Type'!$D$2, Data!$K360='All Types'!$D$2,Data!$L360='All Types'!$D$3),Data!$C360,"")</f>
        <v/>
      </c>
      <c r="E360" s="3" t="str">
        <f>IF($F360="","",Data!P360)</f>
        <v/>
      </c>
      <c r="F360" s="3" t="str">
        <f>IF(AND(Data!$B360='Individual Type'!$D$2, Data!$K360='All Types'!$D$2,Data!$L360='All Types'!$D$3),Data!M360,"")</f>
        <v/>
      </c>
    </row>
    <row r="361">
      <c r="A361" s="102" t="str">
        <f t="shared" si="1"/>
        <v/>
      </c>
      <c r="B361" s="3" t="str">
        <f>IF(AND(Data!$B361='Individual Type'!$D$2, Data!$K361='All Types'!$D$2,Data!$L361='All Types'!$D$3),Data!$B361,"")</f>
        <v/>
      </c>
      <c r="C361" s="3" t="str">
        <f>IF(F361="","",Data!N361)</f>
        <v/>
      </c>
      <c r="D361" s="3" t="str">
        <f>IF(AND(Data!$B361='Individual Type'!$D$2, Data!$K361='All Types'!$D$2,Data!$L361='All Types'!$D$3),Data!$C361,"")</f>
        <v/>
      </c>
      <c r="E361" s="3" t="str">
        <f>IF($F361="","",Data!P361)</f>
        <v/>
      </c>
      <c r="F361" s="3" t="str">
        <f>IF(AND(Data!$B361='Individual Type'!$D$2, Data!$K361='All Types'!$D$2,Data!$L361='All Types'!$D$3),Data!M361,"")</f>
        <v/>
      </c>
    </row>
    <row r="362">
      <c r="A362" s="102" t="str">
        <f t="shared" si="1"/>
        <v/>
      </c>
      <c r="B362" s="3" t="str">
        <f>IF(AND(Data!$B362='Individual Type'!$D$2, Data!$K362='All Types'!$D$2,Data!$L362='All Types'!$D$3),Data!$B362,"")</f>
        <v/>
      </c>
      <c r="C362" s="3" t="str">
        <f>IF(F362="","",Data!N362)</f>
        <v/>
      </c>
      <c r="D362" s="3" t="str">
        <f>IF(AND(Data!$B362='Individual Type'!$D$2, Data!$K362='All Types'!$D$2,Data!$L362='All Types'!$D$3),Data!$C362,"")</f>
        <v/>
      </c>
      <c r="E362" s="3" t="str">
        <f>IF($F362="","",Data!P362)</f>
        <v/>
      </c>
      <c r="F362" s="3" t="str">
        <f>IF(AND(Data!$B362='Individual Type'!$D$2, Data!$K362='All Types'!$D$2,Data!$L362='All Types'!$D$3),Data!M362,"")</f>
        <v/>
      </c>
    </row>
    <row r="363">
      <c r="A363" s="102" t="str">
        <f t="shared" si="1"/>
        <v/>
      </c>
      <c r="B363" s="3" t="str">
        <f>IF(AND(Data!$B363='Individual Type'!$D$2, Data!$K363='All Types'!$D$2,Data!$L363='All Types'!$D$3),Data!$B363,"")</f>
        <v/>
      </c>
      <c r="C363" s="3" t="str">
        <f>IF(F363="","",Data!N363)</f>
        <v/>
      </c>
      <c r="D363" s="3" t="str">
        <f>IF(AND(Data!$B363='Individual Type'!$D$2, Data!$K363='All Types'!$D$2,Data!$L363='All Types'!$D$3),Data!$C363,"")</f>
        <v/>
      </c>
      <c r="E363" s="3" t="str">
        <f>IF($F363="","",Data!P363)</f>
        <v/>
      </c>
      <c r="F363" s="3" t="str">
        <f>IF(AND(Data!$B363='Individual Type'!$D$2, Data!$K363='All Types'!$D$2,Data!$L363='All Types'!$D$3),Data!M363,"")</f>
        <v/>
      </c>
    </row>
    <row r="364">
      <c r="A364" s="102" t="str">
        <f t="shared" si="1"/>
        <v/>
      </c>
      <c r="B364" s="3" t="str">
        <f>IF(AND(Data!$B364='Individual Type'!$D$2, Data!$K364='All Types'!$D$2,Data!$L364='All Types'!$D$3),Data!$B364,"")</f>
        <v/>
      </c>
      <c r="C364" s="3" t="str">
        <f>IF(F364="","",Data!N364)</f>
        <v/>
      </c>
      <c r="D364" s="3" t="str">
        <f>IF(AND(Data!$B364='Individual Type'!$D$2, Data!$K364='All Types'!$D$2,Data!$L364='All Types'!$D$3),Data!$C364,"")</f>
        <v/>
      </c>
      <c r="E364" s="3" t="str">
        <f>IF($F364="","",Data!P364)</f>
        <v/>
      </c>
      <c r="F364" s="3" t="str">
        <f>IF(AND(Data!$B364='Individual Type'!$D$2, Data!$K364='All Types'!$D$2,Data!$L364='All Types'!$D$3),Data!M364,"")</f>
        <v/>
      </c>
    </row>
    <row r="365">
      <c r="A365" s="102" t="str">
        <f t="shared" si="1"/>
        <v/>
      </c>
      <c r="B365" s="3" t="str">
        <f>IF(AND(Data!$B365='Individual Type'!$D$2, Data!$K365='All Types'!$D$2,Data!$L365='All Types'!$D$3),Data!$B365,"")</f>
        <v/>
      </c>
      <c r="C365" s="3" t="str">
        <f>IF(F365="","",Data!N365)</f>
        <v/>
      </c>
      <c r="D365" s="3" t="str">
        <f>IF(AND(Data!$B365='Individual Type'!$D$2, Data!$K365='All Types'!$D$2,Data!$L365='All Types'!$D$3),Data!$C365,"")</f>
        <v/>
      </c>
      <c r="E365" s="3" t="str">
        <f>IF($F365="","",Data!P365)</f>
        <v/>
      </c>
      <c r="F365" s="3" t="str">
        <f>IF(AND(Data!$B365='Individual Type'!$D$2, Data!$K365='All Types'!$D$2,Data!$L365='All Types'!$D$3),Data!M365,"")</f>
        <v/>
      </c>
    </row>
    <row r="366">
      <c r="A366" s="102" t="str">
        <f t="shared" si="1"/>
        <v/>
      </c>
      <c r="B366" s="3" t="str">
        <f>IF(AND(Data!$B366='Individual Type'!$D$2, Data!$K366='All Types'!$D$2,Data!$L366='All Types'!$D$3),Data!$B366,"")</f>
        <v/>
      </c>
      <c r="C366" s="3" t="str">
        <f>IF(F366="","",Data!N366)</f>
        <v/>
      </c>
      <c r="D366" s="3" t="str">
        <f>IF(AND(Data!$B366='Individual Type'!$D$2, Data!$K366='All Types'!$D$2,Data!$L366='All Types'!$D$3),Data!$C366,"")</f>
        <v/>
      </c>
      <c r="E366" s="3" t="str">
        <f>IF($F366="","",Data!P366)</f>
        <v/>
      </c>
      <c r="F366" s="3" t="str">
        <f>IF(AND(Data!$B366='Individual Type'!$D$2, Data!$K366='All Types'!$D$2,Data!$L366='All Types'!$D$3),Data!M366,"")</f>
        <v/>
      </c>
    </row>
    <row r="367">
      <c r="A367" s="102" t="str">
        <f t="shared" si="1"/>
        <v/>
      </c>
      <c r="B367" s="3" t="str">
        <f>IF(AND(Data!$B367='Individual Type'!$D$2, Data!$K367='All Types'!$D$2,Data!$L367='All Types'!$D$3),Data!$B367,"")</f>
        <v/>
      </c>
      <c r="C367" s="3" t="str">
        <f>IF(F367="","",Data!N367)</f>
        <v/>
      </c>
      <c r="D367" s="3" t="str">
        <f>IF(AND(Data!$B367='Individual Type'!$D$2, Data!$K367='All Types'!$D$2,Data!$L367='All Types'!$D$3),Data!$C367,"")</f>
        <v/>
      </c>
      <c r="E367" s="3" t="str">
        <f>IF($F367="","",Data!P367)</f>
        <v/>
      </c>
      <c r="F367" s="3" t="str">
        <f>IF(AND(Data!$B367='Individual Type'!$D$2, Data!$K367='All Types'!$D$2,Data!$L367='All Types'!$D$3),Data!M367,"")</f>
        <v/>
      </c>
    </row>
    <row r="368">
      <c r="A368" s="102" t="str">
        <f t="shared" si="1"/>
        <v/>
      </c>
      <c r="B368" s="3" t="str">
        <f>IF(AND(Data!$B368='Individual Type'!$D$2, Data!$K368='All Types'!$D$2,Data!$L368='All Types'!$D$3),Data!$B368,"")</f>
        <v/>
      </c>
      <c r="C368" s="3" t="str">
        <f>IF(F368="","",Data!N368)</f>
        <v/>
      </c>
      <c r="D368" s="3" t="str">
        <f>IF(AND(Data!$B368='Individual Type'!$D$2, Data!$K368='All Types'!$D$2,Data!$L368='All Types'!$D$3),Data!$C368,"")</f>
        <v/>
      </c>
      <c r="E368" s="3" t="str">
        <f>IF($F368="","",Data!P368)</f>
        <v/>
      </c>
      <c r="F368" s="3" t="str">
        <f>IF(AND(Data!$B368='Individual Type'!$D$2, Data!$K368='All Types'!$D$2,Data!$L368='All Types'!$D$3),Data!M368,"")</f>
        <v/>
      </c>
    </row>
    <row r="369">
      <c r="A369" s="102" t="str">
        <f t="shared" si="1"/>
        <v/>
      </c>
      <c r="B369" s="3" t="str">
        <f>IF(AND(Data!$B369='Individual Type'!$D$2, Data!$K369='All Types'!$D$2,Data!$L369='All Types'!$D$3),Data!$B369,"")</f>
        <v/>
      </c>
      <c r="C369" s="3" t="str">
        <f>IF(F369="","",Data!N369)</f>
        <v/>
      </c>
      <c r="D369" s="3" t="str">
        <f>IF(AND(Data!$B369='Individual Type'!$D$2, Data!$K369='All Types'!$D$2,Data!$L369='All Types'!$D$3),Data!$C369,"")</f>
        <v/>
      </c>
      <c r="E369" s="3" t="str">
        <f>IF($F369="","",Data!P369)</f>
        <v/>
      </c>
      <c r="F369" s="3" t="str">
        <f>IF(AND(Data!$B369='Individual Type'!$D$2, Data!$K369='All Types'!$D$2,Data!$L369='All Types'!$D$3),Data!M369,"")</f>
        <v/>
      </c>
    </row>
    <row r="370">
      <c r="A370" s="102" t="str">
        <f t="shared" si="1"/>
        <v/>
      </c>
      <c r="B370" s="3" t="str">
        <f>IF(AND(Data!$B370='Individual Type'!$D$2, Data!$K370='All Types'!$D$2,Data!$L370='All Types'!$D$3),Data!$B370,"")</f>
        <v/>
      </c>
      <c r="C370" s="3" t="str">
        <f>IF(F370="","",Data!N370)</f>
        <v/>
      </c>
      <c r="D370" s="3" t="str">
        <f>IF(AND(Data!$B370='Individual Type'!$D$2, Data!$K370='All Types'!$D$2,Data!$L370='All Types'!$D$3),Data!$C370,"")</f>
        <v/>
      </c>
      <c r="E370" s="3" t="str">
        <f>IF($F370="","",Data!P370)</f>
        <v/>
      </c>
      <c r="F370" s="3" t="str">
        <f>IF(AND(Data!$B370='Individual Type'!$D$2, Data!$K370='All Types'!$D$2,Data!$L370='All Types'!$D$3),Data!M370,"")</f>
        <v/>
      </c>
    </row>
    <row r="371">
      <c r="A371" s="102" t="str">
        <f t="shared" si="1"/>
        <v/>
      </c>
      <c r="B371" s="3" t="str">
        <f>IF(AND(Data!$B371='Individual Type'!$D$2, Data!$K371='All Types'!$D$2,Data!$L371='All Types'!$D$3),Data!$B371,"")</f>
        <v/>
      </c>
      <c r="C371" s="3" t="str">
        <f>IF(F371="","",Data!N371)</f>
        <v/>
      </c>
      <c r="D371" s="3" t="str">
        <f>IF(AND(Data!$B371='Individual Type'!$D$2, Data!$K371='All Types'!$D$2,Data!$L371='All Types'!$D$3),Data!$C371,"")</f>
        <v/>
      </c>
      <c r="E371" s="3" t="str">
        <f>IF($F371="","",Data!P371)</f>
        <v/>
      </c>
      <c r="F371" s="3" t="str">
        <f>IF(AND(Data!$B371='Individual Type'!$D$2, Data!$K371='All Types'!$D$2,Data!$L371='All Types'!$D$3),Data!M371,"")</f>
        <v/>
      </c>
    </row>
    <row r="372">
      <c r="A372" s="102" t="str">
        <f t="shared" si="1"/>
        <v/>
      </c>
      <c r="B372" s="3" t="str">
        <f>IF(AND(Data!$B372='Individual Type'!$D$2, Data!$K372='All Types'!$D$2,Data!$L372='All Types'!$D$3),Data!$B372,"")</f>
        <v/>
      </c>
      <c r="C372" s="3" t="str">
        <f>IF(F372="","",Data!N372)</f>
        <v/>
      </c>
      <c r="D372" s="3" t="str">
        <f>IF(AND(Data!$B372='Individual Type'!$D$2, Data!$K372='All Types'!$D$2,Data!$L372='All Types'!$D$3),Data!$C372,"")</f>
        <v/>
      </c>
      <c r="E372" s="3" t="str">
        <f>IF($F372="","",Data!P372)</f>
        <v/>
      </c>
      <c r="F372" s="3" t="str">
        <f>IF(AND(Data!$B372='Individual Type'!$D$2, Data!$K372='All Types'!$D$2,Data!$L372='All Types'!$D$3),Data!M372,"")</f>
        <v/>
      </c>
    </row>
    <row r="373">
      <c r="A373" s="102" t="str">
        <f t="shared" si="1"/>
        <v/>
      </c>
      <c r="B373" s="3" t="str">
        <f>IF(AND(Data!$B373='Individual Type'!$D$2, Data!$K373='All Types'!$D$2,Data!$L373='All Types'!$D$3),Data!$B373,"")</f>
        <v/>
      </c>
      <c r="C373" s="3" t="str">
        <f>IF(F373="","",Data!N373)</f>
        <v/>
      </c>
      <c r="D373" s="3" t="str">
        <f>IF(AND(Data!$B373='Individual Type'!$D$2, Data!$K373='All Types'!$D$2,Data!$L373='All Types'!$D$3),Data!$C373,"")</f>
        <v/>
      </c>
      <c r="E373" s="3" t="str">
        <f>IF($F373="","",Data!P373)</f>
        <v/>
      </c>
      <c r="F373" s="3" t="str">
        <f>IF(AND(Data!$B373='Individual Type'!$D$2, Data!$K373='All Types'!$D$2,Data!$L373='All Types'!$D$3),Data!M373,"")</f>
        <v/>
      </c>
    </row>
    <row r="374">
      <c r="A374" s="102" t="str">
        <f t="shared" si="1"/>
        <v/>
      </c>
      <c r="B374" s="3" t="str">
        <f>IF(AND(Data!$B374='Individual Type'!$D$2, Data!$K374='All Types'!$D$2,Data!$L374='All Types'!$D$3),Data!$B374,"")</f>
        <v/>
      </c>
      <c r="C374" s="3" t="str">
        <f>IF(F374="","",Data!N374)</f>
        <v/>
      </c>
      <c r="D374" s="3" t="str">
        <f>IF(AND(Data!$B374='Individual Type'!$D$2, Data!$K374='All Types'!$D$2,Data!$L374='All Types'!$D$3),Data!$C374,"")</f>
        <v/>
      </c>
      <c r="E374" s="3" t="str">
        <f>IF($F374="","",Data!P374)</f>
        <v/>
      </c>
      <c r="F374" s="3" t="str">
        <f>IF(AND(Data!$B374='Individual Type'!$D$2, Data!$K374='All Types'!$D$2,Data!$L374='All Types'!$D$3),Data!M374,"")</f>
        <v/>
      </c>
    </row>
    <row r="375">
      <c r="A375" s="102" t="str">
        <f t="shared" si="1"/>
        <v/>
      </c>
      <c r="B375" s="3" t="str">
        <f>IF(AND(Data!$B375='Individual Type'!$D$2, Data!$K375='All Types'!$D$2,Data!$L375='All Types'!$D$3),Data!$B375,"")</f>
        <v/>
      </c>
      <c r="C375" s="3" t="str">
        <f>IF(F375="","",Data!N375)</f>
        <v/>
      </c>
      <c r="D375" s="3" t="str">
        <f>IF(AND(Data!$B375='Individual Type'!$D$2, Data!$K375='All Types'!$D$2,Data!$L375='All Types'!$D$3),Data!$C375,"")</f>
        <v/>
      </c>
      <c r="E375" s="3" t="str">
        <f>IF($F375="","",Data!P375)</f>
        <v/>
      </c>
      <c r="F375" s="3" t="str">
        <f>IF(AND(Data!$B375='Individual Type'!$D$2, Data!$K375='All Types'!$D$2,Data!$L375='All Types'!$D$3),Data!M375,"")</f>
        <v/>
      </c>
    </row>
    <row r="376">
      <c r="A376" s="102" t="str">
        <f t="shared" si="1"/>
        <v/>
      </c>
      <c r="B376" s="3" t="str">
        <f>IF(AND(Data!$B376='Individual Type'!$D$2, Data!$K376='All Types'!$D$2,Data!$L376='All Types'!$D$3),Data!$B376,"")</f>
        <v/>
      </c>
      <c r="C376" s="3" t="str">
        <f>IF(F376="","",Data!N376)</f>
        <v/>
      </c>
      <c r="D376" s="3" t="str">
        <f>IF(AND(Data!$B376='Individual Type'!$D$2, Data!$K376='All Types'!$D$2,Data!$L376='All Types'!$D$3),Data!$C376,"")</f>
        <v/>
      </c>
      <c r="E376" s="3" t="str">
        <f>IF($F376="","",Data!P376)</f>
        <v/>
      </c>
      <c r="F376" s="3" t="str">
        <f>IF(AND(Data!$B376='Individual Type'!$D$2, Data!$K376='All Types'!$D$2,Data!$L376='All Types'!$D$3),Data!M376,"")</f>
        <v/>
      </c>
    </row>
    <row r="377">
      <c r="A377" s="102" t="str">
        <f t="shared" si="1"/>
        <v/>
      </c>
      <c r="B377" s="3" t="str">
        <f>IF(AND(Data!$B377='Individual Type'!$D$2, Data!$K377='All Types'!$D$2,Data!$L377='All Types'!$D$3),Data!$B377,"")</f>
        <v/>
      </c>
      <c r="C377" s="3" t="str">
        <f>IF(F377="","",Data!N377)</f>
        <v/>
      </c>
      <c r="D377" s="3" t="str">
        <f>IF(AND(Data!$B377='Individual Type'!$D$2, Data!$K377='All Types'!$D$2,Data!$L377='All Types'!$D$3),Data!$C377,"")</f>
        <v/>
      </c>
      <c r="E377" s="3" t="str">
        <f>IF($F377="","",Data!P377)</f>
        <v/>
      </c>
      <c r="F377" s="3" t="str">
        <f>IF(AND(Data!$B377='Individual Type'!$D$2, Data!$K377='All Types'!$D$2,Data!$L377='All Types'!$D$3),Data!M377,"")</f>
        <v/>
      </c>
    </row>
    <row r="378">
      <c r="A378" s="102" t="str">
        <f t="shared" si="1"/>
        <v/>
      </c>
      <c r="B378" s="3" t="str">
        <f>IF(AND(Data!$B378='Individual Type'!$D$2, Data!$K378='All Types'!$D$2,Data!$L378='All Types'!$D$3),Data!$B378,"")</f>
        <v/>
      </c>
      <c r="C378" s="3" t="str">
        <f>IF(F378="","",Data!N378)</f>
        <v/>
      </c>
      <c r="D378" s="3" t="str">
        <f>IF(AND(Data!$B378='Individual Type'!$D$2, Data!$K378='All Types'!$D$2,Data!$L378='All Types'!$D$3),Data!$C378,"")</f>
        <v/>
      </c>
      <c r="E378" s="3" t="str">
        <f>IF($F378="","",Data!P378)</f>
        <v/>
      </c>
      <c r="F378" s="3" t="str">
        <f>IF(AND(Data!$B378='Individual Type'!$D$2, Data!$K378='All Types'!$D$2,Data!$L378='All Types'!$D$3),Data!M378,"")</f>
        <v/>
      </c>
    </row>
    <row r="379">
      <c r="A379" s="102" t="str">
        <f t="shared" si="1"/>
        <v/>
      </c>
      <c r="B379" s="3" t="str">
        <f>IF(AND(Data!$B379='Individual Type'!$D$2, Data!$K379='All Types'!$D$2,Data!$L379='All Types'!$D$3),Data!$B379,"")</f>
        <v/>
      </c>
      <c r="C379" s="3" t="str">
        <f>IF(F379="","",Data!N379)</f>
        <v/>
      </c>
      <c r="D379" s="3" t="str">
        <f>IF(AND(Data!$B379='Individual Type'!$D$2, Data!$K379='All Types'!$D$2,Data!$L379='All Types'!$D$3),Data!$C379,"")</f>
        <v/>
      </c>
      <c r="E379" s="3" t="str">
        <f>IF($F379="","",Data!P379)</f>
        <v/>
      </c>
      <c r="F379" s="3" t="str">
        <f>IF(AND(Data!$B379='Individual Type'!$D$2, Data!$K379='All Types'!$D$2,Data!$L379='All Types'!$D$3),Data!M379,"")</f>
        <v/>
      </c>
    </row>
    <row r="380">
      <c r="A380" s="102" t="str">
        <f t="shared" si="1"/>
        <v/>
      </c>
      <c r="B380" s="3" t="str">
        <f>IF(AND(Data!$B380='Individual Type'!$D$2, Data!$K380='All Types'!$D$2,Data!$L380='All Types'!$D$3),Data!$B380,"")</f>
        <v/>
      </c>
      <c r="C380" s="3" t="str">
        <f>IF(F380="","",Data!N380)</f>
        <v/>
      </c>
      <c r="D380" s="3" t="str">
        <f>IF(AND(Data!$B380='Individual Type'!$D$2, Data!$K380='All Types'!$D$2,Data!$L380='All Types'!$D$3),Data!$C380,"")</f>
        <v/>
      </c>
      <c r="E380" s="3" t="str">
        <f>IF($F380="","",Data!P380)</f>
        <v/>
      </c>
      <c r="F380" s="3" t="str">
        <f>IF(AND(Data!$B380='Individual Type'!$D$2, Data!$K380='All Types'!$D$2,Data!$L380='All Types'!$D$3),Data!M380,"")</f>
        <v/>
      </c>
    </row>
    <row r="381">
      <c r="A381" s="102" t="str">
        <f t="shared" si="1"/>
        <v/>
      </c>
      <c r="B381" s="3" t="str">
        <f>IF(AND(Data!$B381='Individual Type'!$D$2, Data!$K381='All Types'!$D$2,Data!$L381='All Types'!$D$3),Data!$B381,"")</f>
        <v/>
      </c>
      <c r="C381" s="3" t="str">
        <f>IF(F381="","",Data!N381)</f>
        <v/>
      </c>
      <c r="D381" s="3" t="str">
        <f>IF(AND(Data!$B381='Individual Type'!$D$2, Data!$K381='All Types'!$D$2,Data!$L381='All Types'!$D$3),Data!$C381,"")</f>
        <v/>
      </c>
      <c r="E381" s="3" t="str">
        <f>IF($F381="","",Data!P381)</f>
        <v/>
      </c>
      <c r="F381" s="3" t="str">
        <f>IF(AND(Data!$B381='Individual Type'!$D$2, Data!$K381='All Types'!$D$2,Data!$L381='All Types'!$D$3),Data!M381,"")</f>
        <v/>
      </c>
    </row>
    <row r="382">
      <c r="A382" s="102" t="str">
        <f t="shared" si="1"/>
        <v/>
      </c>
      <c r="B382" s="3" t="str">
        <f>IF(AND(Data!$B382='Individual Type'!$D$2, Data!$K382='All Types'!$D$2,Data!$L382='All Types'!$D$3),Data!$B382,"")</f>
        <v/>
      </c>
      <c r="C382" s="3" t="str">
        <f>IF(F382="","",Data!N382)</f>
        <v/>
      </c>
      <c r="D382" s="3" t="str">
        <f>IF(AND(Data!$B382='Individual Type'!$D$2, Data!$K382='All Types'!$D$2,Data!$L382='All Types'!$D$3),Data!$C382,"")</f>
        <v/>
      </c>
      <c r="E382" s="3" t="str">
        <f>IF($F382="","",Data!P382)</f>
        <v/>
      </c>
      <c r="F382" s="3" t="str">
        <f>IF(AND(Data!$B382='Individual Type'!$D$2, Data!$K382='All Types'!$D$2,Data!$L382='All Types'!$D$3),Data!M382,"")</f>
        <v/>
      </c>
    </row>
    <row r="383">
      <c r="A383" s="102" t="str">
        <f t="shared" si="1"/>
        <v/>
      </c>
      <c r="B383" s="3" t="str">
        <f>IF(AND(Data!$B383='Individual Type'!$D$2, Data!$K383='All Types'!$D$2,Data!$L383='All Types'!$D$3),Data!$B383,"")</f>
        <v/>
      </c>
      <c r="C383" s="3" t="str">
        <f>IF(F383="","",Data!N383)</f>
        <v/>
      </c>
      <c r="D383" s="3" t="str">
        <f>IF(AND(Data!$B383='Individual Type'!$D$2, Data!$K383='All Types'!$D$2,Data!$L383='All Types'!$D$3),Data!$C383,"")</f>
        <v/>
      </c>
      <c r="E383" s="3" t="str">
        <f>IF($F383="","",Data!P383)</f>
        <v/>
      </c>
      <c r="F383" s="3" t="str">
        <f>IF(AND(Data!$B383='Individual Type'!$D$2, Data!$K383='All Types'!$D$2,Data!$L383='All Types'!$D$3),Data!M383,"")</f>
        <v/>
      </c>
    </row>
    <row r="384">
      <c r="A384" s="102" t="str">
        <f t="shared" si="1"/>
        <v/>
      </c>
      <c r="B384" s="3" t="str">
        <f>IF(AND(Data!$B384='Individual Type'!$D$2, Data!$K384='All Types'!$D$2,Data!$L384='All Types'!$D$3),Data!$B384,"")</f>
        <v/>
      </c>
      <c r="C384" s="3" t="str">
        <f>IF(F384="","",Data!N384)</f>
        <v/>
      </c>
      <c r="D384" s="3" t="str">
        <f>IF(AND(Data!$B384='Individual Type'!$D$2, Data!$K384='All Types'!$D$2,Data!$L384='All Types'!$D$3),Data!$C384,"")</f>
        <v/>
      </c>
      <c r="E384" s="3" t="str">
        <f>IF($F384="","",Data!P384)</f>
        <v/>
      </c>
      <c r="F384" s="3" t="str">
        <f>IF(AND(Data!$B384='Individual Type'!$D$2, Data!$K384='All Types'!$D$2,Data!$L384='All Types'!$D$3),Data!M384,"")</f>
        <v/>
      </c>
    </row>
    <row r="385">
      <c r="A385" s="102" t="str">
        <f t="shared" si="1"/>
        <v/>
      </c>
      <c r="B385" s="3" t="str">
        <f>IF(AND(Data!$B385='Individual Type'!$D$2, Data!$K385='All Types'!$D$2,Data!$L385='All Types'!$D$3),Data!$B385,"")</f>
        <v/>
      </c>
      <c r="C385" s="3" t="str">
        <f>IF(F385="","",Data!N385)</f>
        <v/>
      </c>
      <c r="D385" s="3" t="str">
        <f>IF(AND(Data!$B385='Individual Type'!$D$2, Data!$K385='All Types'!$D$2,Data!$L385='All Types'!$D$3),Data!$C385,"")</f>
        <v/>
      </c>
      <c r="E385" s="3" t="str">
        <f>IF($F385="","",Data!P385)</f>
        <v/>
      </c>
      <c r="F385" s="3" t="str">
        <f>IF(AND(Data!$B385='Individual Type'!$D$2, Data!$K385='All Types'!$D$2,Data!$L385='All Types'!$D$3),Data!M385,"")</f>
        <v/>
      </c>
    </row>
    <row r="386">
      <c r="A386" s="102" t="str">
        <f t="shared" si="1"/>
        <v/>
      </c>
      <c r="B386" s="3" t="str">
        <f>IF(AND(Data!$B386='Individual Type'!$D$2, Data!$K386='All Types'!$D$2,Data!$L386='All Types'!$D$3),Data!$B386,"")</f>
        <v/>
      </c>
      <c r="C386" s="3" t="str">
        <f>IF(F386="","",Data!N386)</f>
        <v/>
      </c>
      <c r="D386" s="3" t="str">
        <f>IF(AND(Data!$B386='Individual Type'!$D$2, Data!$K386='All Types'!$D$2,Data!$L386='All Types'!$D$3),Data!$C386,"")</f>
        <v/>
      </c>
      <c r="E386" s="3" t="str">
        <f>IF($F386="","",Data!P386)</f>
        <v/>
      </c>
      <c r="F386" s="3" t="str">
        <f>IF(AND(Data!$B386='Individual Type'!$D$2, Data!$K386='All Types'!$D$2,Data!$L386='All Types'!$D$3),Data!M386,"")</f>
        <v/>
      </c>
    </row>
    <row r="387">
      <c r="A387" s="102" t="str">
        <f t="shared" si="1"/>
        <v/>
      </c>
      <c r="B387" s="3" t="str">
        <f>IF(AND(Data!$B387='Individual Type'!$D$2, Data!$K387='All Types'!$D$2,Data!$L387='All Types'!$D$3),Data!$B387,"")</f>
        <v/>
      </c>
      <c r="C387" s="3" t="str">
        <f>IF(F387="","",Data!N387)</f>
        <v/>
      </c>
      <c r="D387" s="3" t="str">
        <f>IF(AND(Data!$B387='Individual Type'!$D$2, Data!$K387='All Types'!$D$2,Data!$L387='All Types'!$D$3),Data!$C387,"")</f>
        <v/>
      </c>
      <c r="E387" s="3" t="str">
        <f>IF($F387="","",Data!P387)</f>
        <v/>
      </c>
      <c r="F387" s="3" t="str">
        <f>IF(AND(Data!$B387='Individual Type'!$D$2, Data!$K387='All Types'!$D$2,Data!$L387='All Types'!$D$3),Data!M387,"")</f>
        <v/>
      </c>
    </row>
    <row r="388">
      <c r="A388" s="102" t="str">
        <f t="shared" si="1"/>
        <v/>
      </c>
      <c r="B388" s="3" t="str">
        <f>IF(AND(Data!$B388='Individual Type'!$D$2, Data!$K388='All Types'!$D$2,Data!$L388='All Types'!$D$3),Data!$B388,"")</f>
        <v/>
      </c>
      <c r="C388" s="3" t="str">
        <f>IF(F388="","",Data!N388)</f>
        <v/>
      </c>
      <c r="D388" s="3" t="str">
        <f>IF(AND(Data!$B388='Individual Type'!$D$2, Data!$K388='All Types'!$D$2,Data!$L388='All Types'!$D$3),Data!$C388,"")</f>
        <v/>
      </c>
      <c r="E388" s="3" t="str">
        <f>IF($F388="","",Data!P388)</f>
        <v/>
      </c>
      <c r="F388" s="3" t="str">
        <f>IF(AND(Data!$B388='Individual Type'!$D$2, Data!$K388='All Types'!$D$2,Data!$L388='All Types'!$D$3),Data!M388,"")</f>
        <v/>
      </c>
    </row>
    <row r="389">
      <c r="A389" s="102" t="str">
        <f t="shared" si="1"/>
        <v/>
      </c>
      <c r="B389" s="3" t="str">
        <f>IF(AND(Data!$B389='Individual Type'!$D$2, Data!$K389='All Types'!$D$2,Data!$L389='All Types'!$D$3),Data!$B389,"")</f>
        <v/>
      </c>
      <c r="C389" s="3" t="str">
        <f>IF(F389="","",Data!N389)</f>
        <v/>
      </c>
      <c r="D389" s="3" t="str">
        <f>IF(AND(Data!$B389='Individual Type'!$D$2, Data!$K389='All Types'!$D$2,Data!$L389='All Types'!$D$3),Data!$C389,"")</f>
        <v/>
      </c>
      <c r="E389" s="3" t="str">
        <f>IF($F389="","",Data!P389)</f>
        <v/>
      </c>
      <c r="F389" s="3" t="str">
        <f>IF(AND(Data!$B389='Individual Type'!$D$2, Data!$K389='All Types'!$D$2,Data!$L389='All Types'!$D$3),Data!M389,"")</f>
        <v/>
      </c>
    </row>
    <row r="390">
      <c r="A390" s="102" t="str">
        <f t="shared" si="1"/>
        <v/>
      </c>
      <c r="B390" s="3" t="str">
        <f>IF(AND(Data!$B390='Individual Type'!$D$2, Data!$K390='All Types'!$D$2,Data!$L390='All Types'!$D$3),Data!$B390,"")</f>
        <v/>
      </c>
      <c r="C390" s="3" t="str">
        <f>IF(F390="","",Data!N390)</f>
        <v/>
      </c>
      <c r="D390" s="3" t="str">
        <f>IF(AND(Data!$B390='Individual Type'!$D$2, Data!$K390='All Types'!$D$2,Data!$L390='All Types'!$D$3),Data!$C390,"")</f>
        <v/>
      </c>
      <c r="E390" s="3" t="str">
        <f>IF($F390="","",Data!P390)</f>
        <v/>
      </c>
      <c r="F390" s="3" t="str">
        <f>IF(AND(Data!$B390='Individual Type'!$D$2, Data!$K390='All Types'!$D$2,Data!$L390='All Types'!$D$3),Data!M390,"")</f>
        <v/>
      </c>
    </row>
    <row r="391">
      <c r="A391" s="102" t="str">
        <f t="shared" si="1"/>
        <v/>
      </c>
      <c r="B391" s="3" t="str">
        <f>IF(AND(Data!$B391='Individual Type'!$D$2, Data!$K391='All Types'!$D$2,Data!$L391='All Types'!$D$3),Data!$B391,"")</f>
        <v/>
      </c>
      <c r="C391" s="3" t="str">
        <f>IF(F391="","",Data!N391)</f>
        <v/>
      </c>
      <c r="D391" s="3" t="str">
        <f>IF(AND(Data!$B391='Individual Type'!$D$2, Data!$K391='All Types'!$D$2,Data!$L391='All Types'!$D$3),Data!$C391,"")</f>
        <v/>
      </c>
      <c r="E391" s="3" t="str">
        <f>IF($F391="","",Data!P391)</f>
        <v/>
      </c>
      <c r="F391" s="3" t="str">
        <f>IF(AND(Data!$B391='Individual Type'!$D$2, Data!$K391='All Types'!$D$2,Data!$L391='All Types'!$D$3),Data!M391,"")</f>
        <v/>
      </c>
    </row>
    <row r="392">
      <c r="A392" s="102" t="str">
        <f t="shared" si="1"/>
        <v/>
      </c>
      <c r="B392" s="3" t="str">
        <f>IF(AND(Data!$B392='Individual Type'!$D$2, Data!$K392='All Types'!$D$2,Data!$L392='All Types'!$D$3),Data!$B392,"")</f>
        <v/>
      </c>
      <c r="C392" s="3" t="str">
        <f>IF(F392="","",Data!N392)</f>
        <v/>
      </c>
      <c r="D392" s="3" t="str">
        <f>IF(AND(Data!$B392='Individual Type'!$D$2, Data!$K392='All Types'!$D$2,Data!$L392='All Types'!$D$3),Data!$C392,"")</f>
        <v/>
      </c>
      <c r="E392" s="3" t="str">
        <f>IF($F392="","",Data!P392)</f>
        <v/>
      </c>
      <c r="F392" s="3" t="str">
        <f>IF(AND(Data!$B392='Individual Type'!$D$2, Data!$K392='All Types'!$D$2,Data!$L392='All Types'!$D$3),Data!M392,"")</f>
        <v/>
      </c>
    </row>
    <row r="393">
      <c r="A393" s="102" t="str">
        <f t="shared" si="1"/>
        <v/>
      </c>
      <c r="B393" s="3" t="str">
        <f>IF(AND(Data!$B393='Individual Type'!$D$2, Data!$K393='All Types'!$D$2,Data!$L393='All Types'!$D$3),Data!$B393,"")</f>
        <v/>
      </c>
      <c r="C393" s="3" t="str">
        <f>IF(F393="","",Data!N393)</f>
        <v/>
      </c>
      <c r="D393" s="3" t="str">
        <f>IF(AND(Data!$B393='Individual Type'!$D$2, Data!$K393='All Types'!$D$2,Data!$L393='All Types'!$D$3),Data!$C393,"")</f>
        <v/>
      </c>
      <c r="E393" s="3" t="str">
        <f>IF($F393="","",Data!P393)</f>
        <v/>
      </c>
      <c r="F393" s="3" t="str">
        <f>IF(AND(Data!$B393='Individual Type'!$D$2, Data!$K393='All Types'!$D$2,Data!$L393='All Types'!$D$3),Data!M393,"")</f>
        <v/>
      </c>
    </row>
    <row r="394">
      <c r="A394" s="102" t="str">
        <f t="shared" si="1"/>
        <v/>
      </c>
      <c r="B394" s="3" t="str">
        <f>IF(AND(Data!$B394='Individual Type'!$D$2, Data!$K394='All Types'!$D$2,Data!$L394='All Types'!$D$3),Data!$B394,"")</f>
        <v/>
      </c>
      <c r="C394" s="3" t="str">
        <f>IF(F394="","",Data!N394)</f>
        <v/>
      </c>
      <c r="D394" s="3" t="str">
        <f>IF(AND(Data!$B394='Individual Type'!$D$2, Data!$K394='All Types'!$D$2,Data!$L394='All Types'!$D$3),Data!$C394,"")</f>
        <v/>
      </c>
      <c r="E394" s="3" t="str">
        <f>IF($F394="","",Data!P394)</f>
        <v/>
      </c>
      <c r="F394" s="3" t="str">
        <f>IF(AND(Data!$B394='Individual Type'!$D$2, Data!$K394='All Types'!$D$2,Data!$L394='All Types'!$D$3),Data!M394,"")</f>
        <v/>
      </c>
    </row>
    <row r="395">
      <c r="A395" s="102" t="str">
        <f t="shared" si="1"/>
        <v/>
      </c>
      <c r="B395" s="3" t="str">
        <f>IF(AND(Data!$B395='Individual Type'!$D$2, Data!$K395='All Types'!$D$2,Data!$L395='All Types'!$D$3),Data!$B395,"")</f>
        <v/>
      </c>
      <c r="C395" s="3" t="str">
        <f>IF(F395="","",Data!N395)</f>
        <v/>
      </c>
      <c r="D395" s="3" t="str">
        <f>IF(AND(Data!$B395='Individual Type'!$D$2, Data!$K395='All Types'!$D$2,Data!$L395='All Types'!$D$3),Data!$C395,"")</f>
        <v/>
      </c>
      <c r="E395" s="3" t="str">
        <f>IF($F395="","",Data!P395)</f>
        <v/>
      </c>
      <c r="F395" s="3" t="str">
        <f>IF(AND(Data!$B395='Individual Type'!$D$2, Data!$K395='All Types'!$D$2,Data!$L395='All Types'!$D$3),Data!M395,"")</f>
        <v/>
      </c>
    </row>
    <row r="396">
      <c r="A396" s="102" t="str">
        <f t="shared" si="1"/>
        <v/>
      </c>
      <c r="B396" s="3" t="str">
        <f>IF(AND(Data!$B396='Individual Type'!$D$2, Data!$K396='All Types'!$D$2,Data!$L396='All Types'!$D$3),Data!$B396,"")</f>
        <v/>
      </c>
      <c r="C396" s="3" t="str">
        <f>IF(F396="","",Data!N396)</f>
        <v/>
      </c>
      <c r="D396" s="3" t="str">
        <f>IF(AND(Data!$B396='Individual Type'!$D$2, Data!$K396='All Types'!$D$2,Data!$L396='All Types'!$D$3),Data!$C396,"")</f>
        <v/>
      </c>
      <c r="E396" s="3" t="str">
        <f>IF($F396="","",Data!P396)</f>
        <v/>
      </c>
      <c r="F396" s="3" t="str">
        <f>IF(AND(Data!$B396='Individual Type'!$D$2, Data!$K396='All Types'!$D$2,Data!$L396='All Types'!$D$3),Data!M396,"")</f>
        <v/>
      </c>
    </row>
    <row r="397">
      <c r="A397" s="102" t="str">
        <f t="shared" si="1"/>
        <v/>
      </c>
      <c r="B397" s="3" t="str">
        <f>IF(AND(Data!$B397='Individual Type'!$D$2, Data!$K397='All Types'!$D$2,Data!$L397='All Types'!$D$3),Data!$B397,"")</f>
        <v/>
      </c>
      <c r="C397" s="3" t="str">
        <f>IF(F397="","",Data!N397)</f>
        <v/>
      </c>
      <c r="D397" s="3" t="str">
        <f>IF(AND(Data!$B397='Individual Type'!$D$2, Data!$K397='All Types'!$D$2,Data!$L397='All Types'!$D$3),Data!$C397,"")</f>
        <v/>
      </c>
      <c r="E397" s="3" t="str">
        <f>IF($F397="","",Data!P397)</f>
        <v/>
      </c>
      <c r="F397" s="3" t="str">
        <f>IF(AND(Data!$B397='Individual Type'!$D$2, Data!$K397='All Types'!$D$2,Data!$L397='All Types'!$D$3),Data!M397,"")</f>
        <v/>
      </c>
    </row>
    <row r="398">
      <c r="A398" s="102" t="str">
        <f t="shared" si="1"/>
        <v/>
      </c>
      <c r="B398" s="3" t="str">
        <f>IF(AND(Data!$B398='Individual Type'!$D$2, Data!$K398='All Types'!$D$2,Data!$L398='All Types'!$D$3),Data!$B398,"")</f>
        <v/>
      </c>
      <c r="C398" s="3" t="str">
        <f>IF(F398="","",Data!N398)</f>
        <v/>
      </c>
      <c r="D398" s="3" t="str">
        <f>IF(AND(Data!$B398='Individual Type'!$D$2, Data!$K398='All Types'!$D$2,Data!$L398='All Types'!$D$3),Data!$C398,"")</f>
        <v/>
      </c>
      <c r="E398" s="3" t="str">
        <f>IF($F398="","",Data!P398)</f>
        <v/>
      </c>
      <c r="F398" s="3" t="str">
        <f>IF(AND(Data!$B398='Individual Type'!$D$2, Data!$K398='All Types'!$D$2,Data!$L398='All Types'!$D$3),Data!M398,"")</f>
        <v/>
      </c>
    </row>
    <row r="399">
      <c r="A399" s="102" t="str">
        <f t="shared" si="1"/>
        <v/>
      </c>
      <c r="B399" s="3" t="str">
        <f>IF(AND(Data!$B399='Individual Type'!$D$2, Data!$K399='All Types'!$D$2,Data!$L399='All Types'!$D$3),Data!$B399,"")</f>
        <v/>
      </c>
      <c r="C399" s="3" t="str">
        <f>IF(F399="","",Data!N399)</f>
        <v/>
      </c>
      <c r="D399" s="3" t="str">
        <f>IF(AND(Data!$B399='Individual Type'!$D$2, Data!$K399='All Types'!$D$2,Data!$L399='All Types'!$D$3),Data!$C399,"")</f>
        <v/>
      </c>
      <c r="E399" s="3" t="str">
        <f>IF($F399="","",Data!P399)</f>
        <v/>
      </c>
      <c r="F399" s="3" t="str">
        <f>IF(AND(Data!$B399='Individual Type'!$D$2, Data!$K399='All Types'!$D$2,Data!$L399='All Types'!$D$3),Data!M399,"")</f>
        <v/>
      </c>
    </row>
    <row r="400">
      <c r="A400" s="102" t="str">
        <f t="shared" si="1"/>
        <v/>
      </c>
      <c r="B400" s="3" t="str">
        <f>IF(AND(Data!$B400='Individual Type'!$D$2, Data!$K400='All Types'!$D$2,Data!$L400='All Types'!$D$3),Data!$B400,"")</f>
        <v/>
      </c>
      <c r="C400" s="3" t="str">
        <f>IF(F400="","",Data!N400)</f>
        <v/>
      </c>
      <c r="D400" s="3" t="str">
        <f>IF(AND(Data!$B400='Individual Type'!$D$2, Data!$K400='All Types'!$D$2,Data!$L400='All Types'!$D$3),Data!$C400,"")</f>
        <v/>
      </c>
      <c r="E400" s="3" t="str">
        <f>IF($F400="","",Data!P400)</f>
        <v/>
      </c>
      <c r="F400" s="3" t="str">
        <f>IF(AND(Data!$B400='Individual Type'!$D$2, Data!$K400='All Types'!$D$2,Data!$L400='All Types'!$D$3),Data!M400,"")</f>
        <v/>
      </c>
    </row>
    <row r="401">
      <c r="A401" s="102" t="str">
        <f t="shared" si="1"/>
        <v/>
      </c>
      <c r="B401" s="3" t="str">
        <f>IF(AND(Data!$B401='Individual Type'!$D$2, Data!$K401='All Types'!$D$2,Data!$L401='All Types'!$D$3),Data!$B401,"")</f>
        <v/>
      </c>
      <c r="C401" s="3" t="str">
        <f>IF(F401="","",Data!N401)</f>
        <v/>
      </c>
      <c r="D401" s="3" t="str">
        <f>IF(AND(Data!$B401='Individual Type'!$D$2, Data!$K401='All Types'!$D$2,Data!$L401='All Types'!$D$3),Data!$C401,"")</f>
        <v/>
      </c>
      <c r="E401" s="3" t="str">
        <f>IF($F401="","",Data!P401)</f>
        <v/>
      </c>
      <c r="F401" s="3" t="str">
        <f>IF(AND(Data!$B401='Individual Type'!$D$2, Data!$K401='All Types'!$D$2,Data!$L401='All Types'!$D$3),Data!M401,"")</f>
        <v/>
      </c>
    </row>
    <row r="402">
      <c r="A402" s="102" t="str">
        <f t="shared" si="1"/>
        <v/>
      </c>
      <c r="B402" s="3" t="str">
        <f>IF(AND(Data!$B402='Individual Type'!$D$2, Data!$K402='All Types'!$D$2,Data!$L402='All Types'!$D$3),Data!$B402,"")</f>
        <v/>
      </c>
      <c r="C402" s="3" t="str">
        <f>IF(F402="","",Data!N402)</f>
        <v/>
      </c>
      <c r="D402" s="3" t="str">
        <f>IF(AND(Data!$B402='Individual Type'!$D$2, Data!$K402='All Types'!$D$2,Data!$L402='All Types'!$D$3),Data!$C402,"")</f>
        <v/>
      </c>
      <c r="E402" s="3" t="str">
        <f>IF($F402="","",Data!P402)</f>
        <v/>
      </c>
      <c r="F402" s="3" t="str">
        <f>IF(AND(Data!$B402='Individual Type'!$D$2, Data!$K402='All Types'!$D$2,Data!$L402='All Types'!$D$3),Data!M402,"")</f>
        <v/>
      </c>
    </row>
    <row r="403">
      <c r="A403" s="102" t="str">
        <f t="shared" si="1"/>
        <v/>
      </c>
      <c r="B403" s="3" t="str">
        <f>IF(AND(Data!$B403='Individual Type'!$D$2, Data!$K403='All Types'!$D$2,Data!$L403='All Types'!$D$3),Data!$B403,"")</f>
        <v/>
      </c>
      <c r="C403" s="3" t="str">
        <f>IF(F403="","",Data!N403)</f>
        <v/>
      </c>
      <c r="D403" s="3" t="str">
        <f>IF(AND(Data!$B403='Individual Type'!$D$2, Data!$K403='All Types'!$D$2,Data!$L403='All Types'!$D$3),Data!$C403,"")</f>
        <v/>
      </c>
      <c r="E403" s="3" t="str">
        <f>IF($F403="","",Data!P403)</f>
        <v/>
      </c>
      <c r="F403" s="3" t="str">
        <f>IF(AND(Data!$B403='Individual Type'!$D$2, Data!$K403='All Types'!$D$2,Data!$L403='All Types'!$D$3),Data!M403,"")</f>
        <v/>
      </c>
    </row>
    <row r="404">
      <c r="A404" s="102" t="str">
        <f t="shared" si="1"/>
        <v/>
      </c>
      <c r="B404" s="3" t="str">
        <f>IF(AND(Data!$B404='Individual Type'!$D$2, Data!$K404='All Types'!$D$2,Data!$L404='All Types'!$D$3),Data!$B404,"")</f>
        <v/>
      </c>
      <c r="C404" s="3" t="str">
        <f>IF(F404="","",Data!N404)</f>
        <v/>
      </c>
      <c r="D404" s="3" t="str">
        <f>IF(AND(Data!$B404='Individual Type'!$D$2, Data!$K404='All Types'!$D$2,Data!$L404='All Types'!$D$3),Data!$C404,"")</f>
        <v/>
      </c>
      <c r="E404" s="3" t="str">
        <f>IF($F404="","",Data!P404)</f>
        <v/>
      </c>
      <c r="F404" s="3" t="str">
        <f>IF(AND(Data!$B404='Individual Type'!$D$2, Data!$K404='All Types'!$D$2,Data!$L404='All Types'!$D$3),Data!M404,"")</f>
        <v/>
      </c>
    </row>
    <row r="405">
      <c r="A405" s="102" t="str">
        <f t="shared" si="1"/>
        <v/>
      </c>
      <c r="B405" s="3" t="str">
        <f>IF(AND(Data!$B405='Individual Type'!$D$2, Data!$K405='All Types'!$D$2,Data!$L405='All Types'!$D$3),Data!$B405,"")</f>
        <v/>
      </c>
      <c r="C405" s="3" t="str">
        <f>IF(F405="","",Data!N405)</f>
        <v/>
      </c>
      <c r="D405" s="3" t="str">
        <f>IF(AND(Data!$B405='Individual Type'!$D$2, Data!$K405='All Types'!$D$2,Data!$L405='All Types'!$D$3),Data!$C405,"")</f>
        <v/>
      </c>
      <c r="E405" s="3" t="str">
        <f>IF($F405="","",Data!P405)</f>
        <v/>
      </c>
      <c r="F405" s="3" t="str">
        <f>IF(AND(Data!$B405='Individual Type'!$D$2, Data!$K405='All Types'!$D$2,Data!$L405='All Types'!$D$3),Data!M405,"")</f>
        <v/>
      </c>
    </row>
    <row r="406">
      <c r="A406" s="102" t="str">
        <f t="shared" si="1"/>
        <v/>
      </c>
      <c r="B406" s="3" t="str">
        <f>IF(AND(Data!$B406='Individual Type'!$D$2, Data!$K406='All Types'!$D$2,Data!$L406='All Types'!$D$3),Data!$B406,"")</f>
        <v/>
      </c>
      <c r="C406" s="3" t="str">
        <f>IF(F406="","",Data!N406)</f>
        <v/>
      </c>
      <c r="D406" s="3" t="str">
        <f>IF(AND(Data!$B406='Individual Type'!$D$2, Data!$K406='All Types'!$D$2,Data!$L406='All Types'!$D$3),Data!$C406,"")</f>
        <v/>
      </c>
      <c r="E406" s="3" t="str">
        <f>IF($F406="","",Data!P406)</f>
        <v/>
      </c>
      <c r="F406" s="3" t="str">
        <f>IF(AND(Data!$B406='Individual Type'!$D$2, Data!$K406='All Types'!$D$2,Data!$L406='All Types'!$D$3),Data!M406,"")</f>
        <v/>
      </c>
    </row>
    <row r="407">
      <c r="A407" s="102" t="str">
        <f t="shared" si="1"/>
        <v/>
      </c>
      <c r="B407" s="3" t="str">
        <f>IF(AND(Data!$B407='Individual Type'!$D$2, Data!$K407='All Types'!$D$2,Data!$L407='All Types'!$D$3),Data!$B407,"")</f>
        <v/>
      </c>
      <c r="C407" s="3" t="str">
        <f>IF(F407="","",Data!N407)</f>
        <v/>
      </c>
      <c r="D407" s="3" t="str">
        <f>IF(AND(Data!$B407='Individual Type'!$D$2, Data!$K407='All Types'!$D$2,Data!$L407='All Types'!$D$3),Data!$C407,"")</f>
        <v/>
      </c>
      <c r="E407" s="3" t="str">
        <f>IF($F407="","",Data!P407)</f>
        <v/>
      </c>
      <c r="F407" s="3" t="str">
        <f>IF(AND(Data!$B407='Individual Type'!$D$2, Data!$K407='All Types'!$D$2,Data!$L407='All Types'!$D$3),Data!M407,"")</f>
        <v/>
      </c>
    </row>
    <row r="408">
      <c r="A408" s="102" t="str">
        <f t="shared" si="1"/>
        <v/>
      </c>
      <c r="B408" s="3" t="str">
        <f>IF(AND(Data!$B408='Individual Type'!$D$2, Data!$K408='All Types'!$D$2,Data!$L408='All Types'!$D$3),Data!$B408,"")</f>
        <v/>
      </c>
      <c r="C408" s="3" t="str">
        <f>IF(F408="","",Data!N408)</f>
        <v/>
      </c>
      <c r="D408" s="3" t="str">
        <f>IF(AND(Data!$B408='Individual Type'!$D$2, Data!$K408='All Types'!$D$2,Data!$L408='All Types'!$D$3),Data!$C408,"")</f>
        <v/>
      </c>
      <c r="E408" s="3" t="str">
        <f>IF($F408="","",Data!P408)</f>
        <v/>
      </c>
      <c r="F408" s="3" t="str">
        <f>IF(AND(Data!$B408='Individual Type'!$D$2, Data!$K408='All Types'!$D$2,Data!$L408='All Types'!$D$3),Data!M408,"")</f>
        <v/>
      </c>
    </row>
    <row r="409">
      <c r="A409" s="102" t="str">
        <f t="shared" si="1"/>
        <v/>
      </c>
      <c r="B409" s="3" t="str">
        <f>IF(AND(Data!$B409='Individual Type'!$D$2, Data!$K409='All Types'!$D$2,Data!$L409='All Types'!$D$3),Data!$B409,"")</f>
        <v/>
      </c>
      <c r="C409" s="3" t="str">
        <f>IF(F409="","",Data!N409)</f>
        <v/>
      </c>
      <c r="D409" s="3" t="str">
        <f>IF(AND(Data!$B409='Individual Type'!$D$2, Data!$K409='All Types'!$D$2,Data!$L409='All Types'!$D$3),Data!$C409,"")</f>
        <v/>
      </c>
      <c r="E409" s="3" t="str">
        <f>IF($F409="","",Data!P409)</f>
        <v/>
      </c>
      <c r="F409" s="3" t="str">
        <f>IF(AND(Data!$B409='Individual Type'!$D$2, Data!$K409='All Types'!$D$2,Data!$L409='All Types'!$D$3),Data!M409,"")</f>
        <v/>
      </c>
    </row>
    <row r="410">
      <c r="A410" s="102" t="str">
        <f t="shared" si="1"/>
        <v/>
      </c>
      <c r="B410" s="3" t="str">
        <f>IF(AND(Data!$B410='Individual Type'!$D$2, Data!$K410='All Types'!$D$2,Data!$L410='All Types'!$D$3),Data!$B410,"")</f>
        <v/>
      </c>
      <c r="C410" s="3" t="str">
        <f>IF(F410="","",Data!N410)</f>
        <v/>
      </c>
      <c r="D410" s="3" t="str">
        <f>IF(AND(Data!$B410='Individual Type'!$D$2, Data!$K410='All Types'!$D$2,Data!$L410='All Types'!$D$3),Data!$C410,"")</f>
        <v/>
      </c>
      <c r="E410" s="3" t="str">
        <f>IF($F410="","",Data!P410)</f>
        <v/>
      </c>
      <c r="F410" s="3" t="str">
        <f>IF(AND(Data!$B410='Individual Type'!$D$2, Data!$K410='All Types'!$D$2,Data!$L410='All Types'!$D$3),Data!M410,"")</f>
        <v/>
      </c>
    </row>
    <row r="411">
      <c r="A411" s="102" t="str">
        <f t="shared" si="1"/>
        <v/>
      </c>
      <c r="B411" s="3" t="str">
        <f>IF(AND(Data!$B411='Individual Type'!$D$2, Data!$K411='All Types'!$D$2,Data!$L411='All Types'!$D$3),Data!$B411,"")</f>
        <v/>
      </c>
      <c r="C411" s="3" t="str">
        <f>IF(F411="","",Data!N411)</f>
        <v/>
      </c>
      <c r="D411" s="3" t="str">
        <f>IF(AND(Data!$B411='Individual Type'!$D$2, Data!$K411='All Types'!$D$2,Data!$L411='All Types'!$D$3),Data!$C411,"")</f>
        <v/>
      </c>
      <c r="E411" s="3" t="str">
        <f>IF($F411="","",Data!P411)</f>
        <v/>
      </c>
      <c r="F411" s="3" t="str">
        <f>IF(AND(Data!$B411='Individual Type'!$D$2, Data!$K411='All Types'!$D$2,Data!$L411='All Types'!$D$3),Data!M411,"")</f>
        <v/>
      </c>
    </row>
    <row r="412">
      <c r="A412" s="102" t="str">
        <f t="shared" si="1"/>
        <v/>
      </c>
      <c r="B412" s="3" t="str">
        <f>IF(AND(Data!$B412='Individual Type'!$D$2, Data!$K412='All Types'!$D$2,Data!$L412='All Types'!$D$3),Data!$B412,"")</f>
        <v/>
      </c>
      <c r="C412" s="3" t="str">
        <f>IF(F412="","",Data!N412)</f>
        <v/>
      </c>
      <c r="D412" s="3" t="str">
        <f>IF(AND(Data!$B412='Individual Type'!$D$2, Data!$K412='All Types'!$D$2,Data!$L412='All Types'!$D$3),Data!$C412,"")</f>
        <v/>
      </c>
      <c r="E412" s="3" t="str">
        <f>IF($F412="","",Data!P412)</f>
        <v/>
      </c>
      <c r="F412" s="3" t="str">
        <f>IF(AND(Data!$B412='Individual Type'!$D$2, Data!$K412='All Types'!$D$2,Data!$L412='All Types'!$D$3),Data!M412,"")</f>
        <v/>
      </c>
    </row>
    <row r="413">
      <c r="A413" s="102" t="str">
        <f t="shared" si="1"/>
        <v/>
      </c>
      <c r="B413" s="3" t="str">
        <f>IF(AND(Data!$B413='Individual Type'!$D$2, Data!$K413='All Types'!$D$2,Data!$L413='All Types'!$D$3),Data!$B413,"")</f>
        <v/>
      </c>
      <c r="C413" s="3" t="str">
        <f>IF(F413="","",Data!N413)</f>
        <v/>
      </c>
      <c r="D413" s="3" t="str">
        <f>IF(AND(Data!$B413='Individual Type'!$D$2, Data!$K413='All Types'!$D$2,Data!$L413='All Types'!$D$3),Data!$C413,"")</f>
        <v/>
      </c>
      <c r="E413" s="3" t="str">
        <f>IF($F413="","",Data!P413)</f>
        <v/>
      </c>
      <c r="F413" s="3" t="str">
        <f>IF(AND(Data!$B413='Individual Type'!$D$2, Data!$K413='All Types'!$D$2,Data!$L413='All Types'!$D$3),Data!M413,"")</f>
        <v/>
      </c>
    </row>
    <row r="414">
      <c r="A414" s="102" t="str">
        <f t="shared" si="1"/>
        <v/>
      </c>
      <c r="B414" s="3" t="str">
        <f>IF(AND(Data!$B414='Individual Type'!$D$2, Data!$K414='All Types'!$D$2,Data!$L414='All Types'!$D$3),Data!$B414,"")</f>
        <v/>
      </c>
      <c r="C414" s="3" t="str">
        <f>IF(F414="","",Data!N414)</f>
        <v/>
      </c>
      <c r="D414" s="3" t="str">
        <f>IF(AND(Data!$B414='Individual Type'!$D$2, Data!$K414='All Types'!$D$2,Data!$L414='All Types'!$D$3),Data!$C414,"")</f>
        <v/>
      </c>
      <c r="E414" s="3" t="str">
        <f>IF($F414="","",Data!P414)</f>
        <v/>
      </c>
      <c r="F414" s="3" t="str">
        <f>IF(AND(Data!$B414='Individual Type'!$D$2, Data!$K414='All Types'!$D$2,Data!$L414='All Types'!$D$3),Data!M414,"")</f>
        <v/>
      </c>
    </row>
    <row r="415">
      <c r="A415" s="102" t="str">
        <f t="shared" si="1"/>
        <v/>
      </c>
      <c r="B415" s="3" t="str">
        <f>IF(AND(Data!$B415='Individual Type'!$D$2, Data!$K415='All Types'!$D$2,Data!$L415='All Types'!$D$3),Data!$B415,"")</f>
        <v/>
      </c>
      <c r="C415" s="3" t="str">
        <f>IF(F415="","",Data!N415)</f>
        <v/>
      </c>
      <c r="D415" s="3" t="str">
        <f>IF(AND(Data!$B415='Individual Type'!$D$2, Data!$K415='All Types'!$D$2,Data!$L415='All Types'!$D$3),Data!$C415,"")</f>
        <v/>
      </c>
      <c r="E415" s="3" t="str">
        <f>IF($F415="","",Data!P415)</f>
        <v/>
      </c>
      <c r="F415" s="3" t="str">
        <f>IF(AND(Data!$B415='Individual Type'!$D$2, Data!$K415='All Types'!$D$2,Data!$L415='All Types'!$D$3),Data!M415,"")</f>
        <v/>
      </c>
    </row>
    <row r="416">
      <c r="A416" s="102" t="str">
        <f t="shared" si="1"/>
        <v/>
      </c>
      <c r="B416" s="3" t="str">
        <f>IF(AND(Data!$B416='Individual Type'!$D$2, Data!$K416='All Types'!$D$2,Data!$L416='All Types'!$D$3),Data!$B416,"")</f>
        <v/>
      </c>
      <c r="C416" s="3" t="str">
        <f>IF(F416="","",Data!N416)</f>
        <v/>
      </c>
      <c r="D416" s="3" t="str">
        <f>IF(AND(Data!$B416='Individual Type'!$D$2, Data!$K416='All Types'!$D$2,Data!$L416='All Types'!$D$3),Data!$C416,"")</f>
        <v/>
      </c>
      <c r="E416" s="3" t="str">
        <f>IF($F416="","",Data!P416)</f>
        <v/>
      </c>
      <c r="F416" s="3" t="str">
        <f>IF(AND(Data!$B416='Individual Type'!$D$2, Data!$K416='All Types'!$D$2,Data!$L416='All Types'!$D$3),Data!M416,"")</f>
        <v/>
      </c>
    </row>
    <row r="417">
      <c r="A417" s="102" t="str">
        <f t="shared" si="1"/>
        <v/>
      </c>
      <c r="B417" s="3" t="str">
        <f>IF(AND(Data!$B417='Individual Type'!$D$2, Data!$K417='All Types'!$D$2,Data!$L417='All Types'!$D$3),Data!$B417,"")</f>
        <v/>
      </c>
      <c r="C417" s="3" t="str">
        <f>IF(F417="","",Data!N417)</f>
        <v/>
      </c>
      <c r="D417" s="3" t="str">
        <f>IF(AND(Data!$B417='Individual Type'!$D$2, Data!$K417='All Types'!$D$2,Data!$L417='All Types'!$D$3),Data!$C417,"")</f>
        <v/>
      </c>
      <c r="E417" s="3" t="str">
        <f>IF($F417="","",Data!P417)</f>
        <v/>
      </c>
      <c r="F417" s="3" t="str">
        <f>IF(AND(Data!$B417='Individual Type'!$D$2, Data!$K417='All Types'!$D$2,Data!$L417='All Types'!$D$3),Data!M417,"")</f>
        <v/>
      </c>
    </row>
    <row r="418">
      <c r="A418" s="102" t="str">
        <f t="shared" si="1"/>
        <v/>
      </c>
      <c r="B418" s="3" t="str">
        <f>IF(AND(Data!$B418='Individual Type'!$D$2, Data!$K418='All Types'!$D$2,Data!$L418='All Types'!$D$3),Data!$B418,"")</f>
        <v/>
      </c>
      <c r="C418" s="3" t="str">
        <f>IF(F418="","",Data!N418)</f>
        <v/>
      </c>
      <c r="D418" s="3" t="str">
        <f>IF(AND(Data!$B418='Individual Type'!$D$2, Data!$K418='All Types'!$D$2,Data!$L418='All Types'!$D$3),Data!$C418,"")</f>
        <v/>
      </c>
      <c r="E418" s="3" t="str">
        <f>IF($F418="","",Data!P418)</f>
        <v/>
      </c>
      <c r="F418" s="3" t="str">
        <f>IF(AND(Data!$B418='Individual Type'!$D$2, Data!$K418='All Types'!$D$2,Data!$L418='All Types'!$D$3),Data!M418,"")</f>
        <v/>
      </c>
    </row>
    <row r="419">
      <c r="A419" s="102" t="str">
        <f t="shared" si="1"/>
        <v/>
      </c>
      <c r="B419" s="3" t="str">
        <f>IF(AND(Data!$B419='Individual Type'!$D$2, Data!$K419='All Types'!$D$2,Data!$L419='All Types'!$D$3),Data!$B419,"")</f>
        <v/>
      </c>
      <c r="C419" s="3" t="str">
        <f>IF(F419="","",Data!N419)</f>
        <v/>
      </c>
      <c r="D419" s="3" t="str">
        <f>IF(AND(Data!$B419='Individual Type'!$D$2, Data!$K419='All Types'!$D$2,Data!$L419='All Types'!$D$3),Data!$C419,"")</f>
        <v/>
      </c>
      <c r="E419" s="3" t="str">
        <f>IF($F419="","",Data!P419)</f>
        <v/>
      </c>
      <c r="F419" s="3" t="str">
        <f>IF(AND(Data!$B419='Individual Type'!$D$2, Data!$K419='All Types'!$D$2,Data!$L419='All Types'!$D$3),Data!M419,"")</f>
        <v/>
      </c>
    </row>
    <row r="420">
      <c r="A420" s="102" t="str">
        <f t="shared" si="1"/>
        <v/>
      </c>
      <c r="B420" s="3" t="str">
        <f>IF(AND(Data!$B420='Individual Type'!$D$2, Data!$K420='All Types'!$D$2,Data!$L420='All Types'!$D$3),Data!$B420,"")</f>
        <v/>
      </c>
      <c r="C420" s="3" t="str">
        <f>IF(F420="","",Data!N420)</f>
        <v/>
      </c>
      <c r="D420" s="3" t="str">
        <f>IF(AND(Data!$B420='Individual Type'!$D$2, Data!$K420='All Types'!$D$2,Data!$L420='All Types'!$D$3),Data!$C420,"")</f>
        <v/>
      </c>
      <c r="E420" s="3" t="str">
        <f>IF($F420="","",Data!P420)</f>
        <v/>
      </c>
      <c r="F420" s="3" t="str">
        <f>IF(AND(Data!$B420='Individual Type'!$D$2, Data!$K420='All Types'!$D$2,Data!$L420='All Types'!$D$3),Data!M420,"")</f>
        <v/>
      </c>
    </row>
    <row r="421">
      <c r="A421" s="102" t="str">
        <f t="shared" si="1"/>
        <v/>
      </c>
      <c r="B421" s="3" t="str">
        <f>IF(AND(Data!$B421='Individual Type'!$D$2, Data!$K421='All Types'!$D$2,Data!$L421='All Types'!$D$3),Data!$B421,"")</f>
        <v/>
      </c>
      <c r="C421" s="3" t="str">
        <f>IF(F421="","",Data!N421)</f>
        <v/>
      </c>
      <c r="D421" s="3" t="str">
        <f>IF(AND(Data!$B421='Individual Type'!$D$2, Data!$K421='All Types'!$D$2,Data!$L421='All Types'!$D$3),Data!$C421,"")</f>
        <v/>
      </c>
      <c r="E421" s="3" t="str">
        <f>IF($F421="","",Data!P421)</f>
        <v/>
      </c>
      <c r="F421" s="3" t="str">
        <f>IF(AND(Data!$B421='Individual Type'!$D$2, Data!$K421='All Types'!$D$2,Data!$L421='All Types'!$D$3),Data!M421,"")</f>
        <v/>
      </c>
    </row>
    <row r="422">
      <c r="A422" s="102" t="str">
        <f t="shared" si="1"/>
        <v/>
      </c>
      <c r="B422" s="3" t="str">
        <f>IF(AND(Data!$B422='Individual Type'!$D$2, Data!$K422='All Types'!$D$2,Data!$L422='All Types'!$D$3),Data!$B422,"")</f>
        <v/>
      </c>
      <c r="C422" s="3" t="str">
        <f>IF(F422="","",Data!N422)</f>
        <v/>
      </c>
      <c r="D422" s="3" t="str">
        <f>IF(AND(Data!$B422='Individual Type'!$D$2, Data!$K422='All Types'!$D$2,Data!$L422='All Types'!$D$3),Data!$C422,"")</f>
        <v/>
      </c>
      <c r="E422" s="3" t="str">
        <f>IF($F422="","",Data!P422)</f>
        <v/>
      </c>
      <c r="F422" s="3" t="str">
        <f>IF(AND(Data!$B422='Individual Type'!$D$2, Data!$K422='All Types'!$D$2,Data!$L422='All Types'!$D$3),Data!M422,"")</f>
        <v/>
      </c>
    </row>
    <row r="423">
      <c r="A423" s="102" t="str">
        <f t="shared" si="1"/>
        <v/>
      </c>
      <c r="B423" s="3" t="str">
        <f>IF(AND(Data!$B423='Individual Type'!$D$2, Data!$K423='All Types'!$D$2,Data!$L423='All Types'!$D$3),Data!$B423,"")</f>
        <v/>
      </c>
      <c r="C423" s="3" t="str">
        <f>IF(F423="","",Data!N423)</f>
        <v/>
      </c>
      <c r="D423" s="3" t="str">
        <f>IF(AND(Data!$B423='Individual Type'!$D$2, Data!$K423='All Types'!$D$2,Data!$L423='All Types'!$D$3),Data!$C423,"")</f>
        <v/>
      </c>
      <c r="E423" s="3" t="str">
        <f>IF($F423="","",Data!P423)</f>
        <v/>
      </c>
      <c r="F423" s="3" t="str">
        <f>IF(AND(Data!$B423='Individual Type'!$D$2, Data!$K423='All Types'!$D$2,Data!$L423='All Types'!$D$3),Data!M423,"")</f>
        <v/>
      </c>
    </row>
    <row r="424">
      <c r="A424" s="102" t="str">
        <f t="shared" si="1"/>
        <v/>
      </c>
      <c r="B424" s="3" t="str">
        <f>IF(AND(Data!$B424='Individual Type'!$D$2, Data!$K424='All Types'!$D$2,Data!$L424='All Types'!$D$3),Data!$B424,"")</f>
        <v/>
      </c>
      <c r="C424" s="3" t="str">
        <f>IF(F424="","",Data!N424)</f>
        <v/>
      </c>
      <c r="D424" s="3" t="str">
        <f>IF(AND(Data!$B424='Individual Type'!$D$2, Data!$K424='All Types'!$D$2,Data!$L424='All Types'!$D$3),Data!$C424,"")</f>
        <v/>
      </c>
      <c r="E424" s="3" t="str">
        <f>IF($F424="","",Data!P424)</f>
        <v/>
      </c>
      <c r="F424" s="3" t="str">
        <f>IF(AND(Data!$B424='Individual Type'!$D$2, Data!$K424='All Types'!$D$2,Data!$L424='All Types'!$D$3),Data!M424,"")</f>
        <v/>
      </c>
    </row>
    <row r="425">
      <c r="A425" s="102" t="str">
        <f t="shared" si="1"/>
        <v/>
      </c>
      <c r="B425" s="3" t="str">
        <f>IF(AND(Data!$B425='Individual Type'!$D$2, Data!$K425='All Types'!$D$2,Data!$L425='All Types'!$D$3),Data!$B425,"")</f>
        <v/>
      </c>
      <c r="C425" s="3" t="str">
        <f>IF(F425="","",Data!N425)</f>
        <v/>
      </c>
      <c r="D425" s="3" t="str">
        <f>IF(AND(Data!$B425='Individual Type'!$D$2, Data!$K425='All Types'!$D$2,Data!$L425='All Types'!$D$3),Data!$C425,"")</f>
        <v/>
      </c>
      <c r="E425" s="3" t="str">
        <f>IF($F425="","",Data!P425)</f>
        <v/>
      </c>
      <c r="F425" s="3" t="str">
        <f>IF(AND(Data!$B425='Individual Type'!$D$2, Data!$K425='All Types'!$D$2,Data!$L425='All Types'!$D$3),Data!M425,"")</f>
        <v/>
      </c>
    </row>
    <row r="426">
      <c r="A426" s="102" t="str">
        <f t="shared" si="1"/>
        <v/>
      </c>
      <c r="B426" s="3" t="str">
        <f>IF(AND(Data!$B426='Individual Type'!$D$2, Data!$K426='All Types'!$D$2,Data!$L426='All Types'!$D$3),Data!$B426,"")</f>
        <v/>
      </c>
      <c r="C426" s="3" t="str">
        <f>IF(F426="","",Data!N426)</f>
        <v/>
      </c>
      <c r="D426" s="3" t="str">
        <f>IF(AND(Data!$B426='Individual Type'!$D$2, Data!$K426='All Types'!$D$2,Data!$L426='All Types'!$D$3),Data!$C426,"")</f>
        <v/>
      </c>
      <c r="E426" s="3" t="str">
        <f>IF($F426="","",Data!P426)</f>
        <v/>
      </c>
      <c r="F426" s="3" t="str">
        <f>IF(AND(Data!$B426='Individual Type'!$D$2, Data!$K426='All Types'!$D$2,Data!$L426='All Types'!$D$3),Data!M426,"")</f>
        <v/>
      </c>
    </row>
    <row r="427">
      <c r="A427" s="102" t="str">
        <f t="shared" si="1"/>
        <v/>
      </c>
      <c r="B427" s="3" t="str">
        <f>IF(AND(Data!$B427='Individual Type'!$D$2, Data!$K427='All Types'!$D$2,Data!$L427='All Types'!$D$3),Data!$B427,"")</f>
        <v/>
      </c>
      <c r="C427" s="3" t="str">
        <f>IF(F427="","",Data!N427)</f>
        <v/>
      </c>
      <c r="D427" s="3" t="str">
        <f>IF(AND(Data!$B427='Individual Type'!$D$2, Data!$K427='All Types'!$D$2,Data!$L427='All Types'!$D$3),Data!$C427,"")</f>
        <v/>
      </c>
      <c r="E427" s="3" t="str">
        <f>IF($F427="","",Data!P427)</f>
        <v/>
      </c>
      <c r="F427" s="3" t="str">
        <f>IF(AND(Data!$B427='Individual Type'!$D$2, Data!$K427='All Types'!$D$2,Data!$L427='All Types'!$D$3),Data!M427,"")</f>
        <v/>
      </c>
    </row>
    <row r="428">
      <c r="A428" s="102" t="str">
        <f t="shared" si="1"/>
        <v/>
      </c>
      <c r="B428" s="3" t="str">
        <f>IF(AND(Data!$B428='Individual Type'!$D$2, Data!$K428='All Types'!$D$2,Data!$L428='All Types'!$D$3),Data!$B428,"")</f>
        <v/>
      </c>
      <c r="C428" s="3" t="str">
        <f>IF(F428="","",Data!N428)</f>
        <v/>
      </c>
      <c r="D428" s="3" t="str">
        <f>IF(AND(Data!$B428='Individual Type'!$D$2, Data!$K428='All Types'!$D$2,Data!$L428='All Types'!$D$3),Data!$C428,"")</f>
        <v/>
      </c>
      <c r="E428" s="3" t="str">
        <f>IF($F428="","",Data!P428)</f>
        <v/>
      </c>
      <c r="F428" s="3" t="str">
        <f>IF(AND(Data!$B428='Individual Type'!$D$2, Data!$K428='All Types'!$D$2,Data!$L428='All Types'!$D$3),Data!M428,"")</f>
        <v/>
      </c>
    </row>
    <row r="429">
      <c r="A429" s="102" t="str">
        <f t="shared" si="1"/>
        <v/>
      </c>
      <c r="B429" s="3" t="str">
        <f>IF(AND(Data!$B429='Individual Type'!$D$2, Data!$K429='All Types'!$D$2,Data!$L429='All Types'!$D$3),Data!$B429,"")</f>
        <v/>
      </c>
      <c r="C429" s="3" t="str">
        <f>IF(F429="","",Data!N429)</f>
        <v/>
      </c>
      <c r="D429" s="3" t="str">
        <f>IF(AND(Data!$B429='Individual Type'!$D$2, Data!$K429='All Types'!$D$2,Data!$L429='All Types'!$D$3),Data!$C429,"")</f>
        <v/>
      </c>
      <c r="E429" s="3" t="str">
        <f>IF($F429="","",Data!P429)</f>
        <v/>
      </c>
      <c r="F429" s="3" t="str">
        <f>IF(AND(Data!$B429='Individual Type'!$D$2, Data!$K429='All Types'!$D$2,Data!$L429='All Types'!$D$3),Data!M429,"")</f>
        <v/>
      </c>
    </row>
    <row r="430">
      <c r="A430" s="102" t="str">
        <f t="shared" si="1"/>
        <v/>
      </c>
      <c r="B430" s="3" t="str">
        <f>IF(AND(Data!$B430='Individual Type'!$D$2, Data!$K430='All Types'!$D$2,Data!$L430='All Types'!$D$3),Data!$B430,"")</f>
        <v/>
      </c>
      <c r="C430" s="3" t="str">
        <f>IF(F430="","",Data!N430)</f>
        <v/>
      </c>
      <c r="D430" s="3" t="str">
        <f>IF(AND(Data!$B430='Individual Type'!$D$2, Data!$K430='All Types'!$D$2,Data!$L430='All Types'!$D$3),Data!$C430,"")</f>
        <v/>
      </c>
      <c r="E430" s="3" t="str">
        <f>IF($F430="","",Data!P430)</f>
        <v/>
      </c>
      <c r="F430" s="3" t="str">
        <f>IF(AND(Data!$B430='Individual Type'!$D$2, Data!$K430='All Types'!$D$2,Data!$L430='All Types'!$D$3),Data!M430,"")</f>
        <v/>
      </c>
    </row>
    <row r="431">
      <c r="A431" s="102" t="str">
        <f t="shared" si="1"/>
        <v/>
      </c>
      <c r="B431" s="3" t="str">
        <f>IF(AND(Data!$B431='Individual Type'!$D$2, Data!$K431='All Types'!$D$2,Data!$L431='All Types'!$D$3),Data!$B431,"")</f>
        <v/>
      </c>
      <c r="C431" s="3" t="str">
        <f>IF(F431="","",Data!N431)</f>
        <v/>
      </c>
      <c r="D431" s="3" t="str">
        <f>IF(AND(Data!$B431='Individual Type'!$D$2, Data!$K431='All Types'!$D$2,Data!$L431='All Types'!$D$3),Data!$C431,"")</f>
        <v/>
      </c>
      <c r="E431" s="3" t="str">
        <f>IF($F431="","",Data!P431)</f>
        <v/>
      </c>
      <c r="F431" s="3" t="str">
        <f>IF(AND(Data!$B431='Individual Type'!$D$2, Data!$K431='All Types'!$D$2,Data!$L431='All Types'!$D$3),Data!M431,"")</f>
        <v/>
      </c>
    </row>
    <row r="432">
      <c r="A432" s="102" t="str">
        <f t="shared" si="1"/>
        <v/>
      </c>
      <c r="B432" s="3" t="str">
        <f>IF(AND(Data!$B432='Individual Type'!$D$2, Data!$K432='All Types'!$D$2,Data!$L432='All Types'!$D$3),Data!$B432,"")</f>
        <v/>
      </c>
      <c r="C432" s="3" t="str">
        <f>IF(F432="","",Data!N432)</f>
        <v/>
      </c>
      <c r="D432" s="3" t="str">
        <f>IF(AND(Data!$B432='Individual Type'!$D$2, Data!$K432='All Types'!$D$2,Data!$L432='All Types'!$D$3),Data!$C432,"")</f>
        <v/>
      </c>
      <c r="E432" s="3" t="str">
        <f>IF($F432="","",Data!P432)</f>
        <v/>
      </c>
      <c r="F432" s="3" t="str">
        <f>IF(AND(Data!$B432='Individual Type'!$D$2, Data!$K432='All Types'!$D$2,Data!$L432='All Types'!$D$3),Data!M432,"")</f>
        <v/>
      </c>
    </row>
    <row r="433">
      <c r="A433" s="102" t="str">
        <f t="shared" si="1"/>
        <v/>
      </c>
      <c r="B433" s="3" t="str">
        <f>IF(AND(Data!$B433='Individual Type'!$D$2, Data!$K433='All Types'!$D$2,Data!$L433='All Types'!$D$3),Data!$B433,"")</f>
        <v/>
      </c>
      <c r="C433" s="3" t="str">
        <f>IF(F433="","",Data!N433)</f>
        <v/>
      </c>
      <c r="D433" s="3" t="str">
        <f>IF(AND(Data!$B433='Individual Type'!$D$2, Data!$K433='All Types'!$D$2,Data!$L433='All Types'!$D$3),Data!$C433,"")</f>
        <v/>
      </c>
      <c r="E433" s="3" t="str">
        <f>IF($F433="","",Data!P433)</f>
        <v/>
      </c>
      <c r="F433" s="3" t="str">
        <f>IF(AND(Data!$B433='Individual Type'!$D$2, Data!$K433='All Types'!$D$2,Data!$L433='All Types'!$D$3),Data!M433,"")</f>
        <v/>
      </c>
    </row>
    <row r="434">
      <c r="A434" s="102" t="str">
        <f t="shared" si="1"/>
        <v/>
      </c>
      <c r="B434" s="3" t="str">
        <f>IF(AND(Data!$B434='Individual Type'!$D$2, Data!$K434='All Types'!$D$2,Data!$L434='All Types'!$D$3),Data!$B434,"")</f>
        <v/>
      </c>
      <c r="C434" s="3" t="str">
        <f>IF(F434="","",Data!N434)</f>
        <v/>
      </c>
      <c r="D434" s="3" t="str">
        <f>IF(AND(Data!$B434='Individual Type'!$D$2, Data!$K434='All Types'!$D$2,Data!$L434='All Types'!$D$3),Data!$C434,"")</f>
        <v/>
      </c>
      <c r="E434" s="3" t="str">
        <f>IF($F434="","",Data!P434)</f>
        <v/>
      </c>
      <c r="F434" s="3" t="str">
        <f>IF(AND(Data!$B434='Individual Type'!$D$2, Data!$K434='All Types'!$D$2,Data!$L434='All Types'!$D$3),Data!M434,"")</f>
        <v/>
      </c>
    </row>
    <row r="435">
      <c r="A435" s="102" t="str">
        <f t="shared" si="1"/>
        <v/>
      </c>
      <c r="B435" s="3" t="str">
        <f>IF(AND(Data!$B435='Individual Type'!$D$2, Data!$K435='All Types'!$D$2,Data!$L435='All Types'!$D$3),Data!$B435,"")</f>
        <v/>
      </c>
      <c r="C435" s="3" t="str">
        <f>IF(F435="","",Data!N435)</f>
        <v/>
      </c>
      <c r="D435" s="3" t="str">
        <f>IF(AND(Data!$B435='Individual Type'!$D$2, Data!$K435='All Types'!$D$2,Data!$L435='All Types'!$D$3),Data!$C435,"")</f>
        <v/>
      </c>
      <c r="E435" s="3" t="str">
        <f>IF($F435="","",Data!P435)</f>
        <v/>
      </c>
      <c r="F435" s="3" t="str">
        <f>IF(AND(Data!$B435='Individual Type'!$D$2, Data!$K435='All Types'!$D$2,Data!$L435='All Types'!$D$3),Data!M435,"")</f>
        <v/>
      </c>
    </row>
    <row r="436">
      <c r="A436" s="102" t="str">
        <f t="shared" si="1"/>
        <v/>
      </c>
      <c r="B436" s="3" t="str">
        <f>IF(AND(Data!$B436='Individual Type'!$D$2, Data!$K436='All Types'!$D$2,Data!$L436='All Types'!$D$3),Data!$B436,"")</f>
        <v/>
      </c>
      <c r="C436" s="3" t="str">
        <f>IF(F436="","",Data!N436)</f>
        <v/>
      </c>
      <c r="D436" s="3" t="str">
        <f>IF(AND(Data!$B436='Individual Type'!$D$2, Data!$K436='All Types'!$D$2,Data!$L436='All Types'!$D$3),Data!$C436,"")</f>
        <v/>
      </c>
      <c r="E436" s="3" t="str">
        <f>IF($F436="","",Data!P436)</f>
        <v/>
      </c>
      <c r="F436" s="3" t="str">
        <f>IF(AND(Data!$B436='Individual Type'!$D$2, Data!$K436='All Types'!$D$2,Data!$L436='All Types'!$D$3),Data!M436,"")</f>
        <v/>
      </c>
    </row>
    <row r="437">
      <c r="A437" s="102" t="str">
        <f t="shared" si="1"/>
        <v/>
      </c>
      <c r="B437" s="3" t="str">
        <f>IF(AND(Data!$B437='Individual Type'!$D$2, Data!$K437='All Types'!$D$2,Data!$L437='All Types'!$D$3),Data!$B437,"")</f>
        <v/>
      </c>
      <c r="C437" s="3" t="str">
        <f>IF(F437="","",Data!N437)</f>
        <v/>
      </c>
      <c r="D437" s="3" t="str">
        <f>IF(AND(Data!$B437='Individual Type'!$D$2, Data!$K437='All Types'!$D$2,Data!$L437='All Types'!$D$3),Data!$C437,"")</f>
        <v/>
      </c>
      <c r="E437" s="3" t="str">
        <f>IF($F437="","",Data!P437)</f>
        <v/>
      </c>
      <c r="F437" s="3" t="str">
        <f>IF(AND(Data!$B437='Individual Type'!$D$2, Data!$K437='All Types'!$D$2,Data!$L437='All Types'!$D$3),Data!M437,"")</f>
        <v/>
      </c>
    </row>
    <row r="438">
      <c r="A438" s="102" t="str">
        <f t="shared" si="1"/>
        <v/>
      </c>
      <c r="B438" s="3" t="str">
        <f>IF(AND(Data!$B438='Individual Type'!$D$2, Data!$K438='All Types'!$D$2,Data!$L438='All Types'!$D$3),Data!$B438,"")</f>
        <v/>
      </c>
      <c r="C438" s="3" t="str">
        <f>IF(F438="","",Data!N438)</f>
        <v/>
      </c>
      <c r="D438" s="3" t="str">
        <f>IF(AND(Data!$B438='Individual Type'!$D$2, Data!$K438='All Types'!$D$2,Data!$L438='All Types'!$D$3),Data!$C438,"")</f>
        <v/>
      </c>
      <c r="E438" s="3" t="str">
        <f>IF($F438="","",Data!P438)</f>
        <v/>
      </c>
      <c r="F438" s="3" t="str">
        <f>IF(AND(Data!$B438='Individual Type'!$D$2, Data!$K438='All Types'!$D$2,Data!$L438='All Types'!$D$3),Data!M438,"")</f>
        <v/>
      </c>
    </row>
    <row r="439">
      <c r="A439" s="102" t="str">
        <f t="shared" si="1"/>
        <v/>
      </c>
      <c r="B439" s="3" t="str">
        <f>IF(AND(Data!$B439='Individual Type'!$D$2, Data!$K439='All Types'!$D$2,Data!$L439='All Types'!$D$3),Data!$B439,"")</f>
        <v/>
      </c>
      <c r="C439" s="3" t="str">
        <f>IF(F439="","",Data!N439)</f>
        <v/>
      </c>
      <c r="D439" s="3" t="str">
        <f>IF(AND(Data!$B439='Individual Type'!$D$2, Data!$K439='All Types'!$D$2,Data!$L439='All Types'!$D$3),Data!$C439,"")</f>
        <v/>
      </c>
      <c r="E439" s="3" t="str">
        <f>IF($F439="","",Data!P439)</f>
        <v/>
      </c>
      <c r="F439" s="3" t="str">
        <f>IF(AND(Data!$B439='Individual Type'!$D$2, Data!$K439='All Types'!$D$2,Data!$L439='All Types'!$D$3),Data!M439,"")</f>
        <v/>
      </c>
    </row>
    <row r="440">
      <c r="A440" s="102" t="str">
        <f t="shared" si="1"/>
        <v/>
      </c>
      <c r="B440" s="3" t="str">
        <f>IF(AND(Data!$B440='Individual Type'!$D$2, Data!$K440='All Types'!$D$2,Data!$L440='All Types'!$D$3),Data!$B440,"")</f>
        <v/>
      </c>
      <c r="C440" s="3" t="str">
        <f>IF(F440="","",Data!N440)</f>
        <v/>
      </c>
      <c r="D440" s="3" t="str">
        <f>IF(AND(Data!$B440='Individual Type'!$D$2, Data!$K440='All Types'!$D$2,Data!$L440='All Types'!$D$3),Data!$C440,"")</f>
        <v/>
      </c>
      <c r="E440" s="3" t="str">
        <f>IF($F440="","",Data!P440)</f>
        <v/>
      </c>
      <c r="F440" s="3" t="str">
        <f>IF(AND(Data!$B440='Individual Type'!$D$2, Data!$K440='All Types'!$D$2,Data!$L440='All Types'!$D$3),Data!M440,"")</f>
        <v/>
      </c>
    </row>
    <row r="441">
      <c r="A441" s="102" t="str">
        <f t="shared" si="1"/>
        <v/>
      </c>
      <c r="B441" s="3" t="str">
        <f>IF(AND(Data!$B441='Individual Type'!$D$2, Data!$K441='All Types'!$D$2,Data!$L441='All Types'!$D$3),Data!$B441,"")</f>
        <v/>
      </c>
      <c r="C441" s="3" t="str">
        <f>IF(F441="","",Data!N441)</f>
        <v/>
      </c>
      <c r="D441" s="3" t="str">
        <f>IF(AND(Data!$B441='Individual Type'!$D$2, Data!$K441='All Types'!$D$2,Data!$L441='All Types'!$D$3),Data!$C441,"")</f>
        <v/>
      </c>
      <c r="E441" s="3" t="str">
        <f>IF($F441="","",Data!P441)</f>
        <v/>
      </c>
      <c r="F441" s="3" t="str">
        <f>IF(AND(Data!$B441='Individual Type'!$D$2, Data!$K441='All Types'!$D$2,Data!$L441='All Types'!$D$3),Data!M441,"")</f>
        <v/>
      </c>
    </row>
    <row r="442">
      <c r="A442" s="102" t="str">
        <f t="shared" si="1"/>
        <v/>
      </c>
      <c r="B442" s="3" t="str">
        <f>IF(AND(Data!$B442='Individual Type'!$D$2, Data!$K442='All Types'!$D$2,Data!$L442='All Types'!$D$3),Data!$B442,"")</f>
        <v/>
      </c>
      <c r="C442" s="3" t="str">
        <f>IF(F442="","",Data!N442)</f>
        <v/>
      </c>
      <c r="D442" s="3" t="str">
        <f>IF(AND(Data!$B442='Individual Type'!$D$2, Data!$K442='All Types'!$D$2,Data!$L442='All Types'!$D$3),Data!$C442,"")</f>
        <v/>
      </c>
      <c r="E442" s="3" t="str">
        <f>IF($F442="","",Data!P442)</f>
        <v/>
      </c>
      <c r="F442" s="3" t="str">
        <f>IF(AND(Data!$B442='Individual Type'!$D$2, Data!$K442='All Types'!$D$2,Data!$L442='All Types'!$D$3),Data!M442,"")</f>
        <v/>
      </c>
    </row>
    <row r="443">
      <c r="A443" s="102" t="str">
        <f t="shared" si="1"/>
        <v/>
      </c>
      <c r="B443" s="3" t="str">
        <f>IF(AND(Data!$B443='Individual Type'!$D$2, Data!$K443='All Types'!$D$2,Data!$L443='All Types'!$D$3),Data!$B443,"")</f>
        <v/>
      </c>
      <c r="C443" s="3" t="str">
        <f>IF(F443="","",Data!N443)</f>
        <v/>
      </c>
      <c r="D443" s="3" t="str">
        <f>IF(AND(Data!$B443='Individual Type'!$D$2, Data!$K443='All Types'!$D$2,Data!$L443='All Types'!$D$3),Data!$C443,"")</f>
        <v/>
      </c>
      <c r="E443" s="3" t="str">
        <f>IF($F443="","",Data!P443)</f>
        <v/>
      </c>
      <c r="F443" s="3" t="str">
        <f>IF(AND(Data!$B443='Individual Type'!$D$2, Data!$K443='All Types'!$D$2,Data!$L443='All Types'!$D$3),Data!M443,"")</f>
        <v/>
      </c>
    </row>
    <row r="444">
      <c r="A444" s="102" t="str">
        <f t="shared" si="1"/>
        <v/>
      </c>
      <c r="B444" s="3" t="str">
        <f>IF(AND(Data!$B444='Individual Type'!$D$2, Data!$K444='All Types'!$D$2,Data!$L444='All Types'!$D$3),Data!$B444,"")</f>
        <v/>
      </c>
      <c r="C444" s="3" t="str">
        <f>IF(F444="","",Data!N444)</f>
        <v/>
      </c>
      <c r="D444" s="3" t="str">
        <f>IF(AND(Data!$B444='Individual Type'!$D$2, Data!$K444='All Types'!$D$2,Data!$L444='All Types'!$D$3),Data!$C444,"")</f>
        <v/>
      </c>
      <c r="E444" s="3" t="str">
        <f>IF($F444="","",Data!P444)</f>
        <v/>
      </c>
      <c r="F444" s="3" t="str">
        <f>IF(AND(Data!$B444='Individual Type'!$D$2, Data!$K444='All Types'!$D$2,Data!$L444='All Types'!$D$3),Data!M444,"")</f>
        <v/>
      </c>
    </row>
    <row r="445">
      <c r="A445" s="102" t="str">
        <f t="shared" si="1"/>
        <v/>
      </c>
      <c r="B445" s="3" t="str">
        <f>IF(AND(Data!$B445='Individual Type'!$D$2, Data!$K445='All Types'!$D$2,Data!$L445='All Types'!$D$3),Data!$B445,"")</f>
        <v/>
      </c>
      <c r="C445" s="3" t="str">
        <f>IF(F445="","",Data!N445)</f>
        <v/>
      </c>
      <c r="D445" s="3" t="str">
        <f>IF(AND(Data!$B445='Individual Type'!$D$2, Data!$K445='All Types'!$D$2,Data!$L445='All Types'!$D$3),Data!$C445,"")</f>
        <v/>
      </c>
      <c r="E445" s="3" t="str">
        <f>IF($F445="","",Data!P445)</f>
        <v/>
      </c>
      <c r="F445" s="3" t="str">
        <f>IF(AND(Data!$B445='Individual Type'!$D$2, Data!$K445='All Types'!$D$2,Data!$L445='All Types'!$D$3),Data!M445,"")</f>
        <v/>
      </c>
    </row>
    <row r="446">
      <c r="A446" s="102" t="str">
        <f t="shared" si="1"/>
        <v/>
      </c>
      <c r="B446" s="3" t="str">
        <f>IF(AND(Data!$B446='Individual Type'!$D$2, Data!$K446='All Types'!$D$2,Data!$L446='All Types'!$D$3),Data!$B446,"")</f>
        <v/>
      </c>
      <c r="C446" s="3" t="str">
        <f>IF(F446="","",Data!N446)</f>
        <v/>
      </c>
      <c r="D446" s="3" t="str">
        <f>IF(AND(Data!$B446='Individual Type'!$D$2, Data!$K446='All Types'!$D$2,Data!$L446='All Types'!$D$3),Data!$C446,"")</f>
        <v/>
      </c>
      <c r="E446" s="3" t="str">
        <f>IF($F446="","",Data!P446)</f>
        <v/>
      </c>
      <c r="F446" s="3" t="str">
        <f>IF(AND(Data!$B446='Individual Type'!$D$2, Data!$K446='All Types'!$D$2,Data!$L446='All Types'!$D$3),Data!M446,"")</f>
        <v/>
      </c>
    </row>
    <row r="447">
      <c r="A447" s="102" t="str">
        <f t="shared" si="1"/>
        <v/>
      </c>
      <c r="B447" s="3" t="str">
        <f>IF(AND(Data!$B447='Individual Type'!$D$2, Data!$K447='All Types'!$D$2,Data!$L447='All Types'!$D$3),Data!$B447,"")</f>
        <v/>
      </c>
      <c r="C447" s="3" t="str">
        <f>IF(F447="","",Data!N447)</f>
        <v/>
      </c>
      <c r="D447" s="3" t="str">
        <f>IF(AND(Data!$B447='Individual Type'!$D$2, Data!$K447='All Types'!$D$2,Data!$L447='All Types'!$D$3),Data!$C447,"")</f>
        <v/>
      </c>
      <c r="E447" s="3" t="str">
        <f>IF($F447="","",Data!P447)</f>
        <v/>
      </c>
      <c r="F447" s="3" t="str">
        <f>IF(AND(Data!$B447='Individual Type'!$D$2, Data!$K447='All Types'!$D$2,Data!$L447='All Types'!$D$3),Data!M447,"")</f>
        <v/>
      </c>
    </row>
    <row r="448">
      <c r="A448" s="102" t="str">
        <f t="shared" si="1"/>
        <v/>
      </c>
      <c r="B448" s="3" t="str">
        <f>IF(AND(Data!$B448='Individual Type'!$D$2, Data!$K448='All Types'!$D$2,Data!$L448='All Types'!$D$3),Data!$B448,"")</f>
        <v/>
      </c>
      <c r="C448" s="3" t="str">
        <f>IF(F448="","",Data!N448)</f>
        <v/>
      </c>
      <c r="D448" s="3" t="str">
        <f>IF(AND(Data!$B448='Individual Type'!$D$2, Data!$K448='All Types'!$D$2,Data!$L448='All Types'!$D$3),Data!$C448,"")</f>
        <v/>
      </c>
      <c r="E448" s="3" t="str">
        <f>IF($F448="","",Data!P448)</f>
        <v/>
      </c>
      <c r="F448" s="3" t="str">
        <f>IF(AND(Data!$B448='Individual Type'!$D$2, Data!$K448='All Types'!$D$2,Data!$L448='All Types'!$D$3),Data!M448,"")</f>
        <v/>
      </c>
    </row>
    <row r="449">
      <c r="A449" s="102" t="str">
        <f t="shared" si="1"/>
        <v/>
      </c>
      <c r="B449" s="3" t="str">
        <f>IF(AND(Data!$B449='Individual Type'!$D$2, Data!$K449='All Types'!$D$2,Data!$L449='All Types'!$D$3),Data!$B449,"")</f>
        <v/>
      </c>
      <c r="C449" s="3" t="str">
        <f>IF(F449="","",Data!N449)</f>
        <v/>
      </c>
      <c r="D449" s="3" t="str">
        <f>IF(AND(Data!$B449='Individual Type'!$D$2, Data!$K449='All Types'!$D$2,Data!$L449='All Types'!$D$3),Data!$C449,"")</f>
        <v/>
      </c>
      <c r="E449" s="3" t="str">
        <f>IF($F449="","",Data!P449)</f>
        <v/>
      </c>
      <c r="F449" s="3" t="str">
        <f>IF(AND(Data!$B449='Individual Type'!$D$2, Data!$K449='All Types'!$D$2,Data!$L449='All Types'!$D$3),Data!M449,"")</f>
        <v/>
      </c>
    </row>
    <row r="450">
      <c r="A450" s="102" t="str">
        <f t="shared" si="1"/>
        <v/>
      </c>
      <c r="B450" s="3" t="str">
        <f>IF(AND(Data!$B450='Individual Type'!$D$2, Data!$K450='All Types'!$D$2,Data!$L450='All Types'!$D$3),Data!$B450,"")</f>
        <v/>
      </c>
      <c r="C450" s="3" t="str">
        <f>IF(F450="","",Data!N450)</f>
        <v/>
      </c>
      <c r="D450" s="3" t="str">
        <f>IF(AND(Data!$B450='Individual Type'!$D$2, Data!$K450='All Types'!$D$2,Data!$L450='All Types'!$D$3),Data!$C450,"")</f>
        <v/>
      </c>
      <c r="E450" s="3" t="str">
        <f>IF($F450="","",Data!P450)</f>
        <v/>
      </c>
      <c r="F450" s="3" t="str">
        <f>IF(AND(Data!$B450='Individual Type'!$D$2, Data!$K450='All Types'!$D$2,Data!$L450='All Types'!$D$3),Data!M450,"")</f>
        <v/>
      </c>
    </row>
    <row r="451">
      <c r="A451" s="102" t="str">
        <f t="shared" si="1"/>
        <v/>
      </c>
      <c r="B451" s="3" t="str">
        <f>IF(AND(Data!$B451='Individual Type'!$D$2, Data!$K451='All Types'!$D$2,Data!$L451='All Types'!$D$3),Data!$B451,"")</f>
        <v/>
      </c>
      <c r="C451" s="3" t="str">
        <f>IF(F451="","",Data!N451)</f>
        <v/>
      </c>
      <c r="D451" s="3" t="str">
        <f>IF(AND(Data!$B451='Individual Type'!$D$2, Data!$K451='All Types'!$D$2,Data!$L451='All Types'!$D$3),Data!$C451,"")</f>
        <v/>
      </c>
      <c r="E451" s="3" t="str">
        <f>IF($F451="","",Data!P451)</f>
        <v/>
      </c>
      <c r="F451" s="3" t="str">
        <f>IF(AND(Data!$B451='Individual Type'!$D$2, Data!$K451='All Types'!$D$2,Data!$L451='All Types'!$D$3),Data!M451,"")</f>
        <v/>
      </c>
    </row>
    <row r="452">
      <c r="A452" s="102" t="str">
        <f t="shared" si="1"/>
        <v/>
      </c>
      <c r="B452" s="3" t="str">
        <f>IF(AND(Data!$B452='Individual Type'!$D$2, Data!$K452='All Types'!$D$2,Data!$L452='All Types'!$D$3),Data!$B452,"")</f>
        <v/>
      </c>
      <c r="C452" s="3" t="str">
        <f>IF(F452="","",Data!N452)</f>
        <v/>
      </c>
      <c r="D452" s="3" t="str">
        <f>IF(AND(Data!$B452='Individual Type'!$D$2, Data!$K452='All Types'!$D$2,Data!$L452='All Types'!$D$3),Data!$C452,"")</f>
        <v/>
      </c>
      <c r="E452" s="3" t="str">
        <f>IF($F452="","",Data!P452)</f>
        <v/>
      </c>
      <c r="F452" s="3" t="str">
        <f>IF(AND(Data!$B452='Individual Type'!$D$2, Data!$K452='All Types'!$D$2,Data!$L452='All Types'!$D$3),Data!M452,"")</f>
        <v/>
      </c>
    </row>
    <row r="453">
      <c r="A453" s="102" t="str">
        <f t="shared" si="1"/>
        <v/>
      </c>
      <c r="B453" s="3" t="str">
        <f>IF(AND(Data!$B453='Individual Type'!$D$2, Data!$K453='All Types'!$D$2,Data!$L453='All Types'!$D$3),Data!$B453,"")</f>
        <v/>
      </c>
      <c r="C453" s="3" t="str">
        <f>IF(F453="","",Data!N453)</f>
        <v/>
      </c>
      <c r="D453" s="3" t="str">
        <f>IF(AND(Data!$B453='Individual Type'!$D$2, Data!$K453='All Types'!$D$2,Data!$L453='All Types'!$D$3),Data!$C453,"")</f>
        <v/>
      </c>
      <c r="E453" s="3" t="str">
        <f>IF($F453="","",Data!P453)</f>
        <v/>
      </c>
      <c r="F453" s="3" t="str">
        <f>IF(AND(Data!$B453='Individual Type'!$D$2, Data!$K453='All Types'!$D$2,Data!$L453='All Types'!$D$3),Data!M453,"")</f>
        <v/>
      </c>
    </row>
    <row r="454">
      <c r="A454" s="102" t="str">
        <f t="shared" si="1"/>
        <v/>
      </c>
      <c r="B454" s="3" t="str">
        <f>IF(AND(Data!$B454='Individual Type'!$D$2, Data!$K454='All Types'!$D$2,Data!$L454='All Types'!$D$3),Data!$B454,"")</f>
        <v/>
      </c>
      <c r="C454" s="3" t="str">
        <f>IF(F454="","",Data!N454)</f>
        <v/>
      </c>
      <c r="D454" s="3" t="str">
        <f>IF(AND(Data!$B454='Individual Type'!$D$2, Data!$K454='All Types'!$D$2,Data!$L454='All Types'!$D$3),Data!$C454,"")</f>
        <v/>
      </c>
      <c r="E454" s="3" t="str">
        <f>IF($F454="","",Data!P454)</f>
        <v/>
      </c>
      <c r="F454" s="3" t="str">
        <f>IF(AND(Data!$B454='Individual Type'!$D$2, Data!$K454='All Types'!$D$2,Data!$L454='All Types'!$D$3),Data!M454,"")</f>
        <v/>
      </c>
    </row>
    <row r="455">
      <c r="A455" s="102" t="str">
        <f t="shared" si="1"/>
        <v/>
      </c>
      <c r="B455" s="3" t="str">
        <f>IF(AND(Data!$B455='Individual Type'!$D$2, Data!$K455='All Types'!$D$2,Data!$L455='All Types'!$D$3),Data!$B455,"")</f>
        <v/>
      </c>
      <c r="C455" s="3" t="str">
        <f>IF(F455="","",Data!N455)</f>
        <v/>
      </c>
      <c r="D455" s="3" t="str">
        <f>IF(AND(Data!$B455='Individual Type'!$D$2, Data!$K455='All Types'!$D$2,Data!$L455='All Types'!$D$3),Data!$C455,"")</f>
        <v/>
      </c>
      <c r="E455" s="3" t="str">
        <f>IF($F455="","",Data!P455)</f>
        <v/>
      </c>
      <c r="F455" s="3" t="str">
        <f>IF(AND(Data!$B455='Individual Type'!$D$2, Data!$K455='All Types'!$D$2,Data!$L455='All Types'!$D$3),Data!M455,"")</f>
        <v/>
      </c>
    </row>
    <row r="456">
      <c r="A456" s="102" t="str">
        <f t="shared" si="1"/>
        <v/>
      </c>
      <c r="B456" s="3" t="str">
        <f>IF(AND(Data!$B456='Individual Type'!$D$2, Data!$K456='All Types'!$D$2,Data!$L456='All Types'!$D$3),Data!$B456,"")</f>
        <v/>
      </c>
      <c r="C456" s="3" t="str">
        <f>IF(F456="","",Data!N456)</f>
        <v/>
      </c>
      <c r="D456" s="3" t="str">
        <f>IF(AND(Data!$B456='Individual Type'!$D$2, Data!$K456='All Types'!$D$2,Data!$L456='All Types'!$D$3),Data!$C456,"")</f>
        <v/>
      </c>
      <c r="E456" s="3" t="str">
        <f>IF($F456="","",Data!P456)</f>
        <v/>
      </c>
      <c r="F456" s="3" t="str">
        <f>IF(AND(Data!$B456='Individual Type'!$D$2, Data!$K456='All Types'!$D$2,Data!$L456='All Types'!$D$3),Data!M456,"")</f>
        <v/>
      </c>
    </row>
    <row r="457">
      <c r="A457" s="102" t="str">
        <f t="shared" si="1"/>
        <v/>
      </c>
      <c r="B457" s="3" t="str">
        <f>IF(AND(Data!$B457='Individual Type'!$D$2, Data!$K457='All Types'!$D$2,Data!$L457='All Types'!$D$3),Data!$B457,"")</f>
        <v/>
      </c>
      <c r="C457" s="3" t="str">
        <f>IF(F457="","",Data!N457)</f>
        <v/>
      </c>
      <c r="D457" s="3" t="str">
        <f>IF(AND(Data!$B457='Individual Type'!$D$2, Data!$K457='All Types'!$D$2,Data!$L457='All Types'!$D$3),Data!$C457,"")</f>
        <v/>
      </c>
      <c r="E457" s="3" t="str">
        <f>IF($F457="","",Data!P457)</f>
        <v/>
      </c>
      <c r="F457" s="3" t="str">
        <f>IF(AND(Data!$B457='Individual Type'!$D$2, Data!$K457='All Types'!$D$2,Data!$L457='All Types'!$D$3),Data!M457,"")</f>
        <v/>
      </c>
    </row>
    <row r="458">
      <c r="A458" s="102" t="str">
        <f t="shared" si="1"/>
        <v/>
      </c>
      <c r="B458" s="3" t="str">
        <f>IF(AND(Data!$B458='Individual Type'!$D$2, Data!$K458='All Types'!$D$2,Data!$L458='All Types'!$D$3),Data!$B458,"")</f>
        <v/>
      </c>
      <c r="C458" s="3" t="str">
        <f>IF(F458="","",Data!N458)</f>
        <v/>
      </c>
      <c r="D458" s="3" t="str">
        <f>IF(AND(Data!$B458='Individual Type'!$D$2, Data!$K458='All Types'!$D$2,Data!$L458='All Types'!$D$3),Data!$C458,"")</f>
        <v/>
      </c>
      <c r="E458" s="3" t="str">
        <f>IF($F458="","",Data!P458)</f>
        <v/>
      </c>
      <c r="F458" s="3" t="str">
        <f>IF(AND(Data!$B458='Individual Type'!$D$2, Data!$K458='All Types'!$D$2,Data!$L458='All Types'!$D$3),Data!M458,"")</f>
        <v/>
      </c>
    </row>
    <row r="459">
      <c r="A459" s="102" t="str">
        <f t="shared" si="1"/>
        <v/>
      </c>
      <c r="B459" s="3" t="str">
        <f>IF(AND(Data!$B459='Individual Type'!$D$2, Data!$K459='All Types'!$D$2,Data!$L459='All Types'!$D$3),Data!$B459,"")</f>
        <v/>
      </c>
      <c r="C459" s="3" t="str">
        <f>IF(F459="","",Data!N459)</f>
        <v/>
      </c>
      <c r="D459" s="3" t="str">
        <f>IF(AND(Data!$B459='Individual Type'!$D$2, Data!$K459='All Types'!$D$2,Data!$L459='All Types'!$D$3),Data!$C459,"")</f>
        <v/>
      </c>
      <c r="E459" s="3" t="str">
        <f>IF($F459="","",Data!P459)</f>
        <v/>
      </c>
      <c r="F459" s="3" t="str">
        <f>IF(AND(Data!$B459='Individual Type'!$D$2, Data!$K459='All Types'!$D$2,Data!$L459='All Types'!$D$3),Data!M459,"")</f>
        <v/>
      </c>
    </row>
    <row r="460">
      <c r="A460" s="102" t="str">
        <f t="shared" si="1"/>
        <v/>
      </c>
      <c r="B460" s="3" t="str">
        <f>IF(AND(Data!$B460='Individual Type'!$D$2, Data!$K460='All Types'!$D$2,Data!$L460='All Types'!$D$3),Data!$B460,"")</f>
        <v/>
      </c>
      <c r="C460" s="3" t="str">
        <f>IF(F460="","",Data!N460)</f>
        <v/>
      </c>
      <c r="D460" s="3" t="str">
        <f>IF(AND(Data!$B460='Individual Type'!$D$2, Data!$K460='All Types'!$D$2,Data!$L460='All Types'!$D$3),Data!$C460,"")</f>
        <v/>
      </c>
      <c r="E460" s="3" t="str">
        <f>IF($F460="","",Data!P460)</f>
        <v/>
      </c>
      <c r="F460" s="3" t="str">
        <f>IF(AND(Data!$B460='Individual Type'!$D$2, Data!$K460='All Types'!$D$2,Data!$L460='All Types'!$D$3),Data!M460,"")</f>
        <v/>
      </c>
    </row>
    <row r="461">
      <c r="A461" s="102" t="str">
        <f t="shared" si="1"/>
        <v/>
      </c>
      <c r="B461" s="3" t="str">
        <f>IF(AND(Data!$B461='Individual Type'!$D$2, Data!$K461='All Types'!$D$2,Data!$L461='All Types'!$D$3),Data!$B461,"")</f>
        <v/>
      </c>
      <c r="C461" s="3" t="str">
        <f>IF(F461="","",Data!N461)</f>
        <v/>
      </c>
      <c r="D461" s="3" t="str">
        <f>IF(AND(Data!$B461='Individual Type'!$D$2, Data!$K461='All Types'!$D$2,Data!$L461='All Types'!$D$3),Data!$C461,"")</f>
        <v/>
      </c>
      <c r="E461" s="3" t="str">
        <f>IF($F461="","",Data!P461)</f>
        <v/>
      </c>
      <c r="F461" s="3" t="str">
        <f>IF(AND(Data!$B461='Individual Type'!$D$2, Data!$K461='All Types'!$D$2,Data!$L461='All Types'!$D$3),Data!M461,"")</f>
        <v/>
      </c>
    </row>
    <row r="462">
      <c r="A462" s="102" t="str">
        <f t="shared" si="1"/>
        <v/>
      </c>
      <c r="B462" s="3" t="str">
        <f>IF(AND(Data!$B462='Individual Type'!$D$2, Data!$K462='All Types'!$D$2,Data!$L462='All Types'!$D$3),Data!$B462,"")</f>
        <v/>
      </c>
      <c r="C462" s="3" t="str">
        <f>IF(F462="","",Data!N462)</f>
        <v/>
      </c>
      <c r="D462" s="3" t="str">
        <f>IF(AND(Data!$B462='Individual Type'!$D$2, Data!$K462='All Types'!$D$2,Data!$L462='All Types'!$D$3),Data!$C462,"")</f>
        <v/>
      </c>
      <c r="E462" s="3" t="str">
        <f>IF($F462="","",Data!P462)</f>
        <v/>
      </c>
      <c r="F462" s="3" t="str">
        <f>IF(AND(Data!$B462='Individual Type'!$D$2, Data!$K462='All Types'!$D$2,Data!$L462='All Types'!$D$3),Data!M462,"")</f>
        <v/>
      </c>
    </row>
    <row r="463">
      <c r="A463" s="102" t="str">
        <f t="shared" si="1"/>
        <v/>
      </c>
      <c r="B463" s="3" t="str">
        <f>IF(AND(Data!$B463='Individual Type'!$D$2, Data!$K463='All Types'!$D$2,Data!$L463='All Types'!$D$3),Data!$B463,"")</f>
        <v/>
      </c>
      <c r="C463" s="3" t="str">
        <f>IF(F463="","",Data!N463)</f>
        <v/>
      </c>
      <c r="D463" s="3" t="str">
        <f>IF(AND(Data!$B463='Individual Type'!$D$2, Data!$K463='All Types'!$D$2,Data!$L463='All Types'!$D$3),Data!$C463,"")</f>
        <v/>
      </c>
      <c r="E463" s="3" t="str">
        <f>IF($F463="","",Data!P463)</f>
        <v/>
      </c>
      <c r="F463" s="3" t="str">
        <f>IF(AND(Data!$B463='Individual Type'!$D$2, Data!$K463='All Types'!$D$2,Data!$L463='All Types'!$D$3),Data!M463,"")</f>
        <v/>
      </c>
    </row>
    <row r="464">
      <c r="A464" s="102" t="str">
        <f t="shared" si="1"/>
        <v/>
      </c>
      <c r="B464" s="3" t="str">
        <f>IF(AND(Data!$B464='Individual Type'!$D$2, Data!$K464='All Types'!$D$2,Data!$L464='All Types'!$D$3),Data!$B464,"")</f>
        <v/>
      </c>
      <c r="C464" s="3" t="str">
        <f>IF(F464="","",Data!N464)</f>
        <v/>
      </c>
      <c r="D464" s="3" t="str">
        <f>IF(AND(Data!$B464='Individual Type'!$D$2, Data!$K464='All Types'!$D$2,Data!$L464='All Types'!$D$3),Data!$C464,"")</f>
        <v/>
      </c>
      <c r="E464" s="3" t="str">
        <f>IF($F464="","",Data!P464)</f>
        <v/>
      </c>
      <c r="F464" s="3" t="str">
        <f>IF(AND(Data!$B464='Individual Type'!$D$2, Data!$K464='All Types'!$D$2,Data!$L464='All Types'!$D$3),Data!M464,"")</f>
        <v/>
      </c>
    </row>
    <row r="465">
      <c r="A465" s="102" t="str">
        <f t="shared" si="1"/>
        <v/>
      </c>
      <c r="B465" s="3" t="str">
        <f>IF(AND(Data!$B465='Individual Type'!$D$2, Data!$K465='All Types'!$D$2,Data!$L465='All Types'!$D$3),Data!$B465,"")</f>
        <v/>
      </c>
      <c r="C465" s="3" t="str">
        <f>IF(F465="","",Data!N465)</f>
        <v/>
      </c>
      <c r="D465" s="3" t="str">
        <f>IF(AND(Data!$B465='Individual Type'!$D$2, Data!$K465='All Types'!$D$2,Data!$L465='All Types'!$D$3),Data!$C465,"")</f>
        <v/>
      </c>
      <c r="E465" s="3" t="str">
        <f>IF($F465="","",Data!P465)</f>
        <v/>
      </c>
      <c r="F465" s="3" t="str">
        <f>IF(AND(Data!$B465='Individual Type'!$D$2, Data!$K465='All Types'!$D$2,Data!$L465='All Types'!$D$3),Data!M465,"")</f>
        <v/>
      </c>
    </row>
    <row r="466">
      <c r="A466" s="102" t="str">
        <f t="shared" si="1"/>
        <v/>
      </c>
      <c r="B466" s="3" t="str">
        <f>IF(AND(Data!$B466='Individual Type'!$D$2, Data!$K466='All Types'!$D$2,Data!$L466='All Types'!$D$3),Data!$B466,"")</f>
        <v/>
      </c>
      <c r="C466" s="3" t="str">
        <f>IF(F466="","",Data!N466)</f>
        <v/>
      </c>
      <c r="D466" s="3" t="str">
        <f>IF(AND(Data!$B466='Individual Type'!$D$2, Data!$K466='All Types'!$D$2,Data!$L466='All Types'!$D$3),Data!$C466,"")</f>
        <v/>
      </c>
      <c r="E466" s="3" t="str">
        <f>IF($F466="","",Data!P466)</f>
        <v/>
      </c>
      <c r="F466" s="3" t="str">
        <f>IF(AND(Data!$B466='Individual Type'!$D$2, Data!$K466='All Types'!$D$2,Data!$L466='All Types'!$D$3),Data!M466,"")</f>
        <v/>
      </c>
    </row>
    <row r="467">
      <c r="A467" s="102" t="str">
        <f t="shared" si="1"/>
        <v/>
      </c>
      <c r="B467" s="3" t="str">
        <f>IF(AND(Data!$B467='Individual Type'!$D$2, Data!$K467='All Types'!$D$2,Data!$L467='All Types'!$D$3),Data!$B467,"")</f>
        <v/>
      </c>
      <c r="C467" s="3" t="str">
        <f>IF(F467="","",Data!N467)</f>
        <v/>
      </c>
      <c r="D467" s="3" t="str">
        <f>IF(AND(Data!$B467='Individual Type'!$D$2, Data!$K467='All Types'!$D$2,Data!$L467='All Types'!$D$3),Data!$C467,"")</f>
        <v/>
      </c>
      <c r="E467" s="3" t="str">
        <f>IF($F467="","",Data!P467)</f>
        <v/>
      </c>
      <c r="F467" s="3" t="str">
        <f>IF(AND(Data!$B467='Individual Type'!$D$2, Data!$K467='All Types'!$D$2,Data!$L467='All Types'!$D$3),Data!M467,"")</f>
        <v/>
      </c>
    </row>
    <row r="468">
      <c r="A468" s="102" t="str">
        <f t="shared" si="1"/>
        <v/>
      </c>
      <c r="B468" s="3" t="str">
        <f>IF(AND(Data!$B468='Individual Type'!$D$2, Data!$K468='All Types'!$D$2,Data!$L468='All Types'!$D$3),Data!$B468,"")</f>
        <v/>
      </c>
      <c r="C468" s="3" t="str">
        <f>IF(F468="","",Data!N468)</f>
        <v/>
      </c>
      <c r="D468" s="3" t="str">
        <f>IF(AND(Data!$B468='Individual Type'!$D$2, Data!$K468='All Types'!$D$2,Data!$L468='All Types'!$D$3),Data!$C468,"")</f>
        <v/>
      </c>
      <c r="E468" s="3" t="str">
        <f>IF($F468="","",Data!P468)</f>
        <v/>
      </c>
      <c r="F468" s="3" t="str">
        <f>IF(AND(Data!$B468='Individual Type'!$D$2, Data!$K468='All Types'!$D$2,Data!$L468='All Types'!$D$3),Data!M468,"")</f>
        <v/>
      </c>
    </row>
    <row r="469">
      <c r="A469" s="102" t="str">
        <f t="shared" si="1"/>
        <v/>
      </c>
      <c r="B469" s="3" t="str">
        <f>IF(AND(Data!$B469='Individual Type'!$D$2, Data!$K469='All Types'!$D$2,Data!$L469='All Types'!$D$3),Data!$B469,"")</f>
        <v/>
      </c>
      <c r="C469" s="3" t="str">
        <f>IF(F469="","",Data!N469)</f>
        <v/>
      </c>
      <c r="D469" s="3" t="str">
        <f>IF(AND(Data!$B469='Individual Type'!$D$2, Data!$K469='All Types'!$D$2,Data!$L469='All Types'!$D$3),Data!$C469,"")</f>
        <v/>
      </c>
      <c r="E469" s="3" t="str">
        <f>IF($F469="","",Data!P469)</f>
        <v/>
      </c>
      <c r="F469" s="3" t="str">
        <f>IF(AND(Data!$B469='Individual Type'!$D$2, Data!$K469='All Types'!$D$2,Data!$L469='All Types'!$D$3),Data!M469,"")</f>
        <v/>
      </c>
    </row>
    <row r="470">
      <c r="A470" s="102" t="str">
        <f t="shared" si="1"/>
        <v/>
      </c>
      <c r="B470" s="3" t="str">
        <f>IF(AND(Data!$B470='Individual Type'!$D$2, Data!$K470='All Types'!$D$2,Data!$L470='All Types'!$D$3),Data!$B470,"")</f>
        <v/>
      </c>
      <c r="C470" s="3" t="str">
        <f>IF(F470="","",Data!N470)</f>
        <v/>
      </c>
      <c r="D470" s="3" t="str">
        <f>IF(AND(Data!$B470='Individual Type'!$D$2, Data!$K470='All Types'!$D$2,Data!$L470='All Types'!$D$3),Data!$C470,"")</f>
        <v/>
      </c>
      <c r="E470" s="3" t="str">
        <f>IF($F470="","",Data!P470)</f>
        <v/>
      </c>
      <c r="F470" s="3" t="str">
        <f>IF(AND(Data!$B470='Individual Type'!$D$2, Data!$K470='All Types'!$D$2,Data!$L470='All Types'!$D$3),Data!M470,"")</f>
        <v/>
      </c>
    </row>
    <row r="471">
      <c r="A471" s="102" t="str">
        <f t="shared" si="1"/>
        <v/>
      </c>
      <c r="B471" s="3" t="str">
        <f>IF(AND(Data!$B471='Individual Type'!$D$2, Data!$K471='All Types'!$D$2,Data!$L471='All Types'!$D$3),Data!$B471,"")</f>
        <v/>
      </c>
      <c r="C471" s="3" t="str">
        <f>IF(F471="","",Data!N471)</f>
        <v/>
      </c>
      <c r="D471" s="3" t="str">
        <f>IF(AND(Data!$B471='Individual Type'!$D$2, Data!$K471='All Types'!$D$2,Data!$L471='All Types'!$D$3),Data!$C471,"")</f>
        <v/>
      </c>
      <c r="E471" s="3" t="str">
        <f>IF($F471="","",Data!P471)</f>
        <v/>
      </c>
      <c r="F471" s="3" t="str">
        <f>IF(AND(Data!$B471='Individual Type'!$D$2, Data!$K471='All Types'!$D$2,Data!$L471='All Types'!$D$3),Data!M471,"")</f>
        <v/>
      </c>
    </row>
    <row r="472">
      <c r="A472" s="102" t="str">
        <f t="shared" si="1"/>
        <v/>
      </c>
      <c r="B472" s="3" t="str">
        <f>IF(AND(Data!$B472='Individual Type'!$D$2, Data!$K472='All Types'!$D$2,Data!$L472='All Types'!$D$3),Data!$B472,"")</f>
        <v/>
      </c>
      <c r="C472" s="3" t="str">
        <f>IF(F472="","",Data!N472)</f>
        <v/>
      </c>
      <c r="D472" s="3" t="str">
        <f>IF(AND(Data!$B472='Individual Type'!$D$2, Data!$K472='All Types'!$D$2,Data!$L472='All Types'!$D$3),Data!$C472,"")</f>
        <v/>
      </c>
      <c r="E472" s="3" t="str">
        <f>IF($F472="","",Data!P472)</f>
        <v/>
      </c>
      <c r="F472" s="3" t="str">
        <f>IF(AND(Data!$B472='Individual Type'!$D$2, Data!$K472='All Types'!$D$2,Data!$L472='All Types'!$D$3),Data!M472,"")</f>
        <v/>
      </c>
    </row>
    <row r="473">
      <c r="A473" s="102" t="str">
        <f t="shared" si="1"/>
        <v/>
      </c>
      <c r="B473" s="3" t="str">
        <f>IF(AND(Data!$B473='Individual Type'!$D$2, Data!$K473='All Types'!$D$2,Data!$L473='All Types'!$D$3),Data!$B473,"")</f>
        <v/>
      </c>
      <c r="C473" s="3" t="str">
        <f>IF(F473="","",Data!N473)</f>
        <v/>
      </c>
      <c r="D473" s="3" t="str">
        <f>IF(AND(Data!$B473='Individual Type'!$D$2, Data!$K473='All Types'!$D$2,Data!$L473='All Types'!$D$3),Data!$C473,"")</f>
        <v/>
      </c>
      <c r="E473" s="3" t="str">
        <f>IF($F473="","",Data!P473)</f>
        <v/>
      </c>
      <c r="F473" s="3" t="str">
        <f>IF(AND(Data!$B473='Individual Type'!$D$2, Data!$K473='All Types'!$D$2,Data!$L473='All Types'!$D$3),Data!M473,"")</f>
        <v/>
      </c>
    </row>
    <row r="474">
      <c r="A474" s="102" t="str">
        <f t="shared" si="1"/>
        <v/>
      </c>
      <c r="B474" s="3" t="str">
        <f>IF(AND(Data!$B474='Individual Type'!$D$2, Data!$K474='All Types'!$D$2,Data!$L474='All Types'!$D$3),Data!$B474,"")</f>
        <v/>
      </c>
      <c r="C474" s="3" t="str">
        <f>IF(F474="","",Data!N474)</f>
        <v/>
      </c>
      <c r="D474" s="3" t="str">
        <f>IF(AND(Data!$B474='Individual Type'!$D$2, Data!$K474='All Types'!$D$2,Data!$L474='All Types'!$D$3),Data!$C474,"")</f>
        <v/>
      </c>
      <c r="E474" s="3" t="str">
        <f>IF($F474="","",Data!P474)</f>
        <v/>
      </c>
      <c r="F474" s="3" t="str">
        <f>IF(AND(Data!$B474='Individual Type'!$D$2, Data!$K474='All Types'!$D$2,Data!$L474='All Types'!$D$3),Data!M474,"")</f>
        <v/>
      </c>
    </row>
    <row r="475">
      <c r="A475" s="102" t="str">
        <f t="shared" si="1"/>
        <v/>
      </c>
      <c r="B475" s="3" t="str">
        <f>IF(AND(Data!$B475='Individual Type'!$D$2, Data!$K475='All Types'!$D$2,Data!$L475='All Types'!$D$3),Data!$B475,"")</f>
        <v/>
      </c>
      <c r="C475" s="3" t="str">
        <f>IF(F475="","",Data!N475)</f>
        <v/>
      </c>
      <c r="D475" s="3" t="str">
        <f>IF(AND(Data!$B475='Individual Type'!$D$2, Data!$K475='All Types'!$D$2,Data!$L475='All Types'!$D$3),Data!$C475,"")</f>
        <v/>
      </c>
      <c r="E475" s="3" t="str">
        <f>IF($F475="","",Data!P475)</f>
        <v/>
      </c>
      <c r="F475" s="3" t="str">
        <f>IF(AND(Data!$B475='Individual Type'!$D$2, Data!$K475='All Types'!$D$2,Data!$L475='All Types'!$D$3),Data!M475,"")</f>
        <v/>
      </c>
    </row>
    <row r="476">
      <c r="A476" s="102" t="str">
        <f t="shared" si="1"/>
        <v/>
      </c>
      <c r="B476" s="3" t="str">
        <f>IF(AND(Data!$B476='Individual Type'!$D$2, Data!$K476='All Types'!$D$2,Data!$L476='All Types'!$D$3),Data!$B476,"")</f>
        <v/>
      </c>
      <c r="C476" s="3" t="str">
        <f>IF(F476="","",Data!N476)</f>
        <v/>
      </c>
      <c r="D476" s="3" t="str">
        <f>IF(AND(Data!$B476='Individual Type'!$D$2, Data!$K476='All Types'!$D$2,Data!$L476='All Types'!$D$3),Data!$C476,"")</f>
        <v/>
      </c>
      <c r="E476" s="3" t="str">
        <f>IF($F476="","",Data!P476)</f>
        <v/>
      </c>
      <c r="F476" s="3" t="str">
        <f>IF(AND(Data!$B476='Individual Type'!$D$2, Data!$K476='All Types'!$D$2,Data!$L476='All Types'!$D$3),Data!M476,"")</f>
        <v/>
      </c>
    </row>
    <row r="477">
      <c r="A477" s="102" t="str">
        <f t="shared" si="1"/>
        <v/>
      </c>
      <c r="B477" s="3" t="str">
        <f>IF(AND(Data!$B477='Individual Type'!$D$2, Data!$K477='All Types'!$D$2,Data!$L477='All Types'!$D$3),Data!$B477,"")</f>
        <v/>
      </c>
      <c r="C477" s="3" t="str">
        <f>IF(F477="","",Data!N477)</f>
        <v/>
      </c>
      <c r="D477" s="3" t="str">
        <f>IF(AND(Data!$B477='Individual Type'!$D$2, Data!$K477='All Types'!$D$2,Data!$L477='All Types'!$D$3),Data!$C477,"")</f>
        <v/>
      </c>
      <c r="E477" s="3" t="str">
        <f>IF($F477="","",Data!P477)</f>
        <v/>
      </c>
      <c r="F477" s="3" t="str">
        <f>IF(AND(Data!$B477='Individual Type'!$D$2, Data!$K477='All Types'!$D$2,Data!$L477='All Types'!$D$3),Data!M477,"")</f>
        <v/>
      </c>
    </row>
    <row r="478">
      <c r="A478" s="102" t="str">
        <f t="shared" si="1"/>
        <v/>
      </c>
      <c r="B478" s="3" t="str">
        <f>IF(AND(Data!$B478='Individual Type'!$D$2, Data!$K478='All Types'!$D$2,Data!$L478='All Types'!$D$3),Data!$B478,"")</f>
        <v/>
      </c>
      <c r="C478" s="3" t="str">
        <f>IF(F478="","",Data!N478)</f>
        <v/>
      </c>
      <c r="D478" s="3" t="str">
        <f>IF(AND(Data!$B478='Individual Type'!$D$2, Data!$K478='All Types'!$D$2,Data!$L478='All Types'!$D$3),Data!$C478,"")</f>
        <v/>
      </c>
      <c r="E478" s="3" t="str">
        <f>IF($F478="","",Data!P478)</f>
        <v/>
      </c>
      <c r="F478" s="3" t="str">
        <f>IF(AND(Data!$B478='Individual Type'!$D$2, Data!$K478='All Types'!$D$2,Data!$L478='All Types'!$D$3),Data!M478,"")</f>
        <v/>
      </c>
    </row>
    <row r="479">
      <c r="A479" s="102" t="str">
        <f t="shared" si="1"/>
        <v/>
      </c>
      <c r="B479" s="3" t="str">
        <f>IF(AND(Data!$B479='Individual Type'!$D$2, Data!$K479='All Types'!$D$2,Data!$L479='All Types'!$D$3),Data!$B479,"")</f>
        <v/>
      </c>
      <c r="C479" s="3" t="str">
        <f>IF(F479="","",Data!N479)</f>
        <v/>
      </c>
      <c r="D479" s="3" t="str">
        <f>IF(AND(Data!$B479='Individual Type'!$D$2, Data!$K479='All Types'!$D$2,Data!$L479='All Types'!$D$3),Data!$C479,"")</f>
        <v/>
      </c>
      <c r="E479" s="3" t="str">
        <f>IF($F479="","",Data!P479)</f>
        <v/>
      </c>
      <c r="F479" s="3" t="str">
        <f>IF(AND(Data!$B479='Individual Type'!$D$2, Data!$K479='All Types'!$D$2,Data!$L479='All Types'!$D$3),Data!M479,"")</f>
        <v/>
      </c>
    </row>
    <row r="480">
      <c r="A480" s="102" t="str">
        <f t="shared" si="1"/>
        <v/>
      </c>
      <c r="B480" s="3" t="str">
        <f>IF(AND(Data!$B480='Individual Type'!$D$2, Data!$K480='All Types'!$D$2,Data!$L480='All Types'!$D$3),Data!$B480,"")</f>
        <v/>
      </c>
      <c r="C480" s="3" t="str">
        <f>IF(F480="","",Data!N480)</f>
        <v/>
      </c>
      <c r="D480" s="3" t="str">
        <f>IF(AND(Data!$B480='Individual Type'!$D$2, Data!$K480='All Types'!$D$2,Data!$L480='All Types'!$D$3),Data!$C480,"")</f>
        <v/>
      </c>
      <c r="E480" s="3" t="str">
        <f>IF($F480="","",Data!P480)</f>
        <v/>
      </c>
      <c r="F480" s="3" t="str">
        <f>IF(AND(Data!$B480='Individual Type'!$D$2, Data!$K480='All Types'!$D$2,Data!$L480='All Types'!$D$3),Data!M480,"")</f>
        <v/>
      </c>
    </row>
    <row r="481">
      <c r="A481" s="102" t="str">
        <f t="shared" si="1"/>
        <v/>
      </c>
      <c r="B481" s="3" t="str">
        <f>IF(AND(Data!$B481='Individual Type'!$D$2, Data!$K481='All Types'!$D$2,Data!$L481='All Types'!$D$3),Data!$B481,"")</f>
        <v/>
      </c>
      <c r="C481" s="3" t="str">
        <f>IF(F481="","",Data!N481)</f>
        <v/>
      </c>
      <c r="D481" s="3" t="str">
        <f>IF(AND(Data!$B481='Individual Type'!$D$2, Data!$K481='All Types'!$D$2,Data!$L481='All Types'!$D$3),Data!$C481,"")</f>
        <v/>
      </c>
      <c r="E481" s="3" t="str">
        <f>IF($F481="","",Data!P481)</f>
        <v/>
      </c>
      <c r="F481" s="3" t="str">
        <f>IF(AND(Data!$B481='Individual Type'!$D$2, Data!$K481='All Types'!$D$2,Data!$L481='All Types'!$D$3),Data!M481,"")</f>
        <v/>
      </c>
    </row>
    <row r="482">
      <c r="A482" s="102" t="str">
        <f t="shared" si="1"/>
        <v/>
      </c>
      <c r="B482" s="3" t="str">
        <f>IF(AND(Data!$B482='Individual Type'!$D$2, Data!$K482='All Types'!$D$2,Data!$L482='All Types'!$D$3),Data!$B482,"")</f>
        <v/>
      </c>
      <c r="C482" s="3" t="str">
        <f>IF(F482="","",Data!N482)</f>
        <v/>
      </c>
      <c r="D482" s="3" t="str">
        <f>IF(AND(Data!$B482='Individual Type'!$D$2, Data!$K482='All Types'!$D$2,Data!$L482='All Types'!$D$3),Data!$C482,"")</f>
        <v/>
      </c>
      <c r="E482" s="3" t="str">
        <f>IF($F482="","",Data!P482)</f>
        <v/>
      </c>
      <c r="F482" s="3" t="str">
        <f>IF(AND(Data!$B482='Individual Type'!$D$2, Data!$K482='All Types'!$D$2,Data!$L482='All Types'!$D$3),Data!M482,"")</f>
        <v/>
      </c>
    </row>
    <row r="483">
      <c r="A483" s="102" t="str">
        <f t="shared" si="1"/>
        <v/>
      </c>
      <c r="B483" s="3" t="str">
        <f>IF(AND(Data!$B483='Individual Type'!$D$2, Data!$K483='All Types'!$D$2,Data!$L483='All Types'!$D$3),Data!$B483,"")</f>
        <v/>
      </c>
      <c r="C483" s="3" t="str">
        <f>IF(F483="","",Data!N483)</f>
        <v/>
      </c>
      <c r="D483" s="3" t="str">
        <f>IF(AND(Data!$B483='Individual Type'!$D$2, Data!$K483='All Types'!$D$2,Data!$L483='All Types'!$D$3),Data!$C483,"")</f>
        <v/>
      </c>
      <c r="E483" s="3" t="str">
        <f>IF($F483="","",Data!P483)</f>
        <v/>
      </c>
      <c r="F483" s="3" t="str">
        <f>IF(AND(Data!$B483='Individual Type'!$D$2, Data!$K483='All Types'!$D$2,Data!$L483='All Types'!$D$3),Data!M483,"")</f>
        <v/>
      </c>
    </row>
    <row r="484">
      <c r="A484" s="102" t="str">
        <f t="shared" si="1"/>
        <v/>
      </c>
      <c r="B484" s="3" t="str">
        <f>IF(AND(Data!$B484='Individual Type'!$D$2, Data!$K484='All Types'!$D$2,Data!$L484='All Types'!$D$3),Data!$B484,"")</f>
        <v/>
      </c>
      <c r="C484" s="3" t="str">
        <f>IF(F484="","",Data!N484)</f>
        <v/>
      </c>
      <c r="D484" s="3" t="str">
        <f>IF(AND(Data!$B484='Individual Type'!$D$2, Data!$K484='All Types'!$D$2,Data!$L484='All Types'!$D$3),Data!$C484,"")</f>
        <v/>
      </c>
      <c r="E484" s="3" t="str">
        <f>IF($F484="","",Data!P484)</f>
        <v/>
      </c>
      <c r="F484" s="3" t="str">
        <f>IF(AND(Data!$B484='Individual Type'!$D$2, Data!$K484='All Types'!$D$2,Data!$L484='All Types'!$D$3),Data!M484,"")</f>
        <v/>
      </c>
    </row>
    <row r="485">
      <c r="A485" s="102" t="str">
        <f t="shared" si="1"/>
        <v/>
      </c>
      <c r="B485" s="3" t="str">
        <f>IF(AND(Data!$B485='Individual Type'!$D$2, Data!$K485='All Types'!$D$2,Data!$L485='All Types'!$D$3),Data!$B485,"")</f>
        <v/>
      </c>
      <c r="C485" s="3" t="str">
        <f>IF(F485="","",Data!N485)</f>
        <v/>
      </c>
      <c r="D485" s="3" t="str">
        <f>IF(AND(Data!$B485='Individual Type'!$D$2, Data!$K485='All Types'!$D$2,Data!$L485='All Types'!$D$3),Data!$C485,"")</f>
        <v/>
      </c>
      <c r="E485" s="3" t="str">
        <f>IF($F485="","",Data!P485)</f>
        <v/>
      </c>
      <c r="F485" s="3" t="str">
        <f>IF(AND(Data!$B485='Individual Type'!$D$2, Data!$K485='All Types'!$D$2,Data!$L485='All Types'!$D$3),Data!M485,"")</f>
        <v/>
      </c>
    </row>
    <row r="486">
      <c r="A486" s="102" t="str">
        <f t="shared" si="1"/>
        <v/>
      </c>
      <c r="B486" s="3" t="str">
        <f>IF(AND(Data!$B486='Individual Type'!$D$2, Data!$K486='All Types'!$D$2,Data!$L486='All Types'!$D$3),Data!$B486,"")</f>
        <v/>
      </c>
      <c r="C486" s="3" t="str">
        <f>IF(F486="","",Data!N486)</f>
        <v/>
      </c>
      <c r="D486" s="3" t="str">
        <f>IF(AND(Data!$B486='Individual Type'!$D$2, Data!$K486='All Types'!$D$2,Data!$L486='All Types'!$D$3),Data!$C486,"")</f>
        <v/>
      </c>
      <c r="E486" s="3" t="str">
        <f>IF($F486="","",Data!P486)</f>
        <v/>
      </c>
      <c r="F486" s="3" t="str">
        <f>IF(AND(Data!$B486='Individual Type'!$D$2, Data!$K486='All Types'!$D$2,Data!$L486='All Types'!$D$3),Data!M486,"")</f>
        <v/>
      </c>
    </row>
    <row r="487">
      <c r="A487" s="102" t="str">
        <f t="shared" si="1"/>
        <v/>
      </c>
      <c r="B487" s="3" t="str">
        <f>IF(AND(Data!$B487='Individual Type'!$D$2, Data!$K487='All Types'!$D$2,Data!$L487='All Types'!$D$3),Data!$B487,"")</f>
        <v/>
      </c>
      <c r="C487" s="3" t="str">
        <f>IF(F487="","",Data!N487)</f>
        <v/>
      </c>
      <c r="D487" s="3" t="str">
        <f>IF(AND(Data!$B487='Individual Type'!$D$2, Data!$K487='All Types'!$D$2,Data!$L487='All Types'!$D$3),Data!$C487,"")</f>
        <v/>
      </c>
      <c r="E487" s="3" t="str">
        <f>IF($F487="","",Data!P487)</f>
        <v/>
      </c>
      <c r="F487" s="3" t="str">
        <f>IF(AND(Data!$B487='Individual Type'!$D$2, Data!$K487='All Types'!$D$2,Data!$L487='All Types'!$D$3),Data!M487,"")</f>
        <v/>
      </c>
    </row>
    <row r="488">
      <c r="A488" s="102" t="str">
        <f t="shared" si="1"/>
        <v/>
      </c>
      <c r="B488" s="3" t="str">
        <f>IF(AND(Data!$B488='Individual Type'!$D$2, Data!$K488='All Types'!$D$2,Data!$L488='All Types'!$D$3),Data!$B488,"")</f>
        <v/>
      </c>
      <c r="C488" s="3" t="str">
        <f>IF(F488="","",Data!N488)</f>
        <v/>
      </c>
      <c r="D488" s="3" t="str">
        <f>IF(AND(Data!$B488='Individual Type'!$D$2, Data!$K488='All Types'!$D$2,Data!$L488='All Types'!$D$3),Data!$C488,"")</f>
        <v/>
      </c>
      <c r="E488" s="3" t="str">
        <f>IF($F488="","",Data!P488)</f>
        <v/>
      </c>
      <c r="F488" s="3" t="str">
        <f>IF(AND(Data!$B488='Individual Type'!$D$2, Data!$K488='All Types'!$D$2,Data!$L488='All Types'!$D$3),Data!M488,"")</f>
        <v/>
      </c>
    </row>
    <row r="489">
      <c r="A489" s="102" t="str">
        <f t="shared" si="1"/>
        <v/>
      </c>
      <c r="B489" s="3" t="str">
        <f>IF(AND(Data!$B489='Individual Type'!$D$2, Data!$K489='All Types'!$D$2,Data!$L489='All Types'!$D$3),Data!$B489,"")</f>
        <v/>
      </c>
      <c r="C489" s="3" t="str">
        <f>IF(F489="","",Data!N489)</f>
        <v/>
      </c>
      <c r="D489" s="3" t="str">
        <f>IF(AND(Data!$B489='Individual Type'!$D$2, Data!$K489='All Types'!$D$2,Data!$L489='All Types'!$D$3),Data!$C489,"")</f>
        <v/>
      </c>
      <c r="E489" s="3" t="str">
        <f>IF($F489="","",Data!P489)</f>
        <v/>
      </c>
      <c r="F489" s="3" t="str">
        <f>IF(AND(Data!$B489='Individual Type'!$D$2, Data!$K489='All Types'!$D$2,Data!$L489='All Types'!$D$3),Data!M489,"")</f>
        <v/>
      </c>
    </row>
    <row r="490">
      <c r="A490" s="102" t="str">
        <f t="shared" si="1"/>
        <v/>
      </c>
      <c r="B490" s="3" t="str">
        <f>IF(AND(Data!$B490='Individual Type'!$D$2, Data!$K490='All Types'!$D$2,Data!$L490='All Types'!$D$3),Data!$B490,"")</f>
        <v/>
      </c>
      <c r="C490" s="3" t="str">
        <f>IF(F490="","",Data!N490)</f>
        <v/>
      </c>
      <c r="D490" s="3" t="str">
        <f>IF(AND(Data!$B490='Individual Type'!$D$2, Data!$K490='All Types'!$D$2,Data!$L490='All Types'!$D$3),Data!$C490,"")</f>
        <v/>
      </c>
      <c r="E490" s="3" t="str">
        <f>IF($F490="","",Data!P490)</f>
        <v/>
      </c>
      <c r="F490" s="3" t="str">
        <f>IF(AND(Data!$B490='Individual Type'!$D$2, Data!$K490='All Types'!$D$2,Data!$L490='All Types'!$D$3),Data!M490,"")</f>
        <v/>
      </c>
    </row>
    <row r="491">
      <c r="A491" s="102" t="str">
        <f t="shared" si="1"/>
        <v/>
      </c>
      <c r="B491" s="3" t="str">
        <f>IF(AND(Data!$B491='Individual Type'!$D$2, Data!$K491='All Types'!$D$2,Data!$L491='All Types'!$D$3),Data!$B491,"")</f>
        <v/>
      </c>
      <c r="C491" s="3" t="str">
        <f>IF(F491="","",Data!N491)</f>
        <v/>
      </c>
      <c r="D491" s="3" t="str">
        <f>IF(AND(Data!$B491='Individual Type'!$D$2, Data!$K491='All Types'!$D$2,Data!$L491='All Types'!$D$3),Data!$C491,"")</f>
        <v/>
      </c>
      <c r="E491" s="3" t="str">
        <f>IF($F491="","",Data!P491)</f>
        <v/>
      </c>
      <c r="F491" s="3" t="str">
        <f>IF(AND(Data!$B491='Individual Type'!$D$2, Data!$K491='All Types'!$D$2,Data!$L491='All Types'!$D$3),Data!M491,"")</f>
        <v/>
      </c>
    </row>
    <row r="492">
      <c r="A492" s="102" t="str">
        <f t="shared" si="1"/>
        <v/>
      </c>
      <c r="B492" s="3" t="str">
        <f>IF(AND(Data!$B492='Individual Type'!$D$2, Data!$K492='All Types'!$D$2,Data!$L492='All Types'!$D$3),Data!$B492,"")</f>
        <v/>
      </c>
      <c r="C492" s="3" t="str">
        <f>IF(F492="","",Data!N492)</f>
        <v/>
      </c>
      <c r="D492" s="3" t="str">
        <f>IF(AND(Data!$B492='Individual Type'!$D$2, Data!$K492='All Types'!$D$2,Data!$L492='All Types'!$D$3),Data!$C492,"")</f>
        <v/>
      </c>
      <c r="E492" s="3" t="str">
        <f>IF($F492="","",Data!P492)</f>
        <v/>
      </c>
      <c r="F492" s="3" t="str">
        <f>IF(AND(Data!$B492='Individual Type'!$D$2, Data!$K492='All Types'!$D$2,Data!$L492='All Types'!$D$3),Data!M492,"")</f>
        <v/>
      </c>
    </row>
    <row r="493">
      <c r="A493" s="102" t="str">
        <f t="shared" si="1"/>
        <v/>
      </c>
      <c r="B493" s="3" t="str">
        <f>IF(AND(Data!$B493='Individual Type'!$D$2, Data!$K493='All Types'!$D$2,Data!$L493='All Types'!$D$3),Data!$B493,"")</f>
        <v/>
      </c>
      <c r="C493" s="3" t="str">
        <f>IF(F493="","",Data!N493)</f>
        <v/>
      </c>
      <c r="D493" s="3" t="str">
        <f>IF(AND(Data!$B493='Individual Type'!$D$2, Data!$K493='All Types'!$D$2,Data!$L493='All Types'!$D$3),Data!$C493,"")</f>
        <v/>
      </c>
      <c r="E493" s="3" t="str">
        <f>IF($F493="","",Data!P493)</f>
        <v/>
      </c>
      <c r="F493" s="3" t="str">
        <f>IF(AND(Data!$B493='Individual Type'!$D$2, Data!$K493='All Types'!$D$2,Data!$L493='All Types'!$D$3),Data!M493,"")</f>
        <v/>
      </c>
    </row>
    <row r="494">
      <c r="A494" s="102" t="str">
        <f t="shared" si="1"/>
        <v/>
      </c>
      <c r="B494" s="3" t="str">
        <f>IF(AND(Data!$B494='Individual Type'!$D$2, Data!$K494='All Types'!$D$2,Data!$L494='All Types'!$D$3),Data!$B494,"")</f>
        <v/>
      </c>
      <c r="C494" s="3" t="str">
        <f>IF(F494="","",Data!N494)</f>
        <v/>
      </c>
      <c r="D494" s="3" t="str">
        <f>IF(AND(Data!$B494='Individual Type'!$D$2, Data!$K494='All Types'!$D$2,Data!$L494='All Types'!$D$3),Data!$C494,"")</f>
        <v/>
      </c>
      <c r="E494" s="3" t="str">
        <f>IF($F494="","",Data!P494)</f>
        <v/>
      </c>
      <c r="F494" s="3" t="str">
        <f>IF(AND(Data!$B494='Individual Type'!$D$2, Data!$K494='All Types'!$D$2,Data!$L494='All Types'!$D$3),Data!M494,"")</f>
        <v/>
      </c>
    </row>
    <row r="495">
      <c r="A495" s="102" t="str">
        <f t="shared" si="1"/>
        <v/>
      </c>
      <c r="B495" s="3" t="str">
        <f>IF(AND(Data!$B495='Individual Type'!$D$2, Data!$K495='All Types'!$D$2,Data!$L495='All Types'!$D$3),Data!$B495,"")</f>
        <v/>
      </c>
      <c r="C495" s="3" t="str">
        <f>IF(F495="","",Data!N495)</f>
        <v/>
      </c>
      <c r="D495" s="3" t="str">
        <f>IF(AND(Data!$B495='Individual Type'!$D$2, Data!$K495='All Types'!$D$2,Data!$L495='All Types'!$D$3),Data!$C495,"")</f>
        <v/>
      </c>
      <c r="E495" s="3" t="str">
        <f>IF($F495="","",Data!P495)</f>
        <v/>
      </c>
      <c r="F495" s="3" t="str">
        <f>IF(AND(Data!$B495='Individual Type'!$D$2, Data!$K495='All Types'!$D$2,Data!$L495='All Types'!$D$3),Data!M495,"")</f>
        <v/>
      </c>
    </row>
    <row r="496">
      <c r="A496" s="102" t="str">
        <f t="shared" si="1"/>
        <v/>
      </c>
      <c r="B496" s="3" t="str">
        <f>IF(AND(Data!$B496='Individual Type'!$D$2, Data!$K496='All Types'!$D$2,Data!$L496='All Types'!$D$3),Data!$B496,"")</f>
        <v/>
      </c>
      <c r="C496" s="3" t="str">
        <f>IF(F496="","",Data!N496)</f>
        <v/>
      </c>
      <c r="D496" s="3" t="str">
        <f>IF(AND(Data!$B496='Individual Type'!$D$2, Data!$K496='All Types'!$D$2,Data!$L496='All Types'!$D$3),Data!$C496,"")</f>
        <v/>
      </c>
      <c r="E496" s="3" t="str">
        <f>IF($F496="","",Data!P496)</f>
        <v/>
      </c>
      <c r="F496" s="3" t="str">
        <f>IF(AND(Data!$B496='Individual Type'!$D$2, Data!$K496='All Types'!$D$2,Data!$L496='All Types'!$D$3),Data!M496,"")</f>
        <v/>
      </c>
    </row>
    <row r="497">
      <c r="A497" s="102" t="str">
        <f t="shared" si="1"/>
        <v/>
      </c>
      <c r="B497" s="3" t="str">
        <f>IF(AND(Data!$B497='Individual Type'!$D$2, Data!$K497='All Types'!$D$2,Data!$L497='All Types'!$D$3),Data!$B497,"")</f>
        <v/>
      </c>
      <c r="C497" s="3" t="str">
        <f>IF(F497="","",Data!N497)</f>
        <v/>
      </c>
      <c r="D497" s="3" t="str">
        <f>IF(AND(Data!$B497='Individual Type'!$D$2, Data!$K497='All Types'!$D$2,Data!$L497='All Types'!$D$3),Data!$C497,"")</f>
        <v/>
      </c>
      <c r="E497" s="3" t="str">
        <f>IF($F497="","",Data!P497)</f>
        <v/>
      </c>
      <c r="F497" s="3" t="str">
        <f>IF(AND(Data!$B497='Individual Type'!$D$2, Data!$K497='All Types'!$D$2,Data!$L497='All Types'!$D$3),Data!M497,"")</f>
        <v/>
      </c>
    </row>
    <row r="498">
      <c r="A498" s="102" t="str">
        <f t="shared" si="1"/>
        <v/>
      </c>
      <c r="B498" s="3" t="str">
        <f>IF(AND(Data!$B498='Individual Type'!$D$2, Data!$K498='All Types'!$D$2,Data!$L498='All Types'!$D$3),Data!$B498,"")</f>
        <v/>
      </c>
      <c r="C498" s="3" t="str">
        <f>IF(F498="","",Data!N498)</f>
        <v/>
      </c>
      <c r="D498" s="3" t="str">
        <f>IF(AND(Data!$B498='Individual Type'!$D$2, Data!$K498='All Types'!$D$2,Data!$L498='All Types'!$D$3),Data!$C498,"")</f>
        <v/>
      </c>
      <c r="E498" s="3" t="str">
        <f>IF($F498="","",Data!P498)</f>
        <v/>
      </c>
      <c r="F498" s="3" t="str">
        <f>IF(AND(Data!$B498='Individual Type'!$D$2, Data!$K498='All Types'!$D$2,Data!$L498='All Types'!$D$3),Data!M498,"")</f>
        <v/>
      </c>
    </row>
    <row r="499">
      <c r="A499" s="102" t="str">
        <f t="shared" si="1"/>
        <v/>
      </c>
      <c r="B499" s="3" t="str">
        <f>IF(AND(Data!$B499='Individual Type'!$D$2, Data!$K499='All Types'!$D$2,Data!$L499='All Types'!$D$3),Data!$B499,"")</f>
        <v/>
      </c>
      <c r="C499" s="3" t="str">
        <f>IF(F499="","",Data!N499)</f>
        <v/>
      </c>
      <c r="D499" s="3" t="str">
        <f>IF(AND(Data!$B499='Individual Type'!$D$2, Data!$K499='All Types'!$D$2,Data!$L499='All Types'!$D$3),Data!$C499,"")</f>
        <v/>
      </c>
      <c r="E499" s="3" t="str">
        <f>IF($F499="","",Data!P499)</f>
        <v/>
      </c>
      <c r="F499" s="3" t="str">
        <f>IF(AND(Data!$B499='Individual Type'!$D$2, Data!$K499='All Types'!$D$2,Data!$L499='All Types'!$D$3),Data!M499,"")</f>
        <v/>
      </c>
    </row>
    <row r="500">
      <c r="A500" s="102" t="str">
        <f t="shared" si="1"/>
        <v/>
      </c>
      <c r="B500" s="3" t="str">
        <f>IF(AND(Data!$B500='Individual Type'!$D$2, Data!$K500='All Types'!$D$2,Data!$L500='All Types'!$D$3),Data!$B500,"")</f>
        <v/>
      </c>
      <c r="C500" s="3" t="str">
        <f>IF(F500="","",Data!N500)</f>
        <v/>
      </c>
      <c r="D500" s="3" t="str">
        <f>IF(AND(Data!$B500='Individual Type'!$D$2, Data!$K500='All Types'!$D$2,Data!$L500='All Types'!$D$3),Data!$C500,"")</f>
        <v/>
      </c>
      <c r="E500" s="3" t="str">
        <f>IF($F500="","",Data!P500)</f>
        <v/>
      </c>
      <c r="F500" s="3" t="str">
        <f>IF(AND(Data!$B500='Individual Type'!$D$2, Data!$K500='All Types'!$D$2,Data!$L500='All Types'!$D$3),Data!M500,"")</f>
        <v/>
      </c>
    </row>
    <row r="501">
      <c r="A501" s="102" t="str">
        <f t="shared" si="1"/>
        <v/>
      </c>
      <c r="B501" s="3" t="str">
        <f>IF(AND(Data!$B501='Individual Type'!$D$2, Data!$K501='All Types'!$D$2,Data!$L501='All Types'!$D$3),Data!$B501,"")</f>
        <v/>
      </c>
      <c r="C501" s="3" t="str">
        <f>IF(F501="","",Data!N501)</f>
        <v/>
      </c>
      <c r="D501" s="3" t="str">
        <f>IF(AND(Data!$B501='Individual Type'!$D$2, Data!$K501='All Types'!$D$2,Data!$L501='All Types'!$D$3),Data!$C501,"")</f>
        <v/>
      </c>
      <c r="E501" s="3" t="str">
        <f>IF($F501="","",Data!P501)</f>
        <v/>
      </c>
      <c r="F501" s="3" t="str">
        <f>IF(AND(Data!$B501='Individual Type'!$D$2, Data!$K501='All Types'!$D$2,Data!$L501='All Types'!$D$3),Data!M501,"")</f>
        <v/>
      </c>
    </row>
    <row r="502">
      <c r="A502" s="102" t="str">
        <f t="shared" si="1"/>
        <v/>
      </c>
      <c r="B502" s="3" t="str">
        <f>IF(AND(Data!$B502='Individual Type'!$D$2, Data!$K502='All Types'!$D$2,Data!$L502='All Types'!$D$3),Data!$B502,"")</f>
        <v/>
      </c>
      <c r="C502" s="3" t="str">
        <f>IF(F502="","",Data!N502)</f>
        <v/>
      </c>
      <c r="D502" s="3" t="str">
        <f>IF(AND(Data!$B502='Individual Type'!$D$2, Data!$K502='All Types'!$D$2,Data!$L502='All Types'!$D$3),Data!$C502,"")</f>
        <v/>
      </c>
      <c r="E502" s="3" t="str">
        <f>IF($F502="","",Data!P502)</f>
        <v/>
      </c>
      <c r="F502" s="3" t="str">
        <f>IF(AND(Data!$B502='Individual Type'!$D$2, Data!$K502='All Types'!$D$2,Data!$L502='All Types'!$D$3),Data!M502,"")</f>
        <v/>
      </c>
    </row>
    <row r="503">
      <c r="A503" s="102" t="str">
        <f t="shared" si="1"/>
        <v/>
      </c>
      <c r="B503" s="3" t="str">
        <f>IF(AND(Data!$B503='Individual Type'!$D$2, Data!$K503='All Types'!$D$2,Data!$L503='All Types'!$D$3),Data!$B503,"")</f>
        <v/>
      </c>
      <c r="C503" s="3" t="str">
        <f>IF(F503="","",Data!N503)</f>
        <v/>
      </c>
      <c r="D503" s="3" t="str">
        <f>IF(AND(Data!$B503='Individual Type'!$D$2, Data!$K503='All Types'!$D$2,Data!$L503='All Types'!$D$3),Data!$C503,"")</f>
        <v/>
      </c>
      <c r="E503" s="3" t="str">
        <f>IF($F503="","",Data!P503)</f>
        <v/>
      </c>
      <c r="F503" s="3" t="str">
        <f>IF(AND(Data!$B503='Individual Type'!$D$2, Data!$K503='All Types'!$D$2,Data!$L503='All Types'!$D$3),Data!M503,"")</f>
        <v/>
      </c>
    </row>
    <row r="504">
      <c r="A504" s="102" t="str">
        <f t="shared" si="1"/>
        <v/>
      </c>
      <c r="B504" s="3" t="str">
        <f>IF(AND(Data!$B504='Individual Type'!$D$2, Data!$K504='All Types'!$D$2,Data!$L504='All Types'!$D$3),Data!$B504,"")</f>
        <v/>
      </c>
      <c r="C504" s="3" t="str">
        <f>IF(F504="","",Data!N504)</f>
        <v/>
      </c>
      <c r="D504" s="3" t="str">
        <f>IF(AND(Data!$B504='Individual Type'!$D$2, Data!$K504='All Types'!$D$2,Data!$L504='All Types'!$D$3),Data!$C504,"")</f>
        <v/>
      </c>
      <c r="E504" s="3" t="str">
        <f>IF($F504="","",Data!P504)</f>
        <v/>
      </c>
      <c r="F504" s="3" t="str">
        <f>IF(AND(Data!$B504='Individual Type'!$D$2, Data!$K504='All Types'!$D$2,Data!$L504='All Types'!$D$3),Data!M504,"")</f>
        <v/>
      </c>
    </row>
    <row r="505">
      <c r="A505" s="102" t="str">
        <f t="shared" si="1"/>
        <v/>
      </c>
      <c r="B505" s="3" t="str">
        <f>IF(AND(Data!$B505='Individual Type'!$D$2, Data!$K505='All Types'!$D$2,Data!$L505='All Types'!$D$3),Data!$B505,"")</f>
        <v/>
      </c>
      <c r="C505" s="3" t="str">
        <f>IF(F505="","",Data!N505)</f>
        <v/>
      </c>
      <c r="D505" s="3" t="str">
        <f>IF(AND(Data!$B505='Individual Type'!$D$2, Data!$K505='All Types'!$D$2,Data!$L505='All Types'!$D$3),Data!$C505,"")</f>
        <v/>
      </c>
      <c r="E505" s="3" t="str">
        <f>IF($F505="","",Data!P505)</f>
        <v/>
      </c>
      <c r="F505" s="3" t="str">
        <f>IF(AND(Data!$B505='Individual Type'!$D$2, Data!$K505='All Types'!$D$2,Data!$L505='All Types'!$D$3),Data!M505,"")</f>
        <v/>
      </c>
    </row>
    <row r="506">
      <c r="A506" s="102" t="str">
        <f t="shared" si="1"/>
        <v/>
      </c>
      <c r="B506" s="3" t="str">
        <f>IF(AND(Data!$B506='Individual Type'!$D$2, Data!$K506='All Types'!$D$2,Data!$L506='All Types'!$D$3),Data!$B506,"")</f>
        <v/>
      </c>
      <c r="C506" s="3" t="str">
        <f>IF(F506="","",Data!N506)</f>
        <v/>
      </c>
      <c r="D506" s="3" t="str">
        <f>IF(AND(Data!$B506='Individual Type'!$D$2, Data!$K506='All Types'!$D$2,Data!$L506='All Types'!$D$3),Data!$C506,"")</f>
        <v/>
      </c>
      <c r="E506" s="3" t="str">
        <f>IF($F506="","",Data!P506)</f>
        <v/>
      </c>
      <c r="F506" s="3" t="str">
        <f>IF(AND(Data!$B506='Individual Type'!$D$2, Data!$K506='All Types'!$D$2,Data!$L506='All Types'!$D$3),Data!M506,"")</f>
        <v/>
      </c>
    </row>
    <row r="507">
      <c r="A507" s="102" t="str">
        <f t="shared" si="1"/>
        <v/>
      </c>
      <c r="B507" s="3" t="str">
        <f>IF(AND(Data!$B507='Individual Type'!$D$2, Data!$K507='All Types'!$D$2,Data!$L507='All Types'!$D$3),Data!$B507,"")</f>
        <v/>
      </c>
      <c r="C507" s="3" t="str">
        <f>IF(F507="","",Data!N507)</f>
        <v/>
      </c>
      <c r="D507" s="3" t="str">
        <f>IF(AND(Data!$B507='Individual Type'!$D$2, Data!$K507='All Types'!$D$2,Data!$L507='All Types'!$D$3),Data!$C507,"")</f>
        <v/>
      </c>
      <c r="E507" s="3" t="str">
        <f>IF($F507="","",Data!P507)</f>
        <v/>
      </c>
      <c r="F507" s="3" t="str">
        <f>IF(AND(Data!$B507='Individual Type'!$D$2, Data!$K507='All Types'!$D$2,Data!$L507='All Types'!$D$3),Data!M507,"")</f>
        <v/>
      </c>
    </row>
    <row r="508">
      <c r="A508" s="102" t="str">
        <f t="shared" si="1"/>
        <v/>
      </c>
      <c r="B508" s="3" t="str">
        <f>IF(AND(Data!$B508='Individual Type'!$D$2, Data!$K508='All Types'!$D$2,Data!$L508='All Types'!$D$3),Data!$B508,"")</f>
        <v/>
      </c>
      <c r="C508" s="3" t="str">
        <f>IF(F508="","",Data!N508)</f>
        <v/>
      </c>
      <c r="D508" s="3" t="str">
        <f>IF(AND(Data!$B508='Individual Type'!$D$2, Data!$K508='All Types'!$D$2,Data!$L508='All Types'!$D$3),Data!$C508,"")</f>
        <v/>
      </c>
      <c r="E508" s="3" t="str">
        <f>IF($F508="","",Data!P508)</f>
        <v/>
      </c>
      <c r="F508" s="3" t="str">
        <f>IF(AND(Data!$B508='Individual Type'!$D$2, Data!$K508='All Types'!$D$2,Data!$L508='All Types'!$D$3),Data!M508,"")</f>
        <v/>
      </c>
    </row>
    <row r="509">
      <c r="A509" s="102" t="str">
        <f t="shared" si="1"/>
        <v/>
      </c>
      <c r="B509" s="3" t="str">
        <f>IF(AND(Data!$B509='Individual Type'!$D$2, Data!$K509='All Types'!$D$2,Data!$L509='All Types'!$D$3),Data!$B509,"")</f>
        <v/>
      </c>
      <c r="C509" s="3" t="str">
        <f>IF(F509="","",Data!N509)</f>
        <v/>
      </c>
      <c r="D509" s="3" t="str">
        <f>IF(AND(Data!$B509='Individual Type'!$D$2, Data!$K509='All Types'!$D$2,Data!$L509='All Types'!$D$3),Data!$C509,"")</f>
        <v/>
      </c>
      <c r="E509" s="3" t="str">
        <f>IF($F509="","",Data!P509)</f>
        <v/>
      </c>
      <c r="F509" s="3" t="str">
        <f>IF(AND(Data!$B509='Individual Type'!$D$2, Data!$K509='All Types'!$D$2,Data!$L509='All Types'!$D$3),Data!M509,"")</f>
        <v/>
      </c>
    </row>
    <row r="510">
      <c r="A510" s="102" t="str">
        <f t="shared" si="1"/>
        <v/>
      </c>
      <c r="B510" s="3" t="str">
        <f>IF(AND(Data!$B510='Individual Type'!$D$2, Data!$K510='All Types'!$D$2,Data!$L510='All Types'!$D$3),Data!$B510,"")</f>
        <v/>
      </c>
      <c r="C510" s="3" t="str">
        <f>IF(F510="","",Data!N510)</f>
        <v/>
      </c>
      <c r="D510" s="3" t="str">
        <f>IF(AND(Data!$B510='Individual Type'!$D$2, Data!$K510='All Types'!$D$2,Data!$L510='All Types'!$D$3),Data!$C510,"")</f>
        <v/>
      </c>
      <c r="E510" s="3" t="str">
        <f>IF($F510="","",Data!P510)</f>
        <v/>
      </c>
      <c r="F510" s="3" t="str">
        <f>IF(AND(Data!$B510='Individual Type'!$D$2, Data!$K510='All Types'!$D$2,Data!$L510='All Types'!$D$3),Data!M510,"")</f>
        <v/>
      </c>
    </row>
    <row r="511">
      <c r="A511" s="102" t="str">
        <f t="shared" si="1"/>
        <v/>
      </c>
      <c r="B511" s="3" t="str">
        <f>IF(AND(Data!$B511='Individual Type'!$D$2, Data!$K511='All Types'!$D$2,Data!$L511='All Types'!$D$3),Data!$B511,"")</f>
        <v/>
      </c>
      <c r="C511" s="3" t="str">
        <f>IF(F511="","",Data!N511)</f>
        <v/>
      </c>
      <c r="D511" s="3" t="str">
        <f>IF(AND(Data!$B511='Individual Type'!$D$2, Data!$K511='All Types'!$D$2,Data!$L511='All Types'!$D$3),Data!$C511,"")</f>
        <v/>
      </c>
      <c r="E511" s="3" t="str">
        <f>IF($F511="","",Data!P511)</f>
        <v/>
      </c>
      <c r="F511" s="3" t="str">
        <f>IF(AND(Data!$B511='Individual Type'!$D$2, Data!$K511='All Types'!$D$2,Data!$L511='All Types'!$D$3),Data!M511,"")</f>
        <v/>
      </c>
    </row>
    <row r="512">
      <c r="A512" s="102" t="str">
        <f t="shared" si="1"/>
        <v/>
      </c>
      <c r="B512" s="3" t="str">
        <f>IF(AND(Data!$B512='Individual Type'!$D$2, Data!$K512='All Types'!$D$2,Data!$L512='All Types'!$D$3),Data!$B512,"")</f>
        <v/>
      </c>
      <c r="C512" s="3" t="str">
        <f>IF(F512="","",Data!N512)</f>
        <v/>
      </c>
      <c r="D512" s="3" t="str">
        <f>IF(AND(Data!$B512='Individual Type'!$D$2, Data!$K512='All Types'!$D$2,Data!$L512='All Types'!$D$3),Data!$C512,"")</f>
        <v/>
      </c>
      <c r="E512" s="3" t="str">
        <f>IF($F512="","",Data!P512)</f>
        <v/>
      </c>
      <c r="F512" s="3" t="str">
        <f>IF(AND(Data!$B512='Individual Type'!$D$2, Data!$K512='All Types'!$D$2,Data!$L512='All Types'!$D$3),Data!M512,"")</f>
        <v/>
      </c>
    </row>
    <row r="513">
      <c r="A513" s="102" t="str">
        <f t="shared" si="1"/>
        <v/>
      </c>
      <c r="B513" s="3" t="str">
        <f>IF(AND(Data!$B513='Individual Type'!$D$2, Data!$K513='All Types'!$D$2,Data!$L513='All Types'!$D$3),Data!$B513,"")</f>
        <v/>
      </c>
      <c r="C513" s="3" t="str">
        <f>IF(F513="","",Data!N513)</f>
        <v/>
      </c>
      <c r="D513" s="3" t="str">
        <f>IF(AND(Data!$B513='Individual Type'!$D$2, Data!$K513='All Types'!$D$2,Data!$L513='All Types'!$D$3),Data!$C513,"")</f>
        <v/>
      </c>
      <c r="E513" s="3" t="str">
        <f>IF($F513="","",Data!P513)</f>
        <v/>
      </c>
      <c r="F513" s="3" t="str">
        <f>IF(AND(Data!$B513='Individual Type'!$D$2, Data!$K513='All Types'!$D$2,Data!$L513='All Types'!$D$3),Data!M513,"")</f>
        <v/>
      </c>
    </row>
    <row r="514">
      <c r="A514" s="102" t="str">
        <f t="shared" si="1"/>
        <v/>
      </c>
      <c r="B514" s="3" t="str">
        <f>IF(AND(Data!$B514='Individual Type'!$D$2, Data!$K514='All Types'!$D$2,Data!$L514='All Types'!$D$3),Data!$B514,"")</f>
        <v/>
      </c>
      <c r="C514" s="3" t="str">
        <f>IF(F514="","",Data!N514)</f>
        <v/>
      </c>
      <c r="D514" s="3" t="str">
        <f>IF(AND(Data!$B514='Individual Type'!$D$2, Data!$K514='All Types'!$D$2,Data!$L514='All Types'!$D$3),Data!$C514,"")</f>
        <v/>
      </c>
      <c r="E514" s="3" t="str">
        <f>IF($F514="","",Data!P514)</f>
        <v/>
      </c>
      <c r="F514" s="3" t="str">
        <f>IF(AND(Data!$B514='Individual Type'!$D$2, Data!$K514='All Types'!$D$2,Data!$L514='All Types'!$D$3),Data!M514,"")</f>
        <v/>
      </c>
    </row>
    <row r="515">
      <c r="A515" s="102" t="str">
        <f t="shared" si="1"/>
        <v/>
      </c>
      <c r="B515" s="3" t="str">
        <f>IF(AND(Data!$B515='Individual Type'!$D$2, Data!$K515='All Types'!$D$2,Data!$L515='All Types'!$D$3),Data!$B515,"")</f>
        <v/>
      </c>
      <c r="C515" s="3" t="str">
        <f>IF(F515="","",Data!N515)</f>
        <v/>
      </c>
      <c r="D515" s="3" t="str">
        <f>IF(AND(Data!$B515='Individual Type'!$D$2, Data!$K515='All Types'!$D$2,Data!$L515='All Types'!$D$3),Data!$C515,"")</f>
        <v/>
      </c>
      <c r="E515" s="3" t="str">
        <f>IF($F515="","",Data!P515)</f>
        <v/>
      </c>
      <c r="F515" s="3" t="str">
        <f>IF(AND(Data!$B515='Individual Type'!$D$2, Data!$K515='All Types'!$D$2,Data!$L515='All Types'!$D$3),Data!M515,"")</f>
        <v/>
      </c>
    </row>
    <row r="516">
      <c r="A516" s="102" t="str">
        <f t="shared" si="1"/>
        <v/>
      </c>
      <c r="B516" s="3" t="str">
        <f>IF(AND(Data!$B516='Individual Type'!$D$2, Data!$K516='All Types'!$D$2,Data!$L516='All Types'!$D$3),Data!$B516,"")</f>
        <v/>
      </c>
      <c r="C516" s="3" t="str">
        <f>IF(F516="","",Data!N516)</f>
        <v/>
      </c>
      <c r="D516" s="3" t="str">
        <f>IF(AND(Data!$B516='Individual Type'!$D$2, Data!$K516='All Types'!$D$2,Data!$L516='All Types'!$D$3),Data!$C516,"")</f>
        <v/>
      </c>
      <c r="E516" s="3" t="str">
        <f>IF($F516="","",Data!P516)</f>
        <v/>
      </c>
      <c r="F516" s="3" t="str">
        <f>IF(AND(Data!$B516='Individual Type'!$D$2, Data!$K516='All Types'!$D$2,Data!$L516='All Types'!$D$3),Data!M516,"")</f>
        <v/>
      </c>
    </row>
    <row r="517">
      <c r="A517" s="102" t="str">
        <f t="shared" si="1"/>
        <v/>
      </c>
      <c r="B517" s="3" t="str">
        <f>IF(AND(Data!$B517='Individual Type'!$D$2, Data!$K517='All Types'!$D$2,Data!$L517='All Types'!$D$3),Data!$B517,"")</f>
        <v/>
      </c>
      <c r="C517" s="3" t="str">
        <f>IF(F517="","",Data!N517)</f>
        <v/>
      </c>
      <c r="D517" s="3" t="str">
        <f>IF(AND(Data!$B517='Individual Type'!$D$2, Data!$K517='All Types'!$D$2,Data!$L517='All Types'!$D$3),Data!$C517,"")</f>
        <v/>
      </c>
      <c r="E517" s="3" t="str">
        <f>IF($F517="","",Data!P517)</f>
        <v/>
      </c>
      <c r="F517" s="3" t="str">
        <f>IF(AND(Data!$B517='Individual Type'!$D$2, Data!$K517='All Types'!$D$2,Data!$L517='All Types'!$D$3),Data!M517,"")</f>
        <v/>
      </c>
    </row>
    <row r="518">
      <c r="A518" s="102" t="str">
        <f t="shared" si="1"/>
        <v/>
      </c>
      <c r="B518" s="3" t="str">
        <f>IF(AND(Data!$B518='Individual Type'!$D$2, Data!$K518='All Types'!$D$2,Data!$L518='All Types'!$D$3),Data!$B518,"")</f>
        <v/>
      </c>
      <c r="C518" s="3" t="str">
        <f>IF(F518="","",Data!N518)</f>
        <v/>
      </c>
      <c r="D518" s="3" t="str">
        <f>IF(AND(Data!$B518='Individual Type'!$D$2, Data!$K518='All Types'!$D$2,Data!$L518='All Types'!$D$3),Data!$C518,"")</f>
        <v/>
      </c>
      <c r="E518" s="3" t="str">
        <f>IF($F518="","",Data!P518)</f>
        <v/>
      </c>
      <c r="F518" s="3" t="str">
        <f>IF(AND(Data!$B518='Individual Type'!$D$2, Data!$K518='All Types'!$D$2,Data!$L518='All Types'!$D$3),Data!M518,"")</f>
        <v/>
      </c>
    </row>
    <row r="519">
      <c r="A519" s="102" t="str">
        <f t="shared" si="1"/>
        <v/>
      </c>
      <c r="B519" s="3" t="str">
        <f>IF(AND(Data!$B519='Individual Type'!$D$2, Data!$K519='All Types'!$D$2,Data!$L519='All Types'!$D$3),Data!$B519,"")</f>
        <v/>
      </c>
      <c r="C519" s="3" t="str">
        <f>IF(F519="","",Data!N519)</f>
        <v/>
      </c>
      <c r="D519" s="3" t="str">
        <f>IF(AND(Data!$B519='Individual Type'!$D$2, Data!$K519='All Types'!$D$2,Data!$L519='All Types'!$D$3),Data!$C519,"")</f>
        <v/>
      </c>
      <c r="E519" s="3" t="str">
        <f>IF($F519="","",Data!P519)</f>
        <v/>
      </c>
      <c r="F519" s="3" t="str">
        <f>IF(AND(Data!$B519='Individual Type'!$D$2, Data!$K519='All Types'!$D$2,Data!$L519='All Types'!$D$3),Data!M519,"")</f>
        <v/>
      </c>
    </row>
    <row r="520">
      <c r="A520" s="102" t="str">
        <f t="shared" si="1"/>
        <v/>
      </c>
      <c r="B520" s="3" t="str">
        <f>IF(AND(Data!$B520='Individual Type'!$D$2, Data!$K520='All Types'!$D$2,Data!$L520='All Types'!$D$3),Data!$B520,"")</f>
        <v/>
      </c>
      <c r="C520" s="3" t="str">
        <f>IF(F520="","",Data!N520)</f>
        <v/>
      </c>
      <c r="D520" s="3" t="str">
        <f>IF(AND(Data!$B520='Individual Type'!$D$2, Data!$K520='All Types'!$D$2,Data!$L520='All Types'!$D$3),Data!$C520,"")</f>
        <v/>
      </c>
      <c r="E520" s="3" t="str">
        <f>IF($F520="","",Data!P520)</f>
        <v/>
      </c>
      <c r="F520" s="3" t="str">
        <f>IF(AND(Data!$B520='Individual Type'!$D$2, Data!$K520='All Types'!$D$2,Data!$L520='All Types'!$D$3),Data!M520,"")</f>
        <v/>
      </c>
    </row>
    <row r="521">
      <c r="A521" s="102" t="str">
        <f t="shared" si="1"/>
        <v/>
      </c>
      <c r="B521" s="3" t="str">
        <f>IF(AND(Data!$B521='Individual Type'!$D$2, Data!$K521='All Types'!$D$2,Data!$L521='All Types'!$D$3),Data!$B521,"")</f>
        <v/>
      </c>
      <c r="C521" s="3" t="str">
        <f>IF(F521="","",Data!N521)</f>
        <v/>
      </c>
      <c r="D521" s="3" t="str">
        <f>IF(AND(Data!$B521='Individual Type'!$D$2, Data!$K521='All Types'!$D$2,Data!$L521='All Types'!$D$3),Data!$C521,"")</f>
        <v/>
      </c>
      <c r="E521" s="3" t="str">
        <f>IF($F521="","",Data!P521)</f>
        <v/>
      </c>
      <c r="F521" s="3" t="str">
        <f>IF(AND(Data!$B521='Individual Type'!$D$2, Data!$K521='All Types'!$D$2,Data!$L521='All Types'!$D$3),Data!M521,"")</f>
        <v/>
      </c>
    </row>
    <row r="522">
      <c r="A522" s="102" t="str">
        <f t="shared" si="1"/>
        <v/>
      </c>
      <c r="B522" s="3" t="str">
        <f>IF(AND(Data!$B522='Individual Type'!$D$2, Data!$K522='All Types'!$D$2,Data!$L522='All Types'!$D$3),Data!$B522,"")</f>
        <v/>
      </c>
      <c r="C522" s="3" t="str">
        <f>IF(F522="","",Data!N522)</f>
        <v/>
      </c>
      <c r="D522" s="3" t="str">
        <f>IF(AND(Data!$B522='Individual Type'!$D$2, Data!$K522='All Types'!$D$2,Data!$L522='All Types'!$D$3),Data!$C522,"")</f>
        <v/>
      </c>
      <c r="E522" s="3" t="str">
        <f>IF($F522="","",Data!P522)</f>
        <v/>
      </c>
      <c r="F522" s="3" t="str">
        <f>IF(AND(Data!$B522='Individual Type'!$D$2, Data!$K522='All Types'!$D$2,Data!$L522='All Types'!$D$3),Data!M522,"")</f>
        <v/>
      </c>
    </row>
    <row r="523">
      <c r="A523" s="102" t="str">
        <f t="shared" si="1"/>
        <v/>
      </c>
      <c r="B523" s="3" t="str">
        <f>IF(AND(Data!$B523='Individual Type'!$D$2, Data!$K523='All Types'!$D$2,Data!$L523='All Types'!$D$3),Data!$B523,"")</f>
        <v/>
      </c>
      <c r="C523" s="3" t="str">
        <f>IF(F523="","",Data!N523)</f>
        <v/>
      </c>
      <c r="D523" s="3" t="str">
        <f>IF(AND(Data!$B523='Individual Type'!$D$2, Data!$K523='All Types'!$D$2,Data!$L523='All Types'!$D$3),Data!$C523,"")</f>
        <v/>
      </c>
      <c r="E523" s="3" t="str">
        <f>IF($F523="","",Data!P523)</f>
        <v/>
      </c>
      <c r="F523" s="3" t="str">
        <f>IF(AND(Data!$B523='Individual Type'!$D$2, Data!$K523='All Types'!$D$2,Data!$L523='All Types'!$D$3),Data!M523,"")</f>
        <v/>
      </c>
    </row>
    <row r="524">
      <c r="A524" s="102" t="str">
        <f t="shared" si="1"/>
        <v/>
      </c>
      <c r="B524" s="3" t="str">
        <f>IF(AND(Data!$B524='Individual Type'!$D$2, Data!$K524='All Types'!$D$2,Data!$L524='All Types'!$D$3),Data!$B524,"")</f>
        <v/>
      </c>
      <c r="C524" s="3" t="str">
        <f>IF(F524="","",Data!N524)</f>
        <v/>
      </c>
      <c r="D524" s="3" t="str">
        <f>IF(AND(Data!$B524='Individual Type'!$D$2, Data!$K524='All Types'!$D$2,Data!$L524='All Types'!$D$3),Data!$C524,"")</f>
        <v/>
      </c>
      <c r="E524" s="3" t="str">
        <f>IF($F524="","",Data!P524)</f>
        <v/>
      </c>
      <c r="F524" s="3" t="str">
        <f>IF(AND(Data!$B524='Individual Type'!$D$2, Data!$K524='All Types'!$D$2,Data!$L524='All Types'!$D$3),Data!M524,"")</f>
        <v/>
      </c>
    </row>
    <row r="525">
      <c r="A525" s="102" t="str">
        <f t="shared" si="1"/>
        <v/>
      </c>
      <c r="B525" s="3" t="str">
        <f>IF(AND(Data!$B525='Individual Type'!$D$2, Data!$K525='All Types'!$D$2,Data!$L525='All Types'!$D$3),Data!$B525,"")</f>
        <v/>
      </c>
      <c r="C525" s="3" t="str">
        <f>IF(F525="","",Data!N525)</f>
        <v/>
      </c>
      <c r="D525" s="3" t="str">
        <f>IF(AND(Data!$B525='Individual Type'!$D$2, Data!$K525='All Types'!$D$2,Data!$L525='All Types'!$D$3),Data!$C525,"")</f>
        <v/>
      </c>
      <c r="E525" s="3" t="str">
        <f>IF($F525="","",Data!P525)</f>
        <v/>
      </c>
      <c r="F525" s="3" t="str">
        <f>IF(AND(Data!$B525='Individual Type'!$D$2, Data!$K525='All Types'!$D$2,Data!$L525='All Types'!$D$3),Data!M525,"")</f>
        <v/>
      </c>
    </row>
    <row r="526">
      <c r="A526" s="102" t="str">
        <f t="shared" si="1"/>
        <v/>
      </c>
      <c r="B526" s="3" t="str">
        <f>IF(AND(Data!$B526='Individual Type'!$D$2, Data!$K526='All Types'!$D$2,Data!$L526='All Types'!$D$3),Data!$B526,"")</f>
        <v/>
      </c>
      <c r="C526" s="3" t="str">
        <f>IF(F526="","",Data!N526)</f>
        <v/>
      </c>
      <c r="D526" s="3" t="str">
        <f>IF(AND(Data!$B526='Individual Type'!$D$2, Data!$K526='All Types'!$D$2,Data!$L526='All Types'!$D$3),Data!$C526,"")</f>
        <v/>
      </c>
      <c r="E526" s="3" t="str">
        <f>IF($F526="","",Data!P526)</f>
        <v/>
      </c>
      <c r="F526" s="3" t="str">
        <f>IF(AND(Data!$B526='Individual Type'!$D$2, Data!$K526='All Types'!$D$2,Data!$L526='All Types'!$D$3),Data!M526,"")</f>
        <v/>
      </c>
    </row>
    <row r="527">
      <c r="A527" s="102" t="str">
        <f t="shared" si="1"/>
        <v/>
      </c>
      <c r="B527" s="3" t="str">
        <f>IF(AND(Data!$B527='Individual Type'!$D$2, Data!$K527='All Types'!$D$2,Data!$L527='All Types'!$D$3),Data!$B527,"")</f>
        <v/>
      </c>
      <c r="C527" s="3" t="str">
        <f>IF(F527="","",Data!N527)</f>
        <v/>
      </c>
      <c r="D527" s="3" t="str">
        <f>IF(AND(Data!$B527='Individual Type'!$D$2, Data!$K527='All Types'!$D$2,Data!$L527='All Types'!$D$3),Data!$C527,"")</f>
        <v/>
      </c>
      <c r="E527" s="3" t="str">
        <f>IF($F527="","",Data!P527)</f>
        <v/>
      </c>
      <c r="F527" s="3" t="str">
        <f>IF(AND(Data!$B527='Individual Type'!$D$2, Data!$K527='All Types'!$D$2,Data!$L527='All Types'!$D$3),Data!M527,"")</f>
        <v/>
      </c>
    </row>
    <row r="528">
      <c r="A528" s="102" t="str">
        <f t="shared" si="1"/>
        <v/>
      </c>
      <c r="B528" s="3" t="str">
        <f>IF(AND(Data!$B528='Individual Type'!$D$2, Data!$K528='All Types'!$D$2,Data!$L528='All Types'!$D$3),Data!$B528,"")</f>
        <v/>
      </c>
      <c r="C528" s="3" t="str">
        <f>IF(F528="","",Data!N528)</f>
        <v/>
      </c>
      <c r="D528" s="3" t="str">
        <f>IF(AND(Data!$B528='Individual Type'!$D$2, Data!$K528='All Types'!$D$2,Data!$L528='All Types'!$D$3),Data!$C528,"")</f>
        <v/>
      </c>
      <c r="E528" s="3" t="str">
        <f>IF($F528="","",Data!P528)</f>
        <v/>
      </c>
      <c r="F528" s="3" t="str">
        <f>IF(AND(Data!$B528='Individual Type'!$D$2, Data!$K528='All Types'!$D$2,Data!$L528='All Types'!$D$3),Data!M528,"")</f>
        <v/>
      </c>
    </row>
    <row r="529">
      <c r="A529" s="102" t="str">
        <f t="shared" si="1"/>
        <v/>
      </c>
      <c r="B529" s="3" t="str">
        <f>IF(AND(Data!$B529='Individual Type'!$D$2, Data!$K529='All Types'!$D$2,Data!$L529='All Types'!$D$3),Data!$B529,"")</f>
        <v/>
      </c>
      <c r="C529" s="3" t="str">
        <f>IF(F529="","",Data!N529)</f>
        <v/>
      </c>
      <c r="D529" s="3" t="str">
        <f>IF(AND(Data!$B529='Individual Type'!$D$2, Data!$K529='All Types'!$D$2,Data!$L529='All Types'!$D$3),Data!$C529,"")</f>
        <v/>
      </c>
      <c r="E529" s="3" t="str">
        <f>IF($F529="","",Data!P529)</f>
        <v/>
      </c>
      <c r="F529" s="3" t="str">
        <f>IF(AND(Data!$B529='Individual Type'!$D$2, Data!$K529='All Types'!$D$2,Data!$L529='All Types'!$D$3),Data!M529,"")</f>
        <v/>
      </c>
    </row>
    <row r="530">
      <c r="A530" s="102" t="str">
        <f t="shared" si="1"/>
        <v/>
      </c>
      <c r="B530" s="3" t="str">
        <f>IF(AND(Data!$B530='Individual Type'!$D$2, Data!$K530='All Types'!$D$2,Data!$L530='All Types'!$D$3),Data!$B530,"")</f>
        <v/>
      </c>
      <c r="C530" s="3" t="str">
        <f>IF(F530="","",Data!N530)</f>
        <v/>
      </c>
      <c r="D530" s="3" t="str">
        <f>IF(AND(Data!$B530='Individual Type'!$D$2, Data!$K530='All Types'!$D$2,Data!$L530='All Types'!$D$3),Data!$C530,"")</f>
        <v/>
      </c>
      <c r="E530" s="3" t="str">
        <f>IF($F530="","",Data!P530)</f>
        <v/>
      </c>
      <c r="F530" s="3" t="str">
        <f>IF(AND(Data!$B530='Individual Type'!$D$2, Data!$K530='All Types'!$D$2,Data!$L530='All Types'!$D$3),Data!M530,"")</f>
        <v/>
      </c>
    </row>
    <row r="531">
      <c r="A531" s="102" t="str">
        <f t="shared" si="1"/>
        <v/>
      </c>
      <c r="B531" s="3" t="str">
        <f>IF(AND(Data!$B531='Individual Type'!$D$2, Data!$K531='All Types'!$D$2,Data!$L531='All Types'!$D$3),Data!$B531,"")</f>
        <v/>
      </c>
      <c r="C531" s="3" t="str">
        <f>IF(F531="","",Data!N531)</f>
        <v/>
      </c>
      <c r="D531" s="3" t="str">
        <f>IF(AND(Data!$B531='Individual Type'!$D$2, Data!$K531='All Types'!$D$2,Data!$L531='All Types'!$D$3),Data!$C531,"")</f>
        <v/>
      </c>
      <c r="E531" s="3" t="str">
        <f>IF($F531="","",Data!P531)</f>
        <v/>
      </c>
      <c r="F531" s="3" t="str">
        <f>IF(AND(Data!$B531='Individual Type'!$D$2, Data!$K531='All Types'!$D$2,Data!$L531='All Types'!$D$3),Data!M531,"")</f>
        <v/>
      </c>
    </row>
    <row r="532">
      <c r="A532" s="102" t="str">
        <f t="shared" si="1"/>
        <v/>
      </c>
      <c r="B532" s="3" t="str">
        <f>IF(AND(Data!$B532='Individual Type'!$D$2, Data!$K532='All Types'!$D$2,Data!$L532='All Types'!$D$3),Data!$B532,"")</f>
        <v/>
      </c>
      <c r="C532" s="3" t="str">
        <f>IF(F532="","",Data!N532)</f>
        <v/>
      </c>
      <c r="D532" s="3" t="str">
        <f>IF(AND(Data!$B532='Individual Type'!$D$2, Data!$K532='All Types'!$D$2,Data!$L532='All Types'!$D$3),Data!$C532,"")</f>
        <v/>
      </c>
      <c r="E532" s="3" t="str">
        <f>IF($F532="","",Data!P532)</f>
        <v/>
      </c>
      <c r="F532" s="3" t="str">
        <f>IF(AND(Data!$B532='Individual Type'!$D$2, Data!$K532='All Types'!$D$2,Data!$L532='All Types'!$D$3),Data!M532,"")</f>
        <v/>
      </c>
    </row>
    <row r="533">
      <c r="A533" s="102" t="str">
        <f t="shared" si="1"/>
        <v/>
      </c>
      <c r="B533" s="3" t="str">
        <f>IF(AND(Data!$B533='Individual Type'!$D$2, Data!$K533='All Types'!$D$2,Data!$L533='All Types'!$D$3),Data!$B533,"")</f>
        <v/>
      </c>
      <c r="C533" s="3" t="str">
        <f>IF(F533="","",Data!N533)</f>
        <v/>
      </c>
      <c r="D533" s="3" t="str">
        <f>IF(AND(Data!$B533='Individual Type'!$D$2, Data!$K533='All Types'!$D$2,Data!$L533='All Types'!$D$3),Data!$C533,"")</f>
        <v/>
      </c>
      <c r="E533" s="3" t="str">
        <f>IF($F533="","",Data!P533)</f>
        <v/>
      </c>
      <c r="F533" s="3" t="str">
        <f>IF(AND(Data!$B533='Individual Type'!$D$2, Data!$K533='All Types'!$D$2,Data!$L533='All Types'!$D$3),Data!M533,"")</f>
        <v/>
      </c>
    </row>
    <row r="534">
      <c r="A534" s="102" t="str">
        <f t="shared" si="1"/>
        <v/>
      </c>
      <c r="B534" s="3" t="str">
        <f>IF(AND(Data!$B534='Individual Type'!$D$2, Data!$K534='All Types'!$D$2,Data!$L534='All Types'!$D$3),Data!$B534,"")</f>
        <v/>
      </c>
      <c r="C534" s="3" t="str">
        <f>IF(F534="","",Data!N534)</f>
        <v/>
      </c>
      <c r="D534" s="3" t="str">
        <f>IF(AND(Data!$B534='Individual Type'!$D$2, Data!$K534='All Types'!$D$2,Data!$L534='All Types'!$D$3),Data!$C534,"")</f>
        <v/>
      </c>
      <c r="E534" s="3" t="str">
        <f>IF($F534="","",Data!P534)</f>
        <v/>
      </c>
      <c r="F534" s="3" t="str">
        <f>IF(AND(Data!$B534='Individual Type'!$D$2, Data!$K534='All Types'!$D$2,Data!$L534='All Types'!$D$3),Data!M534,"")</f>
        <v/>
      </c>
    </row>
    <row r="535">
      <c r="A535" s="102" t="str">
        <f t="shared" si="1"/>
        <v/>
      </c>
      <c r="B535" s="3" t="str">
        <f>IF(AND(Data!$B535='Individual Type'!$D$2, Data!$K535='All Types'!$D$2,Data!$L535='All Types'!$D$3),Data!$B535,"")</f>
        <v/>
      </c>
      <c r="C535" s="3" t="str">
        <f>IF(F535="","",Data!N535)</f>
        <v/>
      </c>
      <c r="D535" s="3" t="str">
        <f>IF(AND(Data!$B535='Individual Type'!$D$2, Data!$K535='All Types'!$D$2,Data!$L535='All Types'!$D$3),Data!$C535,"")</f>
        <v/>
      </c>
      <c r="E535" s="3" t="str">
        <f>IF($F535="","",Data!P535)</f>
        <v/>
      </c>
      <c r="F535" s="3" t="str">
        <f>IF(AND(Data!$B535='Individual Type'!$D$2, Data!$K535='All Types'!$D$2,Data!$L535='All Types'!$D$3),Data!M535,"")</f>
        <v/>
      </c>
    </row>
    <row r="536">
      <c r="A536" s="102" t="str">
        <f t="shared" si="1"/>
        <v/>
      </c>
      <c r="B536" s="3" t="str">
        <f>IF(AND(Data!$B536='Individual Type'!$D$2, Data!$K536='All Types'!$D$2,Data!$L536='All Types'!$D$3),Data!$B536,"")</f>
        <v/>
      </c>
      <c r="C536" s="3" t="str">
        <f>IF(F536="","",Data!N536)</f>
        <v/>
      </c>
      <c r="D536" s="3" t="str">
        <f>IF(AND(Data!$B536='Individual Type'!$D$2, Data!$K536='All Types'!$D$2,Data!$L536='All Types'!$D$3),Data!$C536,"")</f>
        <v/>
      </c>
      <c r="E536" s="3" t="str">
        <f>IF($F536="","",Data!P536)</f>
        <v/>
      </c>
      <c r="F536" s="3" t="str">
        <f>IF(AND(Data!$B536='Individual Type'!$D$2, Data!$K536='All Types'!$D$2,Data!$L536='All Types'!$D$3),Data!M536,"")</f>
        <v/>
      </c>
    </row>
    <row r="537">
      <c r="A537" s="102" t="str">
        <f t="shared" si="1"/>
        <v/>
      </c>
      <c r="B537" s="3" t="str">
        <f>IF(AND(Data!$B537='Individual Type'!$D$2, Data!$K537='All Types'!$D$2,Data!$L537='All Types'!$D$3),Data!$B537,"")</f>
        <v/>
      </c>
      <c r="C537" s="3" t="str">
        <f>IF(F537="","",Data!N537)</f>
        <v/>
      </c>
      <c r="D537" s="3" t="str">
        <f>IF(AND(Data!$B537='Individual Type'!$D$2, Data!$K537='All Types'!$D$2,Data!$L537='All Types'!$D$3),Data!$C537,"")</f>
        <v/>
      </c>
      <c r="E537" s="3" t="str">
        <f>IF($F537="","",Data!P537)</f>
        <v/>
      </c>
      <c r="F537" s="3" t="str">
        <f>IF(AND(Data!$B537='Individual Type'!$D$2, Data!$K537='All Types'!$D$2,Data!$L537='All Types'!$D$3),Data!M537,"")</f>
        <v/>
      </c>
    </row>
    <row r="538">
      <c r="A538" s="102" t="str">
        <f t="shared" si="1"/>
        <v/>
      </c>
      <c r="B538" s="3" t="str">
        <f>IF(AND(Data!$B538='Individual Type'!$D$2, Data!$K538='All Types'!$D$2,Data!$L538='All Types'!$D$3),Data!$B538,"")</f>
        <v/>
      </c>
      <c r="C538" s="3" t="str">
        <f>IF(F538="","",Data!N538)</f>
        <v/>
      </c>
      <c r="D538" s="3" t="str">
        <f>IF(AND(Data!$B538='Individual Type'!$D$2, Data!$K538='All Types'!$D$2,Data!$L538='All Types'!$D$3),Data!$C538,"")</f>
        <v/>
      </c>
      <c r="E538" s="3" t="str">
        <f>IF($F538="","",Data!P538)</f>
        <v/>
      </c>
      <c r="F538" s="3" t="str">
        <f>IF(AND(Data!$B538='Individual Type'!$D$2, Data!$K538='All Types'!$D$2,Data!$L538='All Types'!$D$3),Data!M538,"")</f>
        <v/>
      </c>
    </row>
    <row r="539">
      <c r="A539" s="102" t="str">
        <f t="shared" si="1"/>
        <v/>
      </c>
      <c r="B539" s="3" t="str">
        <f>IF(AND(Data!$B539='Individual Type'!$D$2, Data!$K539='All Types'!$D$2,Data!$L539='All Types'!$D$3),Data!$B539,"")</f>
        <v/>
      </c>
      <c r="C539" s="3" t="str">
        <f>IF(F539="","",Data!N539)</f>
        <v/>
      </c>
      <c r="D539" s="3" t="str">
        <f>IF(AND(Data!$B539='Individual Type'!$D$2, Data!$K539='All Types'!$D$2,Data!$L539='All Types'!$D$3),Data!$C539,"")</f>
        <v/>
      </c>
      <c r="E539" s="3" t="str">
        <f>IF($F539="","",Data!P539)</f>
        <v/>
      </c>
      <c r="F539" s="3" t="str">
        <f>IF(AND(Data!$B539='Individual Type'!$D$2, Data!$K539='All Types'!$D$2,Data!$L539='All Types'!$D$3),Data!M539,"")</f>
        <v/>
      </c>
    </row>
    <row r="540">
      <c r="A540" s="102" t="str">
        <f t="shared" si="1"/>
        <v/>
      </c>
      <c r="B540" s="3" t="str">
        <f>IF(AND(Data!$B540='Individual Type'!$D$2, Data!$K540='All Types'!$D$2,Data!$L540='All Types'!$D$3),Data!$B540,"")</f>
        <v/>
      </c>
      <c r="C540" s="3" t="str">
        <f>IF(F540="","",Data!N540)</f>
        <v/>
      </c>
      <c r="D540" s="3" t="str">
        <f>IF(AND(Data!$B540='Individual Type'!$D$2, Data!$K540='All Types'!$D$2,Data!$L540='All Types'!$D$3),Data!$C540,"")</f>
        <v/>
      </c>
      <c r="E540" s="3" t="str">
        <f>IF($F540="","",Data!P540)</f>
        <v/>
      </c>
      <c r="F540" s="3" t="str">
        <f>IF(AND(Data!$B540='Individual Type'!$D$2, Data!$K540='All Types'!$D$2,Data!$L540='All Types'!$D$3),Data!M540,"")</f>
        <v/>
      </c>
    </row>
    <row r="541">
      <c r="A541" s="102" t="str">
        <f t="shared" si="1"/>
        <v/>
      </c>
      <c r="B541" s="3" t="str">
        <f>IF(AND(Data!$B541='Individual Type'!$D$2, Data!$K541='All Types'!$D$2,Data!$L541='All Types'!$D$3),Data!$B541,"")</f>
        <v/>
      </c>
      <c r="C541" s="3" t="str">
        <f>IF(F541="","",Data!N541)</f>
        <v/>
      </c>
      <c r="D541" s="3" t="str">
        <f>IF(AND(Data!$B541='Individual Type'!$D$2, Data!$K541='All Types'!$D$2,Data!$L541='All Types'!$D$3),Data!$C541,"")</f>
        <v/>
      </c>
      <c r="E541" s="3" t="str">
        <f>IF($F541="","",Data!P541)</f>
        <v/>
      </c>
      <c r="F541" s="3" t="str">
        <f>IF(AND(Data!$B541='Individual Type'!$D$2, Data!$K541='All Types'!$D$2,Data!$L541='All Types'!$D$3),Data!M541,"")</f>
        <v/>
      </c>
    </row>
    <row r="542">
      <c r="A542" s="102" t="str">
        <f t="shared" si="1"/>
        <v/>
      </c>
      <c r="B542" s="3" t="str">
        <f>IF(AND(Data!$B542='Individual Type'!$D$2, Data!$K542='All Types'!$D$2,Data!$L542='All Types'!$D$3),Data!$B542,"")</f>
        <v/>
      </c>
      <c r="C542" s="3" t="str">
        <f>IF(F542="","",Data!N542)</f>
        <v/>
      </c>
      <c r="D542" s="3" t="str">
        <f>IF(AND(Data!$B542='Individual Type'!$D$2, Data!$K542='All Types'!$D$2,Data!$L542='All Types'!$D$3),Data!$C542,"")</f>
        <v/>
      </c>
      <c r="E542" s="3" t="str">
        <f>IF($F542="","",Data!P542)</f>
        <v/>
      </c>
      <c r="F542" s="3" t="str">
        <f>IF(AND(Data!$B542='Individual Type'!$D$2, Data!$K542='All Types'!$D$2,Data!$L542='All Types'!$D$3),Data!M542,"")</f>
        <v/>
      </c>
    </row>
    <row r="543">
      <c r="A543" s="102" t="str">
        <f t="shared" si="1"/>
        <v/>
      </c>
      <c r="B543" s="3" t="str">
        <f>IF(AND(Data!$B543='Individual Type'!$D$2, Data!$K543='All Types'!$D$2,Data!$L543='All Types'!$D$3),Data!$B543,"")</f>
        <v/>
      </c>
      <c r="C543" s="3" t="str">
        <f>IF(F543="","",Data!N543)</f>
        <v/>
      </c>
      <c r="D543" s="3" t="str">
        <f>IF(AND(Data!$B543='Individual Type'!$D$2, Data!$K543='All Types'!$D$2,Data!$L543='All Types'!$D$3),Data!$C543,"")</f>
        <v/>
      </c>
      <c r="E543" s="3" t="str">
        <f>IF($F543="","",Data!P543)</f>
        <v/>
      </c>
      <c r="F543" s="3" t="str">
        <f>IF(AND(Data!$B543='Individual Type'!$D$2, Data!$K543='All Types'!$D$2,Data!$L543='All Types'!$D$3),Data!M543,"")</f>
        <v/>
      </c>
    </row>
    <row r="544">
      <c r="A544" s="102" t="str">
        <f t="shared" si="1"/>
        <v/>
      </c>
      <c r="B544" s="3" t="str">
        <f>IF(AND(Data!$B544='Individual Type'!$D$2, Data!$K544='All Types'!$D$2,Data!$L544='All Types'!$D$3),Data!$B544,"")</f>
        <v/>
      </c>
      <c r="C544" s="3" t="str">
        <f>IF(F544="","",Data!N544)</f>
        <v/>
      </c>
      <c r="D544" s="3" t="str">
        <f>IF(AND(Data!$B544='Individual Type'!$D$2, Data!$K544='All Types'!$D$2,Data!$L544='All Types'!$D$3),Data!$C544,"")</f>
        <v/>
      </c>
      <c r="E544" s="3" t="str">
        <f>IF($F544="","",Data!P544)</f>
        <v/>
      </c>
      <c r="F544" s="3" t="str">
        <f>IF(AND(Data!$B544='Individual Type'!$D$2, Data!$K544='All Types'!$D$2,Data!$L544='All Types'!$D$3),Data!M544,"")</f>
        <v/>
      </c>
    </row>
    <row r="545">
      <c r="A545" s="102" t="str">
        <f t="shared" si="1"/>
        <v/>
      </c>
      <c r="B545" s="3" t="str">
        <f>IF(AND(Data!$B545='Individual Type'!$D$2, Data!$K545='All Types'!$D$2,Data!$L545='All Types'!$D$3),Data!$B545,"")</f>
        <v/>
      </c>
      <c r="C545" s="3" t="str">
        <f>IF(F545="","",Data!N545)</f>
        <v/>
      </c>
      <c r="D545" s="3" t="str">
        <f>IF(AND(Data!$B545='Individual Type'!$D$2, Data!$K545='All Types'!$D$2,Data!$L545='All Types'!$D$3),Data!$C545,"")</f>
        <v/>
      </c>
      <c r="E545" s="3" t="str">
        <f>IF($F545="","",Data!P545)</f>
        <v/>
      </c>
      <c r="F545" s="3" t="str">
        <f>IF(AND(Data!$B545='Individual Type'!$D$2, Data!$K545='All Types'!$D$2,Data!$L545='All Types'!$D$3),Data!M545,"")</f>
        <v/>
      </c>
    </row>
    <row r="546">
      <c r="A546" s="102" t="str">
        <f t="shared" si="1"/>
        <v/>
      </c>
      <c r="B546" s="3" t="str">
        <f>IF(AND(Data!$B546='Individual Type'!$D$2, Data!$K546='All Types'!$D$2,Data!$L546='All Types'!$D$3),Data!$B546,"")</f>
        <v/>
      </c>
      <c r="C546" s="3" t="str">
        <f>IF(F546="","",Data!N546)</f>
        <v/>
      </c>
      <c r="D546" s="3" t="str">
        <f>IF(AND(Data!$B546='Individual Type'!$D$2, Data!$K546='All Types'!$D$2,Data!$L546='All Types'!$D$3),Data!$C546,"")</f>
        <v/>
      </c>
      <c r="E546" s="3" t="str">
        <f>IF($F546="","",Data!P546)</f>
        <v/>
      </c>
      <c r="F546" s="3" t="str">
        <f>IF(AND(Data!$B546='Individual Type'!$D$2, Data!$K546='All Types'!$D$2,Data!$L546='All Types'!$D$3),Data!M546,"")</f>
        <v/>
      </c>
    </row>
    <row r="547">
      <c r="A547" s="102" t="str">
        <f t="shared" si="1"/>
        <v/>
      </c>
      <c r="B547" s="3" t="str">
        <f>IF(AND(Data!$B547='Individual Type'!$D$2, Data!$K547='All Types'!$D$2,Data!$L547='All Types'!$D$3),Data!$B547,"")</f>
        <v/>
      </c>
      <c r="C547" s="3" t="str">
        <f>IF(F547="","",Data!N547)</f>
        <v/>
      </c>
      <c r="D547" s="3" t="str">
        <f>IF(AND(Data!$B547='Individual Type'!$D$2, Data!$K547='All Types'!$D$2,Data!$L547='All Types'!$D$3),Data!$C547,"")</f>
        <v/>
      </c>
      <c r="E547" s="3" t="str">
        <f>IF($F547="","",Data!P547)</f>
        <v/>
      </c>
      <c r="F547" s="3" t="str">
        <f>IF(AND(Data!$B547='Individual Type'!$D$2, Data!$K547='All Types'!$D$2,Data!$L547='All Types'!$D$3),Data!M547,"")</f>
        <v/>
      </c>
    </row>
    <row r="548">
      <c r="A548" s="102" t="str">
        <f t="shared" si="1"/>
        <v/>
      </c>
      <c r="B548" s="3" t="str">
        <f>IF(AND(Data!$B548='Individual Type'!$D$2, Data!$K548='All Types'!$D$2,Data!$L548='All Types'!$D$3),Data!$B548,"")</f>
        <v/>
      </c>
      <c r="C548" s="3" t="str">
        <f>IF(F548="","",Data!N548)</f>
        <v/>
      </c>
      <c r="D548" s="3" t="str">
        <f>IF(AND(Data!$B548='Individual Type'!$D$2, Data!$K548='All Types'!$D$2,Data!$L548='All Types'!$D$3),Data!$C548,"")</f>
        <v/>
      </c>
      <c r="E548" s="3" t="str">
        <f>IF($F548="","",Data!P548)</f>
        <v/>
      </c>
      <c r="F548" s="3" t="str">
        <f>IF(AND(Data!$B548='Individual Type'!$D$2, Data!$K548='All Types'!$D$2,Data!$L548='All Types'!$D$3),Data!M548,"")</f>
        <v/>
      </c>
    </row>
    <row r="549">
      <c r="A549" s="102" t="str">
        <f t="shared" si="1"/>
        <v/>
      </c>
      <c r="B549" s="3" t="str">
        <f>IF(AND(Data!$B549='Individual Type'!$D$2, Data!$K549='All Types'!$D$2,Data!$L549='All Types'!$D$3),Data!$B549,"")</f>
        <v/>
      </c>
      <c r="C549" s="3" t="str">
        <f>IF(F549="","",Data!N549)</f>
        <v/>
      </c>
      <c r="D549" s="3" t="str">
        <f>IF(AND(Data!$B549='Individual Type'!$D$2, Data!$K549='All Types'!$D$2,Data!$L549='All Types'!$D$3),Data!$C549,"")</f>
        <v/>
      </c>
      <c r="E549" s="3" t="str">
        <f>IF($F549="","",Data!P549)</f>
        <v/>
      </c>
      <c r="F549" s="3" t="str">
        <f>IF(AND(Data!$B549='Individual Type'!$D$2, Data!$K549='All Types'!$D$2,Data!$L549='All Types'!$D$3),Data!M549,"")</f>
        <v/>
      </c>
    </row>
    <row r="550">
      <c r="A550" s="102" t="str">
        <f t="shared" si="1"/>
        <v/>
      </c>
      <c r="B550" s="3" t="str">
        <f>IF(AND(Data!$B550='Individual Type'!$D$2, Data!$K550='All Types'!$D$2,Data!$L550='All Types'!$D$3),Data!$B550,"")</f>
        <v/>
      </c>
      <c r="C550" s="3" t="str">
        <f>IF(F550="","",Data!N550)</f>
        <v/>
      </c>
      <c r="D550" s="3" t="str">
        <f>IF(AND(Data!$B550='Individual Type'!$D$2, Data!$K550='All Types'!$D$2,Data!$L550='All Types'!$D$3),Data!$C550,"")</f>
        <v/>
      </c>
      <c r="E550" s="3" t="str">
        <f>IF($F550="","",Data!P550)</f>
        <v/>
      </c>
      <c r="F550" s="3" t="str">
        <f>IF(AND(Data!$B550='Individual Type'!$D$2, Data!$K550='All Types'!$D$2,Data!$L550='All Types'!$D$3),Data!M550,"")</f>
        <v/>
      </c>
    </row>
    <row r="551">
      <c r="A551" s="102" t="str">
        <f t="shared" si="1"/>
        <v/>
      </c>
      <c r="B551" s="3" t="str">
        <f>IF(AND(Data!$B551='Individual Type'!$D$2, Data!$K551='All Types'!$D$2,Data!$L551='All Types'!$D$3),Data!$B551,"")</f>
        <v/>
      </c>
      <c r="C551" s="3" t="str">
        <f>IF(F551="","",Data!N551)</f>
        <v/>
      </c>
      <c r="D551" s="3" t="str">
        <f>IF(AND(Data!$B551='Individual Type'!$D$2, Data!$K551='All Types'!$D$2,Data!$L551='All Types'!$D$3),Data!$C551,"")</f>
        <v/>
      </c>
      <c r="E551" s="3" t="str">
        <f>IF($F551="","",Data!P551)</f>
        <v/>
      </c>
      <c r="F551" s="3" t="str">
        <f>IF(AND(Data!$B551='Individual Type'!$D$2, Data!$K551='All Types'!$D$2,Data!$L551='All Types'!$D$3),Data!M551,"")</f>
        <v/>
      </c>
    </row>
    <row r="552">
      <c r="A552" s="102" t="str">
        <f t="shared" si="1"/>
        <v/>
      </c>
      <c r="B552" s="3" t="str">
        <f>IF(AND(Data!$B552='Individual Type'!$D$2, Data!$K552='All Types'!$D$2,Data!$L552='All Types'!$D$3),Data!$B552,"")</f>
        <v/>
      </c>
      <c r="C552" s="3" t="str">
        <f>IF(F552="","",Data!N552)</f>
        <v/>
      </c>
      <c r="D552" s="3" t="str">
        <f>IF(AND(Data!$B552='Individual Type'!$D$2, Data!$K552='All Types'!$D$2,Data!$L552='All Types'!$D$3),Data!$C552,"")</f>
        <v/>
      </c>
      <c r="E552" s="3" t="str">
        <f>IF($F552="","",Data!P552)</f>
        <v/>
      </c>
      <c r="F552" s="3" t="str">
        <f>IF(AND(Data!$B552='Individual Type'!$D$2, Data!$K552='All Types'!$D$2,Data!$L552='All Types'!$D$3),Data!M552,"")</f>
        <v/>
      </c>
    </row>
    <row r="553">
      <c r="A553" s="102" t="str">
        <f t="shared" si="1"/>
        <v/>
      </c>
      <c r="B553" s="3" t="str">
        <f>IF(AND(Data!$B553='Individual Type'!$D$2, Data!$K553='All Types'!$D$2,Data!$L553='All Types'!$D$3),Data!$B553,"")</f>
        <v/>
      </c>
      <c r="C553" s="3" t="str">
        <f>IF(F553="","",Data!N553)</f>
        <v/>
      </c>
      <c r="D553" s="3" t="str">
        <f>IF(AND(Data!$B553='Individual Type'!$D$2, Data!$K553='All Types'!$D$2,Data!$L553='All Types'!$D$3),Data!$C553,"")</f>
        <v/>
      </c>
      <c r="E553" s="3" t="str">
        <f>IF($F553="","",Data!P553)</f>
        <v/>
      </c>
      <c r="F553" s="3" t="str">
        <f>IF(AND(Data!$B553='Individual Type'!$D$2, Data!$K553='All Types'!$D$2,Data!$L553='All Types'!$D$3),Data!M553,"")</f>
        <v/>
      </c>
    </row>
    <row r="554">
      <c r="A554" s="102" t="str">
        <f t="shared" si="1"/>
        <v/>
      </c>
      <c r="B554" s="3" t="str">
        <f>IF(AND(Data!$B554='Individual Type'!$D$2, Data!$K554='All Types'!$D$2,Data!$L554='All Types'!$D$3),Data!$B554,"")</f>
        <v/>
      </c>
      <c r="C554" s="3" t="str">
        <f>IF(F554="","",Data!N554)</f>
        <v/>
      </c>
      <c r="D554" s="3" t="str">
        <f>IF(AND(Data!$B554='Individual Type'!$D$2, Data!$K554='All Types'!$D$2,Data!$L554='All Types'!$D$3),Data!$C554,"")</f>
        <v/>
      </c>
      <c r="E554" s="3" t="str">
        <f>IF($F554="","",Data!P554)</f>
        <v/>
      </c>
      <c r="F554" s="3" t="str">
        <f>IF(AND(Data!$B554='Individual Type'!$D$2, Data!$K554='All Types'!$D$2,Data!$L554='All Types'!$D$3),Data!M554,"")</f>
        <v/>
      </c>
    </row>
    <row r="555">
      <c r="A555" s="102" t="str">
        <f t="shared" si="1"/>
        <v/>
      </c>
      <c r="B555" s="3" t="str">
        <f>IF(AND(Data!$B555='Individual Type'!$D$2, Data!$K555='All Types'!$D$2,Data!$L555='All Types'!$D$3),Data!$B555,"")</f>
        <v/>
      </c>
      <c r="C555" s="3" t="str">
        <f>IF(F555="","",Data!N555)</f>
        <v/>
      </c>
      <c r="D555" s="3" t="str">
        <f>IF(AND(Data!$B555='Individual Type'!$D$2, Data!$K555='All Types'!$D$2,Data!$L555='All Types'!$D$3),Data!$C555,"")</f>
        <v/>
      </c>
      <c r="E555" s="3" t="str">
        <f>IF($F555="","",Data!P555)</f>
        <v/>
      </c>
      <c r="F555" s="3" t="str">
        <f>IF(AND(Data!$B555='Individual Type'!$D$2, Data!$K555='All Types'!$D$2,Data!$L555='All Types'!$D$3),Data!M555,"")</f>
        <v/>
      </c>
    </row>
    <row r="556">
      <c r="A556" s="102" t="str">
        <f t="shared" si="1"/>
        <v/>
      </c>
      <c r="B556" s="3" t="str">
        <f>IF(AND(Data!$B556='Individual Type'!$D$2, Data!$K556='All Types'!$D$2,Data!$L556='All Types'!$D$3),Data!$B556,"")</f>
        <v/>
      </c>
      <c r="C556" s="3" t="str">
        <f>IF(F556="","",Data!N556)</f>
        <v/>
      </c>
      <c r="D556" s="3" t="str">
        <f>IF(AND(Data!$B556='Individual Type'!$D$2, Data!$K556='All Types'!$D$2,Data!$L556='All Types'!$D$3),Data!$C556,"")</f>
        <v/>
      </c>
      <c r="E556" s="3" t="str">
        <f>IF($F556="","",Data!P556)</f>
        <v/>
      </c>
      <c r="F556" s="3" t="str">
        <f>IF(AND(Data!$B556='Individual Type'!$D$2, Data!$K556='All Types'!$D$2,Data!$L556='All Types'!$D$3),Data!M556,"")</f>
        <v/>
      </c>
    </row>
    <row r="557">
      <c r="A557" s="102" t="str">
        <f t="shared" si="1"/>
        <v/>
      </c>
      <c r="B557" s="3" t="str">
        <f>IF(AND(Data!$B557='Individual Type'!$D$2, Data!$K557='All Types'!$D$2,Data!$L557='All Types'!$D$3),Data!$B557,"")</f>
        <v/>
      </c>
      <c r="C557" s="3" t="str">
        <f>IF(F557="","",Data!N557)</f>
        <v/>
      </c>
      <c r="D557" s="3" t="str">
        <f>IF(AND(Data!$B557='Individual Type'!$D$2, Data!$K557='All Types'!$D$2,Data!$L557='All Types'!$D$3),Data!$C557,"")</f>
        <v/>
      </c>
      <c r="E557" s="3" t="str">
        <f>IF($F557="","",Data!P557)</f>
        <v/>
      </c>
      <c r="F557" s="3" t="str">
        <f>IF(AND(Data!$B557='Individual Type'!$D$2, Data!$K557='All Types'!$D$2,Data!$L557='All Types'!$D$3),Data!M557,"")</f>
        <v/>
      </c>
    </row>
    <row r="558">
      <c r="A558" s="102" t="str">
        <f t="shared" si="1"/>
        <v/>
      </c>
      <c r="B558" s="3" t="str">
        <f>IF(AND(Data!$B558='Individual Type'!$D$2, Data!$K558='All Types'!$D$2,Data!$L558='All Types'!$D$3),Data!$B558,"")</f>
        <v/>
      </c>
      <c r="C558" s="3" t="str">
        <f>IF(F558="","",Data!N558)</f>
        <v/>
      </c>
      <c r="D558" s="3" t="str">
        <f>IF(AND(Data!$B558='Individual Type'!$D$2, Data!$K558='All Types'!$D$2,Data!$L558='All Types'!$D$3),Data!$C558,"")</f>
        <v/>
      </c>
      <c r="E558" s="3" t="str">
        <f>IF($F558="","",Data!P558)</f>
        <v/>
      </c>
      <c r="F558" s="3" t="str">
        <f>IF(AND(Data!$B558='Individual Type'!$D$2, Data!$K558='All Types'!$D$2,Data!$L558='All Types'!$D$3),Data!M558,"")</f>
        <v/>
      </c>
    </row>
    <row r="559">
      <c r="A559" s="102" t="str">
        <f t="shared" si="1"/>
        <v/>
      </c>
      <c r="B559" s="3" t="str">
        <f>IF(AND(Data!$B559='Individual Type'!$D$2, Data!$K559='All Types'!$D$2,Data!$L559='All Types'!$D$3),Data!$B559,"")</f>
        <v/>
      </c>
      <c r="C559" s="3" t="str">
        <f>IF(F559="","",Data!N559)</f>
        <v/>
      </c>
      <c r="D559" s="3" t="str">
        <f>IF(AND(Data!$B559='Individual Type'!$D$2, Data!$K559='All Types'!$D$2,Data!$L559='All Types'!$D$3),Data!$C559,"")</f>
        <v/>
      </c>
      <c r="E559" s="3" t="str">
        <f>IF($F559="","",Data!P559)</f>
        <v/>
      </c>
      <c r="F559" s="3" t="str">
        <f>IF(AND(Data!$B559='Individual Type'!$D$2, Data!$K559='All Types'!$D$2,Data!$L559='All Types'!$D$3),Data!M559,"")</f>
        <v/>
      </c>
    </row>
    <row r="560">
      <c r="A560" s="102" t="str">
        <f t="shared" si="1"/>
        <v/>
      </c>
      <c r="B560" s="3" t="str">
        <f>IF(AND(Data!$B560='Individual Type'!$D$2, Data!$K560='All Types'!$D$2,Data!$L560='All Types'!$D$3),Data!$B560,"")</f>
        <v/>
      </c>
      <c r="C560" s="3" t="str">
        <f>IF(F560="","",Data!N560)</f>
        <v/>
      </c>
      <c r="D560" s="3" t="str">
        <f>IF(AND(Data!$B560='Individual Type'!$D$2, Data!$K560='All Types'!$D$2,Data!$L560='All Types'!$D$3),Data!$C560,"")</f>
        <v/>
      </c>
      <c r="E560" s="3" t="str">
        <f>IF($F560="","",Data!P560)</f>
        <v/>
      </c>
      <c r="F560" s="3" t="str">
        <f>IF(AND(Data!$B560='Individual Type'!$D$2, Data!$K560='All Types'!$D$2,Data!$L560='All Types'!$D$3),Data!M560,"")</f>
        <v/>
      </c>
    </row>
    <row r="561">
      <c r="A561" s="102" t="str">
        <f t="shared" si="1"/>
        <v/>
      </c>
      <c r="B561" s="3" t="str">
        <f>IF(AND(Data!$B561='Individual Type'!$D$2, Data!$K561='All Types'!$D$2,Data!$L561='All Types'!$D$3),Data!$B561,"")</f>
        <v/>
      </c>
      <c r="C561" s="3" t="str">
        <f>IF(F561="","",Data!N561)</f>
        <v/>
      </c>
      <c r="D561" s="3" t="str">
        <f>IF(AND(Data!$B561='Individual Type'!$D$2, Data!$K561='All Types'!$D$2,Data!$L561='All Types'!$D$3),Data!$C561,"")</f>
        <v/>
      </c>
      <c r="E561" s="3" t="str">
        <f>IF($F561="","",Data!P561)</f>
        <v/>
      </c>
      <c r="F561" s="3" t="str">
        <f>IF(AND(Data!$B561='Individual Type'!$D$2, Data!$K561='All Types'!$D$2,Data!$L561='All Types'!$D$3),Data!M561,"")</f>
        <v/>
      </c>
    </row>
    <row r="562">
      <c r="A562" s="102" t="str">
        <f t="shared" si="1"/>
        <v/>
      </c>
      <c r="B562" s="3" t="str">
        <f>IF(AND(Data!$B562='Individual Type'!$D$2, Data!$K562='All Types'!$D$2,Data!$L562='All Types'!$D$3),Data!$B562,"")</f>
        <v/>
      </c>
      <c r="C562" s="3" t="str">
        <f>IF(F562="","",Data!N562)</f>
        <v/>
      </c>
      <c r="D562" s="3" t="str">
        <f>IF(AND(Data!$B562='Individual Type'!$D$2, Data!$K562='All Types'!$D$2,Data!$L562='All Types'!$D$3),Data!$C562,"")</f>
        <v/>
      </c>
      <c r="E562" s="3" t="str">
        <f>IF($F562="","",Data!P562)</f>
        <v/>
      </c>
      <c r="F562" s="3" t="str">
        <f>IF(AND(Data!$B562='Individual Type'!$D$2, Data!$K562='All Types'!$D$2,Data!$L562='All Types'!$D$3),Data!M562,"")</f>
        <v/>
      </c>
    </row>
    <row r="563">
      <c r="A563" s="102" t="str">
        <f t="shared" si="1"/>
        <v/>
      </c>
      <c r="B563" s="3" t="str">
        <f>IF(AND(Data!$B563='Individual Type'!$D$2, Data!$K563='All Types'!$D$2,Data!$L563='All Types'!$D$3),Data!$B563,"")</f>
        <v/>
      </c>
      <c r="C563" s="3" t="str">
        <f>IF(F563="","",Data!N563)</f>
        <v/>
      </c>
      <c r="D563" s="3" t="str">
        <f>IF(AND(Data!$B563='Individual Type'!$D$2, Data!$K563='All Types'!$D$2,Data!$L563='All Types'!$D$3),Data!$C563,"")</f>
        <v/>
      </c>
      <c r="E563" s="3" t="str">
        <f>IF($F563="","",Data!P563)</f>
        <v/>
      </c>
      <c r="F563" s="3" t="str">
        <f>IF(AND(Data!$B563='Individual Type'!$D$2, Data!$K563='All Types'!$D$2,Data!$L563='All Types'!$D$3),Data!M563,"")</f>
        <v/>
      </c>
    </row>
    <row r="564">
      <c r="A564" s="102" t="str">
        <f t="shared" si="1"/>
        <v/>
      </c>
      <c r="B564" s="3" t="str">
        <f>IF(AND(Data!$B564='Individual Type'!$D$2, Data!$K564='All Types'!$D$2,Data!$L564='All Types'!$D$3),Data!$B564,"")</f>
        <v/>
      </c>
      <c r="C564" s="3" t="str">
        <f>IF(F564="","",Data!N564)</f>
        <v/>
      </c>
      <c r="D564" s="3" t="str">
        <f>IF(AND(Data!$B564='Individual Type'!$D$2, Data!$K564='All Types'!$D$2,Data!$L564='All Types'!$D$3),Data!$C564,"")</f>
        <v/>
      </c>
      <c r="E564" s="3" t="str">
        <f>IF($F564="","",Data!P564)</f>
        <v/>
      </c>
      <c r="F564" s="3" t="str">
        <f>IF(AND(Data!$B564='Individual Type'!$D$2, Data!$K564='All Types'!$D$2,Data!$L564='All Types'!$D$3),Data!M564,"")</f>
        <v/>
      </c>
    </row>
    <row r="565">
      <c r="A565" s="102" t="str">
        <f t="shared" si="1"/>
        <v/>
      </c>
      <c r="B565" s="3" t="str">
        <f>IF(AND(Data!$B565='Individual Type'!$D$2, Data!$K565='All Types'!$D$2,Data!$L565='All Types'!$D$3),Data!$B565,"")</f>
        <v/>
      </c>
      <c r="C565" s="3" t="str">
        <f>IF(F565="","",Data!N565)</f>
        <v/>
      </c>
      <c r="D565" s="3" t="str">
        <f>IF(AND(Data!$B565='Individual Type'!$D$2, Data!$K565='All Types'!$D$2,Data!$L565='All Types'!$D$3),Data!$C565,"")</f>
        <v/>
      </c>
      <c r="E565" s="3" t="str">
        <f>IF($F565="","",Data!P565)</f>
        <v/>
      </c>
      <c r="F565" s="3" t="str">
        <f>IF(AND(Data!$B565='Individual Type'!$D$2, Data!$K565='All Types'!$D$2,Data!$L565='All Types'!$D$3),Data!M565,"")</f>
        <v/>
      </c>
    </row>
    <row r="566">
      <c r="A566" s="102" t="str">
        <f t="shared" si="1"/>
        <v/>
      </c>
      <c r="B566" s="3" t="str">
        <f>IF(AND(Data!$B566='Individual Type'!$D$2, Data!$K566='All Types'!$D$2,Data!$L566='All Types'!$D$3),Data!$B566,"")</f>
        <v/>
      </c>
      <c r="C566" s="3" t="str">
        <f>IF(F566="","",Data!N566)</f>
        <v/>
      </c>
      <c r="D566" s="3" t="str">
        <f>IF(AND(Data!$B566='Individual Type'!$D$2, Data!$K566='All Types'!$D$2,Data!$L566='All Types'!$D$3),Data!$C566,"")</f>
        <v/>
      </c>
      <c r="E566" s="3" t="str">
        <f>IF($F566="","",Data!P566)</f>
        <v/>
      </c>
      <c r="F566" s="3" t="str">
        <f>IF(AND(Data!$B566='Individual Type'!$D$2, Data!$K566='All Types'!$D$2,Data!$L566='All Types'!$D$3),Data!M566,"")</f>
        <v/>
      </c>
    </row>
    <row r="567">
      <c r="A567" s="102" t="str">
        <f t="shared" si="1"/>
        <v/>
      </c>
      <c r="B567" s="3" t="str">
        <f>IF(AND(Data!$B567='Individual Type'!$D$2, Data!$K567='All Types'!$D$2,Data!$L567='All Types'!$D$3),Data!$B567,"")</f>
        <v/>
      </c>
      <c r="C567" s="3" t="str">
        <f>IF(F567="","",Data!N567)</f>
        <v/>
      </c>
      <c r="D567" s="3" t="str">
        <f>IF(AND(Data!$B567='Individual Type'!$D$2, Data!$K567='All Types'!$D$2,Data!$L567='All Types'!$D$3),Data!$C567,"")</f>
        <v/>
      </c>
      <c r="E567" s="3" t="str">
        <f>IF($F567="","",Data!P567)</f>
        <v/>
      </c>
      <c r="F567" s="3" t="str">
        <f>IF(AND(Data!$B567='Individual Type'!$D$2, Data!$K567='All Types'!$D$2,Data!$L567='All Types'!$D$3),Data!M567,"")</f>
        <v/>
      </c>
    </row>
    <row r="568">
      <c r="A568" s="102" t="str">
        <f t="shared" si="1"/>
        <v/>
      </c>
      <c r="B568" s="3" t="str">
        <f>IF(AND(Data!$B568='Individual Type'!$D$2, Data!$K568='All Types'!$D$2,Data!$L568='All Types'!$D$3),Data!$B568,"")</f>
        <v/>
      </c>
      <c r="C568" s="3" t="str">
        <f>IF(F568="","",Data!N568)</f>
        <v/>
      </c>
      <c r="D568" s="3" t="str">
        <f>IF(AND(Data!$B568='Individual Type'!$D$2, Data!$K568='All Types'!$D$2,Data!$L568='All Types'!$D$3),Data!$C568,"")</f>
        <v/>
      </c>
      <c r="E568" s="3" t="str">
        <f>IF($F568="","",Data!P568)</f>
        <v/>
      </c>
      <c r="F568" s="3" t="str">
        <f>IF(AND(Data!$B568='Individual Type'!$D$2, Data!$K568='All Types'!$D$2,Data!$L568='All Types'!$D$3),Data!M568,"")</f>
        <v/>
      </c>
    </row>
    <row r="569">
      <c r="A569" s="102" t="str">
        <f t="shared" si="1"/>
        <v/>
      </c>
      <c r="B569" s="3" t="str">
        <f>IF(AND(Data!$B569='Individual Type'!$D$2, Data!$K569='All Types'!$D$2,Data!$L569='All Types'!$D$3),Data!$B569,"")</f>
        <v/>
      </c>
      <c r="C569" s="3" t="str">
        <f>IF(F569="","",Data!N569)</f>
        <v/>
      </c>
      <c r="D569" s="3" t="str">
        <f>IF(AND(Data!$B569='Individual Type'!$D$2, Data!$K569='All Types'!$D$2,Data!$L569='All Types'!$D$3),Data!$C569,"")</f>
        <v/>
      </c>
      <c r="E569" s="3" t="str">
        <f>IF($F569="","",Data!P569)</f>
        <v/>
      </c>
      <c r="F569" s="3" t="str">
        <f>IF(AND(Data!$B569='Individual Type'!$D$2, Data!$K569='All Types'!$D$2,Data!$L569='All Types'!$D$3),Data!M569,"")</f>
        <v/>
      </c>
    </row>
    <row r="570">
      <c r="A570" s="102" t="str">
        <f t="shared" si="1"/>
        <v/>
      </c>
      <c r="B570" s="3" t="str">
        <f>IF(AND(Data!$B570='Individual Type'!$D$2, Data!$K570='All Types'!$D$2,Data!$L570='All Types'!$D$3),Data!$B570,"")</f>
        <v/>
      </c>
      <c r="C570" s="3" t="str">
        <f>IF(F570="","",Data!N570)</f>
        <v/>
      </c>
      <c r="D570" s="3" t="str">
        <f>IF(AND(Data!$B570='Individual Type'!$D$2, Data!$K570='All Types'!$D$2,Data!$L570='All Types'!$D$3),Data!$C570,"")</f>
        <v/>
      </c>
      <c r="E570" s="3" t="str">
        <f>IF($F570="","",Data!P570)</f>
        <v/>
      </c>
      <c r="F570" s="3" t="str">
        <f>IF(AND(Data!$B570='Individual Type'!$D$2, Data!$K570='All Types'!$D$2,Data!$L570='All Types'!$D$3),Data!M570,"")</f>
        <v/>
      </c>
    </row>
    <row r="571">
      <c r="A571" s="102" t="str">
        <f t="shared" si="1"/>
        <v/>
      </c>
      <c r="B571" s="3" t="str">
        <f>IF(AND(Data!$B571='Individual Type'!$D$2, Data!$K571='All Types'!$D$2,Data!$L571='All Types'!$D$3),Data!$B571,"")</f>
        <v/>
      </c>
      <c r="C571" s="3" t="str">
        <f>IF(F571="","",Data!N571)</f>
        <v/>
      </c>
      <c r="D571" s="3" t="str">
        <f>IF(AND(Data!$B571='Individual Type'!$D$2, Data!$K571='All Types'!$D$2,Data!$L571='All Types'!$D$3),Data!$C571,"")</f>
        <v/>
      </c>
      <c r="E571" s="3" t="str">
        <f>IF($F571="","",Data!P571)</f>
        <v/>
      </c>
      <c r="F571" s="3" t="str">
        <f>IF(AND(Data!$B571='Individual Type'!$D$2, Data!$K571='All Types'!$D$2,Data!$L571='All Types'!$D$3),Data!M571,"")</f>
        <v/>
      </c>
    </row>
    <row r="572">
      <c r="A572" s="102" t="str">
        <f t="shared" si="1"/>
        <v/>
      </c>
      <c r="B572" s="3" t="str">
        <f>IF(AND(Data!$B572='Individual Type'!$D$2, Data!$K572='All Types'!$D$2,Data!$L572='All Types'!$D$3),Data!$B572,"")</f>
        <v/>
      </c>
      <c r="C572" s="3" t="str">
        <f>IF(F572="","",Data!N572)</f>
        <v/>
      </c>
      <c r="D572" s="3" t="str">
        <f>IF(AND(Data!$B572='Individual Type'!$D$2, Data!$K572='All Types'!$D$2,Data!$L572='All Types'!$D$3),Data!$C572,"")</f>
        <v/>
      </c>
      <c r="E572" s="3" t="str">
        <f>IF($F572="","",Data!P572)</f>
        <v/>
      </c>
      <c r="F572" s="3" t="str">
        <f>IF(AND(Data!$B572='Individual Type'!$D$2, Data!$K572='All Types'!$D$2,Data!$L572='All Types'!$D$3),Data!M572,"")</f>
        <v/>
      </c>
    </row>
    <row r="573">
      <c r="A573" s="102" t="str">
        <f t="shared" si="1"/>
        <v/>
      </c>
      <c r="B573" s="3" t="str">
        <f>IF(AND(Data!$B573='Individual Type'!$D$2, Data!$K573='All Types'!$D$2,Data!$L573='All Types'!$D$3),Data!$B573,"")</f>
        <v/>
      </c>
      <c r="C573" s="3" t="str">
        <f>IF(F573="","",Data!N573)</f>
        <v/>
      </c>
      <c r="D573" s="3" t="str">
        <f>IF(AND(Data!$B573='Individual Type'!$D$2, Data!$K573='All Types'!$D$2,Data!$L573='All Types'!$D$3),Data!$C573,"")</f>
        <v/>
      </c>
      <c r="E573" s="3" t="str">
        <f>IF($F573="","",Data!P573)</f>
        <v/>
      </c>
      <c r="F573" s="3" t="str">
        <f>IF(AND(Data!$B573='Individual Type'!$D$2, Data!$K573='All Types'!$D$2,Data!$L573='All Types'!$D$3),Data!M573,"")</f>
        <v/>
      </c>
    </row>
    <row r="574">
      <c r="A574" s="102" t="str">
        <f t="shared" si="1"/>
        <v/>
      </c>
      <c r="B574" s="3" t="str">
        <f>IF(AND(Data!$B574='Individual Type'!$D$2, Data!$K574='All Types'!$D$2,Data!$L574='All Types'!$D$3),Data!$B574,"")</f>
        <v/>
      </c>
      <c r="C574" s="3" t="str">
        <f>IF(F574="","",Data!N574)</f>
        <v/>
      </c>
      <c r="D574" s="3" t="str">
        <f>IF(AND(Data!$B574='Individual Type'!$D$2, Data!$K574='All Types'!$D$2,Data!$L574='All Types'!$D$3),Data!$C574,"")</f>
        <v/>
      </c>
      <c r="E574" s="3" t="str">
        <f>IF($F574="","",Data!P574)</f>
        <v/>
      </c>
      <c r="F574" s="3" t="str">
        <f>IF(AND(Data!$B574='Individual Type'!$D$2, Data!$K574='All Types'!$D$2,Data!$L574='All Types'!$D$3),Data!M574,"")</f>
        <v/>
      </c>
    </row>
    <row r="575">
      <c r="A575" s="102" t="str">
        <f t="shared" si="1"/>
        <v/>
      </c>
      <c r="B575" s="3" t="str">
        <f>IF(AND(Data!$B575='Individual Type'!$D$2, Data!$K575='All Types'!$D$2,Data!$L575='All Types'!$D$3),Data!$B575,"")</f>
        <v/>
      </c>
      <c r="C575" s="3" t="str">
        <f>IF(F575="","",Data!N575)</f>
        <v/>
      </c>
      <c r="D575" s="3" t="str">
        <f>IF(AND(Data!$B575='Individual Type'!$D$2, Data!$K575='All Types'!$D$2,Data!$L575='All Types'!$D$3),Data!$C575,"")</f>
        <v/>
      </c>
      <c r="E575" s="3" t="str">
        <f>IF($F575="","",Data!P575)</f>
        <v/>
      </c>
      <c r="F575" s="3" t="str">
        <f>IF(AND(Data!$B575='Individual Type'!$D$2, Data!$K575='All Types'!$D$2,Data!$L575='All Types'!$D$3),Data!M575,"")</f>
        <v/>
      </c>
    </row>
    <row r="576">
      <c r="A576" s="102" t="str">
        <f t="shared" si="1"/>
        <v/>
      </c>
      <c r="B576" s="3" t="str">
        <f>IF(AND(Data!$B576='Individual Type'!$D$2, Data!$K576='All Types'!$D$2,Data!$L576='All Types'!$D$3),Data!$B576,"")</f>
        <v/>
      </c>
      <c r="C576" s="3" t="str">
        <f>IF(F576="","",Data!N576)</f>
        <v/>
      </c>
      <c r="D576" s="3" t="str">
        <f>IF(AND(Data!$B576='Individual Type'!$D$2, Data!$K576='All Types'!$D$2,Data!$L576='All Types'!$D$3),Data!$C576,"")</f>
        <v/>
      </c>
      <c r="E576" s="3" t="str">
        <f>IF($F576="","",Data!P576)</f>
        <v/>
      </c>
      <c r="F576" s="3" t="str">
        <f>IF(AND(Data!$B576='Individual Type'!$D$2, Data!$K576='All Types'!$D$2,Data!$L576='All Types'!$D$3),Data!M576,"")</f>
        <v/>
      </c>
    </row>
    <row r="577">
      <c r="A577" s="102" t="str">
        <f t="shared" si="1"/>
        <v/>
      </c>
      <c r="B577" s="3" t="str">
        <f>IF(AND(Data!$B577='Individual Type'!$D$2, Data!$K577='All Types'!$D$2,Data!$L577='All Types'!$D$3),Data!$B577,"")</f>
        <v/>
      </c>
      <c r="C577" s="3" t="str">
        <f>IF(F577="","",Data!N577)</f>
        <v/>
      </c>
      <c r="D577" s="3" t="str">
        <f>IF(AND(Data!$B577='Individual Type'!$D$2, Data!$K577='All Types'!$D$2,Data!$L577='All Types'!$D$3),Data!$C577,"")</f>
        <v/>
      </c>
      <c r="E577" s="3" t="str">
        <f>IF($F577="","",Data!P577)</f>
        <v/>
      </c>
      <c r="F577" s="3" t="str">
        <f>IF(AND(Data!$B577='Individual Type'!$D$2, Data!$K577='All Types'!$D$2,Data!$L577='All Types'!$D$3),Data!M577,"")</f>
        <v/>
      </c>
    </row>
    <row r="578">
      <c r="A578" s="102" t="str">
        <f t="shared" si="1"/>
        <v/>
      </c>
      <c r="B578" s="3" t="str">
        <f>IF(AND(Data!$B578='Individual Type'!$D$2, Data!$K578='All Types'!$D$2,Data!$L578='All Types'!$D$3),Data!$B578,"")</f>
        <v/>
      </c>
      <c r="C578" s="3" t="str">
        <f>IF(F578="","",Data!N578)</f>
        <v/>
      </c>
      <c r="D578" s="3" t="str">
        <f>IF(AND(Data!$B578='Individual Type'!$D$2, Data!$K578='All Types'!$D$2,Data!$L578='All Types'!$D$3),Data!$C578,"")</f>
        <v/>
      </c>
      <c r="E578" s="3" t="str">
        <f>IF($F578="","",Data!P578)</f>
        <v/>
      </c>
      <c r="F578" s="3" t="str">
        <f>IF(AND(Data!$B578='Individual Type'!$D$2, Data!$K578='All Types'!$D$2,Data!$L578='All Types'!$D$3),Data!M578,"")</f>
        <v/>
      </c>
    </row>
    <row r="579">
      <c r="A579" s="102" t="str">
        <f t="shared" si="1"/>
        <v/>
      </c>
      <c r="B579" s="3" t="str">
        <f>IF(AND(Data!$B579='Individual Type'!$D$2, Data!$K579='All Types'!$D$2,Data!$L579='All Types'!$D$3),Data!$B579,"")</f>
        <v/>
      </c>
      <c r="C579" s="3" t="str">
        <f>IF(F579="","",Data!N579)</f>
        <v/>
      </c>
      <c r="D579" s="3" t="str">
        <f>IF(AND(Data!$B579='Individual Type'!$D$2, Data!$K579='All Types'!$D$2,Data!$L579='All Types'!$D$3),Data!$C579,"")</f>
        <v/>
      </c>
      <c r="E579" s="3" t="str">
        <f>IF($F579="","",Data!P579)</f>
        <v/>
      </c>
      <c r="F579" s="3" t="str">
        <f>IF(AND(Data!$B579='Individual Type'!$D$2, Data!$K579='All Types'!$D$2,Data!$L579='All Types'!$D$3),Data!M579,"")</f>
        <v/>
      </c>
    </row>
    <row r="580">
      <c r="A580" s="102" t="str">
        <f t="shared" si="1"/>
        <v/>
      </c>
      <c r="B580" s="3" t="str">
        <f>IF(AND(Data!$B580='Individual Type'!$D$2, Data!$K580='All Types'!$D$2,Data!$L580='All Types'!$D$3),Data!$B580,"")</f>
        <v/>
      </c>
      <c r="C580" s="3" t="str">
        <f>IF(F580="","",Data!N580)</f>
        <v/>
      </c>
      <c r="D580" s="3" t="str">
        <f>IF(AND(Data!$B580='Individual Type'!$D$2, Data!$K580='All Types'!$D$2,Data!$L580='All Types'!$D$3),Data!$C580,"")</f>
        <v/>
      </c>
      <c r="E580" s="3" t="str">
        <f>IF($F580="","",Data!P580)</f>
        <v/>
      </c>
      <c r="F580" s="3" t="str">
        <f>IF(AND(Data!$B580='Individual Type'!$D$2, Data!$K580='All Types'!$D$2,Data!$L580='All Types'!$D$3),Data!M580,"")</f>
        <v/>
      </c>
    </row>
    <row r="581">
      <c r="A581" s="102" t="str">
        <f t="shared" si="1"/>
        <v/>
      </c>
      <c r="B581" s="3" t="str">
        <f>IF(AND(Data!$B581='Individual Type'!$D$2, Data!$K581='All Types'!$D$2,Data!$L581='All Types'!$D$3),Data!$B581,"")</f>
        <v/>
      </c>
      <c r="C581" s="3" t="str">
        <f>IF(F581="","",Data!N581)</f>
        <v/>
      </c>
      <c r="D581" s="3" t="str">
        <f>IF(AND(Data!$B581='Individual Type'!$D$2, Data!$K581='All Types'!$D$2,Data!$L581='All Types'!$D$3),Data!$C581,"")</f>
        <v/>
      </c>
      <c r="E581" s="3" t="str">
        <f>IF($F581="","",Data!P581)</f>
        <v/>
      </c>
      <c r="F581" s="3" t="str">
        <f>IF(AND(Data!$B581='Individual Type'!$D$2, Data!$K581='All Types'!$D$2,Data!$L581='All Types'!$D$3),Data!M581,"")</f>
        <v/>
      </c>
    </row>
    <row r="582">
      <c r="A582" s="102" t="str">
        <f t="shared" si="1"/>
        <v/>
      </c>
      <c r="B582" s="3" t="str">
        <f>IF(AND(Data!$B582='Individual Type'!$D$2, Data!$K582='All Types'!$D$2,Data!$L582='All Types'!$D$3),Data!$B582,"")</f>
        <v/>
      </c>
      <c r="C582" s="3" t="str">
        <f>IF(F582="","",Data!N582)</f>
        <v/>
      </c>
      <c r="D582" s="3" t="str">
        <f>IF(AND(Data!$B582='Individual Type'!$D$2, Data!$K582='All Types'!$D$2,Data!$L582='All Types'!$D$3),Data!$C582,"")</f>
        <v/>
      </c>
      <c r="E582" s="3" t="str">
        <f>IF($F582="","",Data!P582)</f>
        <v/>
      </c>
      <c r="F582" s="3" t="str">
        <f>IF(AND(Data!$B582='Individual Type'!$D$2, Data!$K582='All Types'!$D$2,Data!$L582='All Types'!$D$3),Data!M582,"")</f>
        <v/>
      </c>
    </row>
    <row r="583">
      <c r="A583" s="102" t="str">
        <f t="shared" si="1"/>
        <v/>
      </c>
      <c r="B583" s="3" t="str">
        <f>IF(AND(Data!$B583='Individual Type'!$D$2, Data!$K583='All Types'!$D$2,Data!$L583='All Types'!$D$3),Data!$B583,"")</f>
        <v/>
      </c>
      <c r="C583" s="3" t="str">
        <f>IF(F583="","",Data!N583)</f>
        <v/>
      </c>
      <c r="D583" s="3" t="str">
        <f>IF(AND(Data!$B583='Individual Type'!$D$2, Data!$K583='All Types'!$D$2,Data!$L583='All Types'!$D$3),Data!$C583,"")</f>
        <v/>
      </c>
      <c r="E583" s="3" t="str">
        <f>IF($F583="","",Data!P583)</f>
        <v/>
      </c>
      <c r="F583" s="3" t="str">
        <f>IF(AND(Data!$B583='Individual Type'!$D$2, Data!$K583='All Types'!$D$2,Data!$L583='All Types'!$D$3),Data!M583,"")</f>
        <v/>
      </c>
    </row>
    <row r="584">
      <c r="A584" s="102" t="str">
        <f t="shared" si="1"/>
        <v/>
      </c>
      <c r="B584" s="3" t="str">
        <f>IF(AND(Data!$B584='Individual Type'!$D$2, Data!$K584='All Types'!$D$2,Data!$L584='All Types'!$D$3),Data!$B584,"")</f>
        <v/>
      </c>
      <c r="C584" s="3" t="str">
        <f>IF(F584="","",Data!N584)</f>
        <v/>
      </c>
      <c r="D584" s="3" t="str">
        <f>IF(AND(Data!$B584='Individual Type'!$D$2, Data!$K584='All Types'!$D$2,Data!$L584='All Types'!$D$3),Data!$C584,"")</f>
        <v/>
      </c>
      <c r="E584" s="3" t="str">
        <f>IF($F584="","",Data!P584)</f>
        <v/>
      </c>
      <c r="F584" s="3" t="str">
        <f>IF(AND(Data!$B584='Individual Type'!$D$2, Data!$K584='All Types'!$D$2,Data!$L584='All Types'!$D$3),Data!M584,"")</f>
        <v/>
      </c>
    </row>
    <row r="585">
      <c r="A585" s="102" t="str">
        <f t="shared" si="1"/>
        <v/>
      </c>
      <c r="B585" s="3" t="str">
        <f>IF(AND(Data!$B585='Individual Type'!$D$2, Data!$K585='All Types'!$D$2,Data!$L585='All Types'!$D$3),Data!$B585,"")</f>
        <v/>
      </c>
      <c r="C585" s="3" t="str">
        <f>IF(F585="","",Data!N585)</f>
        <v/>
      </c>
      <c r="D585" s="3" t="str">
        <f>IF(AND(Data!$B585='Individual Type'!$D$2, Data!$K585='All Types'!$D$2,Data!$L585='All Types'!$D$3),Data!$C585,"")</f>
        <v/>
      </c>
      <c r="E585" s="3" t="str">
        <f>IF($F585="","",Data!P585)</f>
        <v/>
      </c>
      <c r="F585" s="3" t="str">
        <f>IF(AND(Data!$B585='Individual Type'!$D$2, Data!$K585='All Types'!$D$2,Data!$L585='All Types'!$D$3),Data!M585,"")</f>
        <v/>
      </c>
    </row>
    <row r="586">
      <c r="A586" s="102" t="str">
        <f t="shared" si="1"/>
        <v/>
      </c>
      <c r="B586" s="3" t="str">
        <f>IF(AND(Data!$B586='Individual Type'!$D$2, Data!$K586='All Types'!$D$2,Data!$L586='All Types'!$D$3),Data!$B586,"")</f>
        <v/>
      </c>
      <c r="C586" s="3" t="str">
        <f>IF(F586="","",Data!N586)</f>
        <v/>
      </c>
      <c r="D586" s="3" t="str">
        <f>IF(AND(Data!$B586='Individual Type'!$D$2, Data!$K586='All Types'!$D$2,Data!$L586='All Types'!$D$3),Data!$C586,"")</f>
        <v/>
      </c>
      <c r="E586" s="3" t="str">
        <f>IF($F586="","",Data!P586)</f>
        <v/>
      </c>
      <c r="F586" s="3" t="str">
        <f>IF(AND(Data!$B586='Individual Type'!$D$2, Data!$K586='All Types'!$D$2,Data!$L586='All Types'!$D$3),Data!M586,"")</f>
        <v/>
      </c>
    </row>
    <row r="587">
      <c r="A587" s="102" t="str">
        <f t="shared" si="1"/>
        <v/>
      </c>
      <c r="B587" s="3" t="str">
        <f>IF(AND(Data!$B587='Individual Type'!$D$2, Data!$K587='All Types'!$D$2,Data!$L587='All Types'!$D$3),Data!$B587,"")</f>
        <v/>
      </c>
      <c r="C587" s="3" t="str">
        <f>IF(F587="","",Data!N587)</f>
        <v/>
      </c>
      <c r="D587" s="3" t="str">
        <f>IF(AND(Data!$B587='Individual Type'!$D$2, Data!$K587='All Types'!$D$2,Data!$L587='All Types'!$D$3),Data!$C587,"")</f>
        <v/>
      </c>
      <c r="E587" s="3" t="str">
        <f>IF($F587="","",Data!P587)</f>
        <v/>
      </c>
      <c r="F587" s="3" t="str">
        <f>IF(AND(Data!$B587='Individual Type'!$D$2, Data!$K587='All Types'!$D$2,Data!$L587='All Types'!$D$3),Data!M587,"")</f>
        <v/>
      </c>
    </row>
    <row r="588">
      <c r="A588" s="102" t="str">
        <f t="shared" si="1"/>
        <v/>
      </c>
      <c r="B588" s="3" t="str">
        <f>IF(AND(Data!$B588='Individual Type'!$D$2, Data!$K588='All Types'!$D$2,Data!$L588='All Types'!$D$3),Data!$B588,"")</f>
        <v/>
      </c>
      <c r="C588" s="3" t="str">
        <f>IF(F588="","",Data!N588)</f>
        <v/>
      </c>
      <c r="D588" s="3" t="str">
        <f>IF(AND(Data!$B588='Individual Type'!$D$2, Data!$K588='All Types'!$D$2,Data!$L588='All Types'!$D$3),Data!$C588,"")</f>
        <v/>
      </c>
      <c r="E588" s="3" t="str">
        <f>IF($F588="","",Data!P588)</f>
        <v/>
      </c>
      <c r="F588" s="3" t="str">
        <f>IF(AND(Data!$B588='Individual Type'!$D$2, Data!$K588='All Types'!$D$2,Data!$L588='All Types'!$D$3),Data!M588,"")</f>
        <v/>
      </c>
    </row>
    <row r="589">
      <c r="A589" s="102" t="str">
        <f t="shared" si="1"/>
        <v/>
      </c>
      <c r="B589" s="3" t="str">
        <f>IF(AND(Data!$B589='Individual Type'!$D$2, Data!$K589='All Types'!$D$2,Data!$L589='All Types'!$D$3),Data!$B589,"")</f>
        <v/>
      </c>
      <c r="C589" s="3" t="str">
        <f>IF(F589="","",Data!N589)</f>
        <v/>
      </c>
      <c r="D589" s="3" t="str">
        <f>IF(AND(Data!$B589='Individual Type'!$D$2, Data!$K589='All Types'!$D$2,Data!$L589='All Types'!$D$3),Data!$C589,"")</f>
        <v/>
      </c>
      <c r="E589" s="3" t="str">
        <f>IF($F589="","",Data!P589)</f>
        <v/>
      </c>
      <c r="F589" s="3" t="str">
        <f>IF(AND(Data!$B589='Individual Type'!$D$2, Data!$K589='All Types'!$D$2,Data!$L589='All Types'!$D$3),Data!M589,"")</f>
        <v/>
      </c>
    </row>
    <row r="590">
      <c r="A590" s="102" t="str">
        <f t="shared" si="1"/>
        <v/>
      </c>
      <c r="B590" s="3" t="str">
        <f>IF(AND(Data!$B590='Individual Type'!$D$2, Data!$K590='All Types'!$D$2,Data!$L590='All Types'!$D$3),Data!$B590,"")</f>
        <v/>
      </c>
      <c r="C590" s="3" t="str">
        <f>IF(F590="","",Data!N590)</f>
        <v/>
      </c>
      <c r="D590" s="3" t="str">
        <f>IF(AND(Data!$B590='Individual Type'!$D$2, Data!$K590='All Types'!$D$2,Data!$L590='All Types'!$D$3),Data!$C590,"")</f>
        <v/>
      </c>
      <c r="E590" s="3" t="str">
        <f>IF($F590="","",Data!P590)</f>
        <v/>
      </c>
      <c r="F590" s="3" t="str">
        <f>IF(AND(Data!$B590='Individual Type'!$D$2, Data!$K590='All Types'!$D$2,Data!$L590='All Types'!$D$3),Data!M590,"")</f>
        <v/>
      </c>
    </row>
    <row r="591">
      <c r="A591" s="102" t="str">
        <f t="shared" si="1"/>
        <v/>
      </c>
      <c r="B591" s="3" t="str">
        <f>IF(AND(Data!$B591='Individual Type'!$D$2, Data!$K591='All Types'!$D$2,Data!$L591='All Types'!$D$3),Data!$B591,"")</f>
        <v/>
      </c>
      <c r="C591" s="3" t="str">
        <f>IF(F591="","",Data!N591)</f>
        <v/>
      </c>
      <c r="D591" s="3" t="str">
        <f>IF(AND(Data!$B591='Individual Type'!$D$2, Data!$K591='All Types'!$D$2,Data!$L591='All Types'!$D$3),Data!$C591,"")</f>
        <v/>
      </c>
      <c r="E591" s="3" t="str">
        <f>IF($F591="","",Data!P591)</f>
        <v/>
      </c>
      <c r="F591" s="3" t="str">
        <f>IF(AND(Data!$B591='Individual Type'!$D$2, Data!$K591='All Types'!$D$2,Data!$L591='All Types'!$D$3),Data!M591,"")</f>
        <v/>
      </c>
    </row>
    <row r="592">
      <c r="A592" s="102" t="str">
        <f t="shared" si="1"/>
        <v/>
      </c>
      <c r="B592" s="3" t="str">
        <f>IF(AND(Data!$B592='Individual Type'!$D$2, Data!$K592='All Types'!$D$2,Data!$L592='All Types'!$D$3),Data!$B592,"")</f>
        <v/>
      </c>
      <c r="C592" s="3" t="str">
        <f>IF(F592="","",Data!N592)</f>
        <v/>
      </c>
      <c r="D592" s="3" t="str">
        <f>IF(AND(Data!$B592='Individual Type'!$D$2, Data!$K592='All Types'!$D$2,Data!$L592='All Types'!$D$3),Data!$C592,"")</f>
        <v/>
      </c>
      <c r="E592" s="3" t="str">
        <f>IF($F592="","",Data!P592)</f>
        <v/>
      </c>
      <c r="F592" s="3" t="str">
        <f>IF(AND(Data!$B592='Individual Type'!$D$2, Data!$K592='All Types'!$D$2,Data!$L592='All Types'!$D$3),Data!M592,"")</f>
        <v/>
      </c>
    </row>
    <row r="593">
      <c r="A593" s="102" t="str">
        <f t="shared" si="1"/>
        <v/>
      </c>
      <c r="B593" s="3" t="str">
        <f>IF(AND(Data!$B593='Individual Type'!$D$2, Data!$K593='All Types'!$D$2,Data!$L593='All Types'!$D$3),Data!$B593,"")</f>
        <v/>
      </c>
      <c r="C593" s="3" t="str">
        <f>IF(F593="","",Data!N593)</f>
        <v/>
      </c>
      <c r="D593" s="3" t="str">
        <f>IF(AND(Data!$B593='Individual Type'!$D$2, Data!$K593='All Types'!$D$2,Data!$L593='All Types'!$D$3),Data!$C593,"")</f>
        <v/>
      </c>
      <c r="E593" s="3" t="str">
        <f>IF($F593="","",Data!P593)</f>
        <v/>
      </c>
      <c r="F593" s="3" t="str">
        <f>IF(AND(Data!$B593='Individual Type'!$D$2, Data!$K593='All Types'!$D$2,Data!$L593='All Types'!$D$3),Data!M593,"")</f>
        <v/>
      </c>
    </row>
    <row r="594">
      <c r="A594" s="102" t="str">
        <f t="shared" si="1"/>
        <v/>
      </c>
      <c r="B594" s="3" t="str">
        <f>IF(AND(Data!$B594='Individual Type'!$D$2, Data!$K594='All Types'!$D$2,Data!$L594='All Types'!$D$3),Data!$B594,"")</f>
        <v/>
      </c>
      <c r="C594" s="3" t="str">
        <f>IF(F594="","",Data!N594)</f>
        <v/>
      </c>
      <c r="D594" s="3" t="str">
        <f>IF(AND(Data!$B594='Individual Type'!$D$2, Data!$K594='All Types'!$D$2,Data!$L594='All Types'!$D$3),Data!$C594,"")</f>
        <v/>
      </c>
      <c r="E594" s="3" t="str">
        <f>IF($F594="","",Data!P594)</f>
        <v/>
      </c>
      <c r="F594" s="3" t="str">
        <f>IF(AND(Data!$B594='Individual Type'!$D$2, Data!$K594='All Types'!$D$2,Data!$L594='All Types'!$D$3),Data!M594,"")</f>
        <v/>
      </c>
    </row>
    <row r="595">
      <c r="A595" s="102" t="str">
        <f t="shared" si="1"/>
        <v/>
      </c>
      <c r="B595" s="3" t="str">
        <f>IF(AND(Data!$B595='Individual Type'!$D$2, Data!$K595='All Types'!$D$2,Data!$L595='All Types'!$D$3),Data!$B595,"")</f>
        <v/>
      </c>
      <c r="C595" s="3" t="str">
        <f>IF(F595="","",Data!N595)</f>
        <v/>
      </c>
      <c r="D595" s="3" t="str">
        <f>IF(AND(Data!$B595='Individual Type'!$D$2, Data!$K595='All Types'!$D$2,Data!$L595='All Types'!$D$3),Data!$C595,"")</f>
        <v/>
      </c>
      <c r="E595" s="3" t="str">
        <f>IF($F595="","",Data!P595)</f>
        <v/>
      </c>
      <c r="F595" s="3" t="str">
        <f>IF(AND(Data!$B595='Individual Type'!$D$2, Data!$K595='All Types'!$D$2,Data!$L595='All Types'!$D$3),Data!M595,"")</f>
        <v/>
      </c>
    </row>
    <row r="596">
      <c r="A596" s="102" t="str">
        <f t="shared" si="1"/>
        <v/>
      </c>
      <c r="B596" s="3" t="str">
        <f>IF(AND(Data!$B596='Individual Type'!$D$2, Data!$K596='All Types'!$D$2,Data!$L596='All Types'!$D$3),Data!$B596,"")</f>
        <v/>
      </c>
      <c r="C596" s="3" t="str">
        <f>IF(F596="","",Data!N596)</f>
        <v/>
      </c>
      <c r="D596" s="3" t="str">
        <f>IF(AND(Data!$B596='Individual Type'!$D$2, Data!$K596='All Types'!$D$2,Data!$L596='All Types'!$D$3),Data!$C596,"")</f>
        <v/>
      </c>
      <c r="E596" s="3" t="str">
        <f>IF($F596="","",Data!P596)</f>
        <v/>
      </c>
      <c r="F596" s="3" t="str">
        <f>IF(AND(Data!$B596='Individual Type'!$D$2, Data!$K596='All Types'!$D$2,Data!$L596='All Types'!$D$3),Data!M596,"")</f>
        <v/>
      </c>
    </row>
    <row r="597">
      <c r="A597" s="102" t="str">
        <f t="shared" si="1"/>
        <v/>
      </c>
      <c r="B597" s="3" t="str">
        <f>IF(AND(Data!$B597='Individual Type'!$D$2, Data!$K597='All Types'!$D$2,Data!$L597='All Types'!$D$3),Data!$B597,"")</f>
        <v/>
      </c>
      <c r="C597" s="3" t="str">
        <f>IF(F597="","",Data!N597)</f>
        <v/>
      </c>
      <c r="D597" s="3" t="str">
        <f>IF(AND(Data!$B597='Individual Type'!$D$2, Data!$K597='All Types'!$D$2,Data!$L597='All Types'!$D$3),Data!$C597,"")</f>
        <v/>
      </c>
      <c r="E597" s="3" t="str">
        <f>IF($F597="","",Data!P597)</f>
        <v/>
      </c>
      <c r="F597" s="3" t="str">
        <f>IF(AND(Data!$B597='Individual Type'!$D$2, Data!$K597='All Types'!$D$2,Data!$L597='All Types'!$D$3),Data!M597,"")</f>
        <v/>
      </c>
    </row>
    <row r="598">
      <c r="A598" s="102" t="str">
        <f t="shared" si="1"/>
        <v/>
      </c>
      <c r="B598" s="3" t="str">
        <f>IF(AND(Data!$B598='Individual Type'!$D$2, Data!$K598='All Types'!$D$2,Data!$L598='All Types'!$D$3),Data!$B598,"")</f>
        <v/>
      </c>
      <c r="C598" s="3" t="str">
        <f>IF(F598="","",Data!N598)</f>
        <v/>
      </c>
      <c r="D598" s="3" t="str">
        <f>IF(AND(Data!$B598='Individual Type'!$D$2, Data!$K598='All Types'!$D$2,Data!$L598='All Types'!$D$3),Data!$C598,"")</f>
        <v/>
      </c>
      <c r="E598" s="3" t="str">
        <f>IF($F598="","",Data!P598)</f>
        <v/>
      </c>
      <c r="F598" s="3" t="str">
        <f>IF(AND(Data!$B598='Individual Type'!$D$2, Data!$K598='All Types'!$D$2,Data!$L598='All Types'!$D$3),Data!M598,"")</f>
        <v/>
      </c>
    </row>
    <row r="599">
      <c r="A599" s="102" t="str">
        <f t="shared" si="1"/>
        <v/>
      </c>
      <c r="B599" s="3" t="str">
        <f>IF(AND(Data!$B599='Individual Type'!$D$2, Data!$K599='All Types'!$D$2,Data!$L599='All Types'!$D$3),Data!$B599,"")</f>
        <v/>
      </c>
      <c r="C599" s="3" t="str">
        <f>IF(F599="","",Data!N599)</f>
        <v/>
      </c>
      <c r="D599" s="3" t="str">
        <f>IF(AND(Data!$B599='Individual Type'!$D$2, Data!$K599='All Types'!$D$2,Data!$L599='All Types'!$D$3),Data!$C599,"")</f>
        <v/>
      </c>
      <c r="E599" s="3" t="str">
        <f>IF($F599="","",Data!P599)</f>
        <v/>
      </c>
      <c r="F599" s="3" t="str">
        <f>IF(AND(Data!$B599='Individual Type'!$D$2, Data!$K599='All Types'!$D$2,Data!$L599='All Types'!$D$3),Data!M599,"")</f>
        <v/>
      </c>
    </row>
    <row r="600">
      <c r="A600" s="102" t="str">
        <f t="shared" si="1"/>
        <v/>
      </c>
      <c r="B600" s="3" t="str">
        <f>IF(AND(Data!$B600='Individual Type'!$D$2, Data!$K600='All Types'!$D$2,Data!$L600='All Types'!$D$3),Data!$B600,"")</f>
        <v/>
      </c>
      <c r="C600" s="3" t="str">
        <f>IF(F600="","",Data!N600)</f>
        <v/>
      </c>
      <c r="D600" s="3" t="str">
        <f>IF(AND(Data!$B600='Individual Type'!$D$2, Data!$K600='All Types'!$D$2,Data!$L600='All Types'!$D$3),Data!$C600,"")</f>
        <v/>
      </c>
      <c r="E600" s="3" t="str">
        <f>IF($F600="","",Data!P600)</f>
        <v/>
      </c>
      <c r="F600" s="3" t="str">
        <f>IF(AND(Data!$B600='Individual Type'!$D$2, Data!$K600='All Types'!$D$2,Data!$L600='All Types'!$D$3),Data!M600,"")</f>
        <v/>
      </c>
    </row>
    <row r="601">
      <c r="A601" s="102" t="str">
        <f t="shared" si="1"/>
        <v/>
      </c>
      <c r="B601" s="3" t="str">
        <f>IF(AND(Data!$B601='Individual Type'!$D$2, Data!$K601='All Types'!$D$2,Data!$L601='All Types'!$D$3),Data!$B601,"")</f>
        <v/>
      </c>
      <c r="C601" s="3" t="str">
        <f>IF(F601="","",Data!N601)</f>
        <v/>
      </c>
      <c r="D601" s="3" t="str">
        <f>IF(AND(Data!$B601='Individual Type'!$D$2, Data!$K601='All Types'!$D$2,Data!$L601='All Types'!$D$3),Data!$C601,"")</f>
        <v/>
      </c>
      <c r="E601" s="3" t="str">
        <f>IF($F601="","",Data!P601)</f>
        <v/>
      </c>
      <c r="F601" s="3" t="str">
        <f>IF(AND(Data!$B601='Individual Type'!$D$2, Data!$K601='All Types'!$D$2,Data!$L601='All Types'!$D$3),Data!M601,"")</f>
        <v/>
      </c>
    </row>
    <row r="602">
      <c r="A602" s="102" t="str">
        <f t="shared" si="1"/>
        <v/>
      </c>
      <c r="B602" s="3" t="str">
        <f>IF(AND(Data!$B602='Individual Type'!$D$2, Data!$K602='All Types'!$D$2,Data!$L602='All Types'!$D$3),Data!$B602,"")</f>
        <v/>
      </c>
      <c r="C602" s="3" t="str">
        <f>IF(F602="","",Data!N602)</f>
        <v/>
      </c>
      <c r="D602" s="3" t="str">
        <f>IF(AND(Data!$B602='Individual Type'!$D$2, Data!$K602='All Types'!$D$2,Data!$L602='All Types'!$D$3),Data!$C602,"")</f>
        <v/>
      </c>
      <c r="E602" s="3" t="str">
        <f>IF($F602="","",Data!P602)</f>
        <v/>
      </c>
      <c r="F602" s="3" t="str">
        <f>IF(AND(Data!$B602='Individual Type'!$D$2, Data!$K602='All Types'!$D$2,Data!$L602='All Types'!$D$3),Data!M602,"")</f>
        <v/>
      </c>
    </row>
    <row r="603">
      <c r="A603" s="102" t="str">
        <f t="shared" si="1"/>
        <v/>
      </c>
      <c r="B603" s="3" t="str">
        <f>IF(AND(Data!$B603='Individual Type'!$D$2, Data!$K603='All Types'!$D$2,Data!$L603='All Types'!$D$3),Data!$B603,"")</f>
        <v/>
      </c>
      <c r="C603" s="3" t="str">
        <f>IF(F603="","",Data!N603)</f>
        <v/>
      </c>
      <c r="D603" s="3" t="str">
        <f>IF(AND(Data!$B603='Individual Type'!$D$2, Data!$K603='All Types'!$D$2,Data!$L603='All Types'!$D$3),Data!$C603,"")</f>
        <v/>
      </c>
      <c r="E603" s="3" t="str">
        <f>IF($F603="","",Data!P603)</f>
        <v/>
      </c>
      <c r="F603" s="3" t="str">
        <f>IF(AND(Data!$B603='Individual Type'!$D$2, Data!$K603='All Types'!$D$2,Data!$L603='All Types'!$D$3),Data!M603,"")</f>
        <v/>
      </c>
    </row>
    <row r="604">
      <c r="A604" s="102" t="str">
        <f t="shared" si="1"/>
        <v/>
      </c>
      <c r="B604" s="3" t="str">
        <f>IF(AND(Data!$B604='Individual Type'!$D$2, Data!$K604='All Types'!$D$2,Data!$L604='All Types'!$D$3),Data!$B604,"")</f>
        <v/>
      </c>
      <c r="C604" s="3" t="str">
        <f>IF(F604="","",Data!N604)</f>
        <v/>
      </c>
      <c r="D604" s="3" t="str">
        <f>IF(AND(Data!$B604='Individual Type'!$D$2, Data!$K604='All Types'!$D$2,Data!$L604='All Types'!$D$3),Data!$C604,"")</f>
        <v/>
      </c>
      <c r="E604" s="3" t="str">
        <f>IF($F604="","",Data!P604)</f>
        <v/>
      </c>
      <c r="F604" s="3" t="str">
        <f>IF(AND(Data!$B604='Individual Type'!$D$2, Data!$K604='All Types'!$D$2,Data!$L604='All Types'!$D$3),Data!M604,"")</f>
        <v/>
      </c>
    </row>
    <row r="605">
      <c r="A605" s="102" t="str">
        <f t="shared" si="1"/>
        <v/>
      </c>
      <c r="B605" s="3" t="str">
        <f>IF(AND(Data!$B605='Individual Type'!$D$2, Data!$K605='All Types'!$D$2,Data!$L605='All Types'!$D$3),Data!$B605,"")</f>
        <v/>
      </c>
      <c r="C605" s="3" t="str">
        <f>IF(F605="","",Data!N605)</f>
        <v/>
      </c>
      <c r="D605" s="3" t="str">
        <f>IF(AND(Data!$B605='Individual Type'!$D$2, Data!$K605='All Types'!$D$2,Data!$L605='All Types'!$D$3),Data!$C605,"")</f>
        <v/>
      </c>
      <c r="E605" s="3" t="str">
        <f>IF($F605="","",Data!P605)</f>
        <v/>
      </c>
      <c r="F605" s="3" t="str">
        <f>IF(AND(Data!$B605='Individual Type'!$D$2, Data!$K605='All Types'!$D$2,Data!$L605='All Types'!$D$3),Data!M605,"")</f>
        <v/>
      </c>
    </row>
    <row r="606">
      <c r="A606" s="102" t="str">
        <f t="shared" si="1"/>
        <v/>
      </c>
      <c r="B606" s="3" t="str">
        <f>IF(AND(Data!$B606='Individual Type'!$D$2, Data!$K606='All Types'!$D$2,Data!$L606='All Types'!$D$3),Data!$B606,"")</f>
        <v/>
      </c>
      <c r="C606" s="3" t="str">
        <f>IF(F606="","",Data!N606)</f>
        <v/>
      </c>
      <c r="D606" s="3" t="str">
        <f>IF(AND(Data!$B606='Individual Type'!$D$2, Data!$K606='All Types'!$D$2,Data!$L606='All Types'!$D$3),Data!$C606,"")</f>
        <v/>
      </c>
      <c r="E606" s="3" t="str">
        <f>IF($F606="","",Data!P606)</f>
        <v/>
      </c>
      <c r="F606" s="3" t="str">
        <f>IF(AND(Data!$B606='Individual Type'!$D$2, Data!$K606='All Types'!$D$2,Data!$L606='All Types'!$D$3),Data!M606,"")</f>
        <v/>
      </c>
    </row>
    <row r="607">
      <c r="A607" s="102" t="str">
        <f t="shared" si="1"/>
        <v/>
      </c>
      <c r="B607" s="3" t="str">
        <f>IF(AND(Data!$B607='Individual Type'!$D$2, Data!$K607='All Types'!$D$2,Data!$L607='All Types'!$D$3),Data!$B607,"")</f>
        <v/>
      </c>
      <c r="C607" s="3" t="str">
        <f>IF(F607="","",Data!N607)</f>
        <v/>
      </c>
      <c r="D607" s="3" t="str">
        <f>IF(AND(Data!$B607='Individual Type'!$D$2, Data!$K607='All Types'!$D$2,Data!$L607='All Types'!$D$3),Data!$C607,"")</f>
        <v/>
      </c>
      <c r="E607" s="3" t="str">
        <f>IF($F607="","",Data!P607)</f>
        <v/>
      </c>
      <c r="F607" s="3" t="str">
        <f>IF(AND(Data!$B607='Individual Type'!$D$2, Data!$K607='All Types'!$D$2,Data!$L607='All Types'!$D$3),Data!M607,"")</f>
        <v/>
      </c>
    </row>
    <row r="608">
      <c r="A608" s="102" t="str">
        <f t="shared" si="1"/>
        <v/>
      </c>
      <c r="B608" s="3" t="str">
        <f>IF(AND(Data!$B608='Individual Type'!$D$2, Data!$K608='All Types'!$D$2,Data!$L608='All Types'!$D$3),Data!$B608,"")</f>
        <v/>
      </c>
      <c r="C608" s="3" t="str">
        <f>IF(F608="","",Data!N608)</f>
        <v/>
      </c>
      <c r="D608" s="3" t="str">
        <f>IF(AND(Data!$B608='Individual Type'!$D$2, Data!$K608='All Types'!$D$2,Data!$L608='All Types'!$D$3),Data!$C608,"")</f>
        <v/>
      </c>
      <c r="E608" s="3" t="str">
        <f>IF($F608="","",Data!P608)</f>
        <v/>
      </c>
      <c r="F608" s="3" t="str">
        <f>IF(AND(Data!$B608='Individual Type'!$D$2, Data!$K608='All Types'!$D$2,Data!$L608='All Types'!$D$3),Data!M608,"")</f>
        <v/>
      </c>
    </row>
    <row r="609">
      <c r="A609" s="102" t="str">
        <f t="shared" si="1"/>
        <v/>
      </c>
      <c r="B609" s="3" t="str">
        <f>IF(AND(Data!$B609='Individual Type'!$D$2, Data!$K609='All Types'!$D$2,Data!$L609='All Types'!$D$3),Data!$B609,"")</f>
        <v/>
      </c>
      <c r="C609" s="3" t="str">
        <f>IF(F609="","",Data!N609)</f>
        <v/>
      </c>
      <c r="D609" s="3" t="str">
        <f>IF(AND(Data!$B609='Individual Type'!$D$2, Data!$K609='All Types'!$D$2,Data!$L609='All Types'!$D$3),Data!$C609,"")</f>
        <v/>
      </c>
      <c r="E609" s="3" t="str">
        <f>IF($F609="","",Data!P609)</f>
        <v/>
      </c>
      <c r="F609" s="3" t="str">
        <f>IF(AND(Data!$B609='Individual Type'!$D$2, Data!$K609='All Types'!$D$2,Data!$L609='All Types'!$D$3),Data!M609,"")</f>
        <v/>
      </c>
    </row>
    <row r="610">
      <c r="A610" s="102" t="str">
        <f t="shared" si="1"/>
        <v/>
      </c>
      <c r="B610" s="3" t="str">
        <f>IF(AND(Data!$B610='Individual Type'!$D$2, Data!$K610='All Types'!$D$2,Data!$L610='All Types'!$D$3),Data!$B610,"")</f>
        <v/>
      </c>
      <c r="C610" s="3" t="str">
        <f>IF(F610="","",Data!N610)</f>
        <v/>
      </c>
      <c r="D610" s="3" t="str">
        <f>IF(AND(Data!$B610='Individual Type'!$D$2, Data!$K610='All Types'!$D$2,Data!$L610='All Types'!$D$3),Data!$C610,"")</f>
        <v/>
      </c>
      <c r="E610" s="3" t="str">
        <f>IF($F610="","",Data!P610)</f>
        <v/>
      </c>
      <c r="F610" s="3" t="str">
        <f>IF(AND(Data!$B610='Individual Type'!$D$2, Data!$K610='All Types'!$D$2,Data!$L610='All Types'!$D$3),Data!M610,"")</f>
        <v/>
      </c>
    </row>
    <row r="611">
      <c r="A611" s="102" t="str">
        <f t="shared" si="1"/>
        <v/>
      </c>
      <c r="B611" s="3" t="str">
        <f>IF(AND(Data!$B611='Individual Type'!$D$2, Data!$K611='All Types'!$D$2,Data!$L611='All Types'!$D$3),Data!$B611,"")</f>
        <v/>
      </c>
      <c r="C611" s="3" t="str">
        <f>IF(F611="","",Data!N611)</f>
        <v/>
      </c>
      <c r="D611" s="3" t="str">
        <f>IF(AND(Data!$B611='Individual Type'!$D$2, Data!$K611='All Types'!$D$2,Data!$L611='All Types'!$D$3),Data!$C611,"")</f>
        <v/>
      </c>
      <c r="E611" s="3" t="str">
        <f>IF($F611="","",Data!P611)</f>
        <v/>
      </c>
      <c r="F611" s="3" t="str">
        <f>IF(AND(Data!$B611='Individual Type'!$D$2, Data!$K611='All Types'!$D$2,Data!$L611='All Types'!$D$3),Data!M611,"")</f>
        <v/>
      </c>
    </row>
    <row r="612">
      <c r="A612" s="102" t="str">
        <f t="shared" si="1"/>
        <v/>
      </c>
      <c r="B612" s="3" t="str">
        <f>IF(AND(Data!$B612='Individual Type'!$D$2, Data!$K612='All Types'!$D$2,Data!$L612='All Types'!$D$3),Data!$B612,"")</f>
        <v/>
      </c>
      <c r="C612" s="3" t="str">
        <f>IF(F612="","",Data!N612)</f>
        <v/>
      </c>
      <c r="D612" s="3" t="str">
        <f>IF(AND(Data!$B612='Individual Type'!$D$2, Data!$K612='All Types'!$D$2,Data!$L612='All Types'!$D$3),Data!$C612,"")</f>
        <v/>
      </c>
      <c r="E612" s="3" t="str">
        <f>IF($F612="","",Data!P612)</f>
        <v/>
      </c>
      <c r="F612" s="3" t="str">
        <f>IF(AND(Data!$B612='Individual Type'!$D$2, Data!$K612='All Types'!$D$2,Data!$L612='All Types'!$D$3),Data!M612,"")</f>
        <v/>
      </c>
    </row>
    <row r="613">
      <c r="A613" s="102" t="str">
        <f t="shared" si="1"/>
        <v/>
      </c>
      <c r="B613" s="3" t="str">
        <f>IF(AND(Data!$B613='Individual Type'!$D$2, Data!$K613='All Types'!$D$2,Data!$L613='All Types'!$D$3),Data!$B613,"")</f>
        <v/>
      </c>
      <c r="C613" s="3" t="str">
        <f>IF(F613="","",Data!N613)</f>
        <v/>
      </c>
      <c r="D613" s="3" t="str">
        <f>IF(AND(Data!$B613='Individual Type'!$D$2, Data!$K613='All Types'!$D$2,Data!$L613='All Types'!$D$3),Data!$C613,"")</f>
        <v/>
      </c>
      <c r="E613" s="3" t="str">
        <f>IF($F613="","",Data!P613)</f>
        <v/>
      </c>
      <c r="F613" s="3" t="str">
        <f>IF(AND(Data!$B613='Individual Type'!$D$2, Data!$K613='All Types'!$D$2,Data!$L613='All Types'!$D$3),Data!M613,"")</f>
        <v/>
      </c>
    </row>
    <row r="614">
      <c r="A614" s="102" t="str">
        <f t="shared" si="1"/>
        <v/>
      </c>
      <c r="B614" s="3" t="str">
        <f>IF(AND(Data!$B614='Individual Type'!$D$2, Data!$K614='All Types'!$D$2,Data!$L614='All Types'!$D$3),Data!$B614,"")</f>
        <v/>
      </c>
      <c r="C614" s="3" t="str">
        <f>IF(F614="","",Data!N614)</f>
        <v/>
      </c>
      <c r="D614" s="3" t="str">
        <f>IF(AND(Data!$B614='Individual Type'!$D$2, Data!$K614='All Types'!$D$2,Data!$L614='All Types'!$D$3),Data!$C614,"")</f>
        <v/>
      </c>
      <c r="E614" s="3" t="str">
        <f>IF($F614="","",Data!P614)</f>
        <v/>
      </c>
      <c r="F614" s="3" t="str">
        <f>IF(AND(Data!$B614='Individual Type'!$D$2, Data!$K614='All Types'!$D$2,Data!$L614='All Types'!$D$3),Data!M614,"")</f>
        <v/>
      </c>
    </row>
    <row r="615">
      <c r="A615" s="102" t="str">
        <f t="shared" si="1"/>
        <v/>
      </c>
      <c r="B615" s="3" t="str">
        <f>IF(AND(Data!$B615='Individual Type'!$D$2, Data!$K615='All Types'!$D$2,Data!$L615='All Types'!$D$3),Data!$B615,"")</f>
        <v/>
      </c>
      <c r="C615" s="3" t="str">
        <f>IF(F615="","",Data!N615)</f>
        <v/>
      </c>
      <c r="D615" s="3" t="str">
        <f>IF(AND(Data!$B615='Individual Type'!$D$2, Data!$K615='All Types'!$D$2,Data!$L615='All Types'!$D$3),Data!$C615,"")</f>
        <v/>
      </c>
      <c r="E615" s="3" t="str">
        <f>IF($F615="","",Data!P615)</f>
        <v/>
      </c>
      <c r="F615" s="3" t="str">
        <f>IF(AND(Data!$B615='Individual Type'!$D$2, Data!$K615='All Types'!$D$2,Data!$L615='All Types'!$D$3),Data!M615,"")</f>
        <v/>
      </c>
    </row>
    <row r="616">
      <c r="A616" s="102" t="str">
        <f t="shared" si="1"/>
        <v/>
      </c>
      <c r="B616" s="3" t="str">
        <f>IF(AND(Data!$B616='Individual Type'!$D$2, Data!$K616='All Types'!$D$2,Data!$L616='All Types'!$D$3),Data!$B616,"")</f>
        <v/>
      </c>
      <c r="C616" s="3" t="str">
        <f>IF(F616="","",Data!N616)</f>
        <v/>
      </c>
      <c r="D616" s="3" t="str">
        <f>IF(AND(Data!$B616='Individual Type'!$D$2, Data!$K616='All Types'!$D$2,Data!$L616='All Types'!$D$3),Data!$C616,"")</f>
        <v/>
      </c>
      <c r="E616" s="3" t="str">
        <f>IF($F616="","",Data!P616)</f>
        <v/>
      </c>
      <c r="F616" s="3" t="str">
        <f>IF(AND(Data!$B616='Individual Type'!$D$2, Data!$K616='All Types'!$D$2,Data!$L616='All Types'!$D$3),Data!M616,"")</f>
        <v/>
      </c>
    </row>
    <row r="617">
      <c r="A617" s="102" t="str">
        <f t="shared" si="1"/>
        <v/>
      </c>
      <c r="B617" s="3" t="str">
        <f>IF(AND(Data!$B617='Individual Type'!$D$2, Data!$K617='All Types'!$D$2,Data!$L617='All Types'!$D$3),Data!$B617,"")</f>
        <v/>
      </c>
      <c r="C617" s="3" t="str">
        <f>IF(F617="","",Data!N617)</f>
        <v/>
      </c>
      <c r="D617" s="3" t="str">
        <f>IF(AND(Data!$B617='Individual Type'!$D$2, Data!$K617='All Types'!$D$2,Data!$L617='All Types'!$D$3),Data!$C617,"")</f>
        <v/>
      </c>
      <c r="E617" s="3" t="str">
        <f>IF($F617="","",Data!P617)</f>
        <v/>
      </c>
      <c r="F617" s="3" t="str">
        <f>IF(AND(Data!$B617='Individual Type'!$D$2, Data!$K617='All Types'!$D$2,Data!$L617='All Types'!$D$3),Data!M617,"")</f>
        <v/>
      </c>
    </row>
    <row r="618">
      <c r="A618" s="102" t="str">
        <f t="shared" si="1"/>
        <v/>
      </c>
      <c r="B618" s="3" t="str">
        <f>IF(AND(Data!$B618='Individual Type'!$D$2, Data!$K618='All Types'!$D$2,Data!$L618='All Types'!$D$3),Data!$B618,"")</f>
        <v/>
      </c>
      <c r="C618" s="3" t="str">
        <f>IF(F618="","",Data!N618)</f>
        <v/>
      </c>
      <c r="D618" s="3" t="str">
        <f>IF(AND(Data!$B618='Individual Type'!$D$2, Data!$K618='All Types'!$D$2,Data!$L618='All Types'!$D$3),Data!$C618,"")</f>
        <v/>
      </c>
      <c r="E618" s="3" t="str">
        <f>IF($F618="","",Data!P618)</f>
        <v/>
      </c>
      <c r="F618" s="3" t="str">
        <f>IF(AND(Data!$B618='Individual Type'!$D$2, Data!$K618='All Types'!$D$2,Data!$L618='All Types'!$D$3),Data!M618,"")</f>
        <v/>
      </c>
    </row>
    <row r="619">
      <c r="A619" s="102" t="str">
        <f t="shared" si="1"/>
        <v/>
      </c>
      <c r="B619" s="3" t="str">
        <f>IF(AND(Data!$B619='Individual Type'!$D$2, Data!$K619='All Types'!$D$2,Data!$L619='All Types'!$D$3),Data!$B619,"")</f>
        <v/>
      </c>
      <c r="C619" s="3" t="str">
        <f>IF(F619="","",Data!N619)</f>
        <v/>
      </c>
      <c r="D619" s="3" t="str">
        <f>IF(AND(Data!$B619='Individual Type'!$D$2, Data!$K619='All Types'!$D$2,Data!$L619='All Types'!$D$3),Data!$C619,"")</f>
        <v/>
      </c>
      <c r="E619" s="3" t="str">
        <f>IF($F619="","",Data!P619)</f>
        <v/>
      </c>
      <c r="F619" s="3" t="str">
        <f>IF(AND(Data!$B619='Individual Type'!$D$2, Data!$K619='All Types'!$D$2,Data!$L619='All Types'!$D$3),Data!M619,"")</f>
        <v/>
      </c>
    </row>
    <row r="620">
      <c r="A620" s="102" t="str">
        <f t="shared" si="1"/>
        <v/>
      </c>
      <c r="B620" s="3" t="str">
        <f>IF(AND(Data!$B620='Individual Type'!$D$2, Data!$K620='All Types'!$D$2,Data!$L620='All Types'!$D$3),Data!$B620,"")</f>
        <v/>
      </c>
      <c r="C620" s="3" t="str">
        <f>IF(F620="","",Data!N620)</f>
        <v/>
      </c>
      <c r="D620" s="3" t="str">
        <f>IF(AND(Data!$B620='Individual Type'!$D$2, Data!$K620='All Types'!$D$2,Data!$L620='All Types'!$D$3),Data!$C620,"")</f>
        <v/>
      </c>
      <c r="E620" s="3" t="str">
        <f>IF($F620="","",Data!P620)</f>
        <v/>
      </c>
      <c r="F620" s="3" t="str">
        <f>IF(AND(Data!$B620='Individual Type'!$D$2, Data!$K620='All Types'!$D$2,Data!$L620='All Types'!$D$3),Data!M620,"")</f>
        <v/>
      </c>
    </row>
    <row r="621">
      <c r="A621" s="102" t="str">
        <f t="shared" si="1"/>
        <v/>
      </c>
      <c r="B621" s="3" t="str">
        <f>IF(AND(Data!$B621='Individual Type'!$D$2, Data!$K621='All Types'!$D$2,Data!$L621='All Types'!$D$3),Data!$B621,"")</f>
        <v/>
      </c>
      <c r="C621" s="3" t="str">
        <f>IF(F621="","",Data!N621)</f>
        <v/>
      </c>
      <c r="D621" s="3" t="str">
        <f>IF(AND(Data!$B621='Individual Type'!$D$2, Data!$K621='All Types'!$D$2,Data!$L621='All Types'!$D$3),Data!$C621,"")</f>
        <v/>
      </c>
      <c r="E621" s="3" t="str">
        <f>IF($F621="","",Data!P621)</f>
        <v/>
      </c>
      <c r="F621" s="3" t="str">
        <f>IF(AND(Data!$B621='Individual Type'!$D$2, Data!$K621='All Types'!$D$2,Data!$L621='All Types'!$D$3),Data!M621,"")</f>
        <v/>
      </c>
    </row>
    <row r="622">
      <c r="A622" s="102" t="str">
        <f t="shared" si="1"/>
        <v/>
      </c>
      <c r="B622" s="3" t="str">
        <f>IF(AND(Data!$B622='Individual Type'!$D$2, Data!$K622='All Types'!$D$2,Data!$L622='All Types'!$D$3),Data!$B622,"")</f>
        <v/>
      </c>
      <c r="C622" s="3" t="str">
        <f>IF(F622="","",Data!N622)</f>
        <v/>
      </c>
      <c r="D622" s="3" t="str">
        <f>IF(AND(Data!$B622='Individual Type'!$D$2, Data!$K622='All Types'!$D$2,Data!$L622='All Types'!$D$3),Data!$C622,"")</f>
        <v/>
      </c>
      <c r="E622" s="3" t="str">
        <f>IF($F622="","",Data!P622)</f>
        <v/>
      </c>
      <c r="F622" s="3" t="str">
        <f>IF(AND(Data!$B622='Individual Type'!$D$2, Data!$K622='All Types'!$D$2,Data!$L622='All Types'!$D$3),Data!M622,"")</f>
        <v/>
      </c>
    </row>
    <row r="623">
      <c r="A623" s="102" t="str">
        <f t="shared" si="1"/>
        <v/>
      </c>
      <c r="B623" s="3" t="str">
        <f>IF(AND(Data!$B623='Individual Type'!$D$2, Data!$K623='All Types'!$D$2,Data!$L623='All Types'!$D$3),Data!$B623,"")</f>
        <v/>
      </c>
      <c r="C623" s="3" t="str">
        <f>IF(F623="","",Data!N623)</f>
        <v/>
      </c>
      <c r="D623" s="3" t="str">
        <f>IF(AND(Data!$B623='Individual Type'!$D$2, Data!$K623='All Types'!$D$2,Data!$L623='All Types'!$D$3),Data!$C623,"")</f>
        <v/>
      </c>
      <c r="E623" s="3" t="str">
        <f>IF($F623="","",Data!P623)</f>
        <v/>
      </c>
      <c r="F623" s="3" t="str">
        <f>IF(AND(Data!$B623='Individual Type'!$D$2, Data!$K623='All Types'!$D$2,Data!$L623='All Types'!$D$3),Data!M623,"")</f>
        <v/>
      </c>
    </row>
    <row r="624">
      <c r="A624" s="102" t="str">
        <f t="shared" si="1"/>
        <v/>
      </c>
      <c r="B624" s="3" t="str">
        <f>IF(AND(Data!$B624='Individual Type'!$D$2, Data!$K624='All Types'!$D$2,Data!$L624='All Types'!$D$3),Data!$B624,"")</f>
        <v/>
      </c>
      <c r="C624" s="3" t="str">
        <f>IF(F624="","",Data!N624)</f>
        <v/>
      </c>
      <c r="D624" s="3" t="str">
        <f>IF(AND(Data!$B624='Individual Type'!$D$2, Data!$K624='All Types'!$D$2,Data!$L624='All Types'!$D$3),Data!$C624,"")</f>
        <v/>
      </c>
      <c r="E624" s="3" t="str">
        <f>IF($F624="","",Data!P624)</f>
        <v/>
      </c>
      <c r="F624" s="3" t="str">
        <f>IF(AND(Data!$B624='Individual Type'!$D$2, Data!$K624='All Types'!$D$2,Data!$L624='All Types'!$D$3),Data!M624,"")</f>
        <v/>
      </c>
    </row>
    <row r="625">
      <c r="A625" s="102" t="str">
        <f t="shared" si="1"/>
        <v/>
      </c>
      <c r="B625" s="3" t="str">
        <f>IF(AND(Data!$B625='Individual Type'!$D$2, Data!$K625='All Types'!$D$2,Data!$L625='All Types'!$D$3),Data!$B625,"")</f>
        <v/>
      </c>
      <c r="C625" s="3" t="str">
        <f>IF(F625="","",Data!N625)</f>
        <v/>
      </c>
      <c r="D625" s="3" t="str">
        <f>IF(AND(Data!$B625='Individual Type'!$D$2, Data!$K625='All Types'!$D$2,Data!$L625='All Types'!$D$3),Data!$C625,"")</f>
        <v/>
      </c>
      <c r="E625" s="3" t="str">
        <f>IF($F625="","",Data!P625)</f>
        <v/>
      </c>
      <c r="F625" s="3" t="str">
        <f>IF(AND(Data!$B625='Individual Type'!$D$2, Data!$K625='All Types'!$D$2,Data!$L625='All Types'!$D$3),Data!M625,"")</f>
        <v/>
      </c>
    </row>
    <row r="626">
      <c r="A626" s="102" t="str">
        <f t="shared" si="1"/>
        <v/>
      </c>
      <c r="B626" s="3" t="str">
        <f>IF(AND(Data!$B626='Individual Type'!$D$2, Data!$K626='All Types'!$D$2,Data!$L626='All Types'!$D$3),Data!$B626,"")</f>
        <v/>
      </c>
      <c r="C626" s="3" t="str">
        <f>IF(F626="","",Data!N626)</f>
        <v/>
      </c>
      <c r="D626" s="3" t="str">
        <f>IF(AND(Data!$B626='Individual Type'!$D$2, Data!$K626='All Types'!$D$2,Data!$L626='All Types'!$D$3),Data!$C626,"")</f>
        <v/>
      </c>
      <c r="E626" s="3" t="str">
        <f>IF($F626="","",Data!P626)</f>
        <v/>
      </c>
      <c r="F626" s="3" t="str">
        <f>IF(AND(Data!$B626='Individual Type'!$D$2, Data!$K626='All Types'!$D$2,Data!$L626='All Types'!$D$3),Data!M626,"")</f>
        <v/>
      </c>
    </row>
    <row r="627">
      <c r="A627" s="102" t="str">
        <f t="shared" si="1"/>
        <v/>
      </c>
      <c r="B627" s="3" t="str">
        <f>IF(AND(Data!$B627='Individual Type'!$D$2, Data!$K627='All Types'!$D$2,Data!$L627='All Types'!$D$3),Data!$B627,"")</f>
        <v/>
      </c>
      <c r="C627" s="3" t="str">
        <f>IF(F627="","",Data!N627)</f>
        <v/>
      </c>
      <c r="D627" s="3" t="str">
        <f>IF(AND(Data!$B627='Individual Type'!$D$2, Data!$K627='All Types'!$D$2,Data!$L627='All Types'!$D$3),Data!$C627,"")</f>
        <v/>
      </c>
      <c r="E627" s="3" t="str">
        <f>IF($F627="","",Data!P627)</f>
        <v/>
      </c>
      <c r="F627" s="3" t="str">
        <f>IF(AND(Data!$B627='Individual Type'!$D$2, Data!$K627='All Types'!$D$2,Data!$L627='All Types'!$D$3),Data!M627,"")</f>
        <v/>
      </c>
    </row>
    <row r="628">
      <c r="A628" s="102" t="str">
        <f t="shared" si="1"/>
        <v/>
      </c>
      <c r="B628" s="3" t="str">
        <f>IF(AND(Data!$B628='Individual Type'!$D$2, Data!$K628='All Types'!$D$2,Data!$L628='All Types'!$D$3),Data!$B628,"")</f>
        <v/>
      </c>
      <c r="C628" s="3" t="str">
        <f>IF(F628="","",Data!N628)</f>
        <v/>
      </c>
      <c r="D628" s="3" t="str">
        <f>IF(AND(Data!$B628='Individual Type'!$D$2, Data!$K628='All Types'!$D$2,Data!$L628='All Types'!$D$3),Data!$C628,"")</f>
        <v/>
      </c>
      <c r="E628" s="3" t="str">
        <f>IF($F628="","",Data!P628)</f>
        <v/>
      </c>
      <c r="F628" s="3" t="str">
        <f>IF(AND(Data!$B628='Individual Type'!$D$2, Data!$K628='All Types'!$D$2,Data!$L628='All Types'!$D$3),Data!M628,"")</f>
        <v/>
      </c>
    </row>
    <row r="629">
      <c r="A629" s="102" t="str">
        <f t="shared" si="1"/>
        <v/>
      </c>
      <c r="B629" s="3" t="str">
        <f>IF(AND(Data!$B629='Individual Type'!$D$2, Data!$K629='All Types'!$D$2,Data!$L629='All Types'!$D$3),Data!$B629,"")</f>
        <v/>
      </c>
      <c r="C629" s="3" t="str">
        <f>IF(F629="","",Data!N629)</f>
        <v/>
      </c>
      <c r="D629" s="3" t="str">
        <f>IF(AND(Data!$B629='Individual Type'!$D$2, Data!$K629='All Types'!$D$2,Data!$L629='All Types'!$D$3),Data!$C629,"")</f>
        <v/>
      </c>
      <c r="E629" s="3" t="str">
        <f>IF($F629="","",Data!P629)</f>
        <v/>
      </c>
      <c r="F629" s="3" t="str">
        <f>IF(AND(Data!$B629='Individual Type'!$D$2, Data!$K629='All Types'!$D$2,Data!$L629='All Types'!$D$3),Data!M629,"")</f>
        <v/>
      </c>
    </row>
    <row r="630">
      <c r="A630" s="102" t="str">
        <f t="shared" si="1"/>
        <v/>
      </c>
      <c r="B630" s="3" t="str">
        <f>IF(AND(Data!$B630='Individual Type'!$D$2, Data!$K630='All Types'!$D$2,Data!$L630='All Types'!$D$3),Data!$B630,"")</f>
        <v/>
      </c>
      <c r="C630" s="3" t="str">
        <f>IF(F630="","",Data!N630)</f>
        <v/>
      </c>
      <c r="D630" s="3" t="str">
        <f>IF(AND(Data!$B630='Individual Type'!$D$2, Data!$K630='All Types'!$D$2,Data!$L630='All Types'!$D$3),Data!$C630,"")</f>
        <v/>
      </c>
      <c r="E630" s="3" t="str">
        <f>IF($F630="","",Data!P630)</f>
        <v/>
      </c>
      <c r="F630" s="3" t="str">
        <f>IF(AND(Data!$B630='Individual Type'!$D$2, Data!$K630='All Types'!$D$2,Data!$L630='All Types'!$D$3),Data!M630,"")</f>
        <v/>
      </c>
    </row>
    <row r="631">
      <c r="A631" s="102" t="str">
        <f t="shared" si="1"/>
        <v/>
      </c>
      <c r="B631" s="3" t="str">
        <f>IF(AND(Data!$B631='Individual Type'!$D$2, Data!$K631='All Types'!$D$2,Data!$L631='All Types'!$D$3),Data!$B631,"")</f>
        <v/>
      </c>
      <c r="C631" s="3" t="str">
        <f>IF(F631="","",Data!N631)</f>
        <v/>
      </c>
      <c r="D631" s="3" t="str">
        <f>IF(AND(Data!$B631='Individual Type'!$D$2, Data!$K631='All Types'!$D$2,Data!$L631='All Types'!$D$3),Data!$C631,"")</f>
        <v/>
      </c>
      <c r="E631" s="3" t="str">
        <f>IF($F631="","",Data!P631)</f>
        <v/>
      </c>
      <c r="F631" s="3" t="str">
        <f>IF(AND(Data!$B631='Individual Type'!$D$2, Data!$K631='All Types'!$D$2,Data!$L631='All Types'!$D$3),Data!M631,"")</f>
        <v/>
      </c>
    </row>
    <row r="632">
      <c r="A632" s="102" t="str">
        <f t="shared" si="1"/>
        <v/>
      </c>
      <c r="B632" s="3" t="str">
        <f>IF(AND(Data!$B632='Individual Type'!$D$2, Data!$K632='All Types'!$D$2,Data!$L632='All Types'!$D$3),Data!$B632,"")</f>
        <v/>
      </c>
      <c r="C632" s="3" t="str">
        <f>IF(F632="","",Data!N632)</f>
        <v/>
      </c>
      <c r="D632" s="3" t="str">
        <f>IF(AND(Data!$B632='Individual Type'!$D$2, Data!$K632='All Types'!$D$2,Data!$L632='All Types'!$D$3),Data!$C632,"")</f>
        <v/>
      </c>
      <c r="E632" s="3" t="str">
        <f>IF($F632="","",Data!P632)</f>
        <v/>
      </c>
      <c r="F632" s="3" t="str">
        <f>IF(AND(Data!$B632='Individual Type'!$D$2, Data!$K632='All Types'!$D$2,Data!$L632='All Types'!$D$3),Data!M632,"")</f>
        <v/>
      </c>
    </row>
    <row r="633">
      <c r="A633" s="102" t="str">
        <f t="shared" si="1"/>
        <v/>
      </c>
      <c r="B633" s="3" t="str">
        <f>IF(AND(Data!$B633='Individual Type'!$D$2, Data!$K633='All Types'!$D$2,Data!$L633='All Types'!$D$3),Data!$B633,"")</f>
        <v/>
      </c>
      <c r="C633" s="3" t="str">
        <f>IF(F633="","",Data!N633)</f>
        <v/>
      </c>
      <c r="D633" s="3" t="str">
        <f>IF(AND(Data!$B633='Individual Type'!$D$2, Data!$K633='All Types'!$D$2,Data!$L633='All Types'!$D$3),Data!$C633,"")</f>
        <v/>
      </c>
      <c r="E633" s="3" t="str">
        <f>IF($F633="","",Data!P633)</f>
        <v/>
      </c>
      <c r="F633" s="3" t="str">
        <f>IF(AND(Data!$B633='Individual Type'!$D$2, Data!$K633='All Types'!$D$2,Data!$L633='All Types'!$D$3),Data!M633,"")</f>
        <v/>
      </c>
    </row>
    <row r="634">
      <c r="A634" s="102" t="str">
        <f t="shared" si="1"/>
        <v/>
      </c>
      <c r="B634" s="3" t="str">
        <f>IF(AND(Data!$B634='Individual Type'!$D$2, Data!$K634='All Types'!$D$2,Data!$L634='All Types'!$D$3),Data!$B634,"")</f>
        <v/>
      </c>
      <c r="C634" s="3" t="str">
        <f>IF(F634="","",Data!N634)</f>
        <v/>
      </c>
      <c r="D634" s="3" t="str">
        <f>IF(AND(Data!$B634='Individual Type'!$D$2, Data!$K634='All Types'!$D$2,Data!$L634='All Types'!$D$3),Data!$C634,"")</f>
        <v/>
      </c>
      <c r="E634" s="3" t="str">
        <f>IF($F634="","",Data!P634)</f>
        <v/>
      </c>
      <c r="F634" s="3" t="str">
        <f>IF(AND(Data!$B634='Individual Type'!$D$2, Data!$K634='All Types'!$D$2,Data!$L634='All Types'!$D$3),Data!M634,"")</f>
        <v/>
      </c>
    </row>
    <row r="635">
      <c r="A635" s="102" t="str">
        <f t="shared" si="1"/>
        <v/>
      </c>
      <c r="B635" s="3" t="str">
        <f>IF(AND(Data!$B635='Individual Type'!$D$2, Data!$K635='All Types'!$D$2,Data!$L635='All Types'!$D$3),Data!$B635,"")</f>
        <v/>
      </c>
      <c r="C635" s="3" t="str">
        <f>IF(F635="","",Data!N635)</f>
        <v/>
      </c>
      <c r="D635" s="3" t="str">
        <f>IF(AND(Data!$B635='Individual Type'!$D$2, Data!$K635='All Types'!$D$2,Data!$L635='All Types'!$D$3),Data!$C635,"")</f>
        <v/>
      </c>
      <c r="E635" s="3" t="str">
        <f>IF($F635="","",Data!P635)</f>
        <v/>
      </c>
      <c r="F635" s="3" t="str">
        <f>IF(AND(Data!$B635='Individual Type'!$D$2, Data!$K635='All Types'!$D$2,Data!$L635='All Types'!$D$3),Data!M635,"")</f>
        <v/>
      </c>
    </row>
    <row r="636">
      <c r="A636" s="102" t="str">
        <f t="shared" si="1"/>
        <v/>
      </c>
      <c r="B636" s="3" t="str">
        <f>IF(AND(Data!$B636='Individual Type'!$D$2, Data!$K636='All Types'!$D$2,Data!$L636='All Types'!$D$3),Data!$B636,"")</f>
        <v/>
      </c>
      <c r="C636" s="3" t="str">
        <f>IF(F636="","",Data!N636)</f>
        <v/>
      </c>
      <c r="D636" s="3" t="str">
        <f>IF(AND(Data!$B636='Individual Type'!$D$2, Data!$K636='All Types'!$D$2,Data!$L636='All Types'!$D$3),Data!$C636,"")</f>
        <v/>
      </c>
      <c r="E636" s="3" t="str">
        <f>IF($F636="","",Data!P636)</f>
        <v/>
      </c>
      <c r="F636" s="3" t="str">
        <f>IF(AND(Data!$B636='Individual Type'!$D$2, Data!$K636='All Types'!$D$2,Data!$L636='All Types'!$D$3),Data!M636,"")</f>
        <v/>
      </c>
    </row>
    <row r="637">
      <c r="A637" s="102" t="str">
        <f t="shared" si="1"/>
        <v/>
      </c>
      <c r="B637" s="3" t="str">
        <f>IF(AND(Data!$B637='Individual Type'!$D$2, Data!$K637='All Types'!$D$2,Data!$L637='All Types'!$D$3),Data!$B637,"")</f>
        <v/>
      </c>
      <c r="C637" s="3" t="str">
        <f>IF(F637="","",Data!N637)</f>
        <v/>
      </c>
      <c r="D637" s="3" t="str">
        <f>IF(AND(Data!$B637='Individual Type'!$D$2, Data!$K637='All Types'!$D$2,Data!$L637='All Types'!$D$3),Data!$C637,"")</f>
        <v/>
      </c>
      <c r="E637" s="3" t="str">
        <f>IF($F637="","",Data!P637)</f>
        <v/>
      </c>
      <c r="F637" s="3" t="str">
        <f>IF(AND(Data!$B637='Individual Type'!$D$2, Data!$K637='All Types'!$D$2,Data!$L637='All Types'!$D$3),Data!M637,"")</f>
        <v/>
      </c>
    </row>
    <row r="638">
      <c r="A638" s="102" t="str">
        <f t="shared" si="1"/>
        <v/>
      </c>
      <c r="B638" s="3" t="str">
        <f>IF(AND(Data!$B638='Individual Type'!$D$2, Data!$K638='All Types'!$D$2,Data!$L638='All Types'!$D$3),Data!$B638,"")</f>
        <v/>
      </c>
      <c r="C638" s="3" t="str">
        <f>IF(F638="","",Data!N638)</f>
        <v/>
      </c>
      <c r="D638" s="3" t="str">
        <f>IF(AND(Data!$B638='Individual Type'!$D$2, Data!$K638='All Types'!$D$2,Data!$L638='All Types'!$D$3),Data!$C638,"")</f>
        <v/>
      </c>
      <c r="E638" s="3" t="str">
        <f>IF($F638="","",Data!P638)</f>
        <v/>
      </c>
      <c r="F638" s="3" t="str">
        <f>IF(AND(Data!$B638='Individual Type'!$D$2, Data!$K638='All Types'!$D$2,Data!$L638='All Types'!$D$3),Data!M638,"")</f>
        <v/>
      </c>
    </row>
    <row r="639">
      <c r="A639" s="102" t="str">
        <f t="shared" si="1"/>
        <v/>
      </c>
      <c r="B639" s="3" t="str">
        <f>IF(AND(Data!$B639='Individual Type'!$D$2, Data!$K639='All Types'!$D$2,Data!$L639='All Types'!$D$3),Data!$B639,"")</f>
        <v/>
      </c>
      <c r="C639" s="3" t="str">
        <f>IF(F639="","",Data!N639)</f>
        <v/>
      </c>
      <c r="D639" s="3" t="str">
        <f>IF(AND(Data!$B639='Individual Type'!$D$2, Data!$K639='All Types'!$D$2,Data!$L639='All Types'!$D$3),Data!$C639,"")</f>
        <v/>
      </c>
      <c r="E639" s="3" t="str">
        <f>IF($F639="","",Data!P639)</f>
        <v/>
      </c>
      <c r="F639" s="3" t="str">
        <f>IF(AND(Data!$B639='Individual Type'!$D$2, Data!$K639='All Types'!$D$2,Data!$L639='All Types'!$D$3),Data!M639,"")</f>
        <v/>
      </c>
    </row>
    <row r="640">
      <c r="A640" s="102" t="str">
        <f t="shared" si="1"/>
        <v/>
      </c>
      <c r="B640" s="3" t="str">
        <f>IF(AND(Data!$B640='Individual Type'!$D$2, Data!$K640='All Types'!$D$2,Data!$L640='All Types'!$D$3),Data!$B640,"")</f>
        <v/>
      </c>
      <c r="C640" s="3" t="str">
        <f>IF(F640="","",Data!N640)</f>
        <v/>
      </c>
      <c r="D640" s="3" t="str">
        <f>IF(AND(Data!$B640='Individual Type'!$D$2, Data!$K640='All Types'!$D$2,Data!$L640='All Types'!$D$3),Data!$C640,"")</f>
        <v/>
      </c>
      <c r="E640" s="3" t="str">
        <f>IF($F640="","",Data!P640)</f>
        <v/>
      </c>
      <c r="F640" s="3" t="str">
        <f>IF(AND(Data!$B640='Individual Type'!$D$2, Data!$K640='All Types'!$D$2,Data!$L640='All Types'!$D$3),Data!M640,"")</f>
        <v/>
      </c>
    </row>
    <row r="641">
      <c r="A641" s="102" t="str">
        <f t="shared" si="1"/>
        <v/>
      </c>
      <c r="B641" s="3" t="str">
        <f>IF(AND(Data!$B641='Individual Type'!$D$2, Data!$K641='All Types'!$D$2,Data!$L641='All Types'!$D$3),Data!$B641,"")</f>
        <v/>
      </c>
      <c r="C641" s="3" t="str">
        <f>IF(F641="","",Data!N641)</f>
        <v/>
      </c>
      <c r="D641" s="3" t="str">
        <f>IF(AND(Data!$B641='Individual Type'!$D$2, Data!$K641='All Types'!$D$2,Data!$L641='All Types'!$D$3),Data!$C641,"")</f>
        <v/>
      </c>
      <c r="E641" s="3" t="str">
        <f>IF($F641="","",Data!P641)</f>
        <v/>
      </c>
      <c r="F641" s="3" t="str">
        <f>IF(AND(Data!$B641='Individual Type'!$D$2, Data!$K641='All Types'!$D$2,Data!$L641='All Types'!$D$3),Data!M641,"")</f>
        <v/>
      </c>
    </row>
    <row r="642">
      <c r="A642" s="102" t="str">
        <f t="shared" si="1"/>
        <v/>
      </c>
      <c r="B642" s="3" t="str">
        <f>IF(AND(Data!$B642='Individual Type'!$D$2, Data!$K642='All Types'!$D$2,Data!$L642='All Types'!$D$3),Data!$B642,"")</f>
        <v/>
      </c>
      <c r="C642" s="3" t="str">
        <f>IF(F642="","",Data!N642)</f>
        <v/>
      </c>
      <c r="D642" s="3" t="str">
        <f>IF(AND(Data!$B642='Individual Type'!$D$2, Data!$K642='All Types'!$D$2,Data!$L642='All Types'!$D$3),Data!$C642,"")</f>
        <v/>
      </c>
      <c r="E642" s="3" t="str">
        <f>IF($F642="","",Data!P642)</f>
        <v/>
      </c>
      <c r="F642" s="3" t="str">
        <f>IF(AND(Data!$B642='Individual Type'!$D$2, Data!$K642='All Types'!$D$2,Data!$L642='All Types'!$D$3),Data!M642,"")</f>
        <v/>
      </c>
    </row>
    <row r="643">
      <c r="A643" s="102" t="str">
        <f t="shared" si="1"/>
        <v/>
      </c>
      <c r="B643" s="3" t="str">
        <f>IF(AND(Data!$B643='Individual Type'!$D$2, Data!$K643='All Types'!$D$2,Data!$L643='All Types'!$D$3),Data!$B643,"")</f>
        <v/>
      </c>
      <c r="C643" s="3" t="str">
        <f>IF(F643="","",Data!N643)</f>
        <v/>
      </c>
      <c r="D643" s="3" t="str">
        <f>IF(AND(Data!$B643='Individual Type'!$D$2, Data!$K643='All Types'!$D$2,Data!$L643='All Types'!$D$3),Data!$C643,"")</f>
        <v/>
      </c>
      <c r="E643" s="3" t="str">
        <f>IF($F643="","",Data!P643)</f>
        <v/>
      </c>
      <c r="F643" s="3" t="str">
        <f>IF(AND(Data!$B643='Individual Type'!$D$2, Data!$K643='All Types'!$D$2,Data!$L643='All Types'!$D$3),Data!M643,"")</f>
        <v/>
      </c>
    </row>
    <row r="644">
      <c r="A644" s="102" t="str">
        <f t="shared" si="1"/>
        <v/>
      </c>
      <c r="B644" s="3" t="str">
        <f>IF(AND(Data!$B644='Individual Type'!$D$2, Data!$K644='All Types'!$D$2,Data!$L644='All Types'!$D$3),Data!$B644,"")</f>
        <v/>
      </c>
      <c r="C644" s="3" t="str">
        <f>IF(F644="","",Data!N644)</f>
        <v/>
      </c>
      <c r="D644" s="3" t="str">
        <f>IF(AND(Data!$B644='Individual Type'!$D$2, Data!$K644='All Types'!$D$2,Data!$L644='All Types'!$D$3),Data!$C644,"")</f>
        <v/>
      </c>
      <c r="E644" s="3" t="str">
        <f>IF($F644="","",Data!P644)</f>
        <v/>
      </c>
      <c r="F644" s="3" t="str">
        <f>IF(AND(Data!$B644='Individual Type'!$D$2, Data!$K644='All Types'!$D$2,Data!$L644='All Types'!$D$3),Data!M644,"")</f>
        <v/>
      </c>
    </row>
    <row r="645">
      <c r="A645" s="102" t="str">
        <f t="shared" si="1"/>
        <v/>
      </c>
      <c r="B645" s="3" t="str">
        <f>IF(AND(Data!$B645='Individual Type'!$D$2, Data!$K645='All Types'!$D$2,Data!$L645='All Types'!$D$3),Data!$B645,"")</f>
        <v/>
      </c>
      <c r="C645" s="3" t="str">
        <f>IF(F645="","",Data!N645)</f>
        <v/>
      </c>
      <c r="D645" s="3" t="str">
        <f>IF(AND(Data!$B645='Individual Type'!$D$2, Data!$K645='All Types'!$D$2,Data!$L645='All Types'!$D$3),Data!$C645,"")</f>
        <v/>
      </c>
      <c r="E645" s="3" t="str">
        <f>IF($F645="","",Data!P645)</f>
        <v/>
      </c>
      <c r="F645" s="3" t="str">
        <f>IF(AND(Data!$B645='Individual Type'!$D$2, Data!$K645='All Types'!$D$2,Data!$L645='All Types'!$D$3),Data!M645,"")</f>
        <v/>
      </c>
    </row>
    <row r="646">
      <c r="A646" s="102" t="str">
        <f t="shared" si="1"/>
        <v/>
      </c>
      <c r="B646" s="3" t="str">
        <f>IF(AND(Data!$B646='Individual Type'!$D$2, Data!$K646='All Types'!$D$2,Data!$L646='All Types'!$D$3),Data!$B646,"")</f>
        <v/>
      </c>
      <c r="C646" s="3" t="str">
        <f>IF(F646="","",Data!N646)</f>
        <v/>
      </c>
      <c r="D646" s="3" t="str">
        <f>IF(AND(Data!$B646='Individual Type'!$D$2, Data!$K646='All Types'!$D$2,Data!$L646='All Types'!$D$3),Data!$C646,"")</f>
        <v/>
      </c>
      <c r="E646" s="3" t="str">
        <f>IF($F646="","",Data!P646)</f>
        <v/>
      </c>
      <c r="F646" s="3" t="str">
        <f>IF(AND(Data!$B646='Individual Type'!$D$2, Data!$K646='All Types'!$D$2,Data!$L646='All Types'!$D$3),Data!M646,"")</f>
        <v/>
      </c>
    </row>
    <row r="647">
      <c r="A647" s="102" t="str">
        <f t="shared" si="1"/>
        <v/>
      </c>
      <c r="B647" s="3" t="str">
        <f>IF(AND(Data!$B647='Individual Type'!$D$2, Data!$K647='All Types'!$D$2,Data!$L647='All Types'!$D$3),Data!$B647,"")</f>
        <v/>
      </c>
      <c r="C647" s="3" t="str">
        <f>IF(F647="","",Data!N647)</f>
        <v/>
      </c>
      <c r="D647" s="3" t="str">
        <f>IF(AND(Data!$B647='Individual Type'!$D$2, Data!$K647='All Types'!$D$2,Data!$L647='All Types'!$D$3),Data!$C647,"")</f>
        <v/>
      </c>
      <c r="E647" s="3" t="str">
        <f>IF($F647="","",Data!P647)</f>
        <v/>
      </c>
      <c r="F647" s="3" t="str">
        <f>IF(AND(Data!$B647='Individual Type'!$D$2, Data!$K647='All Types'!$D$2,Data!$L647='All Types'!$D$3),Data!M647,"")</f>
        <v/>
      </c>
    </row>
    <row r="648">
      <c r="A648" s="102" t="str">
        <f t="shared" si="1"/>
        <v/>
      </c>
      <c r="B648" s="3" t="str">
        <f>IF(AND(Data!$B648='Individual Type'!$D$2, Data!$K648='All Types'!$D$2,Data!$L648='All Types'!$D$3),Data!$B648,"")</f>
        <v/>
      </c>
      <c r="C648" s="3" t="str">
        <f>IF(F648="","",Data!N648)</f>
        <v/>
      </c>
      <c r="D648" s="3" t="str">
        <f>IF(AND(Data!$B648='Individual Type'!$D$2, Data!$K648='All Types'!$D$2,Data!$L648='All Types'!$D$3),Data!$C648,"")</f>
        <v/>
      </c>
      <c r="E648" s="3" t="str">
        <f>IF($F648="","",Data!P648)</f>
        <v/>
      </c>
      <c r="F648" s="3" t="str">
        <f>IF(AND(Data!$B648='Individual Type'!$D$2, Data!$K648='All Types'!$D$2,Data!$L648='All Types'!$D$3),Data!M648,"")</f>
        <v/>
      </c>
    </row>
    <row r="649">
      <c r="A649" s="102" t="str">
        <f t="shared" si="1"/>
        <v/>
      </c>
      <c r="B649" s="3" t="str">
        <f>IF(AND(Data!$B649='Individual Type'!$D$2, Data!$K649='All Types'!$D$2,Data!$L649='All Types'!$D$3),Data!$B649,"")</f>
        <v/>
      </c>
      <c r="C649" s="3" t="str">
        <f>IF(F649="","",Data!N649)</f>
        <v/>
      </c>
      <c r="D649" s="3" t="str">
        <f>IF(AND(Data!$B649='Individual Type'!$D$2, Data!$K649='All Types'!$D$2,Data!$L649='All Types'!$D$3),Data!$C649,"")</f>
        <v/>
      </c>
      <c r="E649" s="3" t="str">
        <f>IF($F649="","",Data!P649)</f>
        <v/>
      </c>
      <c r="F649" s="3" t="str">
        <f>IF(AND(Data!$B649='Individual Type'!$D$2, Data!$K649='All Types'!$D$2,Data!$L649='All Types'!$D$3),Data!M649,"")</f>
        <v/>
      </c>
    </row>
    <row r="650">
      <c r="A650" s="102" t="str">
        <f t="shared" si="1"/>
        <v/>
      </c>
      <c r="B650" s="3" t="str">
        <f>IF(AND(Data!$B650='Individual Type'!$D$2, Data!$K650='All Types'!$D$2,Data!$L650='All Types'!$D$3),Data!$B650,"")</f>
        <v/>
      </c>
      <c r="C650" s="3" t="str">
        <f>IF(F650="","",Data!N650)</f>
        <v/>
      </c>
      <c r="D650" s="3" t="str">
        <f>IF(AND(Data!$B650='Individual Type'!$D$2, Data!$K650='All Types'!$D$2,Data!$L650='All Types'!$D$3),Data!$C650,"")</f>
        <v/>
      </c>
      <c r="E650" s="3" t="str">
        <f>IF($F650="","",Data!P650)</f>
        <v/>
      </c>
      <c r="F650" s="3" t="str">
        <f>IF(AND(Data!$B650='Individual Type'!$D$2, Data!$K650='All Types'!$D$2,Data!$L650='All Types'!$D$3),Data!M650,"")</f>
        <v/>
      </c>
    </row>
    <row r="651">
      <c r="A651" s="102" t="str">
        <f t="shared" si="1"/>
        <v/>
      </c>
      <c r="B651" s="3" t="str">
        <f>IF(AND(Data!$B651='Individual Type'!$D$2, Data!$K651='All Types'!$D$2,Data!$L651='All Types'!$D$3),Data!$B651,"")</f>
        <v/>
      </c>
      <c r="C651" s="3" t="str">
        <f>IF(F651="","",Data!N651)</f>
        <v/>
      </c>
      <c r="D651" s="3" t="str">
        <f>IF(AND(Data!$B651='Individual Type'!$D$2, Data!$K651='All Types'!$D$2,Data!$L651='All Types'!$D$3),Data!$C651,"")</f>
        <v/>
      </c>
      <c r="E651" s="3" t="str">
        <f>IF($F651="","",Data!P651)</f>
        <v/>
      </c>
      <c r="F651" s="3" t="str">
        <f>IF(AND(Data!$B651='Individual Type'!$D$2, Data!$K651='All Types'!$D$2,Data!$L651='All Types'!$D$3),Data!M651,"")</f>
        <v/>
      </c>
    </row>
    <row r="652">
      <c r="A652" s="102" t="str">
        <f t="shared" si="1"/>
        <v/>
      </c>
      <c r="B652" s="3" t="str">
        <f>IF(AND(Data!$B652='Individual Type'!$D$2, Data!$K652='All Types'!$D$2,Data!$L652='All Types'!$D$3),Data!$B652,"")</f>
        <v/>
      </c>
      <c r="C652" s="3" t="str">
        <f>IF(F652="","",Data!N652)</f>
        <v/>
      </c>
      <c r="D652" s="3" t="str">
        <f>IF(AND(Data!$B652='Individual Type'!$D$2, Data!$K652='All Types'!$D$2,Data!$L652='All Types'!$D$3),Data!$C652,"")</f>
        <v/>
      </c>
      <c r="E652" s="3" t="str">
        <f>IF($F652="","",Data!P652)</f>
        <v/>
      </c>
      <c r="F652" s="3" t="str">
        <f>IF(AND(Data!$B652='Individual Type'!$D$2, Data!$K652='All Types'!$D$2,Data!$L652='All Types'!$D$3),Data!M652,"")</f>
        <v/>
      </c>
    </row>
    <row r="653">
      <c r="A653" s="102" t="str">
        <f t="shared" si="1"/>
        <v/>
      </c>
      <c r="B653" s="3" t="str">
        <f>IF(AND(Data!$B653='Individual Type'!$D$2, Data!$K653='All Types'!$D$2,Data!$L653='All Types'!$D$3),Data!$B653,"")</f>
        <v/>
      </c>
      <c r="C653" s="3" t="str">
        <f>IF(F653="","",Data!N653)</f>
        <v/>
      </c>
      <c r="D653" s="3" t="str">
        <f>IF(AND(Data!$B653='Individual Type'!$D$2, Data!$K653='All Types'!$D$2,Data!$L653='All Types'!$D$3),Data!$C653,"")</f>
        <v/>
      </c>
      <c r="E653" s="3" t="str">
        <f>IF($F653="","",Data!P653)</f>
        <v/>
      </c>
      <c r="F653" s="3" t="str">
        <f>IF(AND(Data!$B653='Individual Type'!$D$2, Data!$K653='All Types'!$D$2,Data!$L653='All Types'!$D$3),Data!M653,"")</f>
        <v/>
      </c>
    </row>
    <row r="654">
      <c r="A654" s="102" t="str">
        <f t="shared" si="1"/>
        <v/>
      </c>
      <c r="B654" s="3" t="str">
        <f>IF(AND(Data!$B654='Individual Type'!$D$2, Data!$K654='All Types'!$D$2,Data!$L654='All Types'!$D$3),Data!$B654,"")</f>
        <v/>
      </c>
      <c r="C654" s="3" t="str">
        <f>IF(F654="","",Data!N654)</f>
        <v/>
      </c>
      <c r="D654" s="3" t="str">
        <f>IF(AND(Data!$B654='Individual Type'!$D$2, Data!$K654='All Types'!$D$2,Data!$L654='All Types'!$D$3),Data!$C654,"")</f>
        <v/>
      </c>
      <c r="E654" s="3" t="str">
        <f>IF($F654="","",Data!P654)</f>
        <v/>
      </c>
      <c r="F654" s="3" t="str">
        <f>IF(AND(Data!$B654='Individual Type'!$D$2, Data!$K654='All Types'!$D$2,Data!$L654='All Types'!$D$3),Data!M654,"")</f>
        <v/>
      </c>
    </row>
    <row r="655">
      <c r="A655" s="102" t="str">
        <f t="shared" si="1"/>
        <v/>
      </c>
      <c r="B655" s="3" t="str">
        <f>IF(AND(Data!$B655='Individual Type'!$D$2, Data!$K655='All Types'!$D$2,Data!$L655='All Types'!$D$3),Data!$B655,"")</f>
        <v/>
      </c>
      <c r="C655" s="3" t="str">
        <f>IF(F655="","",Data!N655)</f>
        <v/>
      </c>
      <c r="D655" s="3" t="str">
        <f>IF(AND(Data!$B655='Individual Type'!$D$2, Data!$K655='All Types'!$D$2,Data!$L655='All Types'!$D$3),Data!$C655,"")</f>
        <v/>
      </c>
      <c r="E655" s="3" t="str">
        <f>IF($F655="","",Data!P655)</f>
        <v/>
      </c>
      <c r="F655" s="3" t="str">
        <f>IF(AND(Data!$B655='Individual Type'!$D$2, Data!$K655='All Types'!$D$2,Data!$L655='All Types'!$D$3),Data!M655,"")</f>
        <v/>
      </c>
    </row>
    <row r="656">
      <c r="A656" s="102" t="str">
        <f t="shared" si="1"/>
        <v/>
      </c>
      <c r="B656" s="3" t="str">
        <f>IF(AND(Data!$B656='Individual Type'!$D$2, Data!$K656='All Types'!$D$2,Data!$L656='All Types'!$D$3),Data!$B656,"")</f>
        <v/>
      </c>
      <c r="C656" s="3" t="str">
        <f>IF(F656="","",Data!N656)</f>
        <v/>
      </c>
      <c r="D656" s="3" t="str">
        <f>IF(AND(Data!$B656='Individual Type'!$D$2, Data!$K656='All Types'!$D$2,Data!$L656='All Types'!$D$3),Data!$C656,"")</f>
        <v/>
      </c>
      <c r="E656" s="3" t="str">
        <f>IF($F656="","",Data!P656)</f>
        <v/>
      </c>
      <c r="F656" s="3" t="str">
        <f>IF(AND(Data!$B656='Individual Type'!$D$2, Data!$K656='All Types'!$D$2,Data!$L656='All Types'!$D$3),Data!M656,"")</f>
        <v/>
      </c>
    </row>
    <row r="657">
      <c r="A657" s="102" t="str">
        <f t="shared" si="1"/>
        <v/>
      </c>
      <c r="B657" s="3" t="str">
        <f>IF(AND(Data!$B657='Individual Type'!$D$2, Data!$K657='All Types'!$D$2,Data!$L657='All Types'!$D$3),Data!$B657,"")</f>
        <v/>
      </c>
      <c r="C657" s="3" t="str">
        <f>IF(F657="","",Data!N657)</f>
        <v/>
      </c>
      <c r="D657" s="3" t="str">
        <f>IF(AND(Data!$B657='Individual Type'!$D$2, Data!$K657='All Types'!$D$2,Data!$L657='All Types'!$D$3),Data!$C657,"")</f>
        <v/>
      </c>
      <c r="E657" s="3" t="str">
        <f>IF($F657="","",Data!P657)</f>
        <v/>
      </c>
      <c r="F657" s="3" t="str">
        <f>IF(AND(Data!$B657='Individual Type'!$D$2, Data!$K657='All Types'!$D$2,Data!$L657='All Types'!$D$3),Data!M657,"")</f>
        <v/>
      </c>
    </row>
    <row r="658">
      <c r="A658" s="102" t="str">
        <f t="shared" si="1"/>
        <v/>
      </c>
      <c r="B658" s="3" t="str">
        <f>IF(AND(Data!$B658='Individual Type'!$D$2, Data!$K658='All Types'!$D$2,Data!$L658='All Types'!$D$3),Data!$B658,"")</f>
        <v/>
      </c>
      <c r="C658" s="3" t="str">
        <f>IF(F658="","",Data!N658)</f>
        <v/>
      </c>
      <c r="D658" s="3" t="str">
        <f>IF(AND(Data!$B658='Individual Type'!$D$2, Data!$K658='All Types'!$D$2,Data!$L658='All Types'!$D$3),Data!$C658,"")</f>
        <v/>
      </c>
      <c r="E658" s="3" t="str">
        <f>IF($F658="","",Data!P658)</f>
        <v/>
      </c>
      <c r="F658" s="3" t="str">
        <f>IF(AND(Data!$B658='Individual Type'!$D$2, Data!$K658='All Types'!$D$2,Data!$L658='All Types'!$D$3),Data!M658,"")</f>
        <v/>
      </c>
    </row>
    <row r="659">
      <c r="A659" s="102" t="str">
        <f t="shared" si="1"/>
        <v/>
      </c>
      <c r="B659" s="3" t="str">
        <f>IF(AND(Data!$B659='Individual Type'!$D$2, Data!$K659='All Types'!$D$2,Data!$L659='All Types'!$D$3),Data!$B659,"")</f>
        <v/>
      </c>
      <c r="C659" s="3" t="str">
        <f>IF(F659="","",Data!N659)</f>
        <v/>
      </c>
      <c r="D659" s="3" t="str">
        <f>IF(AND(Data!$B659='Individual Type'!$D$2, Data!$K659='All Types'!$D$2,Data!$L659='All Types'!$D$3),Data!$C659,"")</f>
        <v/>
      </c>
      <c r="E659" s="3" t="str">
        <f>IF($F659="","",Data!P659)</f>
        <v/>
      </c>
      <c r="F659" s="3" t="str">
        <f>IF(AND(Data!$B659='Individual Type'!$D$2, Data!$K659='All Types'!$D$2,Data!$L659='All Types'!$D$3),Data!M659,"")</f>
        <v/>
      </c>
    </row>
    <row r="660">
      <c r="A660" s="102" t="str">
        <f t="shared" si="1"/>
        <v/>
      </c>
      <c r="B660" s="3" t="str">
        <f>IF(AND(Data!$B660='Individual Type'!$D$2, Data!$K660='All Types'!$D$2,Data!$L660='All Types'!$D$3),Data!$B660,"")</f>
        <v/>
      </c>
      <c r="C660" s="3" t="str">
        <f>IF(F660="","",Data!N660)</f>
        <v/>
      </c>
      <c r="D660" s="3" t="str">
        <f>IF(AND(Data!$B660='Individual Type'!$D$2, Data!$K660='All Types'!$D$2,Data!$L660='All Types'!$D$3),Data!$C660,"")</f>
        <v/>
      </c>
      <c r="E660" s="3" t="str">
        <f>IF($F660="","",Data!P660)</f>
        <v/>
      </c>
      <c r="F660" s="3" t="str">
        <f>IF(AND(Data!$B660='Individual Type'!$D$2, Data!$K660='All Types'!$D$2,Data!$L660='All Types'!$D$3),Data!M660,"")</f>
        <v/>
      </c>
    </row>
    <row r="661">
      <c r="A661" s="102" t="str">
        <f t="shared" si="1"/>
        <v/>
      </c>
      <c r="B661" s="3" t="str">
        <f>IF(AND(Data!$B661='Individual Type'!$D$2, Data!$K661='All Types'!$D$2,Data!$L661='All Types'!$D$3),Data!$B661,"")</f>
        <v/>
      </c>
      <c r="C661" s="3" t="str">
        <f>IF(F661="","",Data!N661)</f>
        <v/>
      </c>
      <c r="D661" s="3" t="str">
        <f>IF(AND(Data!$B661='Individual Type'!$D$2, Data!$K661='All Types'!$D$2,Data!$L661='All Types'!$D$3),Data!$C661,"")</f>
        <v/>
      </c>
      <c r="E661" s="3" t="str">
        <f>IF($F661="","",Data!P661)</f>
        <v/>
      </c>
      <c r="F661" s="3" t="str">
        <f>IF(AND(Data!$B661='Individual Type'!$D$2, Data!$K661='All Types'!$D$2,Data!$L661='All Types'!$D$3),Data!M661,"")</f>
        <v/>
      </c>
    </row>
    <row r="662">
      <c r="A662" s="102" t="str">
        <f t="shared" si="1"/>
        <v/>
      </c>
      <c r="B662" s="3" t="str">
        <f>IF(AND(Data!$B662='Individual Type'!$D$2, Data!$K662='All Types'!$D$2,Data!$L662='All Types'!$D$3),Data!$B662,"")</f>
        <v/>
      </c>
      <c r="C662" s="3" t="str">
        <f>IF(F662="","",Data!N662)</f>
        <v/>
      </c>
      <c r="D662" s="3" t="str">
        <f>IF(AND(Data!$B662='Individual Type'!$D$2, Data!$K662='All Types'!$D$2,Data!$L662='All Types'!$D$3),Data!$C662,"")</f>
        <v/>
      </c>
      <c r="E662" s="3" t="str">
        <f>IF($F662="","",Data!P662)</f>
        <v/>
      </c>
      <c r="F662" s="3" t="str">
        <f>IF(AND(Data!$B662='Individual Type'!$D$2, Data!$K662='All Types'!$D$2,Data!$L662='All Types'!$D$3),Data!M662,"")</f>
        <v/>
      </c>
    </row>
    <row r="663">
      <c r="A663" s="102" t="str">
        <f t="shared" si="1"/>
        <v/>
      </c>
      <c r="B663" s="3" t="str">
        <f>IF(AND(Data!$B663='Individual Type'!$D$2, Data!$K663='All Types'!$D$2,Data!$L663='All Types'!$D$3),Data!$B663,"")</f>
        <v/>
      </c>
      <c r="C663" s="3" t="str">
        <f>IF(F663="","",Data!N663)</f>
        <v/>
      </c>
      <c r="D663" s="3" t="str">
        <f>IF(AND(Data!$B663='Individual Type'!$D$2, Data!$K663='All Types'!$D$2,Data!$L663='All Types'!$D$3),Data!$C663,"")</f>
        <v/>
      </c>
      <c r="E663" s="3" t="str">
        <f>IF($F663="","",Data!P663)</f>
        <v/>
      </c>
      <c r="F663" s="3" t="str">
        <f>IF(AND(Data!$B663='Individual Type'!$D$2, Data!$K663='All Types'!$D$2,Data!$L663='All Types'!$D$3),Data!M663,"")</f>
        <v/>
      </c>
    </row>
    <row r="664">
      <c r="A664" s="102" t="str">
        <f t="shared" si="1"/>
        <v/>
      </c>
      <c r="B664" s="3" t="str">
        <f>IF(AND(Data!$B664='Individual Type'!$D$2, Data!$K664='All Types'!$D$2,Data!$L664='All Types'!$D$3),Data!$B664,"")</f>
        <v/>
      </c>
      <c r="C664" s="3" t="str">
        <f>IF(F664="","",Data!N664)</f>
        <v/>
      </c>
      <c r="D664" s="3" t="str">
        <f>IF(AND(Data!$B664='Individual Type'!$D$2, Data!$K664='All Types'!$D$2,Data!$L664='All Types'!$D$3),Data!$C664,"")</f>
        <v/>
      </c>
      <c r="E664" s="3" t="str">
        <f>IF($F664="","",Data!P664)</f>
        <v/>
      </c>
      <c r="F664" s="3" t="str">
        <f>IF(AND(Data!$B664='Individual Type'!$D$2, Data!$K664='All Types'!$D$2,Data!$L664='All Types'!$D$3),Data!M664,"")</f>
        <v/>
      </c>
    </row>
    <row r="665">
      <c r="A665" s="102" t="str">
        <f t="shared" si="1"/>
        <v/>
      </c>
      <c r="B665" s="3" t="str">
        <f>IF(AND(Data!$B665='Individual Type'!$D$2, Data!$K665='All Types'!$D$2,Data!$L665='All Types'!$D$3),Data!$B665,"")</f>
        <v/>
      </c>
      <c r="C665" s="3" t="str">
        <f>IF(F665="","",Data!N665)</f>
        <v/>
      </c>
      <c r="D665" s="3" t="str">
        <f>IF(AND(Data!$B665='Individual Type'!$D$2, Data!$K665='All Types'!$D$2,Data!$L665='All Types'!$D$3),Data!$C665,"")</f>
        <v/>
      </c>
      <c r="E665" s="3" t="str">
        <f>IF($F665="","",Data!P665)</f>
        <v/>
      </c>
      <c r="F665" s="3" t="str">
        <f>IF(AND(Data!$B665='Individual Type'!$D$2, Data!$K665='All Types'!$D$2,Data!$L665='All Types'!$D$3),Data!M665,"")</f>
        <v/>
      </c>
    </row>
    <row r="666">
      <c r="A666" s="102" t="str">
        <f t="shared" si="1"/>
        <v/>
      </c>
      <c r="B666" s="3" t="str">
        <f>IF(AND(Data!$B666='Individual Type'!$D$2, Data!$K666='All Types'!$D$2,Data!$L666='All Types'!$D$3),Data!$B666,"")</f>
        <v/>
      </c>
      <c r="C666" s="3" t="str">
        <f>IF(F666="","",Data!N666)</f>
        <v/>
      </c>
      <c r="D666" s="3" t="str">
        <f>IF(AND(Data!$B666='Individual Type'!$D$2, Data!$K666='All Types'!$D$2,Data!$L666='All Types'!$D$3),Data!$C666,"")</f>
        <v/>
      </c>
      <c r="E666" s="3" t="str">
        <f>IF($F666="","",Data!P666)</f>
        <v/>
      </c>
      <c r="F666" s="3" t="str">
        <f>IF(AND(Data!$B666='Individual Type'!$D$2, Data!$K666='All Types'!$D$2,Data!$L666='All Types'!$D$3),Data!M666,"")</f>
        <v/>
      </c>
    </row>
    <row r="667">
      <c r="A667" s="102" t="str">
        <f t="shared" si="1"/>
        <v/>
      </c>
      <c r="B667" s="3" t="str">
        <f>IF(AND(Data!$B667='Individual Type'!$D$2, Data!$K667='All Types'!$D$2,Data!$L667='All Types'!$D$3),Data!$B667,"")</f>
        <v/>
      </c>
      <c r="C667" s="3" t="str">
        <f>IF(F667="","",Data!N667)</f>
        <v/>
      </c>
      <c r="D667" s="3" t="str">
        <f>IF(AND(Data!$B667='Individual Type'!$D$2, Data!$K667='All Types'!$D$2,Data!$L667='All Types'!$D$3),Data!$C667,"")</f>
        <v/>
      </c>
      <c r="E667" s="3" t="str">
        <f>IF($F667="","",Data!P667)</f>
        <v/>
      </c>
      <c r="F667" s="3" t="str">
        <f>IF(AND(Data!$B667='Individual Type'!$D$2, Data!$K667='All Types'!$D$2,Data!$L667='All Types'!$D$3),Data!M667,"")</f>
        <v/>
      </c>
    </row>
    <row r="668">
      <c r="A668" s="102" t="str">
        <f t="shared" si="1"/>
        <v/>
      </c>
      <c r="B668" s="3" t="str">
        <f>IF(AND(Data!$B668='Individual Type'!$D$2, Data!$K668='All Types'!$D$2,Data!$L668='All Types'!$D$3),Data!$B668,"")</f>
        <v/>
      </c>
      <c r="C668" s="3" t="str">
        <f>IF(F668="","",Data!N668)</f>
        <v/>
      </c>
      <c r="D668" s="3" t="str">
        <f>IF(AND(Data!$B668='Individual Type'!$D$2, Data!$K668='All Types'!$D$2,Data!$L668='All Types'!$D$3),Data!$C668,"")</f>
        <v/>
      </c>
      <c r="E668" s="3" t="str">
        <f>IF($F668="","",Data!P668)</f>
        <v/>
      </c>
      <c r="F668" s="3" t="str">
        <f>IF(AND(Data!$B668='Individual Type'!$D$2, Data!$K668='All Types'!$D$2,Data!$L668='All Types'!$D$3),Data!M668,"")</f>
        <v/>
      </c>
    </row>
    <row r="669">
      <c r="A669" s="102" t="str">
        <f t="shared" si="1"/>
        <v/>
      </c>
      <c r="B669" s="3" t="str">
        <f>IF(AND(Data!$B669='Individual Type'!$D$2, Data!$K669='All Types'!$D$2,Data!$L669='All Types'!$D$3),Data!$B669,"")</f>
        <v/>
      </c>
      <c r="C669" s="3" t="str">
        <f>IF(F669="","",Data!N669)</f>
        <v/>
      </c>
      <c r="D669" s="3" t="str">
        <f>IF(AND(Data!$B669='Individual Type'!$D$2, Data!$K669='All Types'!$D$2,Data!$L669='All Types'!$D$3),Data!$C669,"")</f>
        <v/>
      </c>
      <c r="E669" s="3" t="str">
        <f>IF($F669="","",Data!P669)</f>
        <v/>
      </c>
      <c r="F669" s="3" t="str">
        <f>IF(AND(Data!$B669='Individual Type'!$D$2, Data!$K669='All Types'!$D$2,Data!$L669='All Types'!$D$3),Data!M669,"")</f>
        <v/>
      </c>
    </row>
    <row r="670">
      <c r="A670" s="102" t="str">
        <f t="shared" si="1"/>
        <v/>
      </c>
      <c r="B670" s="3" t="str">
        <f>IF(AND(Data!$B670='Individual Type'!$D$2, Data!$K670='All Types'!$D$2,Data!$L670='All Types'!$D$3),Data!$B670,"")</f>
        <v/>
      </c>
      <c r="C670" s="3" t="str">
        <f>IF(F670="","",Data!N670)</f>
        <v/>
      </c>
      <c r="D670" s="3" t="str">
        <f>IF(AND(Data!$B670='Individual Type'!$D$2, Data!$K670='All Types'!$D$2,Data!$L670='All Types'!$D$3),Data!$C670,"")</f>
        <v/>
      </c>
      <c r="E670" s="3" t="str">
        <f>IF($F670="","",Data!P670)</f>
        <v/>
      </c>
      <c r="F670" s="3" t="str">
        <f>IF(AND(Data!$B670='Individual Type'!$D$2, Data!$K670='All Types'!$D$2,Data!$L670='All Types'!$D$3),Data!M670,"")</f>
        <v/>
      </c>
    </row>
    <row r="671">
      <c r="A671" s="102" t="str">
        <f t="shared" si="1"/>
        <v/>
      </c>
      <c r="B671" s="3" t="str">
        <f>IF(AND(Data!$B671='Individual Type'!$D$2, Data!$K671='All Types'!$D$2,Data!$L671='All Types'!$D$3),Data!$B671,"")</f>
        <v/>
      </c>
      <c r="C671" s="3" t="str">
        <f>IF(F671="","",Data!N671)</f>
        <v/>
      </c>
      <c r="D671" s="3" t="str">
        <f>IF(AND(Data!$B671='Individual Type'!$D$2, Data!$K671='All Types'!$D$2,Data!$L671='All Types'!$D$3),Data!$C671,"")</f>
        <v/>
      </c>
      <c r="E671" s="3" t="str">
        <f>IF($F671="","",Data!P671)</f>
        <v/>
      </c>
      <c r="F671" s="3" t="str">
        <f>IF(AND(Data!$B671='Individual Type'!$D$2, Data!$K671='All Types'!$D$2,Data!$L671='All Types'!$D$3),Data!M671,"")</f>
        <v/>
      </c>
    </row>
    <row r="672">
      <c r="A672" s="102" t="str">
        <f t="shared" si="1"/>
        <v/>
      </c>
      <c r="B672" s="3" t="str">
        <f>IF(AND(Data!$B672='Individual Type'!$D$2, Data!$K672='All Types'!$D$2,Data!$L672='All Types'!$D$3),Data!$B672,"")</f>
        <v/>
      </c>
      <c r="C672" s="3" t="str">
        <f>IF(F672="","",Data!N672)</f>
        <v/>
      </c>
      <c r="D672" s="3" t="str">
        <f>IF(AND(Data!$B672='Individual Type'!$D$2, Data!$K672='All Types'!$D$2,Data!$L672='All Types'!$D$3),Data!$C672,"")</f>
        <v/>
      </c>
      <c r="E672" s="3" t="str">
        <f>IF($F672="","",Data!P672)</f>
        <v/>
      </c>
      <c r="F672" s="3" t="str">
        <f>IF(AND(Data!$B672='Individual Type'!$D$2, Data!$K672='All Types'!$D$2,Data!$L672='All Types'!$D$3),Data!M672,"")</f>
        <v/>
      </c>
    </row>
    <row r="673">
      <c r="A673" s="102" t="str">
        <f t="shared" si="1"/>
        <v/>
      </c>
      <c r="B673" s="3" t="str">
        <f>IF(AND(Data!$B673='Individual Type'!$D$2, Data!$K673='All Types'!$D$2,Data!$L673='All Types'!$D$3),Data!$B673,"")</f>
        <v/>
      </c>
      <c r="C673" s="3" t="str">
        <f>IF(F673="","",Data!N673)</f>
        <v/>
      </c>
      <c r="D673" s="3" t="str">
        <f>IF(AND(Data!$B673='Individual Type'!$D$2, Data!$K673='All Types'!$D$2,Data!$L673='All Types'!$D$3),Data!$C673,"")</f>
        <v/>
      </c>
      <c r="E673" s="3" t="str">
        <f>IF($F673="","",Data!P673)</f>
        <v/>
      </c>
      <c r="F673" s="3" t="str">
        <f>IF(AND(Data!$B673='Individual Type'!$D$2, Data!$K673='All Types'!$D$2,Data!$L673='All Types'!$D$3),Data!M673,"")</f>
        <v/>
      </c>
    </row>
    <row r="674">
      <c r="A674" s="102" t="str">
        <f t="shared" si="1"/>
        <v/>
      </c>
      <c r="B674" s="3" t="str">
        <f>IF(AND(Data!$B674='Individual Type'!$D$2, Data!$K674='All Types'!$D$2,Data!$L674='All Types'!$D$3),Data!$B674,"")</f>
        <v/>
      </c>
      <c r="C674" s="3" t="str">
        <f>IF(F674="","",Data!N674)</f>
        <v/>
      </c>
      <c r="D674" s="3" t="str">
        <f>IF(AND(Data!$B674='Individual Type'!$D$2, Data!$K674='All Types'!$D$2,Data!$L674='All Types'!$D$3),Data!$C674,"")</f>
        <v/>
      </c>
      <c r="E674" s="3" t="str">
        <f>IF($F674="","",Data!P674)</f>
        <v/>
      </c>
      <c r="F674" s="3" t="str">
        <f>IF(AND(Data!$B674='Individual Type'!$D$2, Data!$K674='All Types'!$D$2,Data!$L674='All Types'!$D$3),Data!M674,"")</f>
        <v/>
      </c>
    </row>
    <row r="675">
      <c r="A675" s="102" t="str">
        <f t="shared" si="1"/>
        <v/>
      </c>
      <c r="B675" s="3" t="str">
        <f>IF(AND(Data!$B675='Individual Type'!$D$2, Data!$K675='All Types'!$D$2,Data!$L675='All Types'!$D$3),Data!$B675,"")</f>
        <v/>
      </c>
      <c r="C675" s="3" t="str">
        <f>IF(F675="","",Data!N675)</f>
        <v/>
      </c>
      <c r="D675" s="3" t="str">
        <f>IF(AND(Data!$B675='Individual Type'!$D$2, Data!$K675='All Types'!$D$2,Data!$L675='All Types'!$D$3),Data!$C675,"")</f>
        <v/>
      </c>
      <c r="E675" s="3" t="str">
        <f>IF($F675="","",Data!P675)</f>
        <v/>
      </c>
      <c r="F675" s="3" t="str">
        <f>IF(AND(Data!$B675='Individual Type'!$D$2, Data!$K675='All Types'!$D$2,Data!$L675='All Types'!$D$3),Data!M675,"")</f>
        <v/>
      </c>
    </row>
    <row r="676">
      <c r="A676" s="102" t="str">
        <f t="shared" si="1"/>
        <v/>
      </c>
      <c r="B676" s="3" t="str">
        <f>IF(AND(Data!$B676='Individual Type'!$D$2, Data!$K676='All Types'!$D$2,Data!$L676='All Types'!$D$3),Data!$B676,"")</f>
        <v/>
      </c>
      <c r="C676" s="3" t="str">
        <f>IF(F676="","",Data!N676)</f>
        <v/>
      </c>
      <c r="D676" s="3" t="str">
        <f>IF(AND(Data!$B676='Individual Type'!$D$2, Data!$K676='All Types'!$D$2,Data!$L676='All Types'!$D$3),Data!$C676,"")</f>
        <v/>
      </c>
      <c r="E676" s="3" t="str">
        <f>IF($F676="","",Data!P676)</f>
        <v/>
      </c>
      <c r="F676" s="3" t="str">
        <f>IF(AND(Data!$B676='Individual Type'!$D$2, Data!$K676='All Types'!$D$2,Data!$L676='All Types'!$D$3),Data!M676,"")</f>
        <v/>
      </c>
    </row>
    <row r="677">
      <c r="A677" s="102" t="str">
        <f t="shared" si="1"/>
        <v/>
      </c>
      <c r="B677" s="3" t="str">
        <f>IF(AND(Data!$B677='Individual Type'!$D$2, Data!$K677='All Types'!$D$2,Data!$L677='All Types'!$D$3),Data!$B677,"")</f>
        <v/>
      </c>
      <c r="C677" s="3" t="str">
        <f>IF(F677="","",Data!N677)</f>
        <v/>
      </c>
      <c r="D677" s="3" t="str">
        <f>IF(AND(Data!$B677='Individual Type'!$D$2, Data!$K677='All Types'!$D$2,Data!$L677='All Types'!$D$3),Data!$C677,"")</f>
        <v/>
      </c>
      <c r="E677" s="3" t="str">
        <f>IF($F677="","",Data!P677)</f>
        <v/>
      </c>
      <c r="F677" s="3" t="str">
        <f>IF(AND(Data!$B677='Individual Type'!$D$2, Data!$K677='All Types'!$D$2,Data!$L677='All Types'!$D$3),Data!M677,"")</f>
        <v/>
      </c>
    </row>
    <row r="678">
      <c r="A678" s="102" t="str">
        <f t="shared" si="1"/>
        <v/>
      </c>
      <c r="B678" s="3" t="str">
        <f>IF(AND(Data!$B678='Individual Type'!$D$2, Data!$K678='All Types'!$D$2,Data!$L678='All Types'!$D$3),Data!$B678,"")</f>
        <v/>
      </c>
      <c r="C678" s="3" t="str">
        <f>IF(F678="","",Data!N678)</f>
        <v/>
      </c>
      <c r="D678" s="3" t="str">
        <f>IF(AND(Data!$B678='Individual Type'!$D$2, Data!$K678='All Types'!$D$2,Data!$L678='All Types'!$D$3),Data!$C678,"")</f>
        <v/>
      </c>
      <c r="E678" s="3" t="str">
        <f>IF($F678="","",Data!P678)</f>
        <v/>
      </c>
      <c r="F678" s="3" t="str">
        <f>IF(AND(Data!$B678='Individual Type'!$D$2, Data!$K678='All Types'!$D$2,Data!$L678='All Types'!$D$3),Data!M678,"")</f>
        <v/>
      </c>
    </row>
    <row r="679">
      <c r="A679" s="102" t="str">
        <f t="shared" si="1"/>
        <v/>
      </c>
      <c r="B679" s="3" t="str">
        <f>IF(AND(Data!$B679='Individual Type'!$D$2, Data!$K679='All Types'!$D$2,Data!$L679='All Types'!$D$3),Data!$B679,"")</f>
        <v/>
      </c>
      <c r="C679" s="3" t="str">
        <f>IF(F679="","",Data!N679)</f>
        <v/>
      </c>
      <c r="D679" s="3" t="str">
        <f>IF(AND(Data!$B679='Individual Type'!$D$2, Data!$K679='All Types'!$D$2,Data!$L679='All Types'!$D$3),Data!$C679,"")</f>
        <v/>
      </c>
      <c r="E679" s="3" t="str">
        <f>IF($F679="","",Data!P679)</f>
        <v/>
      </c>
      <c r="F679" s="3" t="str">
        <f>IF(AND(Data!$B679='Individual Type'!$D$2, Data!$K679='All Types'!$D$2,Data!$L679='All Types'!$D$3),Data!M679,"")</f>
        <v/>
      </c>
    </row>
    <row r="680">
      <c r="A680" s="102" t="str">
        <f t="shared" si="1"/>
        <v/>
      </c>
      <c r="B680" s="3" t="str">
        <f>IF(AND(Data!$B680='Individual Type'!$D$2, Data!$K680='All Types'!$D$2,Data!$L680='All Types'!$D$3),Data!$B680,"")</f>
        <v/>
      </c>
      <c r="C680" s="3" t="str">
        <f>IF(F680="","",Data!N680)</f>
        <v/>
      </c>
      <c r="D680" s="3" t="str">
        <f>IF(AND(Data!$B680='Individual Type'!$D$2, Data!$K680='All Types'!$D$2,Data!$L680='All Types'!$D$3),Data!$C680,"")</f>
        <v/>
      </c>
      <c r="E680" s="3" t="str">
        <f>IF($F680="","",Data!P680)</f>
        <v/>
      </c>
      <c r="F680" s="3" t="str">
        <f>IF(AND(Data!$B680='Individual Type'!$D$2, Data!$K680='All Types'!$D$2,Data!$L680='All Types'!$D$3),Data!M680,"")</f>
        <v/>
      </c>
    </row>
    <row r="681">
      <c r="A681" s="102" t="str">
        <f t="shared" si="1"/>
        <v/>
      </c>
      <c r="B681" s="3" t="str">
        <f>IF(AND(Data!$B681='Individual Type'!$D$2, Data!$K681='All Types'!$D$2,Data!$L681='All Types'!$D$3),Data!$B681,"")</f>
        <v/>
      </c>
      <c r="C681" s="3" t="str">
        <f>IF(F681="","",Data!N681)</f>
        <v/>
      </c>
      <c r="D681" s="3" t="str">
        <f>IF(AND(Data!$B681='Individual Type'!$D$2, Data!$K681='All Types'!$D$2,Data!$L681='All Types'!$D$3),Data!$C681,"")</f>
        <v/>
      </c>
      <c r="E681" s="3" t="str">
        <f>IF($F681="","",Data!P681)</f>
        <v/>
      </c>
      <c r="F681" s="3" t="str">
        <f>IF(AND(Data!$B681='Individual Type'!$D$2, Data!$K681='All Types'!$D$2,Data!$L681='All Types'!$D$3),Data!M681,"")</f>
        <v/>
      </c>
    </row>
    <row r="682">
      <c r="A682" s="102" t="str">
        <f t="shared" si="1"/>
        <v/>
      </c>
      <c r="B682" s="3" t="str">
        <f>IF(AND(Data!$B682='Individual Type'!$D$2, Data!$K682='All Types'!$D$2,Data!$L682='All Types'!$D$3),Data!$B682,"")</f>
        <v/>
      </c>
      <c r="C682" s="3" t="str">
        <f>IF(F682="","",Data!N682)</f>
        <v/>
      </c>
      <c r="D682" s="3" t="str">
        <f>IF(AND(Data!$B682='Individual Type'!$D$2, Data!$K682='All Types'!$D$2,Data!$L682='All Types'!$D$3),Data!$C682,"")</f>
        <v/>
      </c>
      <c r="E682" s="3" t="str">
        <f>IF($F682="","",Data!P682)</f>
        <v/>
      </c>
      <c r="F682" s="3" t="str">
        <f>IF(AND(Data!$B682='Individual Type'!$D$2, Data!$K682='All Types'!$D$2,Data!$L682='All Types'!$D$3),Data!M682,"")</f>
        <v/>
      </c>
    </row>
    <row r="683">
      <c r="A683" s="102" t="str">
        <f t="shared" si="1"/>
        <v/>
      </c>
      <c r="B683" s="3" t="str">
        <f>IF(AND(Data!$B683='Individual Type'!$D$2, Data!$K683='All Types'!$D$2,Data!$L683='All Types'!$D$3),Data!$B683,"")</f>
        <v/>
      </c>
      <c r="C683" s="3" t="str">
        <f>IF(F683="","",Data!N683)</f>
        <v/>
      </c>
      <c r="D683" s="3" t="str">
        <f>IF(AND(Data!$B683='Individual Type'!$D$2, Data!$K683='All Types'!$D$2,Data!$L683='All Types'!$D$3),Data!$C683,"")</f>
        <v/>
      </c>
      <c r="E683" s="3" t="str">
        <f>IF($F683="","",Data!P683)</f>
        <v/>
      </c>
      <c r="F683" s="3" t="str">
        <f>IF(AND(Data!$B683='Individual Type'!$D$2, Data!$K683='All Types'!$D$2,Data!$L683='All Types'!$D$3),Data!M683,"")</f>
        <v/>
      </c>
    </row>
    <row r="684">
      <c r="A684" s="102" t="str">
        <f t="shared" si="1"/>
        <v/>
      </c>
      <c r="B684" s="3" t="str">
        <f>IF(AND(Data!$B684='Individual Type'!$D$2, Data!$K684='All Types'!$D$2,Data!$L684='All Types'!$D$3),Data!$B684,"")</f>
        <v/>
      </c>
      <c r="C684" s="3" t="str">
        <f>IF(F684="","",Data!N684)</f>
        <v/>
      </c>
      <c r="D684" s="3" t="str">
        <f>IF(AND(Data!$B684='Individual Type'!$D$2, Data!$K684='All Types'!$D$2,Data!$L684='All Types'!$D$3),Data!$C684,"")</f>
        <v/>
      </c>
      <c r="E684" s="3" t="str">
        <f>IF($F684="","",Data!P684)</f>
        <v/>
      </c>
      <c r="F684" s="3" t="str">
        <f>IF(AND(Data!$B684='Individual Type'!$D$2, Data!$K684='All Types'!$D$2,Data!$L684='All Types'!$D$3),Data!M684,"")</f>
        <v/>
      </c>
    </row>
    <row r="685">
      <c r="A685" s="102" t="str">
        <f t="shared" si="1"/>
        <v/>
      </c>
      <c r="B685" s="3" t="str">
        <f>IF(AND(Data!$B685='Individual Type'!$D$2, Data!$K685='All Types'!$D$2,Data!$L685='All Types'!$D$3),Data!$B685,"")</f>
        <v/>
      </c>
      <c r="C685" s="3" t="str">
        <f>IF(F685="","",Data!N685)</f>
        <v/>
      </c>
      <c r="D685" s="3" t="str">
        <f>IF(AND(Data!$B685='Individual Type'!$D$2, Data!$K685='All Types'!$D$2,Data!$L685='All Types'!$D$3),Data!$C685,"")</f>
        <v/>
      </c>
      <c r="E685" s="3" t="str">
        <f>IF($F685="","",Data!P685)</f>
        <v/>
      </c>
      <c r="F685" s="3" t="str">
        <f>IF(AND(Data!$B685='Individual Type'!$D$2, Data!$K685='All Types'!$D$2,Data!$L685='All Types'!$D$3),Data!M685,"")</f>
        <v/>
      </c>
    </row>
    <row r="686">
      <c r="A686" s="102" t="str">
        <f t="shared" si="1"/>
        <v/>
      </c>
      <c r="B686" s="3" t="str">
        <f>IF(AND(Data!$B686='Individual Type'!$D$2, Data!$K686='All Types'!$D$2,Data!$L686='All Types'!$D$3),Data!$B686,"")</f>
        <v/>
      </c>
      <c r="C686" s="3" t="str">
        <f>IF(F686="","",Data!N686)</f>
        <v/>
      </c>
      <c r="D686" s="3" t="str">
        <f>IF(AND(Data!$B686='Individual Type'!$D$2, Data!$K686='All Types'!$D$2,Data!$L686='All Types'!$D$3),Data!$C686,"")</f>
        <v/>
      </c>
      <c r="E686" s="3" t="str">
        <f>IF($F686="","",Data!P686)</f>
        <v/>
      </c>
      <c r="F686" s="3" t="str">
        <f>IF(AND(Data!$B686='Individual Type'!$D$2, Data!$K686='All Types'!$D$2,Data!$L686='All Types'!$D$3),Data!M686,"")</f>
        <v/>
      </c>
    </row>
    <row r="687">
      <c r="A687" s="102" t="str">
        <f t="shared" si="1"/>
        <v/>
      </c>
      <c r="B687" s="3" t="str">
        <f>IF(AND(Data!$B687='Individual Type'!$D$2, Data!$K687='All Types'!$D$2,Data!$L687='All Types'!$D$3),Data!$B687,"")</f>
        <v/>
      </c>
      <c r="C687" s="3" t="str">
        <f>IF(F687="","",Data!N687)</f>
        <v/>
      </c>
      <c r="D687" s="3" t="str">
        <f>IF(AND(Data!$B687='Individual Type'!$D$2, Data!$K687='All Types'!$D$2,Data!$L687='All Types'!$D$3),Data!$C687,"")</f>
        <v/>
      </c>
      <c r="E687" s="3" t="str">
        <f>IF($F687="","",Data!P687)</f>
        <v/>
      </c>
      <c r="F687" s="3" t="str">
        <f>IF(AND(Data!$B687='Individual Type'!$D$2, Data!$K687='All Types'!$D$2,Data!$L687='All Types'!$D$3),Data!M687,"")</f>
        <v/>
      </c>
    </row>
    <row r="688">
      <c r="A688" s="102" t="str">
        <f t="shared" si="1"/>
        <v/>
      </c>
      <c r="B688" s="3" t="str">
        <f>IF(AND(Data!$B688='Individual Type'!$D$2, Data!$K688='All Types'!$D$2,Data!$L688='All Types'!$D$3),Data!$B688,"")</f>
        <v/>
      </c>
      <c r="C688" s="3" t="str">
        <f>IF(F688="","",Data!N688)</f>
        <v/>
      </c>
      <c r="D688" s="3" t="str">
        <f>IF(AND(Data!$B688='Individual Type'!$D$2, Data!$K688='All Types'!$D$2,Data!$L688='All Types'!$D$3),Data!$C688,"")</f>
        <v/>
      </c>
      <c r="E688" s="3" t="str">
        <f>IF($F688="","",Data!P688)</f>
        <v/>
      </c>
      <c r="F688" s="3" t="str">
        <f>IF(AND(Data!$B688='Individual Type'!$D$2, Data!$K688='All Types'!$D$2,Data!$L688='All Types'!$D$3),Data!M688,"")</f>
        <v/>
      </c>
    </row>
    <row r="689">
      <c r="A689" s="102" t="str">
        <f t="shared" si="1"/>
        <v/>
      </c>
      <c r="B689" s="3" t="str">
        <f>IF(AND(Data!$B689='Individual Type'!$D$2, Data!$K689='All Types'!$D$2,Data!$L689='All Types'!$D$3),Data!$B689,"")</f>
        <v/>
      </c>
      <c r="C689" s="3" t="str">
        <f>IF(F689="","",Data!N689)</f>
        <v/>
      </c>
      <c r="D689" s="3" t="str">
        <f>IF(AND(Data!$B689='Individual Type'!$D$2, Data!$K689='All Types'!$D$2,Data!$L689='All Types'!$D$3),Data!$C689,"")</f>
        <v/>
      </c>
      <c r="E689" s="3" t="str">
        <f>IF($F689="","",Data!P689)</f>
        <v/>
      </c>
      <c r="F689" s="3" t="str">
        <f>IF(AND(Data!$B689='Individual Type'!$D$2, Data!$K689='All Types'!$D$2,Data!$L689='All Types'!$D$3),Data!M689,"")</f>
        <v/>
      </c>
    </row>
    <row r="690">
      <c r="A690" s="102" t="str">
        <f t="shared" si="1"/>
        <v/>
      </c>
      <c r="B690" s="3" t="str">
        <f>IF(AND(Data!$B690='Individual Type'!$D$2, Data!$K690='All Types'!$D$2,Data!$L690='All Types'!$D$3),Data!$B690,"")</f>
        <v/>
      </c>
      <c r="C690" s="3" t="str">
        <f>IF(F690="","",Data!N690)</f>
        <v/>
      </c>
      <c r="D690" s="3" t="str">
        <f>IF(AND(Data!$B690='Individual Type'!$D$2, Data!$K690='All Types'!$D$2,Data!$L690='All Types'!$D$3),Data!$C690,"")</f>
        <v/>
      </c>
      <c r="E690" s="3" t="str">
        <f>IF($F690="","",Data!P690)</f>
        <v/>
      </c>
      <c r="F690" s="3" t="str">
        <f>IF(AND(Data!$B690='Individual Type'!$D$2, Data!$K690='All Types'!$D$2,Data!$L690='All Types'!$D$3),Data!M690,"")</f>
        <v/>
      </c>
    </row>
    <row r="691">
      <c r="A691" s="102" t="str">
        <f t="shared" si="1"/>
        <v/>
      </c>
      <c r="B691" s="3" t="str">
        <f>IF(AND(Data!$B691='Individual Type'!$D$2, Data!$K691='All Types'!$D$2,Data!$L691='All Types'!$D$3),Data!$B691,"")</f>
        <v/>
      </c>
      <c r="C691" s="3" t="str">
        <f>IF(F691="","",Data!N691)</f>
        <v/>
      </c>
      <c r="D691" s="3" t="str">
        <f>IF(AND(Data!$B691='Individual Type'!$D$2, Data!$K691='All Types'!$D$2,Data!$L691='All Types'!$D$3),Data!$C691,"")</f>
        <v/>
      </c>
      <c r="E691" s="3" t="str">
        <f>IF($F691="","",Data!P691)</f>
        <v/>
      </c>
      <c r="F691" s="3" t="str">
        <f>IF(AND(Data!$B691='Individual Type'!$D$2, Data!$K691='All Types'!$D$2,Data!$L691='All Types'!$D$3),Data!M691,"")</f>
        <v/>
      </c>
    </row>
    <row r="692">
      <c r="A692" s="102" t="str">
        <f t="shared" si="1"/>
        <v/>
      </c>
      <c r="B692" s="3" t="str">
        <f>IF(AND(Data!$B692='Individual Type'!$D$2, Data!$K692='All Types'!$D$2,Data!$L692='All Types'!$D$3),Data!$B692,"")</f>
        <v/>
      </c>
      <c r="C692" s="3" t="str">
        <f>IF(F692="","",Data!N692)</f>
        <v/>
      </c>
      <c r="D692" s="3" t="str">
        <f>IF(AND(Data!$B692='Individual Type'!$D$2, Data!$K692='All Types'!$D$2,Data!$L692='All Types'!$D$3),Data!$C692,"")</f>
        <v/>
      </c>
      <c r="E692" s="3" t="str">
        <f>IF($F692="","",Data!P692)</f>
        <v/>
      </c>
      <c r="F692" s="3" t="str">
        <f>IF(AND(Data!$B692='Individual Type'!$D$2, Data!$K692='All Types'!$D$2,Data!$L692='All Types'!$D$3),Data!M692,"")</f>
        <v/>
      </c>
    </row>
    <row r="693">
      <c r="A693" s="102" t="str">
        <f t="shared" si="1"/>
        <v/>
      </c>
      <c r="B693" s="3" t="str">
        <f>IF(AND(Data!$B693='Individual Type'!$D$2, Data!$K693='All Types'!$D$2,Data!$L693='All Types'!$D$3),Data!$B693,"")</f>
        <v/>
      </c>
      <c r="C693" s="3" t="str">
        <f>IF(F693="","",Data!N693)</f>
        <v/>
      </c>
      <c r="D693" s="3" t="str">
        <f>IF(AND(Data!$B693='Individual Type'!$D$2, Data!$K693='All Types'!$D$2,Data!$L693='All Types'!$D$3),Data!$C693,"")</f>
        <v/>
      </c>
      <c r="E693" s="3" t="str">
        <f>IF($F693="","",Data!P693)</f>
        <v/>
      </c>
      <c r="F693" s="3" t="str">
        <f>IF(AND(Data!$B693='Individual Type'!$D$2, Data!$K693='All Types'!$D$2,Data!$L693='All Types'!$D$3),Data!M693,"")</f>
        <v/>
      </c>
    </row>
    <row r="694">
      <c r="A694" s="102" t="str">
        <f t="shared" si="1"/>
        <v/>
      </c>
      <c r="B694" s="3" t="str">
        <f>IF(AND(Data!$B694='Individual Type'!$D$2, Data!$K694='All Types'!$D$2,Data!$L694='All Types'!$D$3),Data!$B694,"")</f>
        <v/>
      </c>
      <c r="C694" s="3" t="str">
        <f>IF(F694="","",Data!N694)</f>
        <v/>
      </c>
      <c r="D694" s="3" t="str">
        <f>IF(AND(Data!$B694='Individual Type'!$D$2, Data!$K694='All Types'!$D$2,Data!$L694='All Types'!$D$3),Data!$C694,"")</f>
        <v/>
      </c>
      <c r="E694" s="3" t="str">
        <f>IF($F694="","",Data!P694)</f>
        <v/>
      </c>
      <c r="F694" s="3" t="str">
        <f>IF(AND(Data!$B694='Individual Type'!$D$2, Data!$K694='All Types'!$D$2,Data!$L694='All Types'!$D$3),Data!M694,"")</f>
        <v/>
      </c>
    </row>
    <row r="695">
      <c r="A695" s="102" t="str">
        <f t="shared" si="1"/>
        <v/>
      </c>
      <c r="B695" s="3" t="str">
        <f>IF(AND(Data!$B695='Individual Type'!$D$2, Data!$K695='All Types'!$D$2,Data!$L695='All Types'!$D$3),Data!$B695,"")</f>
        <v/>
      </c>
      <c r="C695" s="3" t="str">
        <f>IF(F695="","",Data!N695)</f>
        <v/>
      </c>
      <c r="D695" s="3" t="str">
        <f>IF(AND(Data!$B695='Individual Type'!$D$2, Data!$K695='All Types'!$D$2,Data!$L695='All Types'!$D$3),Data!$C695,"")</f>
        <v/>
      </c>
      <c r="E695" s="3" t="str">
        <f>IF($F695="","",Data!P695)</f>
        <v/>
      </c>
      <c r="F695" s="3" t="str">
        <f>IF(AND(Data!$B695='Individual Type'!$D$2, Data!$K695='All Types'!$D$2,Data!$L695='All Types'!$D$3),Data!M695,"")</f>
        <v/>
      </c>
    </row>
    <row r="696">
      <c r="A696" s="102" t="str">
        <f t="shared" si="1"/>
        <v/>
      </c>
      <c r="B696" s="3" t="str">
        <f>IF(AND(Data!$B696='Individual Type'!$D$2, Data!$K696='All Types'!$D$2,Data!$L696='All Types'!$D$3),Data!$B696,"")</f>
        <v/>
      </c>
      <c r="C696" s="3" t="str">
        <f>IF(F696="","",Data!N696)</f>
        <v/>
      </c>
      <c r="D696" s="3" t="str">
        <f>IF(AND(Data!$B696='Individual Type'!$D$2, Data!$K696='All Types'!$D$2,Data!$L696='All Types'!$D$3),Data!$C696,"")</f>
        <v/>
      </c>
      <c r="E696" s="3" t="str">
        <f>IF($F696="","",Data!P696)</f>
        <v/>
      </c>
      <c r="F696" s="3" t="str">
        <f>IF(AND(Data!$B696='Individual Type'!$D$2, Data!$K696='All Types'!$D$2,Data!$L696='All Types'!$D$3),Data!M696,"")</f>
        <v/>
      </c>
    </row>
    <row r="697">
      <c r="A697" s="102" t="str">
        <f t="shared" si="1"/>
        <v/>
      </c>
      <c r="B697" s="3" t="str">
        <f>IF(AND(Data!$B697='Individual Type'!$D$2, Data!$K697='All Types'!$D$2,Data!$L697='All Types'!$D$3),Data!$B697,"")</f>
        <v/>
      </c>
      <c r="C697" s="3" t="str">
        <f>IF(F697="","",Data!N697)</f>
        <v/>
      </c>
      <c r="D697" s="3" t="str">
        <f>IF(AND(Data!$B697='Individual Type'!$D$2, Data!$K697='All Types'!$D$2,Data!$L697='All Types'!$D$3),Data!$C697,"")</f>
        <v/>
      </c>
      <c r="E697" s="3" t="str">
        <f>IF($F697="","",Data!P697)</f>
        <v/>
      </c>
      <c r="F697" s="3" t="str">
        <f>IF(AND(Data!$B697='Individual Type'!$D$2, Data!$K697='All Types'!$D$2,Data!$L697='All Types'!$D$3),Data!M697,"")</f>
        <v/>
      </c>
    </row>
    <row r="698">
      <c r="A698" s="102" t="str">
        <f t="shared" si="1"/>
        <v/>
      </c>
      <c r="B698" s="3" t="str">
        <f>IF(AND(Data!$B698='Individual Type'!$D$2, Data!$K698='All Types'!$D$2,Data!$L698='All Types'!$D$3),Data!$B698,"")</f>
        <v/>
      </c>
      <c r="C698" s="3" t="str">
        <f>IF(F698="","",Data!N698)</f>
        <v/>
      </c>
      <c r="D698" s="3" t="str">
        <f>IF(AND(Data!$B698='Individual Type'!$D$2, Data!$K698='All Types'!$D$2,Data!$L698='All Types'!$D$3),Data!$C698,"")</f>
        <v/>
      </c>
      <c r="E698" s="3" t="str">
        <f>IF($F698="","",Data!P698)</f>
        <v/>
      </c>
      <c r="F698" s="3" t="str">
        <f>IF(AND(Data!$B698='Individual Type'!$D$2, Data!$K698='All Types'!$D$2,Data!$L698='All Types'!$D$3),Data!M698,"")</f>
        <v/>
      </c>
    </row>
    <row r="699">
      <c r="A699" s="102" t="str">
        <f t="shared" si="1"/>
        <v/>
      </c>
      <c r="B699" s="3" t="str">
        <f>IF(AND(Data!$B699='Individual Type'!$D$2, Data!$K699='All Types'!$D$2,Data!$L699='All Types'!$D$3),Data!$B699,"")</f>
        <v/>
      </c>
      <c r="C699" s="3" t="str">
        <f>IF(F699="","",Data!N699)</f>
        <v/>
      </c>
      <c r="D699" s="3" t="str">
        <f>IF(AND(Data!$B699='Individual Type'!$D$2, Data!$K699='All Types'!$D$2,Data!$L699='All Types'!$D$3),Data!$C699,"")</f>
        <v/>
      </c>
      <c r="E699" s="3" t="str">
        <f>IF($F699="","",Data!P699)</f>
        <v/>
      </c>
      <c r="F699" s="3" t="str">
        <f>IF(AND(Data!$B699='Individual Type'!$D$2, Data!$K699='All Types'!$D$2,Data!$L699='All Types'!$D$3),Data!M699,"")</f>
        <v/>
      </c>
    </row>
    <row r="700">
      <c r="A700" s="102" t="str">
        <f t="shared" si="1"/>
        <v/>
      </c>
      <c r="B700" s="3" t="str">
        <f>IF(AND(Data!$B700='Individual Type'!$D$2, Data!$K700='All Types'!$D$2,Data!$L700='All Types'!$D$3),Data!$B700,"")</f>
        <v/>
      </c>
      <c r="C700" s="3" t="str">
        <f>IF(F700="","",Data!N700)</f>
        <v/>
      </c>
      <c r="D700" s="3" t="str">
        <f>IF(AND(Data!$B700='Individual Type'!$D$2, Data!$K700='All Types'!$D$2,Data!$L700='All Types'!$D$3),Data!$C700,"")</f>
        <v/>
      </c>
      <c r="E700" s="3" t="str">
        <f>IF($F700="","",Data!P700)</f>
        <v/>
      </c>
      <c r="F700" s="3" t="str">
        <f>IF(AND(Data!$B700='Individual Type'!$D$2, Data!$K700='All Types'!$D$2,Data!$L700='All Types'!$D$3),Data!M700,"")</f>
        <v/>
      </c>
    </row>
    <row r="701">
      <c r="A701" s="102" t="str">
        <f t="shared" si="1"/>
        <v/>
      </c>
      <c r="B701" s="3" t="str">
        <f>IF(AND(Data!$B701='Individual Type'!$D$2, Data!$K701='All Types'!$D$2,Data!$L701='All Types'!$D$3),Data!$B701,"")</f>
        <v/>
      </c>
      <c r="C701" s="3" t="str">
        <f>IF(F701="","",Data!N701)</f>
        <v/>
      </c>
      <c r="D701" s="3" t="str">
        <f>IF(AND(Data!$B701='Individual Type'!$D$2, Data!$K701='All Types'!$D$2,Data!$L701='All Types'!$D$3),Data!$C701,"")</f>
        <v/>
      </c>
      <c r="E701" s="3" t="str">
        <f>IF($F701="","",Data!P701)</f>
        <v/>
      </c>
      <c r="F701" s="3" t="str">
        <f>IF(AND(Data!$B701='Individual Type'!$D$2, Data!$K701='All Types'!$D$2,Data!$L701='All Types'!$D$3),Data!M701,"")</f>
        <v/>
      </c>
    </row>
    <row r="702">
      <c r="A702" s="102" t="str">
        <f t="shared" si="1"/>
        <v/>
      </c>
      <c r="B702" s="3" t="str">
        <f>IF(AND(Data!$B702='Individual Type'!$D$2, Data!$K702='All Types'!$D$2,Data!$L702='All Types'!$D$3),Data!$B702,"")</f>
        <v/>
      </c>
      <c r="C702" s="3" t="str">
        <f>IF(F702="","",Data!N702)</f>
        <v/>
      </c>
      <c r="D702" s="3" t="str">
        <f>IF(AND(Data!$B702='Individual Type'!$D$2, Data!$K702='All Types'!$D$2,Data!$L702='All Types'!$D$3),Data!$C702,"")</f>
        <v/>
      </c>
      <c r="E702" s="3" t="str">
        <f>IF($F702="","",Data!P702)</f>
        <v/>
      </c>
      <c r="F702" s="3" t="str">
        <f>IF(AND(Data!$B702='Individual Type'!$D$2, Data!$K702='All Types'!$D$2,Data!$L702='All Types'!$D$3),Data!M702,"")</f>
        <v/>
      </c>
    </row>
    <row r="703">
      <c r="A703" s="102" t="str">
        <f t="shared" si="1"/>
        <v/>
      </c>
      <c r="B703" s="3" t="str">
        <f>IF(AND(Data!$B703='Individual Type'!$D$2, Data!$K703='All Types'!$D$2,Data!$L703='All Types'!$D$3),Data!$B703,"")</f>
        <v/>
      </c>
      <c r="C703" s="3" t="str">
        <f>IF(F703="","",Data!N703)</f>
        <v/>
      </c>
      <c r="D703" s="3" t="str">
        <f>IF(AND(Data!$B703='Individual Type'!$D$2, Data!$K703='All Types'!$D$2,Data!$L703='All Types'!$D$3),Data!$C703,"")</f>
        <v/>
      </c>
      <c r="E703" s="3" t="str">
        <f>IF($F703="","",Data!P703)</f>
        <v/>
      </c>
      <c r="F703" s="3" t="str">
        <f>IF(AND(Data!$B703='Individual Type'!$D$2, Data!$K703='All Types'!$D$2,Data!$L703='All Types'!$D$3),Data!M703,"")</f>
        <v/>
      </c>
    </row>
    <row r="704">
      <c r="A704" s="102" t="str">
        <f t="shared" si="1"/>
        <v/>
      </c>
      <c r="B704" s="3" t="str">
        <f>IF(AND(Data!$B704='Individual Type'!$D$2, Data!$K704='All Types'!$D$2,Data!$L704='All Types'!$D$3),Data!$B704,"")</f>
        <v/>
      </c>
      <c r="C704" s="3" t="str">
        <f>IF(F704="","",Data!N704)</f>
        <v/>
      </c>
      <c r="D704" s="3" t="str">
        <f>IF(AND(Data!$B704='Individual Type'!$D$2, Data!$K704='All Types'!$D$2,Data!$L704='All Types'!$D$3),Data!$C704,"")</f>
        <v/>
      </c>
      <c r="E704" s="3" t="str">
        <f>IF($F704="","",Data!P704)</f>
        <v/>
      </c>
      <c r="F704" s="3" t="str">
        <f>IF(AND(Data!$B704='Individual Type'!$D$2, Data!$K704='All Types'!$D$2,Data!$L704='All Types'!$D$3),Data!M704,"")</f>
        <v/>
      </c>
    </row>
    <row r="705">
      <c r="A705" s="102" t="str">
        <f t="shared" si="1"/>
        <v/>
      </c>
      <c r="B705" s="3" t="str">
        <f>IF(AND(Data!$B705='Individual Type'!$D$2, Data!$K705='All Types'!$D$2,Data!$L705='All Types'!$D$3),Data!$B705,"")</f>
        <v/>
      </c>
      <c r="C705" s="3" t="str">
        <f>IF(F705="","",Data!N705)</f>
        <v/>
      </c>
      <c r="D705" s="3" t="str">
        <f>IF(AND(Data!$B705='Individual Type'!$D$2, Data!$K705='All Types'!$D$2,Data!$L705='All Types'!$D$3),Data!$C705,"")</f>
        <v/>
      </c>
      <c r="E705" s="3" t="str">
        <f>IF($F705="","",Data!P705)</f>
        <v/>
      </c>
      <c r="F705" s="3" t="str">
        <f>IF(AND(Data!$B705='Individual Type'!$D$2, Data!$K705='All Types'!$D$2,Data!$L705='All Types'!$D$3),Data!M705,"")</f>
        <v/>
      </c>
    </row>
    <row r="706">
      <c r="A706" s="102" t="str">
        <f t="shared" si="1"/>
        <v/>
      </c>
      <c r="B706" s="3" t="str">
        <f>IF(AND(Data!$B706='Individual Type'!$D$2, Data!$K706='All Types'!$D$2,Data!$L706='All Types'!$D$3),Data!$B706,"")</f>
        <v/>
      </c>
      <c r="C706" s="3" t="str">
        <f>IF(F706="","",Data!N706)</f>
        <v/>
      </c>
      <c r="D706" s="3" t="str">
        <f>IF(AND(Data!$B706='Individual Type'!$D$2, Data!$K706='All Types'!$D$2,Data!$L706='All Types'!$D$3),Data!$C706,"")</f>
        <v/>
      </c>
      <c r="E706" s="3" t="str">
        <f>IF($F706="","",Data!P706)</f>
        <v/>
      </c>
      <c r="F706" s="3" t="str">
        <f>IF(AND(Data!$B706='Individual Type'!$D$2, Data!$K706='All Types'!$D$2,Data!$L706='All Types'!$D$3),Data!M706,"")</f>
        <v/>
      </c>
    </row>
    <row r="707">
      <c r="A707" s="102" t="str">
        <f t="shared" si="1"/>
        <v/>
      </c>
      <c r="B707" s="3" t="str">
        <f>IF(AND(Data!$B707='Individual Type'!$D$2, Data!$K707='All Types'!$D$2,Data!$L707='All Types'!$D$3),Data!$B707,"")</f>
        <v/>
      </c>
      <c r="C707" s="3" t="str">
        <f>IF(F707="","",Data!N707)</f>
        <v/>
      </c>
      <c r="D707" s="3" t="str">
        <f>IF(AND(Data!$B707='Individual Type'!$D$2, Data!$K707='All Types'!$D$2,Data!$L707='All Types'!$D$3),Data!$C707,"")</f>
        <v/>
      </c>
      <c r="E707" s="3" t="str">
        <f>IF($F707="","",Data!P707)</f>
        <v/>
      </c>
      <c r="F707" s="3" t="str">
        <f>IF(AND(Data!$B707='Individual Type'!$D$2, Data!$K707='All Types'!$D$2,Data!$L707='All Types'!$D$3),Data!M707,"")</f>
        <v/>
      </c>
    </row>
    <row r="708">
      <c r="A708" s="102" t="str">
        <f t="shared" si="1"/>
        <v/>
      </c>
      <c r="B708" s="3" t="str">
        <f>IF(AND(Data!$B708='Individual Type'!$D$2, Data!$K708='All Types'!$D$2,Data!$L708='All Types'!$D$3),Data!$B708,"")</f>
        <v/>
      </c>
      <c r="C708" s="3" t="str">
        <f>IF(F708="","",Data!N708)</f>
        <v/>
      </c>
      <c r="D708" s="3" t="str">
        <f>IF(AND(Data!$B708='Individual Type'!$D$2, Data!$K708='All Types'!$D$2,Data!$L708='All Types'!$D$3),Data!$C708,"")</f>
        <v/>
      </c>
      <c r="E708" s="3" t="str">
        <f>IF($F708="","",Data!P708)</f>
        <v/>
      </c>
      <c r="F708" s="3" t="str">
        <f>IF(AND(Data!$B708='Individual Type'!$D$2, Data!$K708='All Types'!$D$2,Data!$L708='All Types'!$D$3),Data!M708,"")</f>
        <v/>
      </c>
    </row>
    <row r="709">
      <c r="A709" s="102" t="str">
        <f t="shared" si="1"/>
        <v/>
      </c>
      <c r="B709" s="3" t="str">
        <f>IF(AND(Data!$B709='Individual Type'!$D$2, Data!$K709='All Types'!$D$2,Data!$L709='All Types'!$D$3),Data!$B709,"")</f>
        <v/>
      </c>
      <c r="C709" s="3" t="str">
        <f>IF(F709="","",Data!N709)</f>
        <v/>
      </c>
      <c r="D709" s="3" t="str">
        <f>IF(AND(Data!$B709='Individual Type'!$D$2, Data!$K709='All Types'!$D$2,Data!$L709='All Types'!$D$3),Data!$C709,"")</f>
        <v/>
      </c>
      <c r="E709" s="3" t="str">
        <f>IF($F709="","",Data!P709)</f>
        <v/>
      </c>
      <c r="F709" s="3" t="str">
        <f>IF(AND(Data!$B709='Individual Type'!$D$2, Data!$K709='All Types'!$D$2,Data!$L709='All Types'!$D$3),Data!M709,"")</f>
        <v/>
      </c>
    </row>
    <row r="710">
      <c r="A710" s="102" t="str">
        <f t="shared" si="1"/>
        <v/>
      </c>
      <c r="B710" s="3" t="str">
        <f>IF(AND(Data!$B710='Individual Type'!$D$2, Data!$K710='All Types'!$D$2,Data!$L710='All Types'!$D$3),Data!$B710,"")</f>
        <v/>
      </c>
      <c r="C710" s="3" t="str">
        <f>IF(F710="","",Data!N710)</f>
        <v/>
      </c>
      <c r="D710" s="3" t="str">
        <f>IF(AND(Data!$B710='Individual Type'!$D$2, Data!$K710='All Types'!$D$2,Data!$L710='All Types'!$D$3),Data!$C710,"")</f>
        <v/>
      </c>
      <c r="E710" s="3" t="str">
        <f>IF($F710="","",Data!P710)</f>
        <v/>
      </c>
      <c r="F710" s="3" t="str">
        <f>IF(AND(Data!$B710='Individual Type'!$D$2, Data!$K710='All Types'!$D$2,Data!$L710='All Types'!$D$3),Data!M710,"")</f>
        <v/>
      </c>
    </row>
    <row r="711">
      <c r="A711" s="102" t="str">
        <f t="shared" si="1"/>
        <v/>
      </c>
      <c r="B711" s="3" t="str">
        <f>IF(AND(Data!$B711='Individual Type'!$D$2, Data!$K711='All Types'!$D$2,Data!$L711='All Types'!$D$3),Data!$B711,"")</f>
        <v/>
      </c>
      <c r="C711" s="3" t="str">
        <f>IF(F711="","",Data!N711)</f>
        <v/>
      </c>
      <c r="D711" s="3" t="str">
        <f>IF(AND(Data!$B711='Individual Type'!$D$2, Data!$K711='All Types'!$D$2,Data!$L711='All Types'!$D$3),Data!$C711,"")</f>
        <v/>
      </c>
      <c r="E711" s="3" t="str">
        <f>IF($F711="","",Data!P711)</f>
        <v/>
      </c>
      <c r="F711" s="3" t="str">
        <f>IF(AND(Data!$B711='Individual Type'!$D$2, Data!$K711='All Types'!$D$2,Data!$L711='All Types'!$D$3),Data!M711,"")</f>
        <v/>
      </c>
    </row>
    <row r="712">
      <c r="A712" s="102" t="str">
        <f t="shared" si="1"/>
        <v/>
      </c>
      <c r="B712" s="3" t="str">
        <f>IF(AND(Data!$B712='Individual Type'!$D$2, Data!$K712='All Types'!$D$2,Data!$L712='All Types'!$D$3),Data!$B712,"")</f>
        <v/>
      </c>
      <c r="C712" s="3" t="str">
        <f>IF(F712="","",Data!N712)</f>
        <v/>
      </c>
      <c r="D712" s="3" t="str">
        <f>IF(AND(Data!$B712='Individual Type'!$D$2, Data!$K712='All Types'!$D$2,Data!$L712='All Types'!$D$3),Data!$C712,"")</f>
        <v/>
      </c>
      <c r="E712" s="3" t="str">
        <f>IF($F712="","",Data!P712)</f>
        <v/>
      </c>
      <c r="F712" s="3" t="str">
        <f>IF(AND(Data!$B712='Individual Type'!$D$2, Data!$K712='All Types'!$D$2,Data!$L712='All Types'!$D$3),Data!M712,"")</f>
        <v/>
      </c>
    </row>
    <row r="713">
      <c r="A713" s="102" t="str">
        <f t="shared" si="1"/>
        <v/>
      </c>
      <c r="B713" s="3" t="str">
        <f>IF(AND(Data!$B713='Individual Type'!$D$2, Data!$K713='All Types'!$D$2,Data!$L713='All Types'!$D$3),Data!$B713,"")</f>
        <v/>
      </c>
      <c r="C713" s="3" t="str">
        <f>IF(F713="","",Data!N713)</f>
        <v/>
      </c>
      <c r="D713" s="3" t="str">
        <f>IF(AND(Data!$B713='Individual Type'!$D$2, Data!$K713='All Types'!$D$2,Data!$L713='All Types'!$D$3),Data!$C713,"")</f>
        <v/>
      </c>
      <c r="E713" s="3" t="str">
        <f>IF($F713="","",Data!P713)</f>
        <v/>
      </c>
      <c r="F713" s="3" t="str">
        <f>IF(AND(Data!$B713='Individual Type'!$D$2, Data!$K713='All Types'!$D$2,Data!$L713='All Types'!$D$3),Data!M713,"")</f>
        <v/>
      </c>
    </row>
    <row r="714">
      <c r="A714" s="102" t="str">
        <f t="shared" si="1"/>
        <v/>
      </c>
      <c r="B714" s="3" t="str">
        <f>IF(AND(Data!$B714='Individual Type'!$D$2, Data!$K714='All Types'!$D$2,Data!$L714='All Types'!$D$3),Data!$B714,"")</f>
        <v/>
      </c>
      <c r="C714" s="3" t="str">
        <f>IF(F714="","",Data!N714)</f>
        <v/>
      </c>
      <c r="D714" s="3" t="str">
        <f>IF(AND(Data!$B714='Individual Type'!$D$2, Data!$K714='All Types'!$D$2,Data!$L714='All Types'!$D$3),Data!$C714,"")</f>
        <v/>
      </c>
      <c r="E714" s="3" t="str">
        <f>IF($F714="","",Data!P714)</f>
        <v/>
      </c>
      <c r="F714" s="3" t="str">
        <f>IF(AND(Data!$B714='Individual Type'!$D$2, Data!$K714='All Types'!$D$2,Data!$L714='All Types'!$D$3),Data!M714,"")</f>
        <v/>
      </c>
    </row>
    <row r="715">
      <c r="A715" s="102" t="str">
        <f t="shared" si="1"/>
        <v/>
      </c>
      <c r="B715" s="3" t="str">
        <f>IF(AND(Data!$B715='Individual Type'!$D$2, Data!$K715='All Types'!$D$2,Data!$L715='All Types'!$D$3),Data!$B715,"")</f>
        <v/>
      </c>
      <c r="C715" s="3" t="str">
        <f>IF(F715="","",Data!N715)</f>
        <v/>
      </c>
      <c r="D715" s="3" t="str">
        <f>IF(AND(Data!$B715='Individual Type'!$D$2, Data!$K715='All Types'!$D$2,Data!$L715='All Types'!$D$3),Data!$C715,"")</f>
        <v/>
      </c>
      <c r="E715" s="3" t="str">
        <f>IF($F715="","",Data!P715)</f>
        <v/>
      </c>
      <c r="F715" s="3" t="str">
        <f>IF(AND(Data!$B715='Individual Type'!$D$2, Data!$K715='All Types'!$D$2,Data!$L715='All Types'!$D$3),Data!M715,"")</f>
        <v/>
      </c>
    </row>
    <row r="716">
      <c r="A716" s="102" t="str">
        <f t="shared" si="1"/>
        <v/>
      </c>
      <c r="B716" s="3" t="str">
        <f>IF(AND(Data!$B716='Individual Type'!$D$2, Data!$K716='All Types'!$D$2,Data!$L716='All Types'!$D$3),Data!$B716,"")</f>
        <v/>
      </c>
      <c r="C716" s="3" t="str">
        <f>IF(F716="","",Data!N716)</f>
        <v/>
      </c>
      <c r="D716" s="3" t="str">
        <f>IF(AND(Data!$B716='Individual Type'!$D$2, Data!$K716='All Types'!$D$2,Data!$L716='All Types'!$D$3),Data!$C716,"")</f>
        <v/>
      </c>
      <c r="E716" s="3" t="str">
        <f>IF($F716="","",Data!P716)</f>
        <v/>
      </c>
      <c r="F716" s="3" t="str">
        <f>IF(AND(Data!$B716='Individual Type'!$D$2, Data!$K716='All Types'!$D$2,Data!$L716='All Types'!$D$3),Data!M716,"")</f>
        <v/>
      </c>
    </row>
    <row r="717">
      <c r="A717" s="102" t="str">
        <f t="shared" si="1"/>
        <v/>
      </c>
      <c r="B717" s="3" t="str">
        <f>IF(AND(Data!$B717='Individual Type'!$D$2, Data!$K717='All Types'!$D$2,Data!$L717='All Types'!$D$3),Data!$B717,"")</f>
        <v/>
      </c>
      <c r="C717" s="3" t="str">
        <f>IF(F717="","",Data!N717)</f>
        <v/>
      </c>
      <c r="D717" s="3" t="str">
        <f>IF(AND(Data!$B717='Individual Type'!$D$2, Data!$K717='All Types'!$D$2,Data!$L717='All Types'!$D$3),Data!$C717,"")</f>
        <v/>
      </c>
      <c r="E717" s="3" t="str">
        <f>IF($F717="","",Data!P717)</f>
        <v/>
      </c>
      <c r="F717" s="3" t="str">
        <f>IF(AND(Data!$B717='Individual Type'!$D$2, Data!$K717='All Types'!$D$2,Data!$L717='All Types'!$D$3),Data!M717,"")</f>
        <v/>
      </c>
    </row>
    <row r="718">
      <c r="A718" s="102" t="str">
        <f t="shared" si="1"/>
        <v/>
      </c>
      <c r="B718" s="3" t="str">
        <f>IF(AND(Data!$B718='Individual Type'!$D$2, Data!$K718='All Types'!$D$2,Data!$L718='All Types'!$D$3),Data!$B718,"")</f>
        <v/>
      </c>
      <c r="C718" s="3" t="str">
        <f>IF(F718="","",Data!N718)</f>
        <v/>
      </c>
      <c r="D718" s="3" t="str">
        <f>IF(AND(Data!$B718='Individual Type'!$D$2, Data!$K718='All Types'!$D$2,Data!$L718='All Types'!$D$3),Data!$C718,"")</f>
        <v/>
      </c>
      <c r="E718" s="3" t="str">
        <f>IF($F718="","",Data!P718)</f>
        <v/>
      </c>
      <c r="F718" s="3" t="str">
        <f>IF(AND(Data!$B718='Individual Type'!$D$2, Data!$K718='All Types'!$D$2,Data!$L718='All Types'!$D$3),Data!M718,"")</f>
        <v/>
      </c>
    </row>
    <row r="719">
      <c r="A719" s="102" t="str">
        <f t="shared" si="1"/>
        <v/>
      </c>
      <c r="B719" s="3" t="str">
        <f>IF(AND(Data!$B719='Individual Type'!$D$2, Data!$K719='All Types'!$D$2,Data!$L719='All Types'!$D$3),Data!$B719,"")</f>
        <v/>
      </c>
      <c r="C719" s="3" t="str">
        <f>IF(F719="","",Data!N719)</f>
        <v/>
      </c>
      <c r="D719" s="3" t="str">
        <f>IF(AND(Data!$B719='Individual Type'!$D$2, Data!$K719='All Types'!$D$2,Data!$L719='All Types'!$D$3),Data!$C719,"")</f>
        <v/>
      </c>
      <c r="E719" s="3" t="str">
        <f>IF($F719="","",Data!P719)</f>
        <v/>
      </c>
      <c r="F719" s="3" t="str">
        <f>IF(AND(Data!$B719='Individual Type'!$D$2, Data!$K719='All Types'!$D$2,Data!$L719='All Types'!$D$3),Data!M719,"")</f>
        <v/>
      </c>
    </row>
    <row r="720">
      <c r="A720" s="102" t="str">
        <f t="shared" si="1"/>
        <v/>
      </c>
      <c r="B720" s="3" t="str">
        <f>IF(AND(Data!$B720='Individual Type'!$D$2, Data!$K720='All Types'!$D$2,Data!$L720='All Types'!$D$3),Data!$B720,"")</f>
        <v/>
      </c>
      <c r="C720" s="3" t="str">
        <f>IF(F720="","",Data!N720)</f>
        <v/>
      </c>
      <c r="D720" s="3" t="str">
        <f>IF(AND(Data!$B720='Individual Type'!$D$2, Data!$K720='All Types'!$D$2,Data!$L720='All Types'!$D$3),Data!$C720,"")</f>
        <v/>
      </c>
      <c r="E720" s="3" t="str">
        <f>IF($F720="","",Data!P720)</f>
        <v/>
      </c>
      <c r="F720" s="3" t="str">
        <f>IF(AND(Data!$B720='Individual Type'!$D$2, Data!$K720='All Types'!$D$2,Data!$L720='All Types'!$D$3),Data!M720,"")</f>
        <v/>
      </c>
    </row>
    <row r="721">
      <c r="A721" s="102" t="str">
        <f t="shared" si="1"/>
        <v/>
      </c>
      <c r="B721" s="3" t="str">
        <f>IF(AND(Data!$B721='Individual Type'!$D$2, Data!$K721='All Types'!$D$2,Data!$L721='All Types'!$D$3),Data!$B721,"")</f>
        <v/>
      </c>
      <c r="C721" s="3" t="str">
        <f>IF(F721="","",Data!N721)</f>
        <v/>
      </c>
      <c r="D721" s="3" t="str">
        <f>IF(AND(Data!$B721='Individual Type'!$D$2, Data!$K721='All Types'!$D$2,Data!$L721='All Types'!$D$3),Data!$C721,"")</f>
        <v/>
      </c>
      <c r="E721" s="3" t="str">
        <f>IF($F721="","",Data!P721)</f>
        <v/>
      </c>
      <c r="F721" s="3" t="str">
        <f>IF(AND(Data!$B721='Individual Type'!$D$2, Data!$K721='All Types'!$D$2,Data!$L721='All Types'!$D$3),Data!M721,"")</f>
        <v/>
      </c>
    </row>
    <row r="722">
      <c r="A722" s="102" t="str">
        <f t="shared" si="1"/>
        <v/>
      </c>
      <c r="B722" s="3" t="str">
        <f>IF(AND(Data!$B722='Individual Type'!$D$2, Data!$K722='All Types'!$D$2,Data!$L722='All Types'!$D$3),Data!$B722,"")</f>
        <v/>
      </c>
      <c r="C722" s="3" t="str">
        <f>IF(F722="","",Data!N722)</f>
        <v/>
      </c>
      <c r="D722" s="3" t="str">
        <f>IF(AND(Data!$B722='Individual Type'!$D$2, Data!$K722='All Types'!$D$2,Data!$L722='All Types'!$D$3),Data!$C722,"")</f>
        <v/>
      </c>
      <c r="E722" s="3" t="str">
        <f>IF($F722="","",Data!P722)</f>
        <v/>
      </c>
      <c r="F722" s="3" t="str">
        <f>IF(AND(Data!$B722='Individual Type'!$D$2, Data!$K722='All Types'!$D$2,Data!$L722='All Types'!$D$3),Data!M722,"")</f>
        <v/>
      </c>
    </row>
    <row r="723">
      <c r="A723" s="102" t="str">
        <f t="shared" si="1"/>
        <v/>
      </c>
      <c r="B723" s="3" t="str">
        <f>IF(AND(Data!$B723='Individual Type'!$D$2, Data!$K723='All Types'!$D$2,Data!$L723='All Types'!$D$3),Data!$B723,"")</f>
        <v/>
      </c>
      <c r="C723" s="3" t="str">
        <f>IF(F723="","",Data!N723)</f>
        <v/>
      </c>
      <c r="D723" s="3" t="str">
        <f>IF(AND(Data!$B723='Individual Type'!$D$2, Data!$K723='All Types'!$D$2,Data!$L723='All Types'!$D$3),Data!$C723,"")</f>
        <v/>
      </c>
      <c r="E723" s="3" t="str">
        <f>IF($F723="","",Data!P723)</f>
        <v/>
      </c>
      <c r="F723" s="3" t="str">
        <f>IF(AND(Data!$B723='Individual Type'!$D$2, Data!$K723='All Types'!$D$2,Data!$L723='All Types'!$D$3),Data!M723,"")</f>
        <v/>
      </c>
    </row>
    <row r="724">
      <c r="A724" s="102" t="str">
        <f t="shared" si="1"/>
        <v/>
      </c>
      <c r="B724" s="3" t="str">
        <f>IF(AND(Data!$B724='Individual Type'!$D$2, Data!$K724='All Types'!$D$2,Data!$L724='All Types'!$D$3),Data!$B724,"")</f>
        <v/>
      </c>
      <c r="C724" s="3" t="str">
        <f>IF(F724="","",Data!N724)</f>
        <v/>
      </c>
      <c r="D724" s="3" t="str">
        <f>IF(AND(Data!$B724='Individual Type'!$D$2, Data!$K724='All Types'!$D$2,Data!$L724='All Types'!$D$3),Data!$C724,"")</f>
        <v/>
      </c>
      <c r="E724" s="3" t="str">
        <f>IF($F724="","",Data!P724)</f>
        <v/>
      </c>
      <c r="F724" s="3" t="str">
        <f>IF(AND(Data!$B724='Individual Type'!$D$2, Data!$K724='All Types'!$D$2,Data!$L724='All Types'!$D$3),Data!M724,"")</f>
        <v/>
      </c>
    </row>
    <row r="725">
      <c r="A725" s="102" t="str">
        <f t="shared" si="1"/>
        <v/>
      </c>
      <c r="B725" s="3" t="str">
        <f>IF(AND(Data!$B725='Individual Type'!$D$2, Data!$K725='All Types'!$D$2,Data!$L725='All Types'!$D$3),Data!$B725,"")</f>
        <v/>
      </c>
      <c r="C725" s="3" t="str">
        <f>IF(F725="","",Data!N725)</f>
        <v/>
      </c>
      <c r="D725" s="3" t="str">
        <f>IF(AND(Data!$B725='Individual Type'!$D$2, Data!$K725='All Types'!$D$2,Data!$L725='All Types'!$D$3),Data!$C725,"")</f>
        <v/>
      </c>
      <c r="E725" s="3" t="str">
        <f>IF($F725="","",Data!P725)</f>
        <v/>
      </c>
      <c r="F725" s="3" t="str">
        <f>IF(AND(Data!$B725='Individual Type'!$D$2, Data!$K725='All Types'!$D$2,Data!$L725='All Types'!$D$3),Data!M725,"")</f>
        <v/>
      </c>
    </row>
    <row r="726">
      <c r="A726" s="102" t="str">
        <f t="shared" si="1"/>
        <v/>
      </c>
      <c r="B726" s="3" t="str">
        <f>IF(AND(Data!$B726='Individual Type'!$D$2, Data!$K726='All Types'!$D$2,Data!$L726='All Types'!$D$3),Data!$B726,"")</f>
        <v/>
      </c>
      <c r="C726" s="3" t="str">
        <f>IF(F726="","",Data!N726)</f>
        <v/>
      </c>
      <c r="D726" s="3" t="str">
        <f>IF(AND(Data!$B726='Individual Type'!$D$2, Data!$K726='All Types'!$D$2,Data!$L726='All Types'!$D$3),Data!$C726,"")</f>
        <v/>
      </c>
      <c r="E726" s="3" t="str">
        <f>IF($F726="","",Data!P726)</f>
        <v/>
      </c>
      <c r="F726" s="3" t="str">
        <f>IF(AND(Data!$B726='Individual Type'!$D$2, Data!$K726='All Types'!$D$2,Data!$L726='All Types'!$D$3),Data!M726,"")</f>
        <v/>
      </c>
    </row>
    <row r="727">
      <c r="A727" s="102" t="str">
        <f t="shared" si="1"/>
        <v/>
      </c>
      <c r="B727" s="3" t="str">
        <f>IF(AND(Data!$B727='Individual Type'!$D$2, Data!$K727='All Types'!$D$2,Data!$L727='All Types'!$D$3),Data!$B727,"")</f>
        <v/>
      </c>
      <c r="C727" s="3" t="str">
        <f>IF(F727="","",Data!N727)</f>
        <v/>
      </c>
      <c r="D727" s="3" t="str">
        <f>IF(AND(Data!$B727='Individual Type'!$D$2, Data!$K727='All Types'!$D$2,Data!$L727='All Types'!$D$3),Data!$C727,"")</f>
        <v/>
      </c>
      <c r="E727" s="3" t="str">
        <f>IF($F727="","",Data!P727)</f>
        <v/>
      </c>
      <c r="F727" s="3" t="str">
        <f>IF(AND(Data!$B727='Individual Type'!$D$2, Data!$K727='All Types'!$D$2,Data!$L727='All Types'!$D$3),Data!M727,"")</f>
        <v/>
      </c>
    </row>
    <row r="728">
      <c r="A728" s="102" t="str">
        <f t="shared" si="1"/>
        <v/>
      </c>
      <c r="B728" s="3" t="str">
        <f>IF(AND(Data!$B728='Individual Type'!$D$2, Data!$K728='All Types'!$D$2,Data!$L728='All Types'!$D$3),Data!$B728,"")</f>
        <v/>
      </c>
      <c r="C728" s="3" t="str">
        <f>IF(F728="","",Data!N728)</f>
        <v/>
      </c>
      <c r="D728" s="3" t="str">
        <f>IF(AND(Data!$B728='Individual Type'!$D$2, Data!$K728='All Types'!$D$2,Data!$L728='All Types'!$D$3),Data!$C728,"")</f>
        <v/>
      </c>
      <c r="E728" s="3" t="str">
        <f>IF($F728="","",Data!P728)</f>
        <v/>
      </c>
      <c r="F728" s="3" t="str">
        <f>IF(AND(Data!$B728='Individual Type'!$D$2, Data!$K728='All Types'!$D$2,Data!$L728='All Types'!$D$3),Data!M728,"")</f>
        <v/>
      </c>
    </row>
    <row r="729">
      <c r="A729" s="102" t="str">
        <f t="shared" si="1"/>
        <v/>
      </c>
      <c r="B729" s="3" t="str">
        <f>IF(AND(Data!$B729='Individual Type'!$D$2, Data!$K729='All Types'!$D$2,Data!$L729='All Types'!$D$3),Data!$B729,"")</f>
        <v/>
      </c>
      <c r="C729" s="3" t="str">
        <f>IF(F729="","",Data!N729)</f>
        <v/>
      </c>
      <c r="D729" s="3" t="str">
        <f>IF(AND(Data!$B729='Individual Type'!$D$2, Data!$K729='All Types'!$D$2,Data!$L729='All Types'!$D$3),Data!$C729,"")</f>
        <v/>
      </c>
      <c r="E729" s="3" t="str">
        <f>IF($F729="","",Data!P729)</f>
        <v/>
      </c>
      <c r="F729" s="3" t="str">
        <f>IF(AND(Data!$B729='Individual Type'!$D$2, Data!$K729='All Types'!$D$2,Data!$L729='All Types'!$D$3),Data!M729,"")</f>
        <v/>
      </c>
    </row>
    <row r="730">
      <c r="A730" s="102" t="str">
        <f t="shared" si="1"/>
        <v/>
      </c>
      <c r="B730" s="3" t="str">
        <f>IF(AND(Data!$B730='Individual Type'!$D$2, Data!$K730='All Types'!$D$2,Data!$L730='All Types'!$D$3),Data!$B730,"")</f>
        <v/>
      </c>
      <c r="C730" s="3" t="str">
        <f>IF(F730="","",Data!N730)</f>
        <v/>
      </c>
      <c r="D730" s="3" t="str">
        <f>IF(AND(Data!$B730='Individual Type'!$D$2, Data!$K730='All Types'!$D$2,Data!$L730='All Types'!$D$3),Data!$C730,"")</f>
        <v/>
      </c>
      <c r="E730" s="3" t="str">
        <f>IF($F730="","",Data!P730)</f>
        <v/>
      </c>
      <c r="F730" s="3" t="str">
        <f>IF(AND(Data!$B730='Individual Type'!$D$2, Data!$K730='All Types'!$D$2,Data!$L730='All Types'!$D$3),Data!M730,"")</f>
        <v/>
      </c>
    </row>
    <row r="731">
      <c r="A731" s="102" t="str">
        <f t="shared" si="1"/>
        <v/>
      </c>
      <c r="B731" s="3" t="str">
        <f>IF(AND(Data!$B731='Individual Type'!$D$2, Data!$K731='All Types'!$D$2,Data!$L731='All Types'!$D$3),Data!$B731,"")</f>
        <v/>
      </c>
      <c r="C731" s="3" t="str">
        <f>IF(F731="","",Data!N731)</f>
        <v/>
      </c>
      <c r="D731" s="3" t="str">
        <f>IF(AND(Data!$B731='Individual Type'!$D$2, Data!$K731='All Types'!$D$2,Data!$L731='All Types'!$D$3),Data!$C731,"")</f>
        <v/>
      </c>
      <c r="E731" s="3" t="str">
        <f>IF($F731="","",Data!P731)</f>
        <v/>
      </c>
      <c r="F731" s="3" t="str">
        <f>IF(AND(Data!$B731='Individual Type'!$D$2, Data!$K731='All Types'!$D$2,Data!$L731='All Types'!$D$3),Data!M731,"")</f>
        <v/>
      </c>
    </row>
    <row r="732">
      <c r="A732" s="102" t="str">
        <f t="shared" si="1"/>
        <v/>
      </c>
      <c r="B732" s="3" t="str">
        <f>IF(AND(Data!$B732='Individual Type'!$D$2, Data!$K732='All Types'!$D$2,Data!$L732='All Types'!$D$3),Data!$B732,"")</f>
        <v/>
      </c>
      <c r="C732" s="3" t="str">
        <f>IF(F732="","",Data!N732)</f>
        <v/>
      </c>
      <c r="D732" s="3" t="str">
        <f>IF(AND(Data!$B732='Individual Type'!$D$2, Data!$K732='All Types'!$D$2,Data!$L732='All Types'!$D$3),Data!$C732,"")</f>
        <v/>
      </c>
      <c r="E732" s="3" t="str">
        <f>IF($F732="","",Data!P732)</f>
        <v/>
      </c>
      <c r="F732" s="3" t="str">
        <f>IF(AND(Data!$B732='Individual Type'!$D$2, Data!$K732='All Types'!$D$2,Data!$L732='All Types'!$D$3),Data!M732,"")</f>
        <v/>
      </c>
    </row>
    <row r="733">
      <c r="A733" s="102" t="str">
        <f t="shared" si="1"/>
        <v/>
      </c>
      <c r="B733" s="3" t="str">
        <f>IF(AND(Data!$B733='Individual Type'!$D$2, Data!$K733='All Types'!$D$2,Data!$L733='All Types'!$D$3),Data!$B733,"")</f>
        <v/>
      </c>
      <c r="C733" s="3" t="str">
        <f>IF(F733="","",Data!N733)</f>
        <v/>
      </c>
      <c r="D733" s="3" t="str">
        <f>IF(AND(Data!$B733='Individual Type'!$D$2, Data!$K733='All Types'!$D$2,Data!$L733='All Types'!$D$3),Data!$C733,"")</f>
        <v/>
      </c>
      <c r="E733" s="3" t="str">
        <f>IF($F733="","",Data!P733)</f>
        <v/>
      </c>
      <c r="F733" s="3" t="str">
        <f>IF(AND(Data!$B733='Individual Type'!$D$2, Data!$K733='All Types'!$D$2,Data!$L733='All Types'!$D$3),Data!M733,"")</f>
        <v/>
      </c>
    </row>
    <row r="734">
      <c r="A734" s="102" t="str">
        <f t="shared" si="1"/>
        <v/>
      </c>
      <c r="B734" s="3" t="str">
        <f>IF(AND(Data!$B734='Individual Type'!$D$2, Data!$K734='All Types'!$D$2,Data!$L734='All Types'!$D$3),Data!$B734,"")</f>
        <v/>
      </c>
      <c r="C734" s="3" t="str">
        <f>IF(F734="","",Data!N734)</f>
        <v/>
      </c>
      <c r="D734" s="3" t="str">
        <f>IF(AND(Data!$B734='Individual Type'!$D$2, Data!$K734='All Types'!$D$2,Data!$L734='All Types'!$D$3),Data!$C734,"")</f>
        <v/>
      </c>
      <c r="E734" s="3" t="str">
        <f>IF($F734="","",Data!P734)</f>
        <v/>
      </c>
      <c r="F734" s="3" t="str">
        <f>IF(AND(Data!$B734='Individual Type'!$D$2, Data!$K734='All Types'!$D$2,Data!$L734='All Types'!$D$3),Data!M734,"")</f>
        <v/>
      </c>
    </row>
    <row r="735">
      <c r="A735" s="102" t="str">
        <f t="shared" si="1"/>
        <v/>
      </c>
      <c r="B735" s="3" t="str">
        <f>IF(AND(Data!$B735='Individual Type'!$D$2, Data!$K735='All Types'!$D$2,Data!$L735='All Types'!$D$3),Data!$B735,"")</f>
        <v/>
      </c>
      <c r="C735" s="3" t="str">
        <f>IF(F735="","",Data!N735)</f>
        <v/>
      </c>
      <c r="D735" s="3" t="str">
        <f>IF(AND(Data!$B735='Individual Type'!$D$2, Data!$K735='All Types'!$D$2,Data!$L735='All Types'!$D$3),Data!$C735,"")</f>
        <v/>
      </c>
      <c r="E735" s="3" t="str">
        <f>IF($F735="","",Data!P735)</f>
        <v/>
      </c>
      <c r="F735" s="3" t="str">
        <f>IF(AND(Data!$B735='Individual Type'!$D$2, Data!$K735='All Types'!$D$2,Data!$L735='All Types'!$D$3),Data!M735,"")</f>
        <v/>
      </c>
    </row>
    <row r="736">
      <c r="A736" s="102" t="str">
        <f t="shared" si="1"/>
        <v/>
      </c>
      <c r="B736" s="3" t="str">
        <f>IF(AND(Data!$B736='Individual Type'!$D$2, Data!$K736='All Types'!$D$2,Data!$L736='All Types'!$D$3),Data!$B736,"")</f>
        <v/>
      </c>
      <c r="C736" s="3" t="str">
        <f>IF(F736="","",Data!N736)</f>
        <v/>
      </c>
      <c r="D736" s="3" t="str">
        <f>IF(AND(Data!$B736='Individual Type'!$D$2, Data!$K736='All Types'!$D$2,Data!$L736='All Types'!$D$3),Data!$C736,"")</f>
        <v/>
      </c>
      <c r="E736" s="3" t="str">
        <f>IF($F736="","",Data!P736)</f>
        <v/>
      </c>
      <c r="F736" s="3" t="str">
        <f>IF(AND(Data!$B736='Individual Type'!$D$2, Data!$K736='All Types'!$D$2,Data!$L736='All Types'!$D$3),Data!M736,"")</f>
        <v/>
      </c>
    </row>
    <row r="737">
      <c r="A737" s="102" t="str">
        <f t="shared" si="1"/>
        <v/>
      </c>
      <c r="B737" s="3" t="str">
        <f>IF(AND(Data!$B737='Individual Type'!$D$2, Data!$K737='All Types'!$D$2,Data!$L737='All Types'!$D$3),Data!$B737,"")</f>
        <v/>
      </c>
      <c r="C737" s="3" t="str">
        <f>IF(F737="","",Data!N737)</f>
        <v/>
      </c>
      <c r="D737" s="3" t="str">
        <f>IF(AND(Data!$B737='Individual Type'!$D$2, Data!$K737='All Types'!$D$2,Data!$L737='All Types'!$D$3),Data!$C737,"")</f>
        <v/>
      </c>
      <c r="E737" s="3" t="str">
        <f>IF($F737="","",Data!P737)</f>
        <v/>
      </c>
      <c r="F737" s="3" t="str">
        <f>IF(AND(Data!$B737='Individual Type'!$D$2, Data!$K737='All Types'!$D$2,Data!$L737='All Types'!$D$3),Data!M737,"")</f>
        <v/>
      </c>
    </row>
    <row r="738">
      <c r="A738" s="102" t="str">
        <f t="shared" si="1"/>
        <v/>
      </c>
      <c r="B738" s="3" t="str">
        <f>IF(AND(Data!$B738='Individual Type'!$D$2, Data!$K738='All Types'!$D$2,Data!$L738='All Types'!$D$3),Data!$B738,"")</f>
        <v/>
      </c>
      <c r="C738" s="3" t="str">
        <f>IF(F738="","",Data!N738)</f>
        <v/>
      </c>
      <c r="D738" s="3" t="str">
        <f>IF(AND(Data!$B738='Individual Type'!$D$2, Data!$K738='All Types'!$D$2,Data!$L738='All Types'!$D$3),Data!$C738,"")</f>
        <v/>
      </c>
      <c r="E738" s="3" t="str">
        <f>IF($F738="","",Data!P738)</f>
        <v/>
      </c>
      <c r="F738" s="3" t="str">
        <f>IF(AND(Data!$B738='Individual Type'!$D$2, Data!$K738='All Types'!$D$2,Data!$L738='All Types'!$D$3),Data!M738,"")</f>
        <v/>
      </c>
    </row>
    <row r="739">
      <c r="A739" s="102" t="str">
        <f t="shared" si="1"/>
        <v/>
      </c>
      <c r="B739" s="3" t="str">
        <f>IF(AND(Data!$B739='Individual Type'!$D$2, Data!$K739='All Types'!$D$2,Data!$L739='All Types'!$D$3),Data!$B739,"")</f>
        <v/>
      </c>
      <c r="C739" s="3" t="str">
        <f>IF(F739="","",Data!N739)</f>
        <v/>
      </c>
      <c r="D739" s="3" t="str">
        <f>IF(AND(Data!$B739='Individual Type'!$D$2, Data!$K739='All Types'!$D$2,Data!$L739='All Types'!$D$3),Data!$C739,"")</f>
        <v/>
      </c>
      <c r="E739" s="3" t="str">
        <f>IF($F739="","",Data!P739)</f>
        <v/>
      </c>
      <c r="F739" s="3" t="str">
        <f>IF(AND(Data!$B739='Individual Type'!$D$2, Data!$K739='All Types'!$D$2,Data!$L739='All Types'!$D$3),Data!M739,"")</f>
        <v/>
      </c>
    </row>
    <row r="740">
      <c r="A740" s="102" t="str">
        <f t="shared" si="1"/>
        <v/>
      </c>
      <c r="B740" s="3" t="str">
        <f>IF(AND(Data!$B740='Individual Type'!$D$2, Data!$K740='All Types'!$D$2,Data!$L740='All Types'!$D$3),Data!$B740,"")</f>
        <v/>
      </c>
      <c r="C740" s="3" t="str">
        <f>IF(F740="","",Data!N740)</f>
        <v/>
      </c>
      <c r="D740" s="3" t="str">
        <f>IF(AND(Data!$B740='Individual Type'!$D$2, Data!$K740='All Types'!$D$2,Data!$L740='All Types'!$D$3),Data!$C740,"")</f>
        <v/>
      </c>
      <c r="E740" s="3" t="str">
        <f>IF($F740="","",Data!P740)</f>
        <v/>
      </c>
      <c r="F740" s="3" t="str">
        <f>IF(AND(Data!$B740='Individual Type'!$D$2, Data!$K740='All Types'!$D$2,Data!$L740='All Types'!$D$3),Data!M740,"")</f>
        <v/>
      </c>
    </row>
    <row r="741">
      <c r="A741" s="102" t="str">
        <f t="shared" si="1"/>
        <v/>
      </c>
      <c r="B741" s="3" t="str">
        <f>IF(AND(Data!$B741='Individual Type'!$D$2, Data!$K741='All Types'!$D$2,Data!$L741='All Types'!$D$3),Data!$B741,"")</f>
        <v/>
      </c>
      <c r="C741" s="3" t="str">
        <f>IF(F741="","",Data!N741)</f>
        <v/>
      </c>
      <c r="D741" s="3" t="str">
        <f>IF(AND(Data!$B741='Individual Type'!$D$2, Data!$K741='All Types'!$D$2,Data!$L741='All Types'!$D$3),Data!$C741,"")</f>
        <v/>
      </c>
      <c r="E741" s="3" t="str">
        <f>IF($F741="","",Data!P741)</f>
        <v/>
      </c>
      <c r="F741" s="3" t="str">
        <f>IF(AND(Data!$B741='Individual Type'!$D$2, Data!$K741='All Types'!$D$2,Data!$L741='All Types'!$D$3),Data!M741,"")</f>
        <v/>
      </c>
    </row>
    <row r="742">
      <c r="A742" s="102" t="str">
        <f t="shared" si="1"/>
        <v/>
      </c>
      <c r="B742" s="3" t="str">
        <f>IF(AND(Data!$B742='Individual Type'!$D$2, Data!$K742='All Types'!$D$2,Data!$L742='All Types'!$D$3),Data!$B742,"")</f>
        <v/>
      </c>
      <c r="C742" s="3" t="str">
        <f>IF(F742="","",Data!N742)</f>
        <v/>
      </c>
      <c r="D742" s="3" t="str">
        <f>IF(AND(Data!$B742='Individual Type'!$D$2, Data!$K742='All Types'!$D$2,Data!$L742='All Types'!$D$3),Data!$C742,"")</f>
        <v/>
      </c>
      <c r="E742" s="3" t="str">
        <f>IF($F742="","",Data!P742)</f>
        <v/>
      </c>
      <c r="F742" s="3" t="str">
        <f>IF(AND(Data!$B742='Individual Type'!$D$2, Data!$K742='All Types'!$D$2,Data!$L742='All Types'!$D$3),Data!M742,"")</f>
        <v/>
      </c>
    </row>
    <row r="743">
      <c r="A743" s="102" t="str">
        <f t="shared" si="1"/>
        <v/>
      </c>
      <c r="B743" s="3" t="str">
        <f>IF(AND(Data!$B743='Individual Type'!$D$2, Data!$K743='All Types'!$D$2,Data!$L743='All Types'!$D$3),Data!$B743,"")</f>
        <v/>
      </c>
      <c r="C743" s="3" t="str">
        <f>IF(F743="","",Data!N743)</f>
        <v/>
      </c>
      <c r="D743" s="3" t="str">
        <f>IF(AND(Data!$B743='Individual Type'!$D$2, Data!$K743='All Types'!$D$2,Data!$L743='All Types'!$D$3),Data!$C743,"")</f>
        <v/>
      </c>
      <c r="E743" s="3" t="str">
        <f>IF($F743="","",Data!P743)</f>
        <v/>
      </c>
      <c r="F743" s="3" t="str">
        <f>IF(AND(Data!$B743='Individual Type'!$D$2, Data!$K743='All Types'!$D$2,Data!$L743='All Types'!$D$3),Data!M743,"")</f>
        <v/>
      </c>
    </row>
    <row r="744">
      <c r="A744" s="102" t="str">
        <f t="shared" si="1"/>
        <v/>
      </c>
      <c r="B744" s="3" t="str">
        <f>IF(AND(Data!$B744='Individual Type'!$D$2, Data!$K744='All Types'!$D$2,Data!$L744='All Types'!$D$3),Data!$B744,"")</f>
        <v/>
      </c>
      <c r="C744" s="3" t="str">
        <f>IF(F744="","",Data!N744)</f>
        <v/>
      </c>
      <c r="D744" s="3" t="str">
        <f>IF(AND(Data!$B744='Individual Type'!$D$2, Data!$K744='All Types'!$D$2,Data!$L744='All Types'!$D$3),Data!$C744,"")</f>
        <v/>
      </c>
      <c r="E744" s="3" t="str">
        <f>IF($F744="","",Data!P744)</f>
        <v/>
      </c>
      <c r="F744" s="3" t="str">
        <f>IF(AND(Data!$B744='Individual Type'!$D$2, Data!$K744='All Types'!$D$2,Data!$L744='All Types'!$D$3),Data!M744,"")</f>
        <v/>
      </c>
    </row>
    <row r="745">
      <c r="A745" s="102" t="str">
        <f t="shared" si="1"/>
        <v/>
      </c>
      <c r="B745" s="3" t="str">
        <f>IF(AND(Data!$B745='Individual Type'!$D$2, Data!$K745='All Types'!$D$2,Data!$L745='All Types'!$D$3),Data!$B745,"")</f>
        <v/>
      </c>
      <c r="C745" s="3" t="str">
        <f>IF(F745="","",Data!N745)</f>
        <v/>
      </c>
      <c r="D745" s="3" t="str">
        <f>IF(AND(Data!$B745='Individual Type'!$D$2, Data!$K745='All Types'!$D$2,Data!$L745='All Types'!$D$3),Data!$C745,"")</f>
        <v/>
      </c>
      <c r="E745" s="3" t="str">
        <f>IF($F745="","",Data!P745)</f>
        <v/>
      </c>
      <c r="F745" s="3" t="str">
        <f>IF(AND(Data!$B745='Individual Type'!$D$2, Data!$K745='All Types'!$D$2,Data!$L745='All Types'!$D$3),Data!M745,"")</f>
        <v/>
      </c>
    </row>
    <row r="746">
      <c r="A746" s="102" t="str">
        <f t="shared" si="1"/>
        <v/>
      </c>
      <c r="B746" s="3" t="str">
        <f>IF(AND(Data!$B746='Individual Type'!$D$2, Data!$K746='All Types'!$D$2,Data!$L746='All Types'!$D$3),Data!$B746,"")</f>
        <v/>
      </c>
      <c r="C746" s="3" t="str">
        <f>IF(F746="","",Data!N746)</f>
        <v/>
      </c>
      <c r="D746" s="3" t="str">
        <f>IF(AND(Data!$B746='Individual Type'!$D$2, Data!$K746='All Types'!$D$2,Data!$L746='All Types'!$D$3),Data!$C746,"")</f>
        <v/>
      </c>
      <c r="E746" s="3" t="str">
        <f>IF($F746="","",Data!P746)</f>
        <v/>
      </c>
      <c r="F746" s="3" t="str">
        <f>IF(AND(Data!$B746='Individual Type'!$D$2, Data!$K746='All Types'!$D$2,Data!$L746='All Types'!$D$3),Data!M746,"")</f>
        <v/>
      </c>
    </row>
    <row r="747">
      <c r="A747" s="102" t="str">
        <f t="shared" si="1"/>
        <v/>
      </c>
      <c r="B747" s="3" t="str">
        <f>IF(AND(Data!$B747='Individual Type'!$D$2, Data!$K747='All Types'!$D$2,Data!$L747='All Types'!$D$3),Data!$B747,"")</f>
        <v/>
      </c>
      <c r="C747" s="3" t="str">
        <f>IF(F747="","",Data!N747)</f>
        <v/>
      </c>
      <c r="D747" s="3" t="str">
        <f>IF(AND(Data!$B747='Individual Type'!$D$2, Data!$K747='All Types'!$D$2,Data!$L747='All Types'!$D$3),Data!$C747,"")</f>
        <v/>
      </c>
      <c r="E747" s="3" t="str">
        <f>IF($F747="","",Data!P747)</f>
        <v/>
      </c>
      <c r="F747" s="3" t="str">
        <f>IF(AND(Data!$B747='Individual Type'!$D$2, Data!$K747='All Types'!$D$2,Data!$L747='All Types'!$D$3),Data!M747,"")</f>
        <v/>
      </c>
    </row>
    <row r="748">
      <c r="A748" s="102" t="str">
        <f t="shared" si="1"/>
        <v/>
      </c>
      <c r="B748" s="3" t="str">
        <f>IF(AND(Data!$B748='Individual Type'!$D$2, Data!$K748='All Types'!$D$2,Data!$L748='All Types'!$D$3),Data!$B748,"")</f>
        <v/>
      </c>
      <c r="C748" s="3" t="str">
        <f>IF(F748="","",Data!N748)</f>
        <v/>
      </c>
      <c r="D748" s="3" t="str">
        <f>IF(AND(Data!$B748='Individual Type'!$D$2, Data!$K748='All Types'!$D$2,Data!$L748='All Types'!$D$3),Data!$C748,"")</f>
        <v/>
      </c>
      <c r="E748" s="3" t="str">
        <f>IF($F748="","",Data!P748)</f>
        <v/>
      </c>
      <c r="F748" s="3" t="str">
        <f>IF(AND(Data!$B748='Individual Type'!$D$2, Data!$K748='All Types'!$D$2,Data!$L748='All Types'!$D$3),Data!M748,"")</f>
        <v/>
      </c>
    </row>
    <row r="749">
      <c r="A749" s="102" t="str">
        <f t="shared" si="1"/>
        <v/>
      </c>
      <c r="B749" s="3" t="str">
        <f>IF(AND(Data!$B749='Individual Type'!$D$2, Data!$K749='All Types'!$D$2,Data!$L749='All Types'!$D$3),Data!$B749,"")</f>
        <v/>
      </c>
      <c r="C749" s="3" t="str">
        <f>IF(F749="","",Data!N749)</f>
        <v/>
      </c>
      <c r="D749" s="3" t="str">
        <f>IF(AND(Data!$B749='Individual Type'!$D$2, Data!$K749='All Types'!$D$2,Data!$L749='All Types'!$D$3),Data!$C749,"")</f>
        <v/>
      </c>
      <c r="E749" s="3" t="str">
        <f>IF($F749="","",Data!P749)</f>
        <v/>
      </c>
      <c r="F749" s="3" t="str">
        <f>IF(AND(Data!$B749='Individual Type'!$D$2, Data!$K749='All Types'!$D$2,Data!$L749='All Types'!$D$3),Data!M749,"")</f>
        <v/>
      </c>
    </row>
    <row r="750">
      <c r="A750" s="102" t="str">
        <f t="shared" si="1"/>
        <v/>
      </c>
      <c r="B750" s="3" t="str">
        <f>IF(AND(Data!$B750='Individual Type'!$D$2, Data!$K750='All Types'!$D$2,Data!$L750='All Types'!$D$3),Data!$B750,"")</f>
        <v/>
      </c>
      <c r="C750" s="3" t="str">
        <f>IF(F750="","",Data!N750)</f>
        <v/>
      </c>
      <c r="D750" s="3" t="str">
        <f>IF(AND(Data!$B750='Individual Type'!$D$2, Data!$K750='All Types'!$D$2,Data!$L750='All Types'!$D$3),Data!$C750,"")</f>
        <v/>
      </c>
      <c r="E750" s="3" t="str">
        <f>IF($F750="","",Data!P750)</f>
        <v/>
      </c>
      <c r="F750" s="3" t="str">
        <f>IF(AND(Data!$B750='Individual Type'!$D$2, Data!$K750='All Types'!$D$2,Data!$L750='All Types'!$D$3),Data!M750,"")</f>
        <v/>
      </c>
    </row>
    <row r="751">
      <c r="A751" s="102" t="str">
        <f t="shared" si="1"/>
        <v/>
      </c>
      <c r="B751" s="3" t="str">
        <f>IF(AND(Data!$B751='Individual Type'!$D$2, Data!$K751='All Types'!$D$2,Data!$L751='All Types'!$D$3),Data!$B751,"")</f>
        <v/>
      </c>
      <c r="C751" s="3" t="str">
        <f>IF(F751="","",Data!N751)</f>
        <v/>
      </c>
      <c r="D751" s="3" t="str">
        <f>IF(AND(Data!$B751='Individual Type'!$D$2, Data!$K751='All Types'!$D$2,Data!$L751='All Types'!$D$3),Data!$C751,"")</f>
        <v/>
      </c>
      <c r="E751" s="3" t="str">
        <f>IF($F751="","",Data!P751)</f>
        <v/>
      </c>
      <c r="F751" s="3" t="str">
        <f>IF(AND(Data!$B751='Individual Type'!$D$2, Data!$K751='All Types'!$D$2,Data!$L751='All Types'!$D$3),Data!M751,"")</f>
        <v/>
      </c>
    </row>
    <row r="752">
      <c r="A752" s="102" t="str">
        <f t="shared" si="1"/>
        <v/>
      </c>
      <c r="B752" s="3" t="str">
        <f>IF(AND(Data!$B752='Individual Type'!$D$2, Data!$K752='All Types'!$D$2,Data!$L752='All Types'!$D$3),Data!$B752,"")</f>
        <v/>
      </c>
      <c r="C752" s="3" t="str">
        <f>IF(F752="","",Data!N752)</f>
        <v/>
      </c>
      <c r="D752" s="3" t="str">
        <f>IF(AND(Data!$B752='Individual Type'!$D$2, Data!$K752='All Types'!$D$2,Data!$L752='All Types'!$D$3),Data!$C752,"")</f>
        <v/>
      </c>
      <c r="E752" s="3" t="str">
        <f>IF($F752="","",Data!P752)</f>
        <v/>
      </c>
      <c r="F752" s="3" t="str">
        <f>IF(AND(Data!$B752='Individual Type'!$D$2, Data!$K752='All Types'!$D$2,Data!$L752='All Types'!$D$3),Data!M752,"")</f>
        <v/>
      </c>
    </row>
    <row r="753">
      <c r="A753" s="102" t="str">
        <f t="shared" si="1"/>
        <v/>
      </c>
      <c r="B753" s="3" t="str">
        <f>IF(AND(Data!$B753='Individual Type'!$D$2, Data!$K753='All Types'!$D$2,Data!$L753='All Types'!$D$3),Data!$B753,"")</f>
        <v/>
      </c>
      <c r="C753" s="3" t="str">
        <f>IF(F753="","",Data!N753)</f>
        <v/>
      </c>
      <c r="D753" s="3" t="str">
        <f>IF(AND(Data!$B753='Individual Type'!$D$2, Data!$K753='All Types'!$D$2,Data!$L753='All Types'!$D$3),Data!$C753,"")</f>
        <v/>
      </c>
      <c r="E753" s="3" t="str">
        <f>IF($F753="","",Data!P753)</f>
        <v/>
      </c>
      <c r="F753" s="3" t="str">
        <f>IF(AND(Data!$B753='Individual Type'!$D$2, Data!$K753='All Types'!$D$2,Data!$L753='All Types'!$D$3),Data!M753,"")</f>
        <v/>
      </c>
    </row>
    <row r="754">
      <c r="A754" s="102" t="str">
        <f t="shared" si="1"/>
        <v/>
      </c>
      <c r="B754" s="3" t="str">
        <f>IF(AND(Data!$B754='Individual Type'!$D$2, Data!$K754='All Types'!$D$2,Data!$L754='All Types'!$D$3),Data!$B754,"")</f>
        <v/>
      </c>
      <c r="C754" s="3" t="str">
        <f>IF(F754="","",Data!N754)</f>
        <v/>
      </c>
      <c r="D754" s="3" t="str">
        <f>IF(AND(Data!$B754='Individual Type'!$D$2, Data!$K754='All Types'!$D$2,Data!$L754='All Types'!$D$3),Data!$C754,"")</f>
        <v/>
      </c>
      <c r="E754" s="3" t="str">
        <f>IF($F754="","",Data!P754)</f>
        <v/>
      </c>
      <c r="F754" s="3" t="str">
        <f>IF(AND(Data!$B754='Individual Type'!$D$2, Data!$K754='All Types'!$D$2,Data!$L754='All Types'!$D$3),Data!M754,"")</f>
        <v/>
      </c>
    </row>
    <row r="755">
      <c r="A755" s="102" t="str">
        <f t="shared" si="1"/>
        <v/>
      </c>
      <c r="B755" s="3" t="str">
        <f>IF(AND(Data!$B755='Individual Type'!$D$2, Data!$K755='All Types'!$D$2,Data!$L755='All Types'!$D$3),Data!$B755,"")</f>
        <v/>
      </c>
      <c r="C755" s="3" t="str">
        <f>IF(F755="","",Data!N755)</f>
        <v/>
      </c>
      <c r="D755" s="3" t="str">
        <f>IF(AND(Data!$B755='Individual Type'!$D$2, Data!$K755='All Types'!$D$2,Data!$L755='All Types'!$D$3),Data!$C755,"")</f>
        <v/>
      </c>
      <c r="E755" s="3" t="str">
        <f>IF($F755="","",Data!P755)</f>
        <v/>
      </c>
      <c r="F755" s="3" t="str">
        <f>IF(AND(Data!$B755='Individual Type'!$D$2, Data!$K755='All Types'!$D$2,Data!$L755='All Types'!$D$3),Data!M755,"")</f>
        <v/>
      </c>
    </row>
    <row r="756">
      <c r="A756" s="102" t="str">
        <f t="shared" si="1"/>
        <v/>
      </c>
      <c r="B756" s="3" t="str">
        <f>IF(AND(Data!$B756='Individual Type'!$D$2, Data!$K756='All Types'!$D$2,Data!$L756='All Types'!$D$3),Data!$B756,"")</f>
        <v/>
      </c>
      <c r="C756" s="3" t="str">
        <f>IF(F756="","",Data!N756)</f>
        <v/>
      </c>
      <c r="D756" s="3" t="str">
        <f>IF(AND(Data!$B756='Individual Type'!$D$2, Data!$K756='All Types'!$D$2,Data!$L756='All Types'!$D$3),Data!$C756,"")</f>
        <v/>
      </c>
      <c r="E756" s="3" t="str">
        <f>IF($F756="","",Data!P756)</f>
        <v/>
      </c>
      <c r="F756" s="3" t="str">
        <f>IF(AND(Data!$B756='Individual Type'!$D$2, Data!$K756='All Types'!$D$2,Data!$L756='All Types'!$D$3),Data!M756,"")</f>
        <v/>
      </c>
    </row>
    <row r="757">
      <c r="A757" s="102" t="str">
        <f t="shared" si="1"/>
        <v/>
      </c>
      <c r="B757" s="3" t="str">
        <f>IF(AND(Data!$B757='Individual Type'!$D$2, Data!$K757='All Types'!$D$2,Data!$L757='All Types'!$D$3),Data!$B757,"")</f>
        <v/>
      </c>
      <c r="C757" s="3" t="str">
        <f>IF(F757="","",Data!N757)</f>
        <v/>
      </c>
      <c r="D757" s="3" t="str">
        <f>IF(AND(Data!$B757='Individual Type'!$D$2, Data!$K757='All Types'!$D$2,Data!$L757='All Types'!$D$3),Data!$C757,"")</f>
        <v/>
      </c>
      <c r="E757" s="3" t="str">
        <f>IF($F757="","",Data!P757)</f>
        <v/>
      </c>
      <c r="F757" s="3" t="str">
        <f>IF(AND(Data!$B757='Individual Type'!$D$2, Data!$K757='All Types'!$D$2,Data!$L757='All Types'!$D$3),Data!M757,"")</f>
        <v/>
      </c>
    </row>
    <row r="758">
      <c r="A758" s="102" t="str">
        <f t="shared" si="1"/>
        <v/>
      </c>
      <c r="B758" s="3" t="str">
        <f>IF(AND(Data!$B758='Individual Type'!$D$2, Data!$K758='All Types'!$D$2,Data!$L758='All Types'!$D$3),Data!$B758,"")</f>
        <v/>
      </c>
      <c r="C758" s="3" t="str">
        <f>IF(F758="","",Data!N758)</f>
        <v/>
      </c>
      <c r="D758" s="3" t="str">
        <f>IF(AND(Data!$B758='Individual Type'!$D$2, Data!$K758='All Types'!$D$2,Data!$L758='All Types'!$D$3),Data!$C758,"")</f>
        <v/>
      </c>
      <c r="E758" s="3" t="str">
        <f>IF($F758="","",Data!P758)</f>
        <v/>
      </c>
      <c r="F758" s="3" t="str">
        <f>IF(AND(Data!$B758='Individual Type'!$D$2, Data!$K758='All Types'!$D$2,Data!$L758='All Types'!$D$3),Data!M758,"")</f>
        <v/>
      </c>
    </row>
    <row r="759">
      <c r="A759" s="102" t="str">
        <f t="shared" si="1"/>
        <v/>
      </c>
      <c r="B759" s="3" t="str">
        <f>IF(AND(Data!$B759='Individual Type'!$D$2, Data!$K759='All Types'!$D$2,Data!$L759='All Types'!$D$3),Data!$B759,"")</f>
        <v/>
      </c>
      <c r="C759" s="3" t="str">
        <f>IF(F759="","",Data!N759)</f>
        <v/>
      </c>
      <c r="D759" s="3" t="str">
        <f>IF(AND(Data!$B759='Individual Type'!$D$2, Data!$K759='All Types'!$D$2,Data!$L759='All Types'!$D$3),Data!$C759,"")</f>
        <v/>
      </c>
      <c r="E759" s="3" t="str">
        <f>IF($F759="","",Data!P759)</f>
        <v/>
      </c>
      <c r="F759" s="3" t="str">
        <f>IF(AND(Data!$B759='Individual Type'!$D$2, Data!$K759='All Types'!$D$2,Data!$L759='All Types'!$D$3),Data!M759,"")</f>
        <v/>
      </c>
    </row>
    <row r="760">
      <c r="A760" s="102" t="str">
        <f t="shared" si="1"/>
        <v/>
      </c>
      <c r="B760" s="3" t="str">
        <f>IF(AND(Data!$B760='Individual Type'!$D$2, Data!$K760='All Types'!$D$2,Data!$L760='All Types'!$D$3),Data!$B760,"")</f>
        <v/>
      </c>
      <c r="C760" s="3" t="str">
        <f>IF(F760="","",Data!N760)</f>
        <v/>
      </c>
      <c r="D760" s="3" t="str">
        <f>IF(AND(Data!$B760='Individual Type'!$D$2, Data!$K760='All Types'!$D$2,Data!$L760='All Types'!$D$3),Data!$C760,"")</f>
        <v/>
      </c>
      <c r="E760" s="3" t="str">
        <f>IF($F760="","",Data!P760)</f>
        <v/>
      </c>
      <c r="F760" s="3" t="str">
        <f>IF(AND(Data!$B760='Individual Type'!$D$2, Data!$K760='All Types'!$D$2,Data!$L760='All Types'!$D$3),Data!M760,"")</f>
        <v/>
      </c>
    </row>
    <row r="761">
      <c r="A761" s="102" t="str">
        <f t="shared" si="1"/>
        <v/>
      </c>
      <c r="B761" s="3" t="str">
        <f>IF(AND(Data!$B761='Individual Type'!$D$2, Data!$K761='All Types'!$D$2,Data!$L761='All Types'!$D$3),Data!$B761,"")</f>
        <v/>
      </c>
      <c r="C761" s="3" t="str">
        <f>IF(F761="","",Data!N761)</f>
        <v/>
      </c>
      <c r="D761" s="3" t="str">
        <f>IF(AND(Data!$B761='Individual Type'!$D$2, Data!$K761='All Types'!$D$2,Data!$L761='All Types'!$D$3),Data!$C761,"")</f>
        <v/>
      </c>
      <c r="E761" s="3" t="str">
        <f>IF($F761="","",Data!P761)</f>
        <v/>
      </c>
      <c r="F761" s="3" t="str">
        <f>IF(AND(Data!$B761='Individual Type'!$D$2, Data!$K761='All Types'!$D$2,Data!$L761='All Types'!$D$3),Data!M761,"")</f>
        <v/>
      </c>
    </row>
    <row r="762">
      <c r="A762" s="102" t="str">
        <f t="shared" si="1"/>
        <v/>
      </c>
      <c r="B762" s="3" t="str">
        <f>IF(AND(Data!$B762='Individual Type'!$D$2, Data!$K762='All Types'!$D$2,Data!$L762='All Types'!$D$3),Data!$B762,"")</f>
        <v/>
      </c>
      <c r="C762" s="3" t="str">
        <f>IF(F762="","",Data!N762)</f>
        <v/>
      </c>
      <c r="D762" s="3" t="str">
        <f>IF(AND(Data!$B762='Individual Type'!$D$2, Data!$K762='All Types'!$D$2,Data!$L762='All Types'!$D$3),Data!$C762,"")</f>
        <v/>
      </c>
      <c r="E762" s="3" t="str">
        <f>IF($F762="","",Data!P762)</f>
        <v/>
      </c>
      <c r="F762" s="3" t="str">
        <f>IF(AND(Data!$B762='Individual Type'!$D$2, Data!$K762='All Types'!$D$2,Data!$L762='All Types'!$D$3),Data!M762,"")</f>
        <v/>
      </c>
    </row>
    <row r="763">
      <c r="A763" s="102" t="str">
        <f t="shared" si="1"/>
        <v/>
      </c>
      <c r="B763" s="3" t="str">
        <f>IF(AND(Data!$B763='Individual Type'!$D$2, Data!$K763='All Types'!$D$2,Data!$L763='All Types'!$D$3),Data!$B763,"")</f>
        <v/>
      </c>
      <c r="C763" s="3" t="str">
        <f>IF(F763="","",Data!N763)</f>
        <v/>
      </c>
      <c r="D763" s="3" t="str">
        <f>IF(AND(Data!$B763='Individual Type'!$D$2, Data!$K763='All Types'!$D$2,Data!$L763='All Types'!$D$3),Data!$C763,"")</f>
        <v/>
      </c>
      <c r="E763" s="3" t="str">
        <f>IF($F763="","",Data!P763)</f>
        <v/>
      </c>
      <c r="F763" s="3" t="str">
        <f>IF(AND(Data!$B763='Individual Type'!$D$2, Data!$K763='All Types'!$D$2,Data!$L763='All Types'!$D$3),Data!M763,"")</f>
        <v/>
      </c>
    </row>
    <row r="764">
      <c r="A764" s="102" t="str">
        <f t="shared" si="1"/>
        <v/>
      </c>
      <c r="B764" s="3" t="str">
        <f>IF(AND(Data!$B764='Individual Type'!$D$2, Data!$K764='All Types'!$D$2,Data!$L764='All Types'!$D$3),Data!$B764,"")</f>
        <v/>
      </c>
      <c r="C764" s="3" t="str">
        <f>IF(F764="","",Data!N764)</f>
        <v/>
      </c>
      <c r="D764" s="3" t="str">
        <f>IF(AND(Data!$B764='Individual Type'!$D$2, Data!$K764='All Types'!$D$2,Data!$L764='All Types'!$D$3),Data!$C764,"")</f>
        <v/>
      </c>
      <c r="E764" s="3" t="str">
        <f>IF($F764="","",Data!P764)</f>
        <v/>
      </c>
      <c r="F764" s="3" t="str">
        <f>IF(AND(Data!$B764='Individual Type'!$D$2, Data!$K764='All Types'!$D$2,Data!$L764='All Types'!$D$3),Data!M764,"")</f>
        <v/>
      </c>
    </row>
    <row r="765">
      <c r="A765" s="102" t="str">
        <f t="shared" si="1"/>
        <v/>
      </c>
      <c r="B765" s="3" t="str">
        <f>IF(AND(Data!$B765='Individual Type'!$D$2, Data!$K765='All Types'!$D$2,Data!$L765='All Types'!$D$3),Data!$B765,"")</f>
        <v/>
      </c>
      <c r="C765" s="3" t="str">
        <f>IF(F765="","",Data!N765)</f>
        <v/>
      </c>
      <c r="D765" s="3" t="str">
        <f>IF(AND(Data!$B765='Individual Type'!$D$2, Data!$K765='All Types'!$D$2,Data!$L765='All Types'!$D$3),Data!$C765,"")</f>
        <v/>
      </c>
      <c r="E765" s="3" t="str">
        <f>IF($F765="","",Data!P765)</f>
        <v/>
      </c>
      <c r="F765" s="3" t="str">
        <f>IF(AND(Data!$B765='Individual Type'!$D$2, Data!$K765='All Types'!$D$2,Data!$L765='All Types'!$D$3),Data!M765,"")</f>
        <v/>
      </c>
    </row>
    <row r="766">
      <c r="A766" s="102" t="str">
        <f t="shared" si="1"/>
        <v/>
      </c>
      <c r="B766" s="3" t="str">
        <f>IF(AND(Data!$B766='Individual Type'!$D$2, Data!$K766='All Types'!$D$2,Data!$L766='All Types'!$D$3),Data!$B766,"")</f>
        <v/>
      </c>
      <c r="C766" s="3" t="str">
        <f>IF(F766="","",Data!N766)</f>
        <v/>
      </c>
      <c r="D766" s="3" t="str">
        <f>IF(AND(Data!$B766='Individual Type'!$D$2, Data!$K766='All Types'!$D$2,Data!$L766='All Types'!$D$3),Data!$C766,"")</f>
        <v/>
      </c>
      <c r="E766" s="3" t="str">
        <f>IF($F766="","",Data!P766)</f>
        <v/>
      </c>
      <c r="F766" s="3" t="str">
        <f>IF(AND(Data!$B766='Individual Type'!$D$2, Data!$K766='All Types'!$D$2,Data!$L766='All Types'!$D$3),Data!M766,"")</f>
        <v/>
      </c>
    </row>
    <row r="767">
      <c r="A767" s="102" t="str">
        <f t="shared" si="1"/>
        <v/>
      </c>
      <c r="B767" s="3" t="str">
        <f>IF(AND(Data!$B767='Individual Type'!$D$2, Data!$K767='All Types'!$D$2,Data!$L767='All Types'!$D$3),Data!$B767,"")</f>
        <v/>
      </c>
      <c r="C767" s="3" t="str">
        <f>IF(F767="","",Data!N767)</f>
        <v/>
      </c>
      <c r="D767" s="3" t="str">
        <f>IF(AND(Data!$B767='Individual Type'!$D$2, Data!$K767='All Types'!$D$2,Data!$L767='All Types'!$D$3),Data!$C767,"")</f>
        <v/>
      </c>
      <c r="E767" s="3" t="str">
        <f>IF($F767="","",Data!P767)</f>
        <v/>
      </c>
      <c r="F767" s="3" t="str">
        <f>IF(AND(Data!$B767='Individual Type'!$D$2, Data!$K767='All Types'!$D$2,Data!$L767='All Types'!$D$3),Data!M767,"")</f>
        <v/>
      </c>
    </row>
    <row r="768">
      <c r="A768" s="102" t="str">
        <f t="shared" si="1"/>
        <v/>
      </c>
      <c r="B768" s="3" t="str">
        <f>IF(AND(Data!$B768='Individual Type'!$D$2, Data!$K768='All Types'!$D$2,Data!$L768='All Types'!$D$3),Data!$B768,"")</f>
        <v/>
      </c>
      <c r="C768" s="3" t="str">
        <f>IF(F768="","",Data!N768)</f>
        <v/>
      </c>
      <c r="D768" s="3" t="str">
        <f>IF(AND(Data!$B768='Individual Type'!$D$2, Data!$K768='All Types'!$D$2,Data!$L768='All Types'!$D$3),Data!$C768,"")</f>
        <v/>
      </c>
      <c r="E768" s="3" t="str">
        <f>IF($F768="","",Data!P768)</f>
        <v/>
      </c>
      <c r="F768" s="3" t="str">
        <f>IF(AND(Data!$B768='Individual Type'!$D$2, Data!$K768='All Types'!$D$2,Data!$L768='All Types'!$D$3),Data!M768,"")</f>
        <v/>
      </c>
    </row>
    <row r="769">
      <c r="A769" s="102" t="str">
        <f t="shared" si="1"/>
        <v/>
      </c>
      <c r="B769" s="3" t="str">
        <f>IF(AND(Data!$B769='Individual Type'!$D$2, Data!$K769='All Types'!$D$2,Data!$L769='All Types'!$D$3),Data!$B769,"")</f>
        <v/>
      </c>
      <c r="C769" s="3" t="str">
        <f>IF(F769="","",Data!N769)</f>
        <v/>
      </c>
      <c r="D769" s="3" t="str">
        <f>IF(AND(Data!$B769='Individual Type'!$D$2, Data!$K769='All Types'!$D$2,Data!$L769='All Types'!$D$3),Data!$C769,"")</f>
        <v/>
      </c>
      <c r="E769" s="3" t="str">
        <f>IF($F769="","",Data!P769)</f>
        <v/>
      </c>
      <c r="F769" s="3" t="str">
        <f>IF(AND(Data!$B769='Individual Type'!$D$2, Data!$K769='All Types'!$D$2,Data!$L769='All Types'!$D$3),Data!M769,"")</f>
        <v/>
      </c>
    </row>
    <row r="770">
      <c r="A770" s="102" t="str">
        <f t="shared" si="1"/>
        <v/>
      </c>
      <c r="B770" s="3" t="str">
        <f>IF(AND(Data!$B770='Individual Type'!$D$2, Data!$K770='All Types'!$D$2,Data!$L770='All Types'!$D$3),Data!$B770,"")</f>
        <v/>
      </c>
      <c r="C770" s="3" t="str">
        <f>IF(F770="","",Data!N770)</f>
        <v/>
      </c>
      <c r="D770" s="3" t="str">
        <f>IF(AND(Data!$B770='Individual Type'!$D$2, Data!$K770='All Types'!$D$2,Data!$L770='All Types'!$D$3),Data!$C770,"")</f>
        <v/>
      </c>
      <c r="E770" s="3" t="str">
        <f>IF($F770="","",Data!P770)</f>
        <v/>
      </c>
      <c r="F770" s="3" t="str">
        <f>IF(AND(Data!$B770='Individual Type'!$D$2, Data!$K770='All Types'!$D$2,Data!$L770='All Types'!$D$3),Data!M770,"")</f>
        <v/>
      </c>
    </row>
    <row r="771">
      <c r="A771" s="102" t="str">
        <f t="shared" si="1"/>
        <v/>
      </c>
      <c r="B771" s="3" t="str">
        <f>IF(AND(Data!$B771='Individual Type'!$D$2, Data!$K771='All Types'!$D$2,Data!$L771='All Types'!$D$3),Data!$B771,"")</f>
        <v/>
      </c>
      <c r="C771" s="3" t="str">
        <f>IF(F771="","",Data!N771)</f>
        <v/>
      </c>
      <c r="D771" s="3" t="str">
        <f>IF(AND(Data!$B771='Individual Type'!$D$2, Data!$K771='All Types'!$D$2,Data!$L771='All Types'!$D$3),Data!$C771,"")</f>
        <v/>
      </c>
      <c r="E771" s="3" t="str">
        <f>IF($F771="","",Data!P771)</f>
        <v/>
      </c>
      <c r="F771" s="3" t="str">
        <f>IF(AND(Data!$B771='Individual Type'!$D$2, Data!$K771='All Types'!$D$2,Data!$L771='All Types'!$D$3),Data!M771,"")</f>
        <v/>
      </c>
    </row>
    <row r="772">
      <c r="A772" s="102" t="str">
        <f t="shared" si="1"/>
        <v/>
      </c>
      <c r="B772" s="3" t="str">
        <f>IF(AND(Data!$B772='Individual Type'!$D$2, Data!$K772='All Types'!$D$2,Data!$L772='All Types'!$D$3),Data!$B772,"")</f>
        <v/>
      </c>
      <c r="C772" s="3" t="str">
        <f>IF(F772="","",Data!N772)</f>
        <v/>
      </c>
      <c r="D772" s="3" t="str">
        <f>IF(AND(Data!$B772='Individual Type'!$D$2, Data!$K772='All Types'!$D$2,Data!$L772='All Types'!$D$3),Data!$C772,"")</f>
        <v/>
      </c>
      <c r="E772" s="3" t="str">
        <f>IF($F772="","",Data!P772)</f>
        <v/>
      </c>
      <c r="F772" s="3" t="str">
        <f>IF(AND(Data!$B772='Individual Type'!$D$2, Data!$K772='All Types'!$D$2,Data!$L772='All Types'!$D$3),Data!M772,"")</f>
        <v/>
      </c>
    </row>
    <row r="773">
      <c r="A773" s="102" t="str">
        <f t="shared" si="1"/>
        <v/>
      </c>
      <c r="B773" s="3" t="str">
        <f>IF(AND(Data!$B773='Individual Type'!$D$2, Data!$K773='All Types'!$D$2,Data!$L773='All Types'!$D$3),Data!$B773,"")</f>
        <v/>
      </c>
      <c r="C773" s="3" t="str">
        <f>IF(F773="","",Data!N773)</f>
        <v/>
      </c>
      <c r="D773" s="3" t="str">
        <f>IF(AND(Data!$B773='Individual Type'!$D$2, Data!$K773='All Types'!$D$2,Data!$L773='All Types'!$D$3),Data!$C773,"")</f>
        <v/>
      </c>
      <c r="E773" s="3" t="str">
        <f>IF($F773="","",Data!P773)</f>
        <v/>
      </c>
      <c r="F773" s="3" t="str">
        <f>IF(AND(Data!$B773='Individual Type'!$D$2, Data!$K773='All Types'!$D$2,Data!$L773='All Types'!$D$3),Data!M773,"")</f>
        <v/>
      </c>
    </row>
    <row r="774">
      <c r="A774" s="102" t="str">
        <f t="shared" si="1"/>
        <v/>
      </c>
      <c r="B774" s="3" t="str">
        <f>IF(AND(Data!$B774='Individual Type'!$D$2, Data!$K774='All Types'!$D$2,Data!$L774='All Types'!$D$3),Data!$B774,"")</f>
        <v/>
      </c>
      <c r="C774" s="3" t="str">
        <f>IF(F774="","",Data!N774)</f>
        <v/>
      </c>
      <c r="D774" s="3" t="str">
        <f>IF(AND(Data!$B774='Individual Type'!$D$2, Data!$K774='All Types'!$D$2,Data!$L774='All Types'!$D$3),Data!$C774,"")</f>
        <v/>
      </c>
      <c r="E774" s="3" t="str">
        <f>IF($F774="","",Data!P774)</f>
        <v/>
      </c>
      <c r="F774" s="3" t="str">
        <f>IF(AND(Data!$B774='Individual Type'!$D$2, Data!$K774='All Types'!$D$2,Data!$L774='All Types'!$D$3),Data!M774,"")</f>
        <v/>
      </c>
    </row>
    <row r="775">
      <c r="A775" s="102" t="str">
        <f t="shared" si="1"/>
        <v/>
      </c>
      <c r="B775" s="3" t="str">
        <f>IF(AND(Data!$B775='Individual Type'!$D$2, Data!$K775='All Types'!$D$2,Data!$L775='All Types'!$D$3),Data!$B775,"")</f>
        <v/>
      </c>
      <c r="C775" s="3" t="str">
        <f>IF(F775="","",Data!N775)</f>
        <v/>
      </c>
      <c r="D775" s="3" t="str">
        <f>IF(AND(Data!$B775='Individual Type'!$D$2, Data!$K775='All Types'!$D$2,Data!$L775='All Types'!$D$3),Data!$C775,"")</f>
        <v/>
      </c>
      <c r="E775" s="3" t="str">
        <f>IF($F775="","",Data!P775)</f>
        <v/>
      </c>
      <c r="F775" s="3" t="str">
        <f>IF(AND(Data!$B775='Individual Type'!$D$2, Data!$K775='All Types'!$D$2,Data!$L775='All Types'!$D$3),Data!M775,"")</f>
        <v/>
      </c>
    </row>
    <row r="776">
      <c r="A776" s="102" t="str">
        <f t="shared" si="1"/>
        <v/>
      </c>
      <c r="B776" s="3" t="str">
        <f>IF(AND(Data!$B776='Individual Type'!$D$2, Data!$K776='All Types'!$D$2,Data!$L776='All Types'!$D$3),Data!$B776,"")</f>
        <v/>
      </c>
      <c r="C776" s="3" t="str">
        <f>IF(F776="","",Data!N776)</f>
        <v/>
      </c>
      <c r="D776" s="3" t="str">
        <f>IF(AND(Data!$B776='Individual Type'!$D$2, Data!$K776='All Types'!$D$2,Data!$L776='All Types'!$D$3),Data!$C776,"")</f>
        <v/>
      </c>
      <c r="E776" s="3" t="str">
        <f>IF($F776="","",Data!P776)</f>
        <v/>
      </c>
      <c r="F776" s="3" t="str">
        <f>IF(AND(Data!$B776='Individual Type'!$D$2, Data!$K776='All Types'!$D$2,Data!$L776='All Types'!$D$3),Data!M776,"")</f>
        <v/>
      </c>
    </row>
    <row r="777">
      <c r="A777" s="102" t="str">
        <f t="shared" si="1"/>
        <v/>
      </c>
      <c r="B777" s="3" t="str">
        <f>IF(AND(Data!$B777='Individual Type'!$D$2, Data!$K777='All Types'!$D$2,Data!$L777='All Types'!$D$3),Data!$B777,"")</f>
        <v/>
      </c>
      <c r="C777" s="3" t="str">
        <f>IF(F777="","",Data!N777)</f>
        <v/>
      </c>
      <c r="D777" s="3" t="str">
        <f>IF(AND(Data!$B777='Individual Type'!$D$2, Data!$K777='All Types'!$D$2,Data!$L777='All Types'!$D$3),Data!$C777,"")</f>
        <v/>
      </c>
      <c r="E777" s="3" t="str">
        <f>IF($F777="","",Data!P777)</f>
        <v/>
      </c>
      <c r="F777" s="3" t="str">
        <f>IF(AND(Data!$B777='Individual Type'!$D$2, Data!$K777='All Types'!$D$2,Data!$L777='All Types'!$D$3),Data!M777,"")</f>
        <v/>
      </c>
    </row>
    <row r="778">
      <c r="A778" s="102" t="str">
        <f t="shared" si="1"/>
        <v/>
      </c>
      <c r="B778" s="3" t="str">
        <f>IF(AND(Data!$B778='Individual Type'!$D$2, Data!$K778='All Types'!$D$2,Data!$L778='All Types'!$D$3),Data!$B778,"")</f>
        <v/>
      </c>
      <c r="C778" s="3" t="str">
        <f>IF(F778="","",Data!N778)</f>
        <v/>
      </c>
      <c r="D778" s="3" t="str">
        <f>IF(AND(Data!$B778='Individual Type'!$D$2, Data!$K778='All Types'!$D$2,Data!$L778='All Types'!$D$3),Data!$C778,"")</f>
        <v/>
      </c>
      <c r="E778" s="3" t="str">
        <f>IF($F778="","",Data!P778)</f>
        <v/>
      </c>
      <c r="F778" s="3" t="str">
        <f>IF(AND(Data!$B778='Individual Type'!$D$2, Data!$K778='All Types'!$D$2,Data!$L778='All Types'!$D$3),Data!M778,"")</f>
        <v/>
      </c>
    </row>
    <row r="779">
      <c r="A779" s="102" t="str">
        <f t="shared" si="1"/>
        <v/>
      </c>
      <c r="B779" s="3" t="str">
        <f>IF(AND(Data!$B779='Individual Type'!$D$2, Data!$K779='All Types'!$D$2,Data!$L779='All Types'!$D$3),Data!$B779,"")</f>
        <v/>
      </c>
      <c r="C779" s="3" t="str">
        <f>IF(F779="","",Data!N779)</f>
        <v/>
      </c>
      <c r="D779" s="3" t="str">
        <f>IF(AND(Data!$B779='Individual Type'!$D$2, Data!$K779='All Types'!$D$2,Data!$L779='All Types'!$D$3),Data!$C779,"")</f>
        <v/>
      </c>
      <c r="E779" s="3" t="str">
        <f>IF($F779="","",Data!P779)</f>
        <v/>
      </c>
      <c r="F779" s="3" t="str">
        <f>IF(AND(Data!$B779='Individual Type'!$D$2, Data!$K779='All Types'!$D$2,Data!$L779='All Types'!$D$3),Data!M779,"")</f>
        <v/>
      </c>
    </row>
    <row r="780">
      <c r="A780" s="102" t="str">
        <f t="shared" si="1"/>
        <v/>
      </c>
      <c r="B780" s="3" t="str">
        <f>IF(AND(Data!$B780='Individual Type'!$D$2, Data!$K780='All Types'!$D$2,Data!$L780='All Types'!$D$3),Data!$B780,"")</f>
        <v/>
      </c>
      <c r="C780" s="3" t="str">
        <f>IF(F780="","",Data!N780)</f>
        <v/>
      </c>
      <c r="D780" s="3" t="str">
        <f>IF(AND(Data!$B780='Individual Type'!$D$2, Data!$K780='All Types'!$D$2,Data!$L780='All Types'!$D$3),Data!$C780,"")</f>
        <v/>
      </c>
      <c r="E780" s="3" t="str">
        <f>IF($F780="","",Data!P780)</f>
        <v/>
      </c>
      <c r="F780" s="3" t="str">
        <f>IF(AND(Data!$B780='Individual Type'!$D$2, Data!$K780='All Types'!$D$2,Data!$L780='All Types'!$D$3),Data!M780,"")</f>
        <v/>
      </c>
    </row>
    <row r="781">
      <c r="A781" s="102" t="str">
        <f t="shared" si="1"/>
        <v/>
      </c>
      <c r="B781" s="3" t="str">
        <f>IF(AND(Data!$B781='Individual Type'!$D$2, Data!$K781='All Types'!$D$2,Data!$L781='All Types'!$D$3),Data!$B781,"")</f>
        <v/>
      </c>
      <c r="C781" s="3" t="str">
        <f>IF(F781="","",Data!N781)</f>
        <v/>
      </c>
      <c r="D781" s="3" t="str">
        <f>IF(AND(Data!$B781='Individual Type'!$D$2, Data!$K781='All Types'!$D$2,Data!$L781='All Types'!$D$3),Data!$C781,"")</f>
        <v/>
      </c>
      <c r="E781" s="3" t="str">
        <f>IF($F781="","",Data!P781)</f>
        <v/>
      </c>
      <c r="F781" s="3" t="str">
        <f>IF(AND(Data!$B781='Individual Type'!$D$2, Data!$K781='All Types'!$D$2,Data!$L781='All Types'!$D$3),Data!M781,"")</f>
        <v/>
      </c>
    </row>
    <row r="782">
      <c r="A782" s="102" t="str">
        <f t="shared" si="1"/>
        <v/>
      </c>
      <c r="B782" s="3" t="str">
        <f>IF(AND(Data!$B782='Individual Type'!$D$2, Data!$K782='All Types'!$D$2,Data!$L782='All Types'!$D$3),Data!$B782,"")</f>
        <v/>
      </c>
      <c r="C782" s="3" t="str">
        <f>IF(F782="","",Data!N782)</f>
        <v/>
      </c>
      <c r="D782" s="3" t="str">
        <f>IF(AND(Data!$B782='Individual Type'!$D$2, Data!$K782='All Types'!$D$2,Data!$L782='All Types'!$D$3),Data!$C782,"")</f>
        <v/>
      </c>
      <c r="E782" s="3" t="str">
        <f>IF($F782="","",Data!P782)</f>
        <v/>
      </c>
      <c r="F782" s="3" t="str">
        <f>IF(AND(Data!$B782='Individual Type'!$D$2, Data!$K782='All Types'!$D$2,Data!$L782='All Types'!$D$3),Data!M782,"")</f>
        <v/>
      </c>
    </row>
    <row r="783">
      <c r="A783" s="102" t="str">
        <f t="shared" si="1"/>
        <v/>
      </c>
      <c r="B783" s="3" t="str">
        <f>IF(AND(Data!$B783='Individual Type'!$D$2, Data!$K783='All Types'!$D$2,Data!$L783='All Types'!$D$3),Data!$B783,"")</f>
        <v/>
      </c>
      <c r="C783" s="3" t="str">
        <f>IF(F783="","",Data!N783)</f>
        <v/>
      </c>
      <c r="D783" s="3" t="str">
        <f>IF(AND(Data!$B783='Individual Type'!$D$2, Data!$K783='All Types'!$D$2,Data!$L783='All Types'!$D$3),Data!$C783,"")</f>
        <v/>
      </c>
      <c r="E783" s="3" t="str">
        <f>IF($F783="","",Data!P783)</f>
        <v/>
      </c>
      <c r="F783" s="3" t="str">
        <f>IF(AND(Data!$B783='Individual Type'!$D$2, Data!$K783='All Types'!$D$2,Data!$L783='All Types'!$D$3),Data!M783,"")</f>
        <v/>
      </c>
    </row>
    <row r="784">
      <c r="A784" s="102" t="str">
        <f t="shared" si="1"/>
        <v/>
      </c>
      <c r="B784" s="3" t="str">
        <f>IF(AND(Data!$B784='Individual Type'!$D$2, Data!$K784='All Types'!$D$2,Data!$L784='All Types'!$D$3),Data!$B784,"")</f>
        <v/>
      </c>
      <c r="C784" s="3" t="str">
        <f>IF(F784="","",Data!N784)</f>
        <v/>
      </c>
      <c r="D784" s="3" t="str">
        <f>IF(AND(Data!$B784='Individual Type'!$D$2, Data!$K784='All Types'!$D$2,Data!$L784='All Types'!$D$3),Data!$C784,"")</f>
        <v/>
      </c>
      <c r="E784" s="3" t="str">
        <f>IF($F784="","",Data!P784)</f>
        <v/>
      </c>
      <c r="F784" s="3" t="str">
        <f>IF(AND(Data!$B784='Individual Type'!$D$2, Data!$K784='All Types'!$D$2,Data!$L784='All Types'!$D$3),Data!M784,"")</f>
        <v/>
      </c>
    </row>
    <row r="785">
      <c r="A785" s="102" t="str">
        <f t="shared" si="1"/>
        <v/>
      </c>
      <c r="B785" s="3" t="str">
        <f>IF(AND(Data!$B785='Individual Type'!$D$2, Data!$K785='All Types'!$D$2,Data!$L785='All Types'!$D$3),Data!$B785,"")</f>
        <v/>
      </c>
      <c r="C785" s="3" t="str">
        <f>IF(F785="","",Data!N785)</f>
        <v/>
      </c>
      <c r="D785" s="3" t="str">
        <f>IF(AND(Data!$B785='Individual Type'!$D$2, Data!$K785='All Types'!$D$2,Data!$L785='All Types'!$D$3),Data!$C785,"")</f>
        <v/>
      </c>
      <c r="E785" s="3" t="str">
        <f>IF($F785="","",Data!P785)</f>
        <v/>
      </c>
      <c r="F785" s="3" t="str">
        <f>IF(AND(Data!$B785='Individual Type'!$D$2, Data!$K785='All Types'!$D$2,Data!$L785='All Types'!$D$3),Data!M785,"")</f>
        <v/>
      </c>
    </row>
    <row r="786">
      <c r="A786" s="102" t="str">
        <f t="shared" si="1"/>
        <v/>
      </c>
      <c r="B786" s="3" t="str">
        <f>IF(AND(Data!$B786='Individual Type'!$D$2, Data!$K786='All Types'!$D$2,Data!$L786='All Types'!$D$3),Data!$B786,"")</f>
        <v/>
      </c>
      <c r="C786" s="3" t="str">
        <f>IF(F786="","",Data!N786)</f>
        <v/>
      </c>
      <c r="D786" s="3" t="str">
        <f>IF(AND(Data!$B786='Individual Type'!$D$2, Data!$K786='All Types'!$D$2,Data!$L786='All Types'!$D$3),Data!$C786,"")</f>
        <v/>
      </c>
      <c r="E786" s="3" t="str">
        <f>IF($F786="","",Data!P786)</f>
        <v/>
      </c>
      <c r="F786" s="3" t="str">
        <f>IF(AND(Data!$B786='Individual Type'!$D$2, Data!$K786='All Types'!$D$2,Data!$L786='All Types'!$D$3),Data!M786,"")</f>
        <v/>
      </c>
    </row>
    <row r="787">
      <c r="A787" s="102" t="str">
        <f t="shared" si="1"/>
        <v/>
      </c>
      <c r="B787" s="3" t="str">
        <f>IF(AND(Data!$B787='Individual Type'!$D$2, Data!$K787='All Types'!$D$2,Data!$L787='All Types'!$D$3),Data!$B787,"")</f>
        <v/>
      </c>
      <c r="C787" s="3" t="str">
        <f>IF(F787="","",Data!N787)</f>
        <v/>
      </c>
      <c r="D787" s="3" t="str">
        <f>IF(AND(Data!$B787='Individual Type'!$D$2, Data!$K787='All Types'!$D$2,Data!$L787='All Types'!$D$3),Data!$C787,"")</f>
        <v/>
      </c>
      <c r="E787" s="3" t="str">
        <f>IF($F787="","",Data!P787)</f>
        <v/>
      </c>
      <c r="F787" s="3" t="str">
        <f>IF(AND(Data!$B787='Individual Type'!$D$2, Data!$K787='All Types'!$D$2,Data!$L787='All Types'!$D$3),Data!M787,"")</f>
        <v/>
      </c>
    </row>
    <row r="788">
      <c r="A788" s="102" t="str">
        <f t="shared" si="1"/>
        <v/>
      </c>
      <c r="B788" s="3" t="str">
        <f>IF(AND(Data!$B788='Individual Type'!$D$2, Data!$K788='All Types'!$D$2,Data!$L788='All Types'!$D$3),Data!$B788,"")</f>
        <v/>
      </c>
      <c r="C788" s="3" t="str">
        <f>IF(F788="","",Data!N788)</f>
        <v/>
      </c>
      <c r="D788" s="3" t="str">
        <f>IF(AND(Data!$B788='Individual Type'!$D$2, Data!$K788='All Types'!$D$2,Data!$L788='All Types'!$D$3),Data!$C788,"")</f>
        <v/>
      </c>
      <c r="E788" s="3" t="str">
        <f>IF($F788="","",Data!P788)</f>
        <v/>
      </c>
      <c r="F788" s="3" t="str">
        <f>IF(AND(Data!$B788='Individual Type'!$D$2, Data!$K788='All Types'!$D$2,Data!$L788='All Types'!$D$3),Data!M788,"")</f>
        <v/>
      </c>
    </row>
    <row r="789">
      <c r="A789" s="102" t="str">
        <f t="shared" si="1"/>
        <v/>
      </c>
      <c r="B789" s="3" t="str">
        <f>IF(AND(Data!$B789='Individual Type'!$D$2, Data!$K789='All Types'!$D$2,Data!$L789='All Types'!$D$3),Data!$B789,"")</f>
        <v/>
      </c>
      <c r="C789" s="3" t="str">
        <f>IF(F789="","",Data!N789)</f>
        <v/>
      </c>
      <c r="D789" s="3" t="str">
        <f>IF(AND(Data!$B789='Individual Type'!$D$2, Data!$K789='All Types'!$D$2,Data!$L789='All Types'!$D$3),Data!$C789,"")</f>
        <v/>
      </c>
      <c r="E789" s="3" t="str">
        <f>IF($F789="","",Data!P789)</f>
        <v/>
      </c>
      <c r="F789" s="3" t="str">
        <f>IF(AND(Data!$B789='Individual Type'!$D$2, Data!$K789='All Types'!$D$2,Data!$L789='All Types'!$D$3),Data!M789,"")</f>
        <v/>
      </c>
    </row>
    <row r="790">
      <c r="A790" s="102" t="str">
        <f t="shared" si="1"/>
        <v/>
      </c>
      <c r="B790" s="3" t="str">
        <f>IF(AND(Data!$B790='Individual Type'!$D$2, Data!$K790='All Types'!$D$2,Data!$L790='All Types'!$D$3),Data!$B790,"")</f>
        <v/>
      </c>
      <c r="C790" s="3" t="str">
        <f>IF(F790="","",Data!N790)</f>
        <v/>
      </c>
      <c r="D790" s="3" t="str">
        <f>IF(AND(Data!$B790='Individual Type'!$D$2, Data!$K790='All Types'!$D$2,Data!$L790='All Types'!$D$3),Data!$C790,"")</f>
        <v/>
      </c>
      <c r="E790" s="3" t="str">
        <f>IF($F790="","",Data!P790)</f>
        <v/>
      </c>
      <c r="F790" s="3" t="str">
        <f>IF(AND(Data!$B790='Individual Type'!$D$2, Data!$K790='All Types'!$D$2,Data!$L790='All Types'!$D$3),Data!M790,"")</f>
        <v/>
      </c>
    </row>
    <row r="791">
      <c r="A791" s="102" t="str">
        <f t="shared" si="1"/>
        <v/>
      </c>
      <c r="B791" s="3" t="str">
        <f>IF(AND(Data!$B791='Individual Type'!$D$2, Data!$K791='All Types'!$D$2,Data!$L791='All Types'!$D$3),Data!$B791,"")</f>
        <v/>
      </c>
      <c r="C791" s="3" t="str">
        <f>IF(F791="","",Data!N791)</f>
        <v/>
      </c>
      <c r="D791" s="3" t="str">
        <f>IF(AND(Data!$B791='Individual Type'!$D$2, Data!$K791='All Types'!$D$2,Data!$L791='All Types'!$D$3),Data!$C791,"")</f>
        <v/>
      </c>
      <c r="E791" s="3" t="str">
        <f>IF($F791="","",Data!P791)</f>
        <v/>
      </c>
      <c r="F791" s="3" t="str">
        <f>IF(AND(Data!$B791='Individual Type'!$D$2, Data!$K791='All Types'!$D$2,Data!$L791='All Types'!$D$3),Data!M791,"")</f>
        <v/>
      </c>
    </row>
    <row r="792">
      <c r="A792" s="102" t="str">
        <f t="shared" si="1"/>
        <v/>
      </c>
      <c r="B792" s="3" t="str">
        <f>IF(AND(Data!$B792='Individual Type'!$D$2, Data!$K792='All Types'!$D$2,Data!$L792='All Types'!$D$3),Data!$B792,"")</f>
        <v/>
      </c>
      <c r="C792" s="3" t="str">
        <f>IF(F792="","",Data!N792)</f>
        <v/>
      </c>
      <c r="D792" s="3" t="str">
        <f>IF(AND(Data!$B792='Individual Type'!$D$2, Data!$K792='All Types'!$D$2,Data!$L792='All Types'!$D$3),Data!$C792,"")</f>
        <v/>
      </c>
      <c r="E792" s="3" t="str">
        <f>IF($F792="","",Data!P792)</f>
        <v/>
      </c>
      <c r="F792" s="3" t="str">
        <f>IF(AND(Data!$B792='Individual Type'!$D$2, Data!$K792='All Types'!$D$2,Data!$L792='All Types'!$D$3),Data!M792,"")</f>
        <v/>
      </c>
    </row>
    <row r="793">
      <c r="A793" s="102" t="str">
        <f t="shared" si="1"/>
        <v/>
      </c>
      <c r="B793" s="3" t="str">
        <f>IF(AND(Data!$B793='Individual Type'!$D$2, Data!$K793='All Types'!$D$2,Data!$L793='All Types'!$D$3),Data!$B793,"")</f>
        <v/>
      </c>
      <c r="C793" s="3" t="str">
        <f>IF(F793="","",Data!N793)</f>
        <v/>
      </c>
      <c r="D793" s="3" t="str">
        <f>IF(AND(Data!$B793='Individual Type'!$D$2, Data!$K793='All Types'!$D$2,Data!$L793='All Types'!$D$3),Data!$C793,"")</f>
        <v/>
      </c>
      <c r="E793" s="3" t="str">
        <f>IF($F793="","",Data!P793)</f>
        <v/>
      </c>
      <c r="F793" s="3" t="str">
        <f>IF(AND(Data!$B793='Individual Type'!$D$2, Data!$K793='All Types'!$D$2,Data!$L793='All Types'!$D$3),Data!M793,"")</f>
        <v/>
      </c>
    </row>
    <row r="794">
      <c r="A794" s="102" t="str">
        <f t="shared" si="1"/>
        <v/>
      </c>
      <c r="B794" s="3" t="str">
        <f>IF(AND(Data!$B794='Individual Type'!$D$2, Data!$K794='All Types'!$D$2,Data!$L794='All Types'!$D$3),Data!$B794,"")</f>
        <v/>
      </c>
      <c r="C794" s="3" t="str">
        <f>IF(F794="","",Data!N794)</f>
        <v/>
      </c>
      <c r="D794" s="3" t="str">
        <f>IF(AND(Data!$B794='Individual Type'!$D$2, Data!$K794='All Types'!$D$2,Data!$L794='All Types'!$D$3),Data!$C794,"")</f>
        <v/>
      </c>
      <c r="E794" s="3" t="str">
        <f>IF($F794="","",Data!P794)</f>
        <v/>
      </c>
      <c r="F794" s="3" t="str">
        <f>IF(AND(Data!$B794='Individual Type'!$D$2, Data!$K794='All Types'!$D$2,Data!$L794='All Types'!$D$3),Data!M794,"")</f>
        <v/>
      </c>
    </row>
    <row r="795">
      <c r="A795" s="102" t="str">
        <f t="shared" si="1"/>
        <v/>
      </c>
      <c r="B795" s="3" t="str">
        <f>IF(AND(Data!$B795='Individual Type'!$D$2, Data!$K795='All Types'!$D$2,Data!$L795='All Types'!$D$3),Data!$B795,"")</f>
        <v/>
      </c>
      <c r="C795" s="3" t="str">
        <f>IF(F795="","",Data!N795)</f>
        <v/>
      </c>
      <c r="D795" s="3" t="str">
        <f>IF(AND(Data!$B795='Individual Type'!$D$2, Data!$K795='All Types'!$D$2,Data!$L795='All Types'!$D$3),Data!$C795,"")</f>
        <v/>
      </c>
      <c r="E795" s="3" t="str">
        <f>IF($F795="","",Data!P795)</f>
        <v/>
      </c>
      <c r="F795" s="3" t="str">
        <f>IF(AND(Data!$B795='Individual Type'!$D$2, Data!$K795='All Types'!$D$2,Data!$L795='All Types'!$D$3),Data!M795,"")</f>
        <v/>
      </c>
    </row>
    <row r="796">
      <c r="A796" s="102" t="str">
        <f t="shared" si="1"/>
        <v/>
      </c>
      <c r="B796" s="3" t="str">
        <f>IF(AND(Data!$B796='Individual Type'!$D$2, Data!$K796='All Types'!$D$2,Data!$L796='All Types'!$D$3),Data!$B796,"")</f>
        <v/>
      </c>
      <c r="C796" s="3" t="str">
        <f>IF(F796="","",Data!N796)</f>
        <v/>
      </c>
      <c r="D796" s="3" t="str">
        <f>IF(AND(Data!$B796='Individual Type'!$D$2, Data!$K796='All Types'!$D$2,Data!$L796='All Types'!$D$3),Data!$C796,"")</f>
        <v/>
      </c>
      <c r="E796" s="3" t="str">
        <f>IF($F796="","",Data!P796)</f>
        <v/>
      </c>
      <c r="F796" s="3" t="str">
        <f>IF(AND(Data!$B796='Individual Type'!$D$2, Data!$K796='All Types'!$D$2,Data!$L796='All Types'!$D$3),Data!M796,"")</f>
        <v/>
      </c>
    </row>
    <row r="797">
      <c r="A797" s="102" t="str">
        <f t="shared" si="1"/>
        <v/>
      </c>
      <c r="B797" s="3" t="str">
        <f>IF(AND(Data!$B797='Individual Type'!$D$2, Data!$K797='All Types'!$D$2,Data!$L797='All Types'!$D$3),Data!$B797,"")</f>
        <v/>
      </c>
      <c r="C797" s="3" t="str">
        <f>IF(F797="","",Data!N797)</f>
        <v/>
      </c>
      <c r="D797" s="3" t="str">
        <f>IF(AND(Data!$B797='Individual Type'!$D$2, Data!$K797='All Types'!$D$2,Data!$L797='All Types'!$D$3),Data!$C797,"")</f>
        <v/>
      </c>
      <c r="E797" s="3" t="str">
        <f>IF($F797="","",Data!P797)</f>
        <v/>
      </c>
      <c r="F797" s="3" t="str">
        <f>IF(AND(Data!$B797='Individual Type'!$D$2, Data!$K797='All Types'!$D$2,Data!$L797='All Types'!$D$3),Data!M797,"")</f>
        <v/>
      </c>
    </row>
    <row r="798">
      <c r="A798" s="102" t="str">
        <f t="shared" si="1"/>
        <v/>
      </c>
      <c r="B798" s="3" t="str">
        <f>IF(AND(Data!$B798='Individual Type'!$D$2, Data!$K798='All Types'!$D$2,Data!$L798='All Types'!$D$3),Data!$B798,"")</f>
        <v/>
      </c>
      <c r="C798" s="3" t="str">
        <f>IF(F798="","",Data!N798)</f>
        <v/>
      </c>
      <c r="D798" s="3" t="str">
        <f>IF(AND(Data!$B798='Individual Type'!$D$2, Data!$K798='All Types'!$D$2,Data!$L798='All Types'!$D$3),Data!$C798,"")</f>
        <v/>
      </c>
      <c r="E798" s="3" t="str">
        <f>IF($F798="","",Data!P798)</f>
        <v/>
      </c>
      <c r="F798" s="3" t="str">
        <f>IF(AND(Data!$B798='Individual Type'!$D$2, Data!$K798='All Types'!$D$2,Data!$L798='All Types'!$D$3),Data!M798,"")</f>
        <v/>
      </c>
    </row>
    <row r="799">
      <c r="A799" s="102" t="str">
        <f t="shared" si="1"/>
        <v/>
      </c>
      <c r="B799" s="3" t="str">
        <f>IF(AND(Data!$B799='Individual Type'!$D$2, Data!$K799='All Types'!$D$2,Data!$L799='All Types'!$D$3),Data!$B799,"")</f>
        <v/>
      </c>
      <c r="C799" s="3" t="str">
        <f>IF(F799="","",Data!N799)</f>
        <v/>
      </c>
      <c r="D799" s="3" t="str">
        <f>IF(AND(Data!$B799='Individual Type'!$D$2, Data!$K799='All Types'!$D$2,Data!$L799='All Types'!$D$3),Data!$C799,"")</f>
        <v/>
      </c>
      <c r="E799" s="3" t="str">
        <f>IF($F799="","",Data!P799)</f>
        <v/>
      </c>
      <c r="F799" s="3" t="str">
        <f>IF(AND(Data!$B799='Individual Type'!$D$2, Data!$K799='All Types'!$D$2,Data!$L799='All Types'!$D$3),Data!M799,"")</f>
        <v/>
      </c>
    </row>
    <row r="800">
      <c r="A800" s="102" t="str">
        <f t="shared" si="1"/>
        <v/>
      </c>
      <c r="B800" s="3" t="str">
        <f>IF(AND(Data!$B800='Individual Type'!$D$2, Data!$K800='All Types'!$D$2,Data!$L800='All Types'!$D$3),Data!$B800,"")</f>
        <v/>
      </c>
      <c r="C800" s="3" t="str">
        <f>IF(F800="","",Data!N800)</f>
        <v/>
      </c>
      <c r="D800" s="3" t="str">
        <f>IF(AND(Data!$B800='Individual Type'!$D$2, Data!$K800='All Types'!$D$2,Data!$L800='All Types'!$D$3),Data!$C800,"")</f>
        <v/>
      </c>
      <c r="E800" s="3" t="str">
        <f>IF($F800="","",Data!P800)</f>
        <v/>
      </c>
      <c r="F800" s="3" t="str">
        <f>IF(AND(Data!$B800='Individual Type'!$D$2, Data!$K800='All Types'!$D$2,Data!$L800='All Types'!$D$3),Data!M800,"")</f>
        <v/>
      </c>
    </row>
    <row r="801">
      <c r="A801" s="102" t="str">
        <f t="shared" si="1"/>
        <v/>
      </c>
      <c r="B801" s="3" t="str">
        <f>IF(AND(Data!$B801='Individual Type'!$D$2, Data!$K801='All Types'!$D$2,Data!$L801='All Types'!$D$3),Data!$B801,"")</f>
        <v/>
      </c>
      <c r="C801" s="3" t="str">
        <f>IF(F801="","",Data!N801)</f>
        <v/>
      </c>
      <c r="D801" s="3" t="str">
        <f>IF(AND(Data!$B801='Individual Type'!$D$2, Data!$K801='All Types'!$D$2,Data!$L801='All Types'!$D$3),Data!$C801,"")</f>
        <v/>
      </c>
      <c r="E801" s="3" t="str">
        <f>IF($F801="","",Data!P801)</f>
        <v/>
      </c>
      <c r="F801" s="3" t="str">
        <f>IF(AND(Data!$B801='Individual Type'!$D$2, Data!$K801='All Types'!$D$2,Data!$L801='All Types'!$D$3),Data!M801,"")</f>
        <v/>
      </c>
    </row>
    <row r="802">
      <c r="A802" s="102" t="str">
        <f t="shared" si="1"/>
        <v/>
      </c>
      <c r="B802" s="3" t="str">
        <f>IF(AND(Data!$B802='Individual Type'!$D$2, Data!$K802='All Types'!$D$2,Data!$L802='All Types'!$D$3),Data!$B802,"")</f>
        <v/>
      </c>
      <c r="C802" s="3" t="str">
        <f>IF(F802="","",Data!N802)</f>
        <v/>
      </c>
      <c r="D802" s="3" t="str">
        <f>IF(AND(Data!$B802='Individual Type'!$D$2, Data!$K802='All Types'!$D$2,Data!$L802='All Types'!$D$3),Data!$C802,"")</f>
        <v/>
      </c>
      <c r="E802" s="3" t="str">
        <f>IF($F802="","",Data!P802)</f>
        <v/>
      </c>
      <c r="F802" s="3" t="str">
        <f>IF(AND(Data!$B802='Individual Type'!$D$2, Data!$K802='All Types'!$D$2,Data!$L802='All Types'!$D$3),Data!M802,"")</f>
        <v/>
      </c>
    </row>
    <row r="803">
      <c r="A803" s="102" t="str">
        <f t="shared" si="1"/>
        <v/>
      </c>
      <c r="B803" s="3" t="str">
        <f>IF(AND(Data!$B803='Individual Type'!$D$2, Data!$K803='All Types'!$D$2,Data!$L803='All Types'!$D$3),Data!$B803,"")</f>
        <v/>
      </c>
      <c r="C803" s="3" t="str">
        <f>IF(F803="","",Data!N803)</f>
        <v/>
      </c>
      <c r="D803" s="3" t="str">
        <f>IF(AND(Data!$B803='Individual Type'!$D$2, Data!$K803='All Types'!$D$2,Data!$L803='All Types'!$D$3),Data!$C803,"")</f>
        <v/>
      </c>
      <c r="E803" s="3" t="str">
        <f>IF($F803="","",Data!P803)</f>
        <v/>
      </c>
      <c r="F803" s="3" t="str">
        <f>IF(AND(Data!$B803='Individual Type'!$D$2, Data!$K803='All Types'!$D$2,Data!$L803='All Types'!$D$3),Data!M803,"")</f>
        <v/>
      </c>
    </row>
    <row r="804">
      <c r="A804" s="102" t="str">
        <f t="shared" si="1"/>
        <v/>
      </c>
      <c r="B804" s="3" t="str">
        <f>IF(AND(Data!$B804='Individual Type'!$D$2, Data!$K804='All Types'!$D$2,Data!$L804='All Types'!$D$3),Data!$B804,"")</f>
        <v/>
      </c>
      <c r="C804" s="3" t="str">
        <f>IF(F804="","",Data!N804)</f>
        <v/>
      </c>
      <c r="D804" s="3" t="str">
        <f>IF(AND(Data!$B804='Individual Type'!$D$2, Data!$K804='All Types'!$D$2,Data!$L804='All Types'!$D$3),Data!$C804,"")</f>
        <v/>
      </c>
      <c r="E804" s="3" t="str">
        <f>IF($F804="","",Data!P804)</f>
        <v/>
      </c>
      <c r="F804" s="3" t="str">
        <f>IF(AND(Data!$B804='Individual Type'!$D$2, Data!$K804='All Types'!$D$2,Data!$L804='All Types'!$D$3),Data!M804,"")</f>
        <v/>
      </c>
    </row>
    <row r="805">
      <c r="A805" s="102" t="str">
        <f t="shared" si="1"/>
        <v/>
      </c>
      <c r="B805" s="3" t="str">
        <f>IF(AND(Data!$B805='Individual Type'!$D$2, Data!$K805='All Types'!$D$2,Data!$L805='All Types'!$D$3),Data!$B805,"")</f>
        <v/>
      </c>
      <c r="C805" s="3" t="str">
        <f>IF(F805="","",Data!N805)</f>
        <v/>
      </c>
      <c r="D805" s="3" t="str">
        <f>IF(AND(Data!$B805='Individual Type'!$D$2, Data!$K805='All Types'!$D$2,Data!$L805='All Types'!$D$3),Data!$C805,"")</f>
        <v/>
      </c>
      <c r="E805" s="3" t="str">
        <f>IF($F805="","",Data!P805)</f>
        <v/>
      </c>
      <c r="F805" s="3" t="str">
        <f>IF(AND(Data!$B805='Individual Type'!$D$2, Data!$K805='All Types'!$D$2,Data!$L805='All Types'!$D$3),Data!M805,"")</f>
        <v/>
      </c>
    </row>
    <row r="806">
      <c r="A806" s="102" t="str">
        <f t="shared" si="1"/>
        <v/>
      </c>
      <c r="B806" s="3" t="str">
        <f>IF(AND(Data!$B806='Individual Type'!$D$2, Data!$K806='All Types'!$D$2,Data!$L806='All Types'!$D$3),Data!$B806,"")</f>
        <v/>
      </c>
      <c r="C806" s="3" t="str">
        <f>IF(F806="","",Data!N806)</f>
        <v/>
      </c>
      <c r="D806" s="3" t="str">
        <f>IF(AND(Data!$B806='Individual Type'!$D$2, Data!$K806='All Types'!$D$2,Data!$L806='All Types'!$D$3),Data!$C806,"")</f>
        <v/>
      </c>
      <c r="E806" s="3" t="str">
        <f>IF($F806="","",Data!P806)</f>
        <v/>
      </c>
      <c r="F806" s="3" t="str">
        <f>IF(AND(Data!$B806='Individual Type'!$D$2, Data!$K806='All Types'!$D$2,Data!$L806='All Types'!$D$3),Data!M806,"")</f>
        <v/>
      </c>
    </row>
    <row r="807">
      <c r="A807" s="102" t="str">
        <f t="shared" si="1"/>
        <v/>
      </c>
      <c r="B807" s="3" t="str">
        <f>IF(AND(Data!$B807='Individual Type'!$D$2, Data!$K807='All Types'!$D$2,Data!$L807='All Types'!$D$3),Data!$B807,"")</f>
        <v/>
      </c>
      <c r="C807" s="3" t="str">
        <f>IF(F807="","",Data!N807)</f>
        <v/>
      </c>
      <c r="D807" s="3" t="str">
        <f>IF(AND(Data!$B807='Individual Type'!$D$2, Data!$K807='All Types'!$D$2,Data!$L807='All Types'!$D$3),Data!$C807,"")</f>
        <v/>
      </c>
      <c r="E807" s="3" t="str">
        <f>IF($F807="","",Data!P807)</f>
        <v/>
      </c>
      <c r="F807" s="3" t="str">
        <f>IF(AND(Data!$B807='Individual Type'!$D$2, Data!$K807='All Types'!$D$2,Data!$L807='All Types'!$D$3),Data!M807,"")</f>
        <v/>
      </c>
    </row>
    <row r="808">
      <c r="A808" s="102" t="str">
        <f t="shared" si="1"/>
        <v/>
      </c>
      <c r="B808" s="3" t="str">
        <f>IF(AND(Data!$B808='Individual Type'!$D$2, Data!$K808='All Types'!$D$2,Data!$L808='All Types'!$D$3),Data!$B808,"")</f>
        <v/>
      </c>
      <c r="C808" s="3" t="str">
        <f>IF(F808="","",Data!N808)</f>
        <v/>
      </c>
      <c r="D808" s="3" t="str">
        <f>IF(AND(Data!$B808='Individual Type'!$D$2, Data!$K808='All Types'!$D$2,Data!$L808='All Types'!$D$3),Data!$C808,"")</f>
        <v/>
      </c>
      <c r="E808" s="3" t="str">
        <f>IF($F808="","",Data!P808)</f>
        <v/>
      </c>
      <c r="F808" s="3" t="str">
        <f>IF(AND(Data!$B808='Individual Type'!$D$2, Data!$K808='All Types'!$D$2,Data!$L808='All Types'!$D$3),Data!M808,"")</f>
        <v/>
      </c>
    </row>
    <row r="809">
      <c r="A809" s="102" t="str">
        <f t="shared" si="1"/>
        <v/>
      </c>
      <c r="B809" s="3" t="str">
        <f>IF(AND(Data!$B809='Individual Type'!$D$2, Data!$K809='All Types'!$D$2,Data!$L809='All Types'!$D$3),Data!$B809,"")</f>
        <v/>
      </c>
      <c r="C809" s="3" t="str">
        <f>IF(F809="","",Data!N809)</f>
        <v/>
      </c>
      <c r="D809" s="3" t="str">
        <f>IF(AND(Data!$B809='Individual Type'!$D$2, Data!$K809='All Types'!$D$2,Data!$L809='All Types'!$D$3),Data!$C809,"")</f>
        <v/>
      </c>
      <c r="E809" s="3" t="str">
        <f>IF($F809="","",Data!P809)</f>
        <v/>
      </c>
      <c r="F809" s="3" t="str">
        <f>IF(AND(Data!$B809='Individual Type'!$D$2, Data!$K809='All Types'!$D$2,Data!$L809='All Types'!$D$3),Data!M809,"")</f>
        <v/>
      </c>
    </row>
    <row r="810">
      <c r="A810" s="102" t="str">
        <f t="shared" si="1"/>
        <v/>
      </c>
      <c r="B810" s="3" t="str">
        <f>IF(AND(Data!$B810='Individual Type'!$D$2, Data!$K810='All Types'!$D$2,Data!$L810='All Types'!$D$3),Data!$B810,"")</f>
        <v/>
      </c>
      <c r="C810" s="3" t="str">
        <f>IF(F810="","",Data!N810)</f>
        <v/>
      </c>
      <c r="D810" s="3" t="str">
        <f>IF(AND(Data!$B810='Individual Type'!$D$2, Data!$K810='All Types'!$D$2,Data!$L810='All Types'!$D$3),Data!$C810,"")</f>
        <v/>
      </c>
      <c r="E810" s="3" t="str">
        <f>IF($F810="","",Data!P810)</f>
        <v/>
      </c>
      <c r="F810" s="3" t="str">
        <f>IF(AND(Data!$B810='Individual Type'!$D$2, Data!$K810='All Types'!$D$2,Data!$L810='All Types'!$D$3),Data!M810,"")</f>
        <v/>
      </c>
    </row>
    <row r="811">
      <c r="A811" s="102" t="str">
        <f t="shared" si="1"/>
        <v/>
      </c>
      <c r="B811" s="3" t="str">
        <f>IF(AND(Data!$B811='Individual Type'!$D$2, Data!$K811='All Types'!$D$2,Data!$L811='All Types'!$D$3),Data!$B811,"")</f>
        <v/>
      </c>
      <c r="C811" s="3" t="str">
        <f>IF(F811="","",Data!N811)</f>
        <v/>
      </c>
      <c r="D811" s="3" t="str">
        <f>IF(AND(Data!$B811='Individual Type'!$D$2, Data!$K811='All Types'!$D$2,Data!$L811='All Types'!$D$3),Data!$C811,"")</f>
        <v/>
      </c>
      <c r="E811" s="3" t="str">
        <f>IF($F811="","",Data!P811)</f>
        <v/>
      </c>
      <c r="F811" s="3" t="str">
        <f>IF(AND(Data!$B811='Individual Type'!$D$2, Data!$K811='All Types'!$D$2,Data!$L811='All Types'!$D$3),Data!M811,"")</f>
        <v/>
      </c>
    </row>
    <row r="812">
      <c r="A812" s="102" t="str">
        <f t="shared" si="1"/>
        <v/>
      </c>
      <c r="B812" s="3" t="str">
        <f>IF(AND(Data!$B812='Individual Type'!$D$2, Data!$K812='All Types'!$D$2,Data!$L812='All Types'!$D$3),Data!$B812,"")</f>
        <v/>
      </c>
      <c r="C812" s="3" t="str">
        <f>IF(F812="","",Data!N812)</f>
        <v/>
      </c>
      <c r="D812" s="3" t="str">
        <f>IF(AND(Data!$B812='Individual Type'!$D$2, Data!$K812='All Types'!$D$2,Data!$L812='All Types'!$D$3),Data!$C812,"")</f>
        <v/>
      </c>
      <c r="E812" s="3" t="str">
        <f>IF($F812="","",Data!P812)</f>
        <v/>
      </c>
      <c r="F812" s="3" t="str">
        <f>IF(AND(Data!$B812='Individual Type'!$D$2, Data!$K812='All Types'!$D$2,Data!$L812='All Types'!$D$3),Data!M812,"")</f>
        <v/>
      </c>
    </row>
    <row r="813">
      <c r="A813" s="102" t="str">
        <f t="shared" si="1"/>
        <v/>
      </c>
      <c r="B813" s="3" t="str">
        <f>IF(AND(Data!$B813='Individual Type'!$D$2, Data!$K813='All Types'!$D$2,Data!$L813='All Types'!$D$3),Data!$B813,"")</f>
        <v/>
      </c>
      <c r="C813" s="3" t="str">
        <f>IF(F813="","",Data!N813)</f>
        <v/>
      </c>
      <c r="D813" s="3" t="str">
        <f>IF(AND(Data!$B813='Individual Type'!$D$2, Data!$K813='All Types'!$D$2,Data!$L813='All Types'!$D$3),Data!$C813,"")</f>
        <v/>
      </c>
      <c r="E813" s="3" t="str">
        <f>IF($F813="","",Data!P813)</f>
        <v/>
      </c>
      <c r="F813" s="3" t="str">
        <f>IF(AND(Data!$B813='Individual Type'!$D$2, Data!$K813='All Types'!$D$2,Data!$L813='All Types'!$D$3),Data!M813,"")</f>
        <v/>
      </c>
    </row>
    <row r="814">
      <c r="A814" s="102" t="str">
        <f t="shared" si="1"/>
        <v/>
      </c>
      <c r="B814" s="3" t="str">
        <f>IF(AND(Data!$B814='Individual Type'!$D$2, Data!$K814='All Types'!$D$2,Data!$L814='All Types'!$D$3),Data!$B814,"")</f>
        <v/>
      </c>
      <c r="C814" s="3" t="str">
        <f>IF(F814="","",Data!N814)</f>
        <v/>
      </c>
      <c r="D814" s="3" t="str">
        <f>IF(AND(Data!$B814='Individual Type'!$D$2, Data!$K814='All Types'!$D$2,Data!$L814='All Types'!$D$3),Data!$C814,"")</f>
        <v/>
      </c>
      <c r="E814" s="3" t="str">
        <f>IF($F814="","",Data!P814)</f>
        <v/>
      </c>
      <c r="F814" s="3" t="str">
        <f>IF(AND(Data!$B814='Individual Type'!$D$2, Data!$K814='All Types'!$D$2,Data!$L814='All Types'!$D$3),Data!M814,"")</f>
        <v/>
      </c>
    </row>
    <row r="815">
      <c r="A815" s="102" t="str">
        <f t="shared" si="1"/>
        <v/>
      </c>
      <c r="B815" s="3" t="str">
        <f>IF(AND(Data!$B815='Individual Type'!$D$2, Data!$K815='All Types'!$D$2,Data!$L815='All Types'!$D$3),Data!$B815,"")</f>
        <v/>
      </c>
      <c r="C815" s="3" t="str">
        <f>IF(F815="","",Data!N815)</f>
        <v/>
      </c>
      <c r="D815" s="3" t="str">
        <f>IF(AND(Data!$B815='Individual Type'!$D$2, Data!$K815='All Types'!$D$2,Data!$L815='All Types'!$D$3),Data!$C815,"")</f>
        <v/>
      </c>
      <c r="E815" s="3" t="str">
        <f>IF($F815="","",Data!P815)</f>
        <v/>
      </c>
      <c r="F815" s="3" t="str">
        <f>IF(AND(Data!$B815='Individual Type'!$D$2, Data!$K815='All Types'!$D$2,Data!$L815='All Types'!$D$3),Data!M815,"")</f>
        <v/>
      </c>
    </row>
    <row r="816">
      <c r="A816" s="102" t="str">
        <f t="shared" si="1"/>
        <v/>
      </c>
      <c r="B816" s="3" t="str">
        <f>IF(AND(Data!$B816='Individual Type'!$D$2, Data!$K816='All Types'!$D$2,Data!$L816='All Types'!$D$3),Data!$B816,"")</f>
        <v/>
      </c>
      <c r="C816" s="3" t="str">
        <f>IF(F816="","",Data!N816)</f>
        <v/>
      </c>
      <c r="D816" s="3" t="str">
        <f>IF(AND(Data!$B816='Individual Type'!$D$2, Data!$K816='All Types'!$D$2,Data!$L816='All Types'!$D$3),Data!$C816,"")</f>
        <v/>
      </c>
      <c r="E816" s="3" t="str">
        <f>IF($F816="","",Data!P816)</f>
        <v/>
      </c>
      <c r="F816" s="3" t="str">
        <f>IF(AND(Data!$B816='Individual Type'!$D$2, Data!$K816='All Types'!$D$2,Data!$L816='All Types'!$D$3),Data!M816,"")</f>
        <v/>
      </c>
    </row>
    <row r="817">
      <c r="A817" s="102" t="str">
        <f t="shared" si="1"/>
        <v/>
      </c>
      <c r="B817" s="3" t="str">
        <f>IF(AND(Data!$B817='Individual Type'!$D$2, Data!$K817='All Types'!$D$2,Data!$L817='All Types'!$D$3),Data!$B817,"")</f>
        <v/>
      </c>
      <c r="C817" s="3" t="str">
        <f>IF(F817="","",Data!N817)</f>
        <v/>
      </c>
      <c r="D817" s="3" t="str">
        <f>IF(AND(Data!$B817='Individual Type'!$D$2, Data!$K817='All Types'!$D$2,Data!$L817='All Types'!$D$3),Data!$C817,"")</f>
        <v/>
      </c>
      <c r="E817" s="3" t="str">
        <f>IF($F817="","",Data!P817)</f>
        <v/>
      </c>
      <c r="F817" s="3" t="str">
        <f>IF(AND(Data!$B817='Individual Type'!$D$2, Data!$K817='All Types'!$D$2,Data!$L817='All Types'!$D$3),Data!M817,"")</f>
        <v/>
      </c>
    </row>
    <row r="818">
      <c r="A818" s="102" t="str">
        <f t="shared" si="1"/>
        <v/>
      </c>
      <c r="B818" s="3" t="str">
        <f>IF(AND(Data!$B818='Individual Type'!$D$2, Data!$K818='All Types'!$D$2,Data!$L818='All Types'!$D$3),Data!$B818,"")</f>
        <v/>
      </c>
      <c r="C818" s="3" t="str">
        <f>IF(F818="","",Data!N818)</f>
        <v/>
      </c>
      <c r="D818" s="3" t="str">
        <f>IF(AND(Data!$B818='Individual Type'!$D$2, Data!$K818='All Types'!$D$2,Data!$L818='All Types'!$D$3),Data!$C818,"")</f>
        <v/>
      </c>
      <c r="E818" s="3" t="str">
        <f>IF($F818="","",Data!P818)</f>
        <v/>
      </c>
      <c r="F818" s="3" t="str">
        <f>IF(AND(Data!$B818='Individual Type'!$D$2, Data!$K818='All Types'!$D$2,Data!$L818='All Types'!$D$3),Data!M818,"")</f>
        <v/>
      </c>
    </row>
    <row r="819">
      <c r="A819" s="102" t="str">
        <f t="shared" si="1"/>
        <v/>
      </c>
      <c r="B819" s="3" t="str">
        <f>IF(AND(Data!$B819='Individual Type'!$D$2, Data!$K819='All Types'!$D$2,Data!$L819='All Types'!$D$3),Data!$B819,"")</f>
        <v/>
      </c>
      <c r="C819" s="3" t="str">
        <f>IF(F819="","",Data!N819)</f>
        <v/>
      </c>
      <c r="D819" s="3" t="str">
        <f>IF(AND(Data!$B819='Individual Type'!$D$2, Data!$K819='All Types'!$D$2,Data!$L819='All Types'!$D$3),Data!$C819,"")</f>
        <v/>
      </c>
      <c r="E819" s="3" t="str">
        <f>IF($F819="","",Data!P819)</f>
        <v/>
      </c>
      <c r="F819" s="3" t="str">
        <f>IF(AND(Data!$B819='Individual Type'!$D$2, Data!$K819='All Types'!$D$2,Data!$L819='All Types'!$D$3),Data!M819,"")</f>
        <v/>
      </c>
    </row>
    <row r="820">
      <c r="A820" s="102" t="str">
        <f t="shared" si="1"/>
        <v/>
      </c>
      <c r="B820" s="3" t="str">
        <f>IF(AND(Data!$B820='Individual Type'!$D$2, Data!$K820='All Types'!$D$2,Data!$L820='All Types'!$D$3),Data!$B820,"")</f>
        <v/>
      </c>
      <c r="C820" s="3" t="str">
        <f>IF(F820="","",Data!N820)</f>
        <v/>
      </c>
      <c r="D820" s="3" t="str">
        <f>IF(AND(Data!$B820='Individual Type'!$D$2, Data!$K820='All Types'!$D$2,Data!$L820='All Types'!$D$3),Data!$C820,"")</f>
        <v/>
      </c>
      <c r="E820" s="3" t="str">
        <f>IF($F820="","",Data!P820)</f>
        <v/>
      </c>
      <c r="F820" s="3" t="str">
        <f>IF(AND(Data!$B820='Individual Type'!$D$2, Data!$K820='All Types'!$D$2,Data!$L820='All Types'!$D$3),Data!M820,"")</f>
        <v/>
      </c>
    </row>
    <row r="821">
      <c r="A821" s="102" t="str">
        <f t="shared" si="1"/>
        <v/>
      </c>
      <c r="B821" s="3" t="str">
        <f>IF(AND(Data!$B821='Individual Type'!$D$2, Data!$K821='All Types'!$D$2,Data!$L821='All Types'!$D$3),Data!$B821,"")</f>
        <v/>
      </c>
      <c r="C821" s="3" t="str">
        <f>IF(F821="","",Data!N821)</f>
        <v/>
      </c>
      <c r="D821" s="3" t="str">
        <f>IF(AND(Data!$B821='Individual Type'!$D$2, Data!$K821='All Types'!$D$2,Data!$L821='All Types'!$D$3),Data!$C821,"")</f>
        <v/>
      </c>
      <c r="E821" s="3" t="str">
        <f>IF($F821="","",Data!P821)</f>
        <v/>
      </c>
      <c r="F821" s="3" t="str">
        <f>IF(AND(Data!$B821='Individual Type'!$D$2, Data!$K821='All Types'!$D$2,Data!$L821='All Types'!$D$3),Data!M821,"")</f>
        <v/>
      </c>
    </row>
    <row r="822">
      <c r="A822" s="102" t="str">
        <f t="shared" si="1"/>
        <v/>
      </c>
      <c r="B822" s="3" t="str">
        <f>IF(AND(Data!$B822='Individual Type'!$D$2, Data!$K822='All Types'!$D$2,Data!$L822='All Types'!$D$3),Data!$B822,"")</f>
        <v/>
      </c>
      <c r="C822" s="3" t="str">
        <f>IF(F822="","",Data!N822)</f>
        <v/>
      </c>
      <c r="D822" s="3" t="str">
        <f>IF(AND(Data!$B822='Individual Type'!$D$2, Data!$K822='All Types'!$D$2,Data!$L822='All Types'!$D$3),Data!$C822,"")</f>
        <v/>
      </c>
      <c r="E822" s="3" t="str">
        <f>IF($F822="","",Data!P822)</f>
        <v/>
      </c>
      <c r="F822" s="3" t="str">
        <f>IF(AND(Data!$B822='Individual Type'!$D$2, Data!$K822='All Types'!$D$2,Data!$L822='All Types'!$D$3),Data!M822,"")</f>
        <v/>
      </c>
    </row>
    <row r="823">
      <c r="A823" s="102" t="str">
        <f t="shared" si="1"/>
        <v/>
      </c>
      <c r="B823" s="3" t="str">
        <f>IF(AND(Data!$B823='Individual Type'!$D$2, Data!$K823='All Types'!$D$2,Data!$L823='All Types'!$D$3),Data!$B823,"")</f>
        <v/>
      </c>
      <c r="C823" s="3" t="str">
        <f>IF(F823="","",Data!N823)</f>
        <v/>
      </c>
      <c r="D823" s="3" t="str">
        <f>IF(AND(Data!$B823='Individual Type'!$D$2, Data!$K823='All Types'!$D$2,Data!$L823='All Types'!$D$3),Data!$C823,"")</f>
        <v/>
      </c>
      <c r="E823" s="3" t="str">
        <f>IF($F823="","",Data!P823)</f>
        <v/>
      </c>
      <c r="F823" s="3" t="str">
        <f>IF(AND(Data!$B823='Individual Type'!$D$2, Data!$K823='All Types'!$D$2,Data!$L823='All Types'!$D$3),Data!M823,"")</f>
        <v/>
      </c>
    </row>
    <row r="824">
      <c r="A824" s="102" t="str">
        <f t="shared" si="1"/>
        <v/>
      </c>
      <c r="B824" s="3" t="str">
        <f>IF(AND(Data!$B824='Individual Type'!$D$2, Data!$K824='All Types'!$D$2,Data!$L824='All Types'!$D$3),Data!$B824,"")</f>
        <v/>
      </c>
      <c r="C824" s="3" t="str">
        <f>IF(F824="","",Data!N824)</f>
        <v/>
      </c>
      <c r="D824" s="3" t="str">
        <f>IF(AND(Data!$B824='Individual Type'!$D$2, Data!$K824='All Types'!$D$2,Data!$L824='All Types'!$D$3),Data!$C824,"")</f>
        <v/>
      </c>
      <c r="E824" s="3" t="str">
        <f>IF($F824="","",Data!P824)</f>
        <v/>
      </c>
      <c r="F824" s="3" t="str">
        <f>IF(AND(Data!$B824='Individual Type'!$D$2, Data!$K824='All Types'!$D$2,Data!$L824='All Types'!$D$3),Data!M824,"")</f>
        <v/>
      </c>
    </row>
    <row r="825">
      <c r="A825" s="102" t="str">
        <f t="shared" si="1"/>
        <v/>
      </c>
      <c r="B825" s="3" t="str">
        <f>IF(AND(Data!$B825='Individual Type'!$D$2, Data!$K825='All Types'!$D$2,Data!$L825='All Types'!$D$3),Data!$B825,"")</f>
        <v/>
      </c>
      <c r="C825" s="3" t="str">
        <f>IF(F825="","",Data!N825)</f>
        <v/>
      </c>
      <c r="D825" s="3" t="str">
        <f>IF(AND(Data!$B825='Individual Type'!$D$2, Data!$K825='All Types'!$D$2,Data!$L825='All Types'!$D$3),Data!$C825,"")</f>
        <v/>
      </c>
      <c r="E825" s="3" t="str">
        <f>IF($F825="","",Data!P825)</f>
        <v/>
      </c>
      <c r="F825" s="3" t="str">
        <f>IF(AND(Data!$B825='Individual Type'!$D$2, Data!$K825='All Types'!$D$2,Data!$L825='All Types'!$D$3),Data!M825,"")</f>
        <v/>
      </c>
    </row>
    <row r="826">
      <c r="A826" s="102" t="str">
        <f t="shared" si="1"/>
        <v/>
      </c>
      <c r="B826" s="3" t="str">
        <f>IF(AND(Data!$B826='Individual Type'!$D$2, Data!$K826='All Types'!$D$2,Data!$L826='All Types'!$D$3),Data!$B826,"")</f>
        <v/>
      </c>
      <c r="C826" s="3" t="str">
        <f>IF(F826="","",Data!N826)</f>
        <v/>
      </c>
      <c r="D826" s="3" t="str">
        <f>IF(AND(Data!$B826='Individual Type'!$D$2, Data!$K826='All Types'!$D$2,Data!$L826='All Types'!$D$3),Data!$C826,"")</f>
        <v/>
      </c>
      <c r="E826" s="3" t="str">
        <f>IF($F826="","",Data!P826)</f>
        <v/>
      </c>
      <c r="F826" s="3" t="str">
        <f>IF(AND(Data!$B826='Individual Type'!$D$2, Data!$K826='All Types'!$D$2,Data!$L826='All Types'!$D$3),Data!M826,"")</f>
        <v/>
      </c>
    </row>
    <row r="827">
      <c r="A827" s="102" t="str">
        <f t="shared" si="1"/>
        <v/>
      </c>
      <c r="B827" s="3" t="str">
        <f>IF(AND(Data!$B827='Individual Type'!$D$2, Data!$K827='All Types'!$D$2,Data!$L827='All Types'!$D$3),Data!$B827,"")</f>
        <v/>
      </c>
      <c r="C827" s="3" t="str">
        <f>IF(F827="","",Data!N827)</f>
        <v/>
      </c>
      <c r="D827" s="3" t="str">
        <f>IF(AND(Data!$B827='Individual Type'!$D$2, Data!$K827='All Types'!$D$2,Data!$L827='All Types'!$D$3),Data!$C827,"")</f>
        <v/>
      </c>
      <c r="E827" s="3" t="str">
        <f>IF($F827="","",Data!P827)</f>
        <v/>
      </c>
      <c r="F827" s="3" t="str">
        <f>IF(AND(Data!$B827='Individual Type'!$D$2, Data!$K827='All Types'!$D$2,Data!$L827='All Types'!$D$3),Data!M827,"")</f>
        <v/>
      </c>
    </row>
    <row r="828">
      <c r="A828" s="102" t="str">
        <f t="shared" si="1"/>
        <v/>
      </c>
      <c r="B828" s="3" t="str">
        <f>IF(AND(Data!$B828='Individual Type'!$D$2, Data!$K828='All Types'!$D$2,Data!$L828='All Types'!$D$3),Data!$B828,"")</f>
        <v/>
      </c>
      <c r="C828" s="3" t="str">
        <f>IF(F828="","",Data!N828)</f>
        <v/>
      </c>
      <c r="D828" s="3" t="str">
        <f>IF(AND(Data!$B828='Individual Type'!$D$2, Data!$K828='All Types'!$D$2,Data!$L828='All Types'!$D$3),Data!$C828,"")</f>
        <v/>
      </c>
      <c r="E828" s="3" t="str">
        <f>IF($F828="","",Data!P828)</f>
        <v/>
      </c>
      <c r="F828" s="3" t="str">
        <f>IF(AND(Data!$B828='Individual Type'!$D$2, Data!$K828='All Types'!$D$2,Data!$L828='All Types'!$D$3),Data!M828,"")</f>
        <v/>
      </c>
    </row>
    <row r="829">
      <c r="A829" s="102" t="str">
        <f t="shared" si="1"/>
        <v/>
      </c>
      <c r="B829" s="3" t="str">
        <f>IF(AND(Data!$B829='Individual Type'!$D$2, Data!$K829='All Types'!$D$2,Data!$L829='All Types'!$D$3),Data!$B829,"")</f>
        <v/>
      </c>
      <c r="C829" s="3" t="str">
        <f>IF(F829="","",Data!N829)</f>
        <v/>
      </c>
      <c r="D829" s="3" t="str">
        <f>IF(AND(Data!$B829='Individual Type'!$D$2, Data!$K829='All Types'!$D$2,Data!$L829='All Types'!$D$3),Data!$C829,"")</f>
        <v/>
      </c>
      <c r="E829" s="3" t="str">
        <f>IF($F829="","",Data!P829)</f>
        <v/>
      </c>
      <c r="F829" s="3" t="str">
        <f>IF(AND(Data!$B829='Individual Type'!$D$2, Data!$K829='All Types'!$D$2,Data!$L829='All Types'!$D$3),Data!M829,"")</f>
        <v/>
      </c>
    </row>
    <row r="830">
      <c r="A830" s="102" t="str">
        <f t="shared" si="1"/>
        <v/>
      </c>
      <c r="B830" s="3" t="str">
        <f>IF(AND(Data!$B830='Individual Type'!$D$2, Data!$K830='All Types'!$D$2,Data!$L830='All Types'!$D$3),Data!$B830,"")</f>
        <v/>
      </c>
      <c r="C830" s="3" t="str">
        <f>IF(F830="","",Data!N830)</f>
        <v/>
      </c>
      <c r="D830" s="3" t="str">
        <f>IF(AND(Data!$B830='Individual Type'!$D$2, Data!$K830='All Types'!$D$2,Data!$L830='All Types'!$D$3),Data!$C830,"")</f>
        <v/>
      </c>
      <c r="E830" s="3" t="str">
        <f>IF($F830="","",Data!P830)</f>
        <v/>
      </c>
      <c r="F830" s="3" t="str">
        <f>IF(AND(Data!$B830='Individual Type'!$D$2, Data!$K830='All Types'!$D$2,Data!$L830='All Types'!$D$3),Data!M830,"")</f>
        <v/>
      </c>
    </row>
    <row r="831">
      <c r="A831" s="102" t="str">
        <f t="shared" si="1"/>
        <v/>
      </c>
      <c r="B831" s="3" t="str">
        <f>IF(AND(Data!$B831='Individual Type'!$D$2, Data!$K831='All Types'!$D$2,Data!$L831='All Types'!$D$3),Data!$B831,"")</f>
        <v/>
      </c>
      <c r="C831" s="3" t="str">
        <f>IF(F831="","",Data!N831)</f>
        <v/>
      </c>
      <c r="D831" s="3" t="str">
        <f>IF(AND(Data!$B831='Individual Type'!$D$2, Data!$K831='All Types'!$D$2,Data!$L831='All Types'!$D$3),Data!$C831,"")</f>
        <v/>
      </c>
      <c r="E831" s="3" t="str">
        <f>IF($F831="","",Data!P831)</f>
        <v/>
      </c>
      <c r="F831" s="3" t="str">
        <f>IF(AND(Data!$B831='Individual Type'!$D$2, Data!$K831='All Types'!$D$2,Data!$L831='All Types'!$D$3),Data!M831,"")</f>
        <v/>
      </c>
    </row>
    <row r="832">
      <c r="A832" s="102" t="str">
        <f t="shared" si="1"/>
        <v/>
      </c>
      <c r="B832" s="3" t="str">
        <f>IF(AND(Data!$B832='Individual Type'!$D$2, Data!$K832='All Types'!$D$2,Data!$L832='All Types'!$D$3),Data!$B832,"")</f>
        <v/>
      </c>
      <c r="C832" s="3" t="str">
        <f>IF(F832="","",Data!N832)</f>
        <v/>
      </c>
      <c r="D832" s="3" t="str">
        <f>IF(AND(Data!$B832='Individual Type'!$D$2, Data!$K832='All Types'!$D$2,Data!$L832='All Types'!$D$3),Data!$C832,"")</f>
        <v/>
      </c>
      <c r="E832" s="3" t="str">
        <f>IF($F832="","",Data!P832)</f>
        <v/>
      </c>
      <c r="F832" s="3" t="str">
        <f>IF(AND(Data!$B832='Individual Type'!$D$2, Data!$K832='All Types'!$D$2,Data!$L832='All Types'!$D$3),Data!M832,"")</f>
        <v/>
      </c>
    </row>
    <row r="833">
      <c r="A833" s="102" t="str">
        <f t="shared" si="1"/>
        <v/>
      </c>
      <c r="B833" s="3" t="str">
        <f>IF(AND(Data!$B833='Individual Type'!$D$2, Data!$K833='All Types'!$D$2,Data!$L833='All Types'!$D$3),Data!$B833,"")</f>
        <v/>
      </c>
      <c r="C833" s="3" t="str">
        <f>IF(F833="","",Data!N833)</f>
        <v/>
      </c>
      <c r="D833" s="3" t="str">
        <f>IF(AND(Data!$B833='Individual Type'!$D$2, Data!$K833='All Types'!$D$2,Data!$L833='All Types'!$D$3),Data!$C833,"")</f>
        <v/>
      </c>
      <c r="E833" s="3" t="str">
        <f>IF($F833="","",Data!P833)</f>
        <v/>
      </c>
      <c r="F833" s="3" t="str">
        <f>IF(AND(Data!$B833='Individual Type'!$D$2, Data!$K833='All Types'!$D$2,Data!$L833='All Types'!$D$3),Data!M833,"")</f>
        <v/>
      </c>
    </row>
    <row r="834">
      <c r="A834" s="102" t="str">
        <f t="shared" si="1"/>
        <v/>
      </c>
      <c r="B834" s="3" t="str">
        <f>IF(AND(Data!$B834='Individual Type'!$D$2, Data!$K834='All Types'!$D$2,Data!$L834='All Types'!$D$3),Data!$B834,"")</f>
        <v/>
      </c>
      <c r="C834" s="3" t="str">
        <f>IF(F834="","",Data!N834)</f>
        <v/>
      </c>
      <c r="D834" s="3" t="str">
        <f>IF(AND(Data!$B834='Individual Type'!$D$2, Data!$K834='All Types'!$D$2,Data!$L834='All Types'!$D$3),Data!$C834,"")</f>
        <v/>
      </c>
      <c r="E834" s="3" t="str">
        <f>IF($F834="","",Data!P834)</f>
        <v/>
      </c>
      <c r="F834" s="3" t="str">
        <f>IF(AND(Data!$B834='Individual Type'!$D$2, Data!$K834='All Types'!$D$2,Data!$L834='All Types'!$D$3),Data!M834,"")</f>
        <v/>
      </c>
    </row>
    <row r="835">
      <c r="A835" s="102" t="str">
        <f t="shared" si="1"/>
        <v/>
      </c>
      <c r="B835" s="3" t="str">
        <f>IF(AND(Data!$B835='Individual Type'!$D$2, Data!$K835='All Types'!$D$2,Data!$L835='All Types'!$D$3),Data!$B835,"")</f>
        <v/>
      </c>
      <c r="C835" s="3" t="str">
        <f>IF(F835="","",Data!N835)</f>
        <v/>
      </c>
      <c r="D835" s="3" t="str">
        <f>IF(AND(Data!$B835='Individual Type'!$D$2, Data!$K835='All Types'!$D$2,Data!$L835='All Types'!$D$3),Data!$C835,"")</f>
        <v/>
      </c>
      <c r="E835" s="3" t="str">
        <f>IF($F835="","",Data!P835)</f>
        <v/>
      </c>
      <c r="F835" s="3" t="str">
        <f>IF(AND(Data!$B835='Individual Type'!$D$2, Data!$K835='All Types'!$D$2,Data!$L835='All Types'!$D$3),Data!M835,"")</f>
        <v/>
      </c>
    </row>
    <row r="836">
      <c r="A836" s="102" t="str">
        <f t="shared" si="1"/>
        <v/>
      </c>
      <c r="B836" s="3" t="str">
        <f>IF(AND(Data!$B836='Individual Type'!$D$2, Data!$K836='All Types'!$D$2,Data!$L836='All Types'!$D$3),Data!$B836,"")</f>
        <v/>
      </c>
      <c r="C836" s="3" t="str">
        <f>IF(F836="","",Data!N836)</f>
        <v/>
      </c>
      <c r="D836" s="3" t="str">
        <f>IF(AND(Data!$B836='Individual Type'!$D$2, Data!$K836='All Types'!$D$2,Data!$L836='All Types'!$D$3),Data!$C836,"")</f>
        <v/>
      </c>
      <c r="E836" s="3" t="str">
        <f>IF($F836="","",Data!P836)</f>
        <v/>
      </c>
      <c r="F836" s="3" t="str">
        <f>IF(AND(Data!$B836='Individual Type'!$D$2, Data!$K836='All Types'!$D$2,Data!$L836='All Types'!$D$3),Data!M836,"")</f>
        <v/>
      </c>
    </row>
    <row r="837">
      <c r="A837" s="102" t="str">
        <f t="shared" si="1"/>
        <v/>
      </c>
      <c r="B837" s="3" t="str">
        <f>IF(AND(Data!$B837='Individual Type'!$D$2, Data!$K837='All Types'!$D$2,Data!$L837='All Types'!$D$3),Data!$B837,"")</f>
        <v/>
      </c>
      <c r="C837" s="3" t="str">
        <f>IF(F837="","",Data!N837)</f>
        <v/>
      </c>
      <c r="D837" s="3" t="str">
        <f>IF(AND(Data!$B837='Individual Type'!$D$2, Data!$K837='All Types'!$D$2,Data!$L837='All Types'!$D$3),Data!$C837,"")</f>
        <v/>
      </c>
      <c r="E837" s="3" t="str">
        <f>IF($F837="","",Data!P837)</f>
        <v/>
      </c>
      <c r="F837" s="3" t="str">
        <f>IF(AND(Data!$B837='Individual Type'!$D$2, Data!$K837='All Types'!$D$2,Data!$L837='All Types'!$D$3),Data!M837,"")</f>
        <v/>
      </c>
    </row>
    <row r="838">
      <c r="A838" s="102" t="str">
        <f t="shared" si="1"/>
        <v/>
      </c>
      <c r="B838" s="3" t="str">
        <f>IF(AND(Data!$B838='Individual Type'!$D$2, Data!$K838='All Types'!$D$2,Data!$L838='All Types'!$D$3),Data!$B838,"")</f>
        <v/>
      </c>
      <c r="C838" s="3" t="str">
        <f>IF(F838="","",Data!N838)</f>
        <v/>
      </c>
      <c r="D838" s="3" t="str">
        <f>IF(AND(Data!$B838='Individual Type'!$D$2, Data!$K838='All Types'!$D$2,Data!$L838='All Types'!$D$3),Data!$C838,"")</f>
        <v/>
      </c>
      <c r="E838" s="3" t="str">
        <f>IF($F838="","",Data!P838)</f>
        <v/>
      </c>
      <c r="F838" s="3" t="str">
        <f>IF(AND(Data!$B838='Individual Type'!$D$2, Data!$K838='All Types'!$D$2,Data!$L838='All Types'!$D$3),Data!M838,"")</f>
        <v/>
      </c>
    </row>
    <row r="839">
      <c r="A839" s="102" t="str">
        <f t="shared" si="1"/>
        <v/>
      </c>
      <c r="B839" s="3" t="str">
        <f>IF(AND(Data!$B839='Individual Type'!$D$2, Data!$K839='All Types'!$D$2,Data!$L839='All Types'!$D$3),Data!$B839,"")</f>
        <v/>
      </c>
      <c r="C839" s="3" t="str">
        <f>IF(F839="","",Data!N839)</f>
        <v/>
      </c>
      <c r="D839" s="3" t="str">
        <f>IF(AND(Data!$B839='Individual Type'!$D$2, Data!$K839='All Types'!$D$2,Data!$L839='All Types'!$D$3),Data!$C839,"")</f>
        <v/>
      </c>
      <c r="E839" s="3" t="str">
        <f>IF($F839="","",Data!P839)</f>
        <v/>
      </c>
      <c r="F839" s="3" t="str">
        <f>IF(AND(Data!$B839='Individual Type'!$D$2, Data!$K839='All Types'!$D$2,Data!$L839='All Types'!$D$3),Data!M839,"")</f>
        <v/>
      </c>
    </row>
    <row r="840">
      <c r="A840" s="102" t="str">
        <f t="shared" si="1"/>
        <v/>
      </c>
      <c r="B840" s="3" t="str">
        <f>IF(AND(Data!$B840='Individual Type'!$D$2, Data!$K840='All Types'!$D$2,Data!$L840='All Types'!$D$3),Data!$B840,"")</f>
        <v/>
      </c>
      <c r="C840" s="3" t="str">
        <f>IF(F840="","",Data!N840)</f>
        <v/>
      </c>
      <c r="D840" s="3" t="str">
        <f>IF(AND(Data!$B840='Individual Type'!$D$2, Data!$K840='All Types'!$D$2,Data!$L840='All Types'!$D$3),Data!$C840,"")</f>
        <v/>
      </c>
      <c r="E840" s="3" t="str">
        <f>IF($F840="","",Data!P840)</f>
        <v/>
      </c>
      <c r="F840" s="3" t="str">
        <f>IF(AND(Data!$B840='Individual Type'!$D$2, Data!$K840='All Types'!$D$2,Data!$L840='All Types'!$D$3),Data!M840,"")</f>
        <v/>
      </c>
    </row>
    <row r="841">
      <c r="A841" s="102" t="str">
        <f t="shared" si="1"/>
        <v/>
      </c>
      <c r="B841" s="3" t="str">
        <f>IF(AND(Data!$B841='Individual Type'!$D$2, Data!$K841='All Types'!$D$2,Data!$L841='All Types'!$D$3),Data!$B841,"")</f>
        <v/>
      </c>
      <c r="C841" s="3" t="str">
        <f>IF(F841="","",Data!N841)</f>
        <v/>
      </c>
      <c r="D841" s="3" t="str">
        <f>IF(AND(Data!$B841='Individual Type'!$D$2, Data!$K841='All Types'!$D$2,Data!$L841='All Types'!$D$3),Data!$C841,"")</f>
        <v/>
      </c>
      <c r="E841" s="3" t="str">
        <f>IF($F841="","",Data!P841)</f>
        <v/>
      </c>
      <c r="F841" s="3" t="str">
        <f>IF(AND(Data!$B841='Individual Type'!$D$2, Data!$K841='All Types'!$D$2,Data!$L841='All Types'!$D$3),Data!M841,"")</f>
        <v/>
      </c>
    </row>
    <row r="842">
      <c r="A842" s="102" t="str">
        <f t="shared" si="1"/>
        <v/>
      </c>
      <c r="B842" s="3" t="str">
        <f>IF(AND(Data!$B842='Individual Type'!$D$2, Data!$K842='All Types'!$D$2,Data!$L842='All Types'!$D$3),Data!$B842,"")</f>
        <v/>
      </c>
      <c r="C842" s="3" t="str">
        <f>IF(F842="","",Data!N842)</f>
        <v/>
      </c>
      <c r="D842" s="3" t="str">
        <f>IF(AND(Data!$B842='Individual Type'!$D$2, Data!$K842='All Types'!$D$2,Data!$L842='All Types'!$D$3),Data!$C842,"")</f>
        <v/>
      </c>
      <c r="E842" s="3" t="str">
        <f>IF($F842="","",Data!P842)</f>
        <v/>
      </c>
      <c r="F842" s="3" t="str">
        <f>IF(AND(Data!$B842='Individual Type'!$D$2, Data!$K842='All Types'!$D$2,Data!$L842='All Types'!$D$3),Data!M842,"")</f>
        <v/>
      </c>
    </row>
    <row r="843">
      <c r="A843" s="102" t="str">
        <f t="shared" si="1"/>
        <v/>
      </c>
      <c r="B843" s="3" t="str">
        <f>IF(AND(Data!$B843='Individual Type'!$D$2, Data!$K843='All Types'!$D$2,Data!$L843='All Types'!$D$3),Data!$B843,"")</f>
        <v/>
      </c>
      <c r="C843" s="3" t="str">
        <f>IF(F843="","",Data!N843)</f>
        <v/>
      </c>
      <c r="D843" s="3" t="str">
        <f>IF(AND(Data!$B843='Individual Type'!$D$2, Data!$K843='All Types'!$D$2,Data!$L843='All Types'!$D$3),Data!$C843,"")</f>
        <v/>
      </c>
      <c r="E843" s="3" t="str">
        <f>IF($F843="","",Data!P843)</f>
        <v/>
      </c>
      <c r="F843" s="3" t="str">
        <f>IF(AND(Data!$B843='Individual Type'!$D$2, Data!$K843='All Types'!$D$2,Data!$L843='All Types'!$D$3),Data!M843,"")</f>
        <v/>
      </c>
    </row>
    <row r="844">
      <c r="A844" s="102" t="str">
        <f t="shared" si="1"/>
        <v/>
      </c>
      <c r="B844" s="3" t="str">
        <f>IF(AND(Data!$B844='Individual Type'!$D$2, Data!$K844='All Types'!$D$2,Data!$L844='All Types'!$D$3),Data!$B844,"")</f>
        <v/>
      </c>
      <c r="C844" s="3" t="str">
        <f>IF(F844="","",Data!N844)</f>
        <v/>
      </c>
      <c r="D844" s="3" t="str">
        <f>IF(AND(Data!$B844='Individual Type'!$D$2, Data!$K844='All Types'!$D$2,Data!$L844='All Types'!$D$3),Data!$C844,"")</f>
        <v/>
      </c>
      <c r="E844" s="3" t="str">
        <f>IF($F844="","",Data!P844)</f>
        <v/>
      </c>
      <c r="F844" s="3" t="str">
        <f>IF(AND(Data!$B844='Individual Type'!$D$2, Data!$K844='All Types'!$D$2,Data!$L844='All Types'!$D$3),Data!M844,"")</f>
        <v/>
      </c>
    </row>
    <row r="845">
      <c r="A845" s="102" t="str">
        <f t="shared" si="1"/>
        <v/>
      </c>
      <c r="B845" s="3" t="str">
        <f>IF(AND(Data!$B845='Individual Type'!$D$2, Data!$K845='All Types'!$D$2,Data!$L845='All Types'!$D$3),Data!$B845,"")</f>
        <v/>
      </c>
      <c r="C845" s="3" t="str">
        <f>IF(F845="","",Data!N845)</f>
        <v/>
      </c>
      <c r="D845" s="3" t="str">
        <f>IF(AND(Data!$B845='Individual Type'!$D$2, Data!$K845='All Types'!$D$2,Data!$L845='All Types'!$D$3),Data!$C845,"")</f>
        <v/>
      </c>
      <c r="E845" s="3" t="str">
        <f>IF($F845="","",Data!P845)</f>
        <v/>
      </c>
      <c r="F845" s="3" t="str">
        <f>IF(AND(Data!$B845='Individual Type'!$D$2, Data!$K845='All Types'!$D$2,Data!$L845='All Types'!$D$3),Data!M845,"")</f>
        <v/>
      </c>
    </row>
    <row r="846">
      <c r="A846" s="102" t="str">
        <f t="shared" si="1"/>
        <v/>
      </c>
      <c r="B846" s="3" t="str">
        <f>IF(AND(Data!$B846='Individual Type'!$D$2, Data!$K846='All Types'!$D$2,Data!$L846='All Types'!$D$3),Data!$B846,"")</f>
        <v/>
      </c>
      <c r="C846" s="3" t="str">
        <f>IF(F846="","",Data!N846)</f>
        <v/>
      </c>
      <c r="D846" s="3" t="str">
        <f>IF(AND(Data!$B846='Individual Type'!$D$2, Data!$K846='All Types'!$D$2,Data!$L846='All Types'!$D$3),Data!$C846,"")</f>
        <v/>
      </c>
      <c r="E846" s="3" t="str">
        <f>IF($F846="","",Data!P846)</f>
        <v/>
      </c>
      <c r="F846" s="3" t="str">
        <f>IF(AND(Data!$B846='Individual Type'!$D$2, Data!$K846='All Types'!$D$2,Data!$L846='All Types'!$D$3),Data!M846,"")</f>
        <v/>
      </c>
    </row>
    <row r="847">
      <c r="A847" s="102" t="str">
        <f t="shared" si="1"/>
        <v/>
      </c>
      <c r="B847" s="3" t="str">
        <f>IF(AND(Data!$B847='Individual Type'!$D$2, Data!$K847='All Types'!$D$2,Data!$L847='All Types'!$D$3),Data!$B847,"")</f>
        <v/>
      </c>
      <c r="C847" s="3" t="str">
        <f>IF(F847="","",Data!N847)</f>
        <v/>
      </c>
      <c r="D847" s="3" t="str">
        <f>IF(AND(Data!$B847='Individual Type'!$D$2, Data!$K847='All Types'!$D$2,Data!$L847='All Types'!$D$3),Data!$C847,"")</f>
        <v/>
      </c>
      <c r="E847" s="3" t="str">
        <f>IF($F847="","",Data!P847)</f>
        <v/>
      </c>
      <c r="F847" s="3" t="str">
        <f>IF(AND(Data!$B847='Individual Type'!$D$2, Data!$K847='All Types'!$D$2,Data!$L847='All Types'!$D$3),Data!M847,"")</f>
        <v/>
      </c>
    </row>
    <row r="848">
      <c r="A848" s="102" t="str">
        <f t="shared" si="1"/>
        <v/>
      </c>
      <c r="B848" s="3" t="str">
        <f>IF(AND(Data!$B848='Individual Type'!$D$2, Data!$K848='All Types'!$D$2,Data!$L848='All Types'!$D$3),Data!$B848,"")</f>
        <v/>
      </c>
      <c r="C848" s="3" t="str">
        <f>IF(F848="","",Data!N848)</f>
        <v/>
      </c>
      <c r="D848" s="3" t="str">
        <f>IF(AND(Data!$B848='Individual Type'!$D$2, Data!$K848='All Types'!$D$2,Data!$L848='All Types'!$D$3),Data!$C848,"")</f>
        <v/>
      </c>
      <c r="E848" s="3" t="str">
        <f>IF($F848="","",Data!P848)</f>
        <v/>
      </c>
      <c r="F848" s="3" t="str">
        <f>IF(AND(Data!$B848='Individual Type'!$D$2, Data!$K848='All Types'!$D$2,Data!$L848='All Types'!$D$3),Data!M848,"")</f>
        <v/>
      </c>
    </row>
    <row r="849">
      <c r="A849" s="102" t="str">
        <f t="shared" si="1"/>
        <v/>
      </c>
      <c r="B849" s="3" t="str">
        <f>IF(AND(Data!$B849='Individual Type'!$D$2, Data!$K849='All Types'!$D$2,Data!$L849='All Types'!$D$3),Data!$B849,"")</f>
        <v/>
      </c>
      <c r="C849" s="3" t="str">
        <f>IF(F849="","",Data!N849)</f>
        <v/>
      </c>
      <c r="D849" s="3" t="str">
        <f>IF(AND(Data!$B849='Individual Type'!$D$2, Data!$K849='All Types'!$D$2,Data!$L849='All Types'!$D$3),Data!$C849,"")</f>
        <v/>
      </c>
      <c r="E849" s="3" t="str">
        <f>IF($F849="","",Data!P849)</f>
        <v/>
      </c>
      <c r="F849" s="3" t="str">
        <f>IF(AND(Data!$B849='Individual Type'!$D$2, Data!$K849='All Types'!$D$2,Data!$L849='All Types'!$D$3),Data!M849,"")</f>
        <v/>
      </c>
    </row>
    <row r="850">
      <c r="A850" s="102" t="str">
        <f t="shared" si="1"/>
        <v/>
      </c>
      <c r="B850" s="3" t="str">
        <f>IF(AND(Data!$B850='Individual Type'!$D$2, Data!$K850='All Types'!$D$2,Data!$L850='All Types'!$D$3),Data!$B850,"")</f>
        <v/>
      </c>
      <c r="C850" s="3" t="str">
        <f>IF(F850="","",Data!N850)</f>
        <v/>
      </c>
      <c r="D850" s="3" t="str">
        <f>IF(AND(Data!$B850='Individual Type'!$D$2, Data!$K850='All Types'!$D$2,Data!$L850='All Types'!$D$3),Data!$C850,"")</f>
        <v/>
      </c>
      <c r="E850" s="3" t="str">
        <f>IF($F850="","",Data!P850)</f>
        <v/>
      </c>
      <c r="F850" s="3" t="str">
        <f>IF(AND(Data!$B850='Individual Type'!$D$2, Data!$K850='All Types'!$D$2,Data!$L850='All Types'!$D$3),Data!M850,"")</f>
        <v/>
      </c>
    </row>
    <row r="851">
      <c r="A851" s="102" t="str">
        <f t="shared" si="1"/>
        <v/>
      </c>
      <c r="B851" s="3" t="str">
        <f>IF(AND(Data!$B851='Individual Type'!$D$2, Data!$K851='All Types'!$D$2,Data!$L851='All Types'!$D$3),Data!$B851,"")</f>
        <v/>
      </c>
      <c r="C851" s="3" t="str">
        <f>IF(F851="","",Data!N851)</f>
        <v/>
      </c>
      <c r="D851" s="3" t="str">
        <f>IF(AND(Data!$B851='Individual Type'!$D$2, Data!$K851='All Types'!$D$2,Data!$L851='All Types'!$D$3),Data!$C851,"")</f>
        <v/>
      </c>
      <c r="E851" s="3" t="str">
        <f>IF($F851="","",Data!P851)</f>
        <v/>
      </c>
      <c r="F851" s="3" t="str">
        <f>IF(AND(Data!$B851='Individual Type'!$D$2, Data!$K851='All Types'!$D$2,Data!$L851='All Types'!$D$3),Data!M851,"")</f>
        <v/>
      </c>
    </row>
    <row r="852">
      <c r="A852" s="102" t="str">
        <f t="shared" si="1"/>
        <v/>
      </c>
      <c r="B852" s="3" t="str">
        <f>IF(AND(Data!$B852='Individual Type'!$D$2, Data!$K852='All Types'!$D$2,Data!$L852='All Types'!$D$3),Data!$B852,"")</f>
        <v/>
      </c>
      <c r="C852" s="3" t="str">
        <f>IF(F852="","",Data!N852)</f>
        <v/>
      </c>
      <c r="D852" s="3" t="str">
        <f>IF(AND(Data!$B852='Individual Type'!$D$2, Data!$K852='All Types'!$D$2,Data!$L852='All Types'!$D$3),Data!$C852,"")</f>
        <v/>
      </c>
      <c r="E852" s="3" t="str">
        <f>IF($F852="","",Data!P852)</f>
        <v/>
      </c>
      <c r="F852" s="3" t="str">
        <f>IF(AND(Data!$B852='Individual Type'!$D$2, Data!$K852='All Types'!$D$2,Data!$L852='All Types'!$D$3),Data!M852,"")</f>
        <v/>
      </c>
    </row>
    <row r="853">
      <c r="A853" s="102" t="str">
        <f t="shared" si="1"/>
        <v/>
      </c>
      <c r="B853" s="3" t="str">
        <f>IF(AND(Data!$B853='Individual Type'!$D$2, Data!$K853='All Types'!$D$2,Data!$L853='All Types'!$D$3),Data!$B853,"")</f>
        <v/>
      </c>
      <c r="C853" s="3" t="str">
        <f>IF(F853="","",Data!N853)</f>
        <v/>
      </c>
      <c r="D853" s="3" t="str">
        <f>IF(AND(Data!$B853='Individual Type'!$D$2, Data!$K853='All Types'!$D$2,Data!$L853='All Types'!$D$3),Data!$C853,"")</f>
        <v/>
      </c>
      <c r="E853" s="3" t="str">
        <f>IF($F853="","",Data!P853)</f>
        <v/>
      </c>
      <c r="F853" s="3" t="str">
        <f>IF(AND(Data!$B853='Individual Type'!$D$2, Data!$K853='All Types'!$D$2,Data!$L853='All Types'!$D$3),Data!M853,"")</f>
        <v/>
      </c>
    </row>
    <row r="854">
      <c r="A854" s="102" t="str">
        <f t="shared" si="1"/>
        <v/>
      </c>
      <c r="B854" s="3" t="str">
        <f>IF(AND(Data!$B854='Individual Type'!$D$2, Data!$K854='All Types'!$D$2,Data!$L854='All Types'!$D$3),Data!$B854,"")</f>
        <v/>
      </c>
      <c r="C854" s="3" t="str">
        <f>IF(F854="","",Data!N854)</f>
        <v/>
      </c>
      <c r="D854" s="3" t="str">
        <f>IF(AND(Data!$B854='Individual Type'!$D$2, Data!$K854='All Types'!$D$2,Data!$L854='All Types'!$D$3),Data!$C854,"")</f>
        <v/>
      </c>
      <c r="E854" s="3" t="str">
        <f>IF($F854="","",Data!P854)</f>
        <v/>
      </c>
      <c r="F854" s="3" t="str">
        <f>IF(AND(Data!$B854='Individual Type'!$D$2, Data!$K854='All Types'!$D$2,Data!$L854='All Types'!$D$3),Data!M854,"")</f>
        <v/>
      </c>
    </row>
    <row r="855">
      <c r="A855" s="102" t="str">
        <f t="shared" si="1"/>
        <v/>
      </c>
      <c r="B855" s="3" t="str">
        <f>IF(AND(Data!$B855='Individual Type'!$D$2, Data!$K855='All Types'!$D$2,Data!$L855='All Types'!$D$3),Data!$B855,"")</f>
        <v/>
      </c>
      <c r="C855" s="3" t="str">
        <f>IF(F855="","",Data!N855)</f>
        <v/>
      </c>
      <c r="D855" s="3" t="str">
        <f>IF(AND(Data!$B855='Individual Type'!$D$2, Data!$K855='All Types'!$D$2,Data!$L855='All Types'!$D$3),Data!$C855,"")</f>
        <v/>
      </c>
      <c r="E855" s="3" t="str">
        <f>IF($F855="","",Data!P855)</f>
        <v/>
      </c>
      <c r="F855" s="3" t="str">
        <f>IF(AND(Data!$B855='Individual Type'!$D$2, Data!$K855='All Types'!$D$2,Data!$L855='All Types'!$D$3),Data!M855,"")</f>
        <v/>
      </c>
    </row>
    <row r="856">
      <c r="A856" s="102" t="str">
        <f t="shared" si="1"/>
        <v/>
      </c>
      <c r="B856" s="3" t="str">
        <f>IF(AND(Data!$B856='Individual Type'!$D$2, Data!$K856='All Types'!$D$2,Data!$L856='All Types'!$D$3),Data!$B856,"")</f>
        <v/>
      </c>
      <c r="C856" s="3" t="str">
        <f>IF(F856="","",Data!N856)</f>
        <v/>
      </c>
      <c r="D856" s="3" t="str">
        <f>IF(AND(Data!$B856='Individual Type'!$D$2, Data!$K856='All Types'!$D$2,Data!$L856='All Types'!$D$3),Data!$C856,"")</f>
        <v/>
      </c>
      <c r="E856" s="3" t="str">
        <f>IF($F856="","",Data!P856)</f>
        <v/>
      </c>
      <c r="F856" s="3" t="str">
        <f>IF(AND(Data!$B856='Individual Type'!$D$2, Data!$K856='All Types'!$D$2,Data!$L856='All Types'!$D$3),Data!M856,"")</f>
        <v/>
      </c>
    </row>
    <row r="857">
      <c r="A857" s="102" t="str">
        <f t="shared" si="1"/>
        <v/>
      </c>
      <c r="B857" s="3" t="str">
        <f>IF(AND(Data!$B857='Individual Type'!$D$2, Data!$K857='All Types'!$D$2,Data!$L857='All Types'!$D$3),Data!$B857,"")</f>
        <v/>
      </c>
      <c r="C857" s="3" t="str">
        <f>IF(F857="","",Data!N857)</f>
        <v/>
      </c>
      <c r="D857" s="3" t="str">
        <f>IF(AND(Data!$B857='Individual Type'!$D$2, Data!$K857='All Types'!$D$2,Data!$L857='All Types'!$D$3),Data!$C857,"")</f>
        <v/>
      </c>
      <c r="E857" s="3" t="str">
        <f>IF($F857="","",Data!P857)</f>
        <v/>
      </c>
      <c r="F857" s="3" t="str">
        <f>IF(AND(Data!$B857='Individual Type'!$D$2, Data!$K857='All Types'!$D$2,Data!$L857='All Types'!$D$3),Data!M857,"")</f>
        <v/>
      </c>
    </row>
    <row r="858">
      <c r="A858" s="102" t="str">
        <f t="shared" si="1"/>
        <v/>
      </c>
      <c r="B858" s="3" t="str">
        <f>IF(AND(Data!$B858='Individual Type'!$D$2, Data!$K858='All Types'!$D$2,Data!$L858='All Types'!$D$3),Data!$B858,"")</f>
        <v/>
      </c>
      <c r="C858" s="3" t="str">
        <f>IF(F858="","",Data!N858)</f>
        <v/>
      </c>
      <c r="D858" s="3" t="str">
        <f>IF(AND(Data!$B858='Individual Type'!$D$2, Data!$K858='All Types'!$D$2,Data!$L858='All Types'!$D$3),Data!$C858,"")</f>
        <v/>
      </c>
      <c r="E858" s="3" t="str">
        <f>IF($F858="","",Data!P858)</f>
        <v/>
      </c>
      <c r="F858" s="3" t="str">
        <f>IF(AND(Data!$B858='Individual Type'!$D$2, Data!$K858='All Types'!$D$2,Data!$L858='All Types'!$D$3),Data!M858,"")</f>
        <v/>
      </c>
    </row>
    <row r="859">
      <c r="A859" s="102" t="str">
        <f t="shared" si="1"/>
        <v/>
      </c>
      <c r="B859" s="3" t="str">
        <f>IF(AND(Data!$B859='Individual Type'!$D$2, Data!$K859='All Types'!$D$2,Data!$L859='All Types'!$D$3),Data!$B859,"")</f>
        <v/>
      </c>
      <c r="C859" s="3" t="str">
        <f>IF(F859="","",Data!N859)</f>
        <v/>
      </c>
      <c r="D859" s="3" t="str">
        <f>IF(AND(Data!$B859='Individual Type'!$D$2, Data!$K859='All Types'!$D$2,Data!$L859='All Types'!$D$3),Data!$C859,"")</f>
        <v/>
      </c>
      <c r="E859" s="3" t="str">
        <f>IF($F859="","",Data!P859)</f>
        <v/>
      </c>
      <c r="F859" s="3" t="str">
        <f>IF(AND(Data!$B859='Individual Type'!$D$2, Data!$K859='All Types'!$D$2,Data!$L859='All Types'!$D$3),Data!M859,"")</f>
        <v/>
      </c>
    </row>
    <row r="860">
      <c r="A860" s="102" t="str">
        <f t="shared" si="1"/>
        <v/>
      </c>
      <c r="B860" s="3" t="str">
        <f>IF(AND(Data!$B860='Individual Type'!$D$2, Data!$K860='All Types'!$D$2,Data!$L860='All Types'!$D$3),Data!$B860,"")</f>
        <v/>
      </c>
      <c r="C860" s="3" t="str">
        <f>IF(F860="","",Data!N860)</f>
        <v/>
      </c>
      <c r="D860" s="3" t="str">
        <f>IF(AND(Data!$B860='Individual Type'!$D$2, Data!$K860='All Types'!$D$2,Data!$L860='All Types'!$D$3),Data!$C860,"")</f>
        <v/>
      </c>
      <c r="E860" s="3" t="str">
        <f>IF($F860="","",Data!P860)</f>
        <v/>
      </c>
      <c r="F860" s="3" t="str">
        <f>IF(AND(Data!$B860='Individual Type'!$D$2, Data!$K860='All Types'!$D$2,Data!$L860='All Types'!$D$3),Data!M860,"")</f>
        <v/>
      </c>
    </row>
    <row r="861">
      <c r="A861" s="102" t="str">
        <f t="shared" si="1"/>
        <v/>
      </c>
      <c r="B861" s="3" t="str">
        <f>IF(AND(Data!$B861='Individual Type'!$D$2, Data!$K861='All Types'!$D$2,Data!$L861='All Types'!$D$3),Data!$B861,"")</f>
        <v/>
      </c>
      <c r="C861" s="3" t="str">
        <f>IF(F861="","",Data!N861)</f>
        <v/>
      </c>
      <c r="D861" s="3" t="str">
        <f>IF(AND(Data!$B861='Individual Type'!$D$2, Data!$K861='All Types'!$D$2,Data!$L861='All Types'!$D$3),Data!$C861,"")</f>
        <v/>
      </c>
      <c r="E861" s="3" t="str">
        <f>IF($F861="","",Data!P861)</f>
        <v/>
      </c>
      <c r="F861" s="3" t="str">
        <f>IF(AND(Data!$B861='Individual Type'!$D$2, Data!$K861='All Types'!$D$2,Data!$L861='All Types'!$D$3),Data!M861,"")</f>
        <v/>
      </c>
    </row>
    <row r="862">
      <c r="A862" s="102" t="str">
        <f t="shared" si="1"/>
        <v/>
      </c>
      <c r="B862" s="3" t="str">
        <f>IF(AND(Data!$B862='Individual Type'!$D$2, Data!$K862='All Types'!$D$2,Data!$L862='All Types'!$D$3),Data!$B862,"")</f>
        <v/>
      </c>
      <c r="C862" s="3" t="str">
        <f>IF(F862="","",Data!N862)</f>
        <v/>
      </c>
      <c r="D862" s="3" t="str">
        <f>IF(AND(Data!$B862='Individual Type'!$D$2, Data!$K862='All Types'!$D$2,Data!$L862='All Types'!$D$3),Data!$C862,"")</f>
        <v/>
      </c>
      <c r="E862" s="3" t="str">
        <f>IF($F862="","",Data!P862)</f>
        <v/>
      </c>
      <c r="F862" s="3" t="str">
        <f>IF(AND(Data!$B862='Individual Type'!$D$2, Data!$K862='All Types'!$D$2,Data!$L862='All Types'!$D$3),Data!M862,"")</f>
        <v/>
      </c>
    </row>
    <row r="863">
      <c r="A863" s="102" t="str">
        <f t="shared" si="1"/>
        <v/>
      </c>
      <c r="B863" s="3" t="str">
        <f>IF(AND(Data!$B863='Individual Type'!$D$2, Data!$K863='All Types'!$D$2,Data!$L863='All Types'!$D$3),Data!$B863,"")</f>
        <v/>
      </c>
      <c r="C863" s="3" t="str">
        <f>IF(F863="","",Data!N863)</f>
        <v/>
      </c>
      <c r="D863" s="3" t="str">
        <f>IF(AND(Data!$B863='Individual Type'!$D$2, Data!$K863='All Types'!$D$2,Data!$L863='All Types'!$D$3),Data!$C863,"")</f>
        <v/>
      </c>
      <c r="E863" s="3" t="str">
        <f>IF($F863="","",Data!P863)</f>
        <v/>
      </c>
      <c r="F863" s="3" t="str">
        <f>IF(AND(Data!$B863='Individual Type'!$D$2, Data!$K863='All Types'!$D$2,Data!$L863='All Types'!$D$3),Data!M863,"")</f>
        <v/>
      </c>
    </row>
    <row r="864">
      <c r="A864" s="102" t="str">
        <f t="shared" si="1"/>
        <v/>
      </c>
      <c r="B864" s="3" t="str">
        <f>IF(AND(Data!$B864='Individual Type'!$D$2, Data!$K864='All Types'!$D$2,Data!$L864='All Types'!$D$3),Data!$B864,"")</f>
        <v/>
      </c>
      <c r="C864" s="3" t="str">
        <f>IF(F864="","",Data!N864)</f>
        <v/>
      </c>
      <c r="D864" s="3" t="str">
        <f>IF(AND(Data!$B864='Individual Type'!$D$2, Data!$K864='All Types'!$D$2,Data!$L864='All Types'!$D$3),Data!$C864,"")</f>
        <v/>
      </c>
      <c r="E864" s="3" t="str">
        <f>IF($F864="","",Data!P864)</f>
        <v/>
      </c>
      <c r="F864" s="3" t="str">
        <f>IF(AND(Data!$B864='Individual Type'!$D$2, Data!$K864='All Types'!$D$2,Data!$L864='All Types'!$D$3),Data!M864,"")</f>
        <v/>
      </c>
    </row>
    <row r="865">
      <c r="A865" s="102" t="str">
        <f t="shared" si="1"/>
        <v/>
      </c>
      <c r="B865" s="3" t="str">
        <f>IF(AND(Data!$B865='Individual Type'!$D$2, Data!$K865='All Types'!$D$2,Data!$L865='All Types'!$D$3),Data!$B865,"")</f>
        <v/>
      </c>
      <c r="C865" s="3" t="str">
        <f>IF(F865="","",Data!N865)</f>
        <v/>
      </c>
      <c r="D865" s="3" t="str">
        <f>IF(AND(Data!$B865='Individual Type'!$D$2, Data!$K865='All Types'!$D$2,Data!$L865='All Types'!$D$3),Data!$C865,"")</f>
        <v/>
      </c>
      <c r="E865" s="3" t="str">
        <f>IF($F865="","",Data!P865)</f>
        <v/>
      </c>
      <c r="F865" s="3" t="str">
        <f>IF(AND(Data!$B865='Individual Type'!$D$2, Data!$K865='All Types'!$D$2,Data!$L865='All Types'!$D$3),Data!M865,"")</f>
        <v/>
      </c>
    </row>
    <row r="866">
      <c r="A866" s="102" t="str">
        <f t="shared" si="1"/>
        <v/>
      </c>
      <c r="B866" s="3" t="str">
        <f>IF(AND(Data!$B866='Individual Type'!$D$2, Data!$K866='All Types'!$D$2,Data!$L866='All Types'!$D$3),Data!$B866,"")</f>
        <v/>
      </c>
      <c r="C866" s="3" t="str">
        <f>IF(F866="","",Data!N866)</f>
        <v/>
      </c>
      <c r="D866" s="3" t="str">
        <f>IF(AND(Data!$B866='Individual Type'!$D$2, Data!$K866='All Types'!$D$2,Data!$L866='All Types'!$D$3),Data!$C866,"")</f>
        <v/>
      </c>
      <c r="E866" s="3" t="str">
        <f>IF($F866="","",Data!P866)</f>
        <v/>
      </c>
      <c r="F866" s="3" t="str">
        <f>IF(AND(Data!$B866='Individual Type'!$D$2, Data!$K866='All Types'!$D$2,Data!$L866='All Types'!$D$3),Data!M866,"")</f>
        <v/>
      </c>
    </row>
    <row r="867">
      <c r="A867" s="102" t="str">
        <f t="shared" si="1"/>
        <v/>
      </c>
      <c r="B867" s="3" t="str">
        <f>IF(AND(Data!$B867='Individual Type'!$D$2, Data!$K867='All Types'!$D$2,Data!$L867='All Types'!$D$3),Data!$B867,"")</f>
        <v/>
      </c>
      <c r="C867" s="3" t="str">
        <f>IF(F867="","",Data!N867)</f>
        <v/>
      </c>
      <c r="D867" s="3" t="str">
        <f>IF(AND(Data!$B867='Individual Type'!$D$2, Data!$K867='All Types'!$D$2,Data!$L867='All Types'!$D$3),Data!$C867,"")</f>
        <v/>
      </c>
      <c r="E867" s="3" t="str">
        <f>IF($F867="","",Data!P867)</f>
        <v/>
      </c>
      <c r="F867" s="3" t="str">
        <f>IF(AND(Data!$B867='Individual Type'!$D$2, Data!$K867='All Types'!$D$2,Data!$L867='All Types'!$D$3),Data!M867,"")</f>
        <v/>
      </c>
    </row>
    <row r="868">
      <c r="A868" s="102" t="str">
        <f t="shared" si="1"/>
        <v/>
      </c>
      <c r="B868" s="3" t="str">
        <f>IF(AND(Data!$B868='Individual Type'!$D$2, Data!$K868='All Types'!$D$2,Data!$L868='All Types'!$D$3),Data!$B868,"")</f>
        <v/>
      </c>
      <c r="C868" s="3" t="str">
        <f>IF(F868="","",Data!N868)</f>
        <v/>
      </c>
      <c r="D868" s="3" t="str">
        <f>IF(AND(Data!$B868='Individual Type'!$D$2, Data!$K868='All Types'!$D$2,Data!$L868='All Types'!$D$3),Data!$C868,"")</f>
        <v/>
      </c>
      <c r="E868" s="3" t="str">
        <f>IF($F868="","",Data!P868)</f>
        <v/>
      </c>
      <c r="F868" s="3" t="str">
        <f>IF(AND(Data!$B868='Individual Type'!$D$2, Data!$K868='All Types'!$D$2,Data!$L868='All Types'!$D$3),Data!M868,"")</f>
        <v/>
      </c>
    </row>
    <row r="869">
      <c r="A869" s="102" t="str">
        <f t="shared" si="1"/>
        <v/>
      </c>
      <c r="B869" s="3" t="str">
        <f>IF(AND(Data!$B869='Individual Type'!$D$2, Data!$K869='All Types'!$D$2,Data!$L869='All Types'!$D$3),Data!$B869,"")</f>
        <v/>
      </c>
      <c r="C869" s="3" t="str">
        <f>IF(F869="","",Data!N869)</f>
        <v/>
      </c>
      <c r="D869" s="3" t="str">
        <f>IF(AND(Data!$B869='Individual Type'!$D$2, Data!$K869='All Types'!$D$2,Data!$L869='All Types'!$D$3),Data!$C869,"")</f>
        <v/>
      </c>
      <c r="E869" s="3" t="str">
        <f>IF($F869="","",Data!P869)</f>
        <v/>
      </c>
      <c r="F869" s="3" t="str">
        <f>IF(AND(Data!$B869='Individual Type'!$D$2, Data!$K869='All Types'!$D$2,Data!$L869='All Types'!$D$3),Data!M869,"")</f>
        <v/>
      </c>
    </row>
    <row r="870">
      <c r="A870" s="102" t="str">
        <f t="shared" si="1"/>
        <v/>
      </c>
      <c r="B870" s="3" t="str">
        <f>IF(AND(Data!$B870='Individual Type'!$D$2, Data!$K870='All Types'!$D$2,Data!$L870='All Types'!$D$3),Data!$B870,"")</f>
        <v/>
      </c>
      <c r="C870" s="3" t="str">
        <f>IF(F870="","",Data!N870)</f>
        <v/>
      </c>
      <c r="D870" s="3" t="str">
        <f>IF(AND(Data!$B870='Individual Type'!$D$2, Data!$K870='All Types'!$D$2,Data!$L870='All Types'!$D$3),Data!$C870,"")</f>
        <v/>
      </c>
      <c r="E870" s="3" t="str">
        <f>IF($F870="","",Data!P870)</f>
        <v/>
      </c>
      <c r="F870" s="3" t="str">
        <f>IF(AND(Data!$B870='Individual Type'!$D$2, Data!$K870='All Types'!$D$2,Data!$L870='All Types'!$D$3),Data!M870,"")</f>
        <v/>
      </c>
    </row>
    <row r="871">
      <c r="A871" s="102" t="str">
        <f t="shared" si="1"/>
        <v/>
      </c>
      <c r="B871" s="3" t="str">
        <f>IF(AND(Data!$B871='Individual Type'!$D$2, Data!$K871='All Types'!$D$2,Data!$L871='All Types'!$D$3),Data!$B871,"")</f>
        <v/>
      </c>
      <c r="C871" s="3" t="str">
        <f>IF(F871="","",Data!N871)</f>
        <v/>
      </c>
      <c r="D871" s="3" t="str">
        <f>IF(AND(Data!$B871='Individual Type'!$D$2, Data!$K871='All Types'!$D$2,Data!$L871='All Types'!$D$3),Data!$C871,"")</f>
        <v/>
      </c>
      <c r="E871" s="3" t="str">
        <f>IF($F871="","",Data!P871)</f>
        <v/>
      </c>
      <c r="F871" s="3" t="str">
        <f>IF(AND(Data!$B871='Individual Type'!$D$2, Data!$K871='All Types'!$D$2,Data!$L871='All Types'!$D$3),Data!M871,"")</f>
        <v/>
      </c>
    </row>
    <row r="872">
      <c r="A872" s="102" t="str">
        <f t="shared" si="1"/>
        <v/>
      </c>
      <c r="B872" s="3" t="str">
        <f>IF(AND(Data!$B872='Individual Type'!$D$2, Data!$K872='All Types'!$D$2,Data!$L872='All Types'!$D$3),Data!$B872,"")</f>
        <v/>
      </c>
      <c r="C872" s="3" t="str">
        <f>IF(F872="","",Data!N872)</f>
        <v/>
      </c>
      <c r="D872" s="3" t="str">
        <f>IF(AND(Data!$B872='Individual Type'!$D$2, Data!$K872='All Types'!$D$2,Data!$L872='All Types'!$D$3),Data!$C872,"")</f>
        <v/>
      </c>
      <c r="E872" s="3" t="str">
        <f>IF($F872="","",Data!P872)</f>
        <v/>
      </c>
      <c r="F872" s="3" t="str">
        <f>IF(AND(Data!$B872='Individual Type'!$D$2, Data!$K872='All Types'!$D$2,Data!$L872='All Types'!$D$3),Data!M872,"")</f>
        <v/>
      </c>
    </row>
    <row r="873">
      <c r="A873" s="102" t="str">
        <f t="shared" si="1"/>
        <v/>
      </c>
      <c r="B873" s="3" t="str">
        <f>IF(AND(Data!$B873='Individual Type'!$D$2, Data!$K873='All Types'!$D$2,Data!$L873='All Types'!$D$3),Data!$B873,"")</f>
        <v/>
      </c>
      <c r="C873" s="3" t="str">
        <f>IF(F873="","",Data!N873)</f>
        <v/>
      </c>
      <c r="D873" s="3" t="str">
        <f>IF(AND(Data!$B873='Individual Type'!$D$2, Data!$K873='All Types'!$D$2,Data!$L873='All Types'!$D$3),Data!$C873,"")</f>
        <v/>
      </c>
      <c r="E873" s="3" t="str">
        <f>IF($F873="","",Data!P873)</f>
        <v/>
      </c>
      <c r="F873" s="3" t="str">
        <f>IF(AND(Data!$B873='Individual Type'!$D$2, Data!$K873='All Types'!$D$2,Data!$L873='All Types'!$D$3),Data!M873,"")</f>
        <v/>
      </c>
    </row>
    <row r="874">
      <c r="A874" s="102" t="str">
        <f t="shared" si="1"/>
        <v/>
      </c>
      <c r="B874" s="3" t="str">
        <f>IF(AND(Data!$B874='Individual Type'!$D$2, Data!$K874='All Types'!$D$2,Data!$L874='All Types'!$D$3),Data!$B874,"")</f>
        <v/>
      </c>
      <c r="C874" s="3" t="str">
        <f>IF(F874="","",Data!N874)</f>
        <v/>
      </c>
      <c r="D874" s="3" t="str">
        <f>IF(AND(Data!$B874='Individual Type'!$D$2, Data!$K874='All Types'!$D$2,Data!$L874='All Types'!$D$3),Data!$C874,"")</f>
        <v/>
      </c>
      <c r="E874" s="3" t="str">
        <f>IF($F874="","",Data!P874)</f>
        <v/>
      </c>
      <c r="F874" s="3" t="str">
        <f>IF(AND(Data!$B874='Individual Type'!$D$2, Data!$K874='All Types'!$D$2,Data!$L874='All Types'!$D$3),Data!M874,"")</f>
        <v/>
      </c>
    </row>
    <row r="875">
      <c r="A875" s="102" t="str">
        <f t="shared" si="1"/>
        <v/>
      </c>
      <c r="B875" s="3" t="str">
        <f>IF(AND(Data!$B875='Individual Type'!$D$2, Data!$K875='All Types'!$D$2,Data!$L875='All Types'!$D$3),Data!$B875,"")</f>
        <v/>
      </c>
      <c r="C875" s="3" t="str">
        <f>IF(F875="","",Data!N875)</f>
        <v/>
      </c>
      <c r="D875" s="3" t="str">
        <f>IF(AND(Data!$B875='Individual Type'!$D$2, Data!$K875='All Types'!$D$2,Data!$L875='All Types'!$D$3),Data!$C875,"")</f>
        <v/>
      </c>
      <c r="E875" s="3" t="str">
        <f>IF($F875="","",Data!P875)</f>
        <v/>
      </c>
      <c r="F875" s="3" t="str">
        <f>IF(AND(Data!$B875='Individual Type'!$D$2, Data!$K875='All Types'!$D$2,Data!$L875='All Types'!$D$3),Data!M875,"")</f>
        <v/>
      </c>
    </row>
    <row r="876">
      <c r="A876" s="102" t="str">
        <f t="shared" si="1"/>
        <v/>
      </c>
      <c r="B876" s="3" t="str">
        <f>IF(AND(Data!$B876='Individual Type'!$D$2, Data!$K876='All Types'!$D$2,Data!$L876='All Types'!$D$3),Data!$B876,"")</f>
        <v/>
      </c>
      <c r="C876" s="3" t="str">
        <f>IF(F876="","",Data!N876)</f>
        <v/>
      </c>
      <c r="D876" s="3" t="str">
        <f>IF(AND(Data!$B876='Individual Type'!$D$2, Data!$K876='All Types'!$D$2,Data!$L876='All Types'!$D$3),Data!$C876,"")</f>
        <v/>
      </c>
      <c r="E876" s="3" t="str">
        <f>IF($F876="","",Data!P876)</f>
        <v/>
      </c>
      <c r="F876" s="3" t="str">
        <f>IF(AND(Data!$B876='Individual Type'!$D$2, Data!$K876='All Types'!$D$2,Data!$L876='All Types'!$D$3),Data!M876,"")</f>
        <v/>
      </c>
    </row>
    <row r="877">
      <c r="A877" s="102" t="str">
        <f t="shared" si="1"/>
        <v/>
      </c>
      <c r="B877" s="3" t="str">
        <f>IF(AND(Data!$B877='Individual Type'!$D$2, Data!$K877='All Types'!$D$2,Data!$L877='All Types'!$D$3),Data!$B877,"")</f>
        <v/>
      </c>
      <c r="C877" s="3" t="str">
        <f>IF(F877="","",Data!N877)</f>
        <v/>
      </c>
      <c r="D877" s="3" t="str">
        <f>IF(AND(Data!$B877='Individual Type'!$D$2, Data!$K877='All Types'!$D$2,Data!$L877='All Types'!$D$3),Data!$C877,"")</f>
        <v/>
      </c>
      <c r="E877" s="3" t="str">
        <f>IF($F877="","",Data!P877)</f>
        <v/>
      </c>
      <c r="F877" s="3" t="str">
        <f>IF(AND(Data!$B877='Individual Type'!$D$2, Data!$K877='All Types'!$D$2,Data!$L877='All Types'!$D$3),Data!M877,"")</f>
        <v/>
      </c>
    </row>
    <row r="878">
      <c r="A878" s="102" t="str">
        <f t="shared" si="1"/>
        <v/>
      </c>
      <c r="B878" s="3" t="str">
        <f>IF(AND(Data!$B878='Individual Type'!$D$2, Data!$K878='All Types'!$D$2,Data!$L878='All Types'!$D$3),Data!$B878,"")</f>
        <v/>
      </c>
      <c r="C878" s="3" t="str">
        <f>IF(F878="","",Data!N878)</f>
        <v/>
      </c>
      <c r="D878" s="3" t="str">
        <f>IF(AND(Data!$B878='Individual Type'!$D$2, Data!$K878='All Types'!$D$2,Data!$L878='All Types'!$D$3),Data!$C878,"")</f>
        <v/>
      </c>
      <c r="E878" s="3" t="str">
        <f>IF($F878="","",Data!P878)</f>
        <v/>
      </c>
      <c r="F878" s="3" t="str">
        <f>IF(AND(Data!$B878='Individual Type'!$D$2, Data!$K878='All Types'!$D$2,Data!$L878='All Types'!$D$3),Data!M878,"")</f>
        <v/>
      </c>
    </row>
    <row r="879">
      <c r="A879" s="102" t="str">
        <f t="shared" si="1"/>
        <v/>
      </c>
      <c r="B879" s="3" t="str">
        <f>IF(AND(Data!$B879='Individual Type'!$D$2, Data!$K879='All Types'!$D$2,Data!$L879='All Types'!$D$3),Data!$B879,"")</f>
        <v/>
      </c>
      <c r="C879" s="3" t="str">
        <f>IF(F879="","",Data!N879)</f>
        <v/>
      </c>
      <c r="D879" s="3" t="str">
        <f>IF(AND(Data!$B879='Individual Type'!$D$2, Data!$K879='All Types'!$D$2,Data!$L879='All Types'!$D$3),Data!$C879,"")</f>
        <v/>
      </c>
      <c r="E879" s="3" t="str">
        <f>IF($F879="","",Data!P879)</f>
        <v/>
      </c>
      <c r="F879" s="3" t="str">
        <f>IF(AND(Data!$B879='Individual Type'!$D$2, Data!$K879='All Types'!$D$2,Data!$L879='All Types'!$D$3),Data!M879,"")</f>
        <v/>
      </c>
    </row>
    <row r="880">
      <c r="A880" s="102" t="str">
        <f t="shared" si="1"/>
        <v/>
      </c>
      <c r="B880" s="3" t="str">
        <f>IF(AND(Data!$B880='Individual Type'!$D$2, Data!$K880='All Types'!$D$2,Data!$L880='All Types'!$D$3),Data!$B880,"")</f>
        <v/>
      </c>
      <c r="C880" s="3" t="str">
        <f>IF(F880="","",Data!N880)</f>
        <v/>
      </c>
      <c r="D880" s="3" t="str">
        <f>IF(AND(Data!$B880='Individual Type'!$D$2, Data!$K880='All Types'!$D$2,Data!$L880='All Types'!$D$3),Data!$C880,"")</f>
        <v/>
      </c>
      <c r="E880" s="3" t="str">
        <f>IF($F880="","",Data!P880)</f>
        <v/>
      </c>
      <c r="F880" s="3" t="str">
        <f>IF(AND(Data!$B880='Individual Type'!$D$2, Data!$K880='All Types'!$D$2,Data!$L880='All Types'!$D$3),Data!M880,"")</f>
        <v/>
      </c>
    </row>
    <row r="881">
      <c r="A881" s="102" t="str">
        <f t="shared" si="1"/>
        <v/>
      </c>
      <c r="B881" s="3" t="str">
        <f>IF(AND(Data!$B881='Individual Type'!$D$2, Data!$K881='All Types'!$D$2,Data!$L881='All Types'!$D$3),Data!$B881,"")</f>
        <v/>
      </c>
      <c r="C881" s="3" t="str">
        <f>IF(F881="","",Data!N881)</f>
        <v/>
      </c>
      <c r="D881" s="3" t="str">
        <f>IF(AND(Data!$B881='Individual Type'!$D$2, Data!$K881='All Types'!$D$2,Data!$L881='All Types'!$D$3),Data!$C881,"")</f>
        <v/>
      </c>
      <c r="E881" s="3" t="str">
        <f>IF($F881="","",Data!P881)</f>
        <v/>
      </c>
      <c r="F881" s="3" t="str">
        <f>IF(AND(Data!$B881='Individual Type'!$D$2, Data!$K881='All Types'!$D$2,Data!$L881='All Types'!$D$3),Data!M881,"")</f>
        <v/>
      </c>
    </row>
    <row r="882">
      <c r="A882" s="102" t="str">
        <f t="shared" si="1"/>
        <v/>
      </c>
      <c r="B882" s="3" t="str">
        <f>IF(AND(Data!$B882='Individual Type'!$D$2, Data!$K882='All Types'!$D$2,Data!$L882='All Types'!$D$3),Data!$B882,"")</f>
        <v/>
      </c>
      <c r="C882" s="3" t="str">
        <f>IF(F882="","",Data!N882)</f>
        <v/>
      </c>
      <c r="D882" s="3" t="str">
        <f>IF(AND(Data!$B882='Individual Type'!$D$2, Data!$K882='All Types'!$D$2,Data!$L882='All Types'!$D$3),Data!$C882,"")</f>
        <v/>
      </c>
      <c r="E882" s="3" t="str">
        <f>IF($F882="","",Data!P882)</f>
        <v/>
      </c>
      <c r="F882" s="3" t="str">
        <f>IF(AND(Data!$B882='Individual Type'!$D$2, Data!$K882='All Types'!$D$2,Data!$L882='All Types'!$D$3),Data!M882,"")</f>
        <v/>
      </c>
    </row>
    <row r="883">
      <c r="A883" s="102" t="str">
        <f t="shared" si="1"/>
        <v/>
      </c>
      <c r="B883" s="3" t="str">
        <f>IF(AND(Data!$B883='Individual Type'!$D$2, Data!$K883='All Types'!$D$2,Data!$L883='All Types'!$D$3),Data!$B883,"")</f>
        <v/>
      </c>
      <c r="C883" s="3" t="str">
        <f>IF(F883="","",Data!N883)</f>
        <v/>
      </c>
      <c r="D883" s="3" t="str">
        <f>IF(AND(Data!$B883='Individual Type'!$D$2, Data!$K883='All Types'!$D$2,Data!$L883='All Types'!$D$3),Data!$C883,"")</f>
        <v/>
      </c>
      <c r="E883" s="3" t="str">
        <f>IF($F883="","",Data!P883)</f>
        <v/>
      </c>
      <c r="F883" s="3" t="str">
        <f>IF(AND(Data!$B883='Individual Type'!$D$2, Data!$K883='All Types'!$D$2,Data!$L883='All Types'!$D$3),Data!M883,"")</f>
        <v/>
      </c>
    </row>
    <row r="884">
      <c r="A884" s="102" t="str">
        <f t="shared" si="1"/>
        <v/>
      </c>
      <c r="B884" s="3" t="str">
        <f>IF(AND(Data!$B884='Individual Type'!$D$2, Data!$K884='All Types'!$D$2,Data!$L884='All Types'!$D$3),Data!$B884,"")</f>
        <v/>
      </c>
      <c r="C884" s="3" t="str">
        <f>IF(F884="","",Data!N884)</f>
        <v/>
      </c>
      <c r="D884" s="3" t="str">
        <f>IF(AND(Data!$B884='Individual Type'!$D$2, Data!$K884='All Types'!$D$2,Data!$L884='All Types'!$D$3),Data!$C884,"")</f>
        <v/>
      </c>
      <c r="E884" s="3" t="str">
        <f>IF($F884="","",Data!P884)</f>
        <v/>
      </c>
      <c r="F884" s="3" t="str">
        <f>IF(AND(Data!$B884='Individual Type'!$D$2, Data!$K884='All Types'!$D$2,Data!$L884='All Types'!$D$3),Data!M884,"")</f>
        <v/>
      </c>
    </row>
    <row r="885">
      <c r="A885" s="102" t="str">
        <f t="shared" si="1"/>
        <v/>
      </c>
      <c r="B885" s="3" t="str">
        <f>IF(AND(Data!$B885='Individual Type'!$D$2, Data!$K885='All Types'!$D$2,Data!$L885='All Types'!$D$3),Data!$B885,"")</f>
        <v/>
      </c>
      <c r="C885" s="3" t="str">
        <f>IF(F885="","",Data!N885)</f>
        <v/>
      </c>
      <c r="D885" s="3" t="str">
        <f>IF(AND(Data!$B885='Individual Type'!$D$2, Data!$K885='All Types'!$D$2,Data!$L885='All Types'!$D$3),Data!$C885,"")</f>
        <v/>
      </c>
      <c r="E885" s="3" t="str">
        <f>IF($F885="","",Data!P885)</f>
        <v/>
      </c>
      <c r="F885" s="3" t="str">
        <f>IF(AND(Data!$B885='Individual Type'!$D$2, Data!$K885='All Types'!$D$2,Data!$L885='All Types'!$D$3),Data!M885,"")</f>
        <v/>
      </c>
    </row>
    <row r="886">
      <c r="A886" s="102" t="str">
        <f t="shared" si="1"/>
        <v/>
      </c>
      <c r="B886" s="3" t="str">
        <f>IF(AND(Data!$B886='Individual Type'!$D$2, Data!$K886='All Types'!$D$2,Data!$L886='All Types'!$D$3),Data!$B886,"")</f>
        <v/>
      </c>
      <c r="C886" s="3" t="str">
        <f>IF(F886="","",Data!N886)</f>
        <v/>
      </c>
      <c r="D886" s="3" t="str">
        <f>IF(AND(Data!$B886='Individual Type'!$D$2, Data!$K886='All Types'!$D$2,Data!$L886='All Types'!$D$3),Data!$C886,"")</f>
        <v/>
      </c>
      <c r="E886" s="3" t="str">
        <f>IF($F886="","",Data!P886)</f>
        <v/>
      </c>
      <c r="F886" s="3" t="str">
        <f>IF(AND(Data!$B886='Individual Type'!$D$2, Data!$K886='All Types'!$D$2,Data!$L886='All Types'!$D$3),Data!M886,"")</f>
        <v/>
      </c>
    </row>
    <row r="887">
      <c r="A887" s="102" t="str">
        <f t="shared" si="1"/>
        <v/>
      </c>
      <c r="B887" s="3" t="str">
        <f>IF(AND(Data!$B887='Individual Type'!$D$2, Data!$K887='All Types'!$D$2,Data!$L887='All Types'!$D$3),Data!$B887,"")</f>
        <v/>
      </c>
      <c r="C887" s="3" t="str">
        <f>IF(F887="","",Data!N887)</f>
        <v/>
      </c>
      <c r="D887" s="3" t="str">
        <f>IF(AND(Data!$B887='Individual Type'!$D$2, Data!$K887='All Types'!$D$2,Data!$L887='All Types'!$D$3),Data!$C887,"")</f>
        <v/>
      </c>
      <c r="E887" s="3" t="str">
        <f>IF($F887="","",Data!P887)</f>
        <v/>
      </c>
      <c r="F887" s="3" t="str">
        <f>IF(AND(Data!$B887='Individual Type'!$D$2, Data!$K887='All Types'!$D$2,Data!$L887='All Types'!$D$3),Data!M887,"")</f>
        <v/>
      </c>
    </row>
    <row r="888">
      <c r="A888" s="102" t="str">
        <f t="shared" si="1"/>
        <v/>
      </c>
      <c r="B888" s="3" t="str">
        <f>IF(AND(Data!$B888='Individual Type'!$D$2, Data!$K888='All Types'!$D$2,Data!$L888='All Types'!$D$3),Data!$B888,"")</f>
        <v/>
      </c>
      <c r="C888" s="3" t="str">
        <f>IF(F888="","",Data!N888)</f>
        <v/>
      </c>
      <c r="D888" s="3" t="str">
        <f>IF(AND(Data!$B888='Individual Type'!$D$2, Data!$K888='All Types'!$D$2,Data!$L888='All Types'!$D$3),Data!$C888,"")</f>
        <v/>
      </c>
      <c r="E888" s="3" t="str">
        <f>IF($F888="","",Data!P888)</f>
        <v/>
      </c>
      <c r="F888" s="3" t="str">
        <f>IF(AND(Data!$B888='Individual Type'!$D$2, Data!$K888='All Types'!$D$2,Data!$L888='All Types'!$D$3),Data!M888,"")</f>
        <v/>
      </c>
    </row>
    <row r="889">
      <c r="A889" s="102" t="str">
        <f t="shared" si="1"/>
        <v/>
      </c>
      <c r="B889" s="3" t="str">
        <f>IF(AND(Data!$B889='Individual Type'!$D$2, Data!$K889='All Types'!$D$2,Data!$L889='All Types'!$D$3),Data!$B889,"")</f>
        <v/>
      </c>
      <c r="C889" s="3" t="str">
        <f>IF(F889="","",Data!N889)</f>
        <v/>
      </c>
      <c r="D889" s="3" t="str">
        <f>IF(AND(Data!$B889='Individual Type'!$D$2, Data!$K889='All Types'!$D$2,Data!$L889='All Types'!$D$3),Data!$C889,"")</f>
        <v/>
      </c>
      <c r="E889" s="3" t="str">
        <f>IF($F889="","",Data!P889)</f>
        <v/>
      </c>
      <c r="F889" s="3" t="str">
        <f>IF(AND(Data!$B889='Individual Type'!$D$2, Data!$K889='All Types'!$D$2,Data!$L889='All Types'!$D$3),Data!M889,"")</f>
        <v/>
      </c>
    </row>
    <row r="890">
      <c r="A890" s="102" t="str">
        <f t="shared" si="1"/>
        <v/>
      </c>
      <c r="B890" s="3" t="str">
        <f>IF(AND(Data!$B890='Individual Type'!$D$2, Data!$K890='All Types'!$D$2,Data!$L890='All Types'!$D$3),Data!$B890,"")</f>
        <v/>
      </c>
      <c r="C890" s="3" t="str">
        <f>IF(F890="","",Data!N890)</f>
        <v/>
      </c>
      <c r="D890" s="3" t="str">
        <f>IF(AND(Data!$B890='Individual Type'!$D$2, Data!$K890='All Types'!$D$2,Data!$L890='All Types'!$D$3),Data!$C890,"")</f>
        <v/>
      </c>
      <c r="E890" s="3" t="str">
        <f>IF($F890="","",Data!P890)</f>
        <v/>
      </c>
      <c r="F890" s="3" t="str">
        <f>IF(AND(Data!$B890='Individual Type'!$D$2, Data!$K890='All Types'!$D$2,Data!$L890='All Types'!$D$3),Data!M890,"")</f>
        <v/>
      </c>
    </row>
    <row r="891">
      <c r="A891" s="102" t="str">
        <f t="shared" si="1"/>
        <v/>
      </c>
      <c r="B891" s="3" t="str">
        <f>IF(AND(Data!$B891='Individual Type'!$D$2, Data!$K891='All Types'!$D$2,Data!$L891='All Types'!$D$3),Data!$B891,"")</f>
        <v/>
      </c>
      <c r="C891" s="3" t="str">
        <f>IF(F891="","",Data!N891)</f>
        <v/>
      </c>
      <c r="D891" s="3" t="str">
        <f>IF(AND(Data!$B891='Individual Type'!$D$2, Data!$K891='All Types'!$D$2,Data!$L891='All Types'!$D$3),Data!$C891,"")</f>
        <v/>
      </c>
      <c r="E891" s="3" t="str">
        <f>IF($F891="","",Data!P891)</f>
        <v/>
      </c>
      <c r="F891" s="3" t="str">
        <f>IF(AND(Data!$B891='Individual Type'!$D$2, Data!$K891='All Types'!$D$2,Data!$L891='All Types'!$D$3),Data!M891,"")</f>
        <v/>
      </c>
    </row>
    <row r="892">
      <c r="A892" s="102" t="str">
        <f t="shared" si="1"/>
        <v/>
      </c>
      <c r="B892" s="3" t="str">
        <f>IF(AND(Data!$B892='Individual Type'!$D$2, Data!$K892='All Types'!$D$2,Data!$L892='All Types'!$D$3),Data!$B892,"")</f>
        <v/>
      </c>
      <c r="C892" s="3" t="str">
        <f>IF(F892="","",Data!N892)</f>
        <v/>
      </c>
      <c r="D892" s="3" t="str">
        <f>IF(AND(Data!$B892='Individual Type'!$D$2, Data!$K892='All Types'!$D$2,Data!$L892='All Types'!$D$3),Data!$C892,"")</f>
        <v/>
      </c>
      <c r="E892" s="3" t="str">
        <f>IF($F892="","",Data!P892)</f>
        <v/>
      </c>
      <c r="F892" s="3" t="str">
        <f>IF(AND(Data!$B892='Individual Type'!$D$2, Data!$K892='All Types'!$D$2,Data!$L892='All Types'!$D$3),Data!M892,"")</f>
        <v/>
      </c>
    </row>
    <row r="893">
      <c r="A893" s="102" t="str">
        <f t="shared" si="1"/>
        <v/>
      </c>
      <c r="B893" s="3" t="str">
        <f>IF(AND(Data!$B893='Individual Type'!$D$2, Data!$K893='All Types'!$D$2,Data!$L893='All Types'!$D$3),Data!$B893,"")</f>
        <v/>
      </c>
      <c r="C893" s="3" t="str">
        <f>IF(F893="","",Data!N893)</f>
        <v/>
      </c>
      <c r="D893" s="3" t="str">
        <f>IF(AND(Data!$B893='Individual Type'!$D$2, Data!$K893='All Types'!$D$2,Data!$L893='All Types'!$D$3),Data!$C893,"")</f>
        <v/>
      </c>
      <c r="E893" s="3" t="str">
        <f>IF($F893="","",Data!P893)</f>
        <v/>
      </c>
      <c r="F893" s="3" t="str">
        <f>IF(AND(Data!$B893='Individual Type'!$D$2, Data!$K893='All Types'!$D$2,Data!$L893='All Types'!$D$3),Data!M893,"")</f>
        <v/>
      </c>
    </row>
    <row r="894">
      <c r="A894" s="102" t="str">
        <f t="shared" si="1"/>
        <v/>
      </c>
      <c r="B894" s="3" t="str">
        <f>IF(AND(Data!$B894='Individual Type'!$D$2, Data!$K894='All Types'!$D$2,Data!$L894='All Types'!$D$3),Data!$B894,"")</f>
        <v/>
      </c>
      <c r="C894" s="3" t="str">
        <f>IF(F894="","",Data!N894)</f>
        <v/>
      </c>
      <c r="D894" s="3" t="str">
        <f>IF(AND(Data!$B894='Individual Type'!$D$2, Data!$K894='All Types'!$D$2,Data!$L894='All Types'!$D$3),Data!$C894,"")</f>
        <v/>
      </c>
      <c r="E894" s="3" t="str">
        <f>IF($F894="","",Data!P894)</f>
        <v/>
      </c>
      <c r="F894" s="3" t="str">
        <f>IF(AND(Data!$B894='Individual Type'!$D$2, Data!$K894='All Types'!$D$2,Data!$L894='All Types'!$D$3),Data!M894,"")</f>
        <v/>
      </c>
    </row>
    <row r="895">
      <c r="A895" s="102" t="str">
        <f t="shared" si="1"/>
        <v/>
      </c>
      <c r="B895" s="3" t="str">
        <f>IF(AND(Data!$B895='Individual Type'!$D$2, Data!$K895='All Types'!$D$2,Data!$L895='All Types'!$D$3),Data!$B895,"")</f>
        <v/>
      </c>
      <c r="C895" s="3" t="str">
        <f>IF(F895="","",Data!N895)</f>
        <v/>
      </c>
      <c r="D895" s="3" t="str">
        <f>IF(AND(Data!$B895='Individual Type'!$D$2, Data!$K895='All Types'!$D$2,Data!$L895='All Types'!$D$3),Data!$C895,"")</f>
        <v/>
      </c>
      <c r="E895" s="3" t="str">
        <f>IF($F895="","",Data!P895)</f>
        <v/>
      </c>
      <c r="F895" s="3" t="str">
        <f>IF(AND(Data!$B895='Individual Type'!$D$2, Data!$K895='All Types'!$D$2,Data!$L895='All Types'!$D$3),Data!M895,"")</f>
        <v/>
      </c>
    </row>
    <row r="896">
      <c r="A896" s="102" t="str">
        <f t="shared" si="1"/>
        <v/>
      </c>
      <c r="B896" s="3" t="str">
        <f>IF(AND(Data!$B896='Individual Type'!$D$2, Data!$K896='All Types'!$D$2,Data!$L896='All Types'!$D$3),Data!$B896,"")</f>
        <v/>
      </c>
      <c r="C896" s="3" t="str">
        <f>IF(F896="","",Data!N896)</f>
        <v/>
      </c>
      <c r="D896" s="3" t="str">
        <f>IF(AND(Data!$B896='Individual Type'!$D$2, Data!$K896='All Types'!$D$2,Data!$L896='All Types'!$D$3),Data!$C896,"")</f>
        <v/>
      </c>
      <c r="E896" s="3" t="str">
        <f>IF($F896="","",Data!P896)</f>
        <v/>
      </c>
      <c r="F896" s="3" t="str">
        <f>IF(AND(Data!$B896='Individual Type'!$D$2, Data!$K896='All Types'!$D$2,Data!$L896='All Types'!$D$3),Data!M896,"")</f>
        <v/>
      </c>
    </row>
    <row r="897">
      <c r="A897" s="102" t="str">
        <f t="shared" si="1"/>
        <v/>
      </c>
      <c r="B897" s="3" t="str">
        <f>IF(AND(Data!$B897='Individual Type'!$D$2, Data!$K897='All Types'!$D$2,Data!$L897='All Types'!$D$3),Data!$B897,"")</f>
        <v/>
      </c>
      <c r="C897" s="3" t="str">
        <f>IF(F897="","",Data!N897)</f>
        <v/>
      </c>
      <c r="D897" s="3" t="str">
        <f>IF(AND(Data!$B897='Individual Type'!$D$2, Data!$K897='All Types'!$D$2,Data!$L897='All Types'!$D$3),Data!$C897,"")</f>
        <v/>
      </c>
      <c r="E897" s="3" t="str">
        <f>IF($F897="","",Data!P897)</f>
        <v/>
      </c>
      <c r="F897" s="3" t="str">
        <f>IF(AND(Data!$B897='Individual Type'!$D$2, Data!$K897='All Types'!$D$2,Data!$L897='All Types'!$D$3),Data!M897,"")</f>
        <v/>
      </c>
    </row>
    <row r="898">
      <c r="A898" s="102" t="str">
        <f t="shared" si="1"/>
        <v/>
      </c>
      <c r="B898" s="3" t="str">
        <f>IF(AND(Data!$B898='Individual Type'!$D$2, Data!$K898='All Types'!$D$2,Data!$L898='All Types'!$D$3),Data!$B898,"")</f>
        <v/>
      </c>
      <c r="C898" s="3" t="str">
        <f>IF(F898="","",Data!N898)</f>
        <v/>
      </c>
      <c r="D898" s="3" t="str">
        <f>IF(AND(Data!$B898='Individual Type'!$D$2, Data!$K898='All Types'!$D$2,Data!$L898='All Types'!$D$3),Data!$C898,"")</f>
        <v/>
      </c>
      <c r="E898" s="3" t="str">
        <f>IF($F898="","",Data!P898)</f>
        <v/>
      </c>
      <c r="F898" s="3" t="str">
        <f>IF(AND(Data!$B898='Individual Type'!$D$2, Data!$K898='All Types'!$D$2,Data!$L898='All Types'!$D$3),Data!M898,"")</f>
        <v/>
      </c>
    </row>
    <row r="899">
      <c r="A899" s="102" t="str">
        <f t="shared" si="1"/>
        <v/>
      </c>
      <c r="B899" s="3" t="str">
        <f>IF(AND(Data!$B899='Individual Type'!$D$2, Data!$K899='All Types'!$D$2,Data!$L899='All Types'!$D$3),Data!$B899,"")</f>
        <v/>
      </c>
      <c r="C899" s="3" t="str">
        <f>IF(F899="","",Data!N899)</f>
        <v/>
      </c>
      <c r="D899" s="3" t="str">
        <f>IF(AND(Data!$B899='Individual Type'!$D$2, Data!$K899='All Types'!$D$2,Data!$L899='All Types'!$D$3),Data!$C899,"")</f>
        <v/>
      </c>
      <c r="E899" s="3" t="str">
        <f>IF($F899="","",Data!P899)</f>
        <v/>
      </c>
      <c r="F899" s="3" t="str">
        <f>IF(AND(Data!$B899='Individual Type'!$D$2, Data!$K899='All Types'!$D$2,Data!$L899='All Types'!$D$3),Data!M899,"")</f>
        <v/>
      </c>
    </row>
    <row r="900">
      <c r="A900" s="102" t="str">
        <f t="shared" si="1"/>
        <v/>
      </c>
      <c r="B900" s="3" t="str">
        <f>IF(AND(Data!$B900='Individual Type'!$D$2, Data!$K900='All Types'!$D$2,Data!$L900='All Types'!$D$3),Data!$B900,"")</f>
        <v/>
      </c>
      <c r="C900" s="3" t="str">
        <f>IF(F900="","",Data!N900)</f>
        <v/>
      </c>
      <c r="D900" s="3" t="str">
        <f>IF(AND(Data!$B900='Individual Type'!$D$2, Data!$K900='All Types'!$D$2,Data!$L900='All Types'!$D$3),Data!$C900,"")</f>
        <v/>
      </c>
      <c r="E900" s="3" t="str">
        <f>IF($F900="","",Data!P900)</f>
        <v/>
      </c>
      <c r="F900" s="3" t="str">
        <f>IF(AND(Data!$B900='Individual Type'!$D$2, Data!$K900='All Types'!$D$2,Data!$L900='All Types'!$D$3),Data!M900,"")</f>
        <v/>
      </c>
    </row>
    <row r="901">
      <c r="A901" s="102" t="str">
        <f t="shared" si="1"/>
        <v/>
      </c>
      <c r="B901" s="3" t="str">
        <f>IF(AND(Data!$B901='Individual Type'!$D$2, Data!$K901='All Types'!$D$2,Data!$L901='All Types'!$D$3),Data!$B901,"")</f>
        <v/>
      </c>
      <c r="C901" s="3" t="str">
        <f>IF(F901="","",Data!N901)</f>
        <v/>
      </c>
      <c r="D901" s="3" t="str">
        <f>IF(AND(Data!$B901='Individual Type'!$D$2, Data!$K901='All Types'!$D$2,Data!$L901='All Types'!$D$3),Data!$C901,"")</f>
        <v/>
      </c>
      <c r="E901" s="3" t="str">
        <f>IF($F901="","",Data!P901)</f>
        <v/>
      </c>
      <c r="F901" s="3" t="str">
        <f>IF(AND(Data!$B901='Individual Type'!$D$2, Data!$K901='All Types'!$D$2,Data!$L901='All Types'!$D$3),Data!M901,"")</f>
        <v/>
      </c>
    </row>
    <row r="902">
      <c r="A902" s="102" t="str">
        <f t="shared" si="1"/>
        <v/>
      </c>
      <c r="B902" s="3" t="str">
        <f>IF(AND(Data!$B902='Individual Type'!$D$2, Data!$K902='All Types'!$D$2,Data!$L902='All Types'!$D$3),Data!$B902,"")</f>
        <v/>
      </c>
      <c r="C902" s="3" t="str">
        <f>IF(F902="","",Data!N902)</f>
        <v/>
      </c>
      <c r="D902" s="3" t="str">
        <f>IF(AND(Data!$B902='Individual Type'!$D$2, Data!$K902='All Types'!$D$2,Data!$L902='All Types'!$D$3),Data!$C902,"")</f>
        <v/>
      </c>
      <c r="E902" s="3" t="str">
        <f>IF($F902="","",Data!P902)</f>
        <v/>
      </c>
      <c r="F902" s="3" t="str">
        <f>IF(AND(Data!$B902='Individual Type'!$D$2, Data!$K902='All Types'!$D$2,Data!$L902='All Types'!$D$3),Data!M902,"")</f>
        <v/>
      </c>
    </row>
    <row r="903">
      <c r="A903" s="102" t="str">
        <f t="shared" si="1"/>
        <v/>
      </c>
      <c r="B903" s="3" t="str">
        <f>IF(AND(Data!$B903='Individual Type'!$D$2, Data!$K903='All Types'!$D$2,Data!$L903='All Types'!$D$3),Data!$B903,"")</f>
        <v/>
      </c>
      <c r="C903" s="3" t="str">
        <f>IF(F903="","",Data!N903)</f>
        <v/>
      </c>
      <c r="D903" s="3" t="str">
        <f>IF(AND(Data!$B903='Individual Type'!$D$2, Data!$K903='All Types'!$D$2,Data!$L903='All Types'!$D$3),Data!$C903,"")</f>
        <v/>
      </c>
      <c r="E903" s="3" t="str">
        <f>IF($F903="","",Data!P903)</f>
        <v/>
      </c>
      <c r="F903" s="3" t="str">
        <f>IF(AND(Data!$B903='Individual Type'!$D$2, Data!$K903='All Types'!$D$2,Data!$L903='All Types'!$D$3),Data!M903,"")</f>
        <v/>
      </c>
    </row>
    <row r="904">
      <c r="A904" s="102" t="str">
        <f t="shared" si="1"/>
        <v/>
      </c>
      <c r="B904" s="3" t="str">
        <f>IF(AND(Data!$B904='Individual Type'!$D$2, Data!$K904='All Types'!$D$2,Data!$L904='All Types'!$D$3),Data!$B904,"")</f>
        <v/>
      </c>
      <c r="C904" s="3" t="str">
        <f>IF(F904="","",Data!N904)</f>
        <v/>
      </c>
      <c r="D904" s="3" t="str">
        <f>IF(AND(Data!$B904='Individual Type'!$D$2, Data!$K904='All Types'!$D$2,Data!$L904='All Types'!$D$3),Data!$C904,"")</f>
        <v/>
      </c>
      <c r="E904" s="3" t="str">
        <f>IF($F904="","",Data!P904)</f>
        <v/>
      </c>
      <c r="F904" s="3" t="str">
        <f>IF(AND(Data!$B904='Individual Type'!$D$2, Data!$K904='All Types'!$D$2,Data!$L904='All Types'!$D$3),Data!M904,"")</f>
        <v/>
      </c>
    </row>
    <row r="905">
      <c r="A905" s="102" t="str">
        <f t="shared" si="1"/>
        <v/>
      </c>
      <c r="B905" s="3" t="str">
        <f>IF(AND(Data!$B905='Individual Type'!$D$2, Data!$K905='All Types'!$D$2,Data!$L905='All Types'!$D$3),Data!$B905,"")</f>
        <v/>
      </c>
      <c r="C905" s="3" t="str">
        <f>IF(F905="","",Data!N905)</f>
        <v/>
      </c>
      <c r="D905" s="3" t="str">
        <f>IF(AND(Data!$B905='Individual Type'!$D$2, Data!$K905='All Types'!$D$2,Data!$L905='All Types'!$D$3),Data!$C905,"")</f>
        <v/>
      </c>
      <c r="E905" s="3" t="str">
        <f>IF($F905="","",Data!P905)</f>
        <v/>
      </c>
      <c r="F905" s="3" t="str">
        <f>IF(AND(Data!$B905='Individual Type'!$D$2, Data!$K905='All Types'!$D$2,Data!$L905='All Types'!$D$3),Data!M905,"")</f>
        <v/>
      </c>
    </row>
    <row r="906">
      <c r="A906" s="102" t="str">
        <f t="shared" si="1"/>
        <v/>
      </c>
      <c r="B906" s="3" t="str">
        <f>IF(AND(Data!$B906='Individual Type'!$D$2, Data!$K906='All Types'!$D$2,Data!$L906='All Types'!$D$3),Data!$B906,"")</f>
        <v/>
      </c>
      <c r="C906" s="3" t="str">
        <f>IF(F906="","",Data!N906)</f>
        <v/>
      </c>
      <c r="D906" s="3" t="str">
        <f>IF(AND(Data!$B906='Individual Type'!$D$2, Data!$K906='All Types'!$D$2,Data!$L906='All Types'!$D$3),Data!$C906,"")</f>
        <v/>
      </c>
      <c r="E906" s="3" t="str">
        <f>IF($F906="","",Data!P906)</f>
        <v/>
      </c>
      <c r="F906" s="3" t="str">
        <f>IF(AND(Data!$B906='Individual Type'!$D$2, Data!$K906='All Types'!$D$2,Data!$L906='All Types'!$D$3),Data!M906,"")</f>
        <v/>
      </c>
    </row>
    <row r="907">
      <c r="A907" s="102" t="str">
        <f t="shared" si="1"/>
        <v/>
      </c>
      <c r="B907" s="3" t="str">
        <f>IF(AND(Data!$B907='Individual Type'!$D$2, Data!$K907='All Types'!$D$2,Data!$L907='All Types'!$D$3),Data!$B907,"")</f>
        <v/>
      </c>
      <c r="C907" s="3" t="str">
        <f>IF(F907="","",Data!N907)</f>
        <v/>
      </c>
      <c r="D907" s="3" t="str">
        <f>IF(AND(Data!$B907='Individual Type'!$D$2, Data!$K907='All Types'!$D$2,Data!$L907='All Types'!$D$3),Data!$C907,"")</f>
        <v/>
      </c>
      <c r="E907" s="3" t="str">
        <f>IF($F907="","",Data!P907)</f>
        <v/>
      </c>
      <c r="F907" s="3" t="str">
        <f>IF(AND(Data!$B907='Individual Type'!$D$2, Data!$K907='All Types'!$D$2,Data!$L907='All Types'!$D$3),Data!M907,"")</f>
        <v/>
      </c>
    </row>
    <row r="908">
      <c r="A908" s="102" t="str">
        <f t="shared" si="1"/>
        <v/>
      </c>
      <c r="B908" s="3" t="str">
        <f>IF(AND(Data!$B908='Individual Type'!$D$2, Data!$K908='All Types'!$D$2,Data!$L908='All Types'!$D$3),Data!$B908,"")</f>
        <v/>
      </c>
      <c r="C908" s="3" t="str">
        <f>IF(F908="","",Data!N908)</f>
        <v/>
      </c>
      <c r="D908" s="3" t="str">
        <f>IF(AND(Data!$B908='Individual Type'!$D$2, Data!$K908='All Types'!$D$2,Data!$L908='All Types'!$D$3),Data!$C908,"")</f>
        <v/>
      </c>
      <c r="E908" s="3" t="str">
        <f>IF($F908="","",Data!P908)</f>
        <v/>
      </c>
      <c r="F908" s="3" t="str">
        <f>IF(AND(Data!$B908='Individual Type'!$D$2, Data!$K908='All Types'!$D$2,Data!$L908='All Types'!$D$3),Data!M908,"")</f>
        <v/>
      </c>
    </row>
    <row r="909">
      <c r="A909" s="102" t="str">
        <f t="shared" si="1"/>
        <v/>
      </c>
      <c r="B909" s="3" t="str">
        <f>IF(AND(Data!$B909='Individual Type'!$D$2, Data!$K909='All Types'!$D$2,Data!$L909='All Types'!$D$3),Data!$B909,"")</f>
        <v/>
      </c>
      <c r="C909" s="3" t="str">
        <f>IF(F909="","",Data!N909)</f>
        <v/>
      </c>
      <c r="D909" s="3" t="str">
        <f>IF(AND(Data!$B909='Individual Type'!$D$2, Data!$K909='All Types'!$D$2,Data!$L909='All Types'!$D$3),Data!$C909,"")</f>
        <v/>
      </c>
      <c r="E909" s="3" t="str">
        <f>IF($F909="","",Data!P909)</f>
        <v/>
      </c>
      <c r="F909" s="3" t="str">
        <f>IF(AND(Data!$B909='Individual Type'!$D$2, Data!$K909='All Types'!$D$2,Data!$L909='All Types'!$D$3),Data!M909,"")</f>
        <v/>
      </c>
    </row>
    <row r="910">
      <c r="A910" s="102" t="str">
        <f t="shared" si="1"/>
        <v/>
      </c>
      <c r="B910" s="3" t="str">
        <f>IF(AND(Data!$B910='Individual Type'!$D$2, Data!$K910='All Types'!$D$2,Data!$L910='All Types'!$D$3),Data!$B910,"")</f>
        <v/>
      </c>
      <c r="C910" s="3" t="str">
        <f>IF(F910="","",Data!N910)</f>
        <v/>
      </c>
      <c r="D910" s="3" t="str">
        <f>IF(AND(Data!$B910='Individual Type'!$D$2, Data!$K910='All Types'!$D$2,Data!$L910='All Types'!$D$3),Data!$C910,"")</f>
        <v/>
      </c>
      <c r="E910" s="3" t="str">
        <f>IF($F910="","",Data!P910)</f>
        <v/>
      </c>
      <c r="F910" s="3" t="str">
        <f>IF(AND(Data!$B910='Individual Type'!$D$2, Data!$K910='All Types'!$D$2,Data!$L910='All Types'!$D$3),Data!M910,"")</f>
        <v/>
      </c>
    </row>
    <row r="911">
      <c r="A911" s="102" t="str">
        <f t="shared" si="1"/>
        <v/>
      </c>
      <c r="B911" s="3" t="str">
        <f>IF(AND(Data!$B911='Individual Type'!$D$2, Data!$K911='All Types'!$D$2,Data!$L911='All Types'!$D$3),Data!$B911,"")</f>
        <v/>
      </c>
      <c r="C911" s="3" t="str">
        <f>IF(F911="","",Data!N911)</f>
        <v/>
      </c>
      <c r="D911" s="3" t="str">
        <f>IF(AND(Data!$B911='Individual Type'!$D$2, Data!$K911='All Types'!$D$2,Data!$L911='All Types'!$D$3),Data!$C911,"")</f>
        <v/>
      </c>
      <c r="E911" s="3" t="str">
        <f>IF($F911="","",Data!P911)</f>
        <v/>
      </c>
      <c r="F911" s="3" t="str">
        <f>IF(AND(Data!$B911='Individual Type'!$D$2, Data!$K911='All Types'!$D$2,Data!$L911='All Types'!$D$3),Data!M911,"")</f>
        <v/>
      </c>
    </row>
    <row r="912">
      <c r="A912" s="102" t="str">
        <f t="shared" si="1"/>
        <v/>
      </c>
      <c r="B912" s="3" t="str">
        <f>IF(AND(Data!$B912='Individual Type'!$D$2, Data!$K912='All Types'!$D$2,Data!$L912='All Types'!$D$3),Data!$B912,"")</f>
        <v/>
      </c>
      <c r="C912" s="3" t="str">
        <f>IF(F912="","",Data!N912)</f>
        <v/>
      </c>
      <c r="D912" s="3" t="str">
        <f>IF(AND(Data!$B912='Individual Type'!$D$2, Data!$K912='All Types'!$D$2,Data!$L912='All Types'!$D$3),Data!$C912,"")</f>
        <v/>
      </c>
      <c r="E912" s="3" t="str">
        <f>IF($F912="","",Data!P912)</f>
        <v/>
      </c>
      <c r="F912" s="3" t="str">
        <f>IF(AND(Data!$B912='Individual Type'!$D$2, Data!$K912='All Types'!$D$2,Data!$L912='All Types'!$D$3),Data!M912,"")</f>
        <v/>
      </c>
    </row>
    <row r="913">
      <c r="A913" s="102" t="str">
        <f t="shared" si="1"/>
        <v/>
      </c>
      <c r="B913" s="3" t="str">
        <f>IF(AND(Data!$B913='Individual Type'!$D$2, Data!$K913='All Types'!$D$2,Data!$L913='All Types'!$D$3),Data!$B913,"")</f>
        <v/>
      </c>
      <c r="C913" s="3" t="str">
        <f>IF(F913="","",Data!N913)</f>
        <v/>
      </c>
      <c r="D913" s="3" t="str">
        <f>IF(AND(Data!$B913='Individual Type'!$D$2, Data!$K913='All Types'!$D$2,Data!$L913='All Types'!$D$3),Data!$C913,"")</f>
        <v/>
      </c>
      <c r="E913" s="3" t="str">
        <f>IF($F913="","",Data!P913)</f>
        <v/>
      </c>
      <c r="F913" s="3" t="str">
        <f>IF(AND(Data!$B913='Individual Type'!$D$2, Data!$K913='All Types'!$D$2,Data!$L913='All Types'!$D$3),Data!M913,"")</f>
        <v/>
      </c>
    </row>
    <row r="914">
      <c r="A914" s="102" t="str">
        <f t="shared" si="1"/>
        <v/>
      </c>
      <c r="B914" s="3" t="str">
        <f>IF(AND(Data!$B914='Individual Type'!$D$2, Data!$K914='All Types'!$D$2,Data!$L914='All Types'!$D$3),Data!$B914,"")</f>
        <v/>
      </c>
      <c r="C914" s="3" t="str">
        <f>IF(F914="","",Data!N914)</f>
        <v/>
      </c>
      <c r="D914" s="3" t="str">
        <f>IF(AND(Data!$B914='Individual Type'!$D$2, Data!$K914='All Types'!$D$2,Data!$L914='All Types'!$D$3),Data!$C914,"")</f>
        <v/>
      </c>
      <c r="E914" s="3" t="str">
        <f>IF($F914="","",Data!P914)</f>
        <v/>
      </c>
      <c r="F914" s="3" t="str">
        <f>IF(AND(Data!$B914='Individual Type'!$D$2, Data!$K914='All Types'!$D$2,Data!$L914='All Types'!$D$3),Data!M914,"")</f>
        <v/>
      </c>
    </row>
    <row r="915">
      <c r="A915" s="102" t="str">
        <f t="shared" si="1"/>
        <v/>
      </c>
      <c r="B915" s="3" t="str">
        <f>IF(AND(Data!$B915='Individual Type'!$D$2, Data!$K915='All Types'!$D$2,Data!$L915='All Types'!$D$3),Data!$B915,"")</f>
        <v/>
      </c>
      <c r="C915" s="3" t="str">
        <f>IF(F915="","",Data!N915)</f>
        <v/>
      </c>
      <c r="D915" s="3" t="str">
        <f>IF(AND(Data!$B915='Individual Type'!$D$2, Data!$K915='All Types'!$D$2,Data!$L915='All Types'!$D$3),Data!$C915,"")</f>
        <v/>
      </c>
      <c r="E915" s="3" t="str">
        <f>IF($F915="","",Data!P915)</f>
        <v/>
      </c>
      <c r="F915" s="3" t="str">
        <f>IF(AND(Data!$B915='Individual Type'!$D$2, Data!$K915='All Types'!$D$2,Data!$L915='All Types'!$D$3),Data!M915,"")</f>
        <v/>
      </c>
    </row>
    <row r="916">
      <c r="A916" s="102" t="str">
        <f t="shared" si="1"/>
        <v/>
      </c>
      <c r="B916" s="3" t="str">
        <f>IF(AND(Data!$B916='Individual Type'!$D$2, Data!$K916='All Types'!$D$2,Data!$L916='All Types'!$D$3),Data!$B916,"")</f>
        <v/>
      </c>
      <c r="C916" s="3" t="str">
        <f>IF(F916="","",Data!N916)</f>
        <v/>
      </c>
      <c r="D916" s="3" t="str">
        <f>IF(AND(Data!$B916='Individual Type'!$D$2, Data!$K916='All Types'!$D$2,Data!$L916='All Types'!$D$3),Data!$C916,"")</f>
        <v/>
      </c>
      <c r="E916" s="3" t="str">
        <f>IF($F916="","",Data!P916)</f>
        <v/>
      </c>
      <c r="F916" s="3" t="str">
        <f>IF(AND(Data!$B916='Individual Type'!$D$2, Data!$K916='All Types'!$D$2,Data!$L916='All Types'!$D$3),Data!M916,"")</f>
        <v/>
      </c>
    </row>
    <row r="917">
      <c r="A917" s="102" t="str">
        <f t="shared" si="1"/>
        <v/>
      </c>
      <c r="B917" s="3" t="str">
        <f>IF(AND(Data!$B917='Individual Type'!$D$2, Data!$K917='All Types'!$D$2,Data!$L917='All Types'!$D$3),Data!$B917,"")</f>
        <v/>
      </c>
      <c r="C917" s="3" t="str">
        <f>IF(F917="","",Data!N917)</f>
        <v/>
      </c>
      <c r="D917" s="3" t="str">
        <f>IF(AND(Data!$B917='Individual Type'!$D$2, Data!$K917='All Types'!$D$2,Data!$L917='All Types'!$D$3),Data!$C917,"")</f>
        <v/>
      </c>
      <c r="E917" s="3" t="str">
        <f>IF($F917="","",Data!P917)</f>
        <v/>
      </c>
      <c r="F917" s="3" t="str">
        <f>IF(AND(Data!$B917='Individual Type'!$D$2, Data!$K917='All Types'!$D$2,Data!$L917='All Types'!$D$3),Data!M917,"")</f>
        <v/>
      </c>
    </row>
    <row r="918">
      <c r="A918" s="102" t="str">
        <f t="shared" si="1"/>
        <v/>
      </c>
      <c r="B918" s="3" t="str">
        <f>IF(AND(Data!$B918='Individual Type'!$D$2, Data!$K918='All Types'!$D$2,Data!$L918='All Types'!$D$3),Data!$B918,"")</f>
        <v/>
      </c>
      <c r="C918" s="3" t="str">
        <f>IF(F918="","",Data!N918)</f>
        <v/>
      </c>
      <c r="D918" s="3" t="str">
        <f>IF(AND(Data!$B918='Individual Type'!$D$2, Data!$K918='All Types'!$D$2,Data!$L918='All Types'!$D$3),Data!$C918,"")</f>
        <v/>
      </c>
      <c r="E918" s="3" t="str">
        <f>IF($F918="","",Data!P918)</f>
        <v/>
      </c>
      <c r="F918" s="3" t="str">
        <f>IF(AND(Data!$B918='Individual Type'!$D$2, Data!$K918='All Types'!$D$2,Data!$L918='All Types'!$D$3),Data!M918,"")</f>
        <v/>
      </c>
    </row>
    <row r="919">
      <c r="A919" s="102" t="str">
        <f t="shared" si="1"/>
        <v/>
      </c>
      <c r="B919" s="3" t="str">
        <f>IF(AND(Data!$B919='Individual Type'!$D$2, Data!$K919='All Types'!$D$2,Data!$L919='All Types'!$D$3),Data!$B919,"")</f>
        <v/>
      </c>
      <c r="C919" s="3" t="str">
        <f>IF(F919="","",Data!N919)</f>
        <v/>
      </c>
      <c r="D919" s="3" t="str">
        <f>IF(AND(Data!$B919='Individual Type'!$D$2, Data!$K919='All Types'!$D$2,Data!$L919='All Types'!$D$3),Data!$C919,"")</f>
        <v/>
      </c>
      <c r="E919" s="3" t="str">
        <f>IF($F919="","",Data!P919)</f>
        <v/>
      </c>
      <c r="F919" s="3" t="str">
        <f>IF(AND(Data!$B919='Individual Type'!$D$2, Data!$K919='All Types'!$D$2,Data!$L919='All Types'!$D$3),Data!M919,"")</f>
        <v/>
      </c>
    </row>
    <row r="920">
      <c r="A920" s="102" t="str">
        <f t="shared" si="1"/>
        <v/>
      </c>
      <c r="B920" s="3" t="str">
        <f>IF(AND(Data!$B920='Individual Type'!$D$2, Data!$K920='All Types'!$D$2,Data!$L920='All Types'!$D$3),Data!$B920,"")</f>
        <v/>
      </c>
      <c r="C920" s="3" t="str">
        <f>IF(F920="","",Data!N920)</f>
        <v/>
      </c>
      <c r="D920" s="3" t="str">
        <f>IF(AND(Data!$B920='Individual Type'!$D$2, Data!$K920='All Types'!$D$2,Data!$L920='All Types'!$D$3),Data!$C920,"")</f>
        <v/>
      </c>
      <c r="E920" s="3" t="str">
        <f>IF($F920="","",Data!P920)</f>
        <v/>
      </c>
      <c r="F920" s="3" t="str">
        <f>IF(AND(Data!$B920='Individual Type'!$D$2, Data!$K920='All Types'!$D$2,Data!$L920='All Types'!$D$3),Data!M920,"")</f>
        <v/>
      </c>
    </row>
    <row r="921">
      <c r="A921" s="102" t="str">
        <f t="shared" si="1"/>
        <v/>
      </c>
      <c r="B921" s="3" t="str">
        <f>IF(AND(Data!$B921='Individual Type'!$D$2, Data!$K921='All Types'!$D$2,Data!$L921='All Types'!$D$3),Data!$B921,"")</f>
        <v/>
      </c>
      <c r="C921" s="3" t="str">
        <f>IF(F921="","",Data!N921)</f>
        <v/>
      </c>
      <c r="D921" s="3" t="str">
        <f>IF(AND(Data!$B921='Individual Type'!$D$2, Data!$K921='All Types'!$D$2,Data!$L921='All Types'!$D$3),Data!$C921,"")</f>
        <v/>
      </c>
      <c r="E921" s="3" t="str">
        <f>IF($F921="","",Data!P921)</f>
        <v/>
      </c>
      <c r="F921" s="3" t="str">
        <f>IF(AND(Data!$B921='Individual Type'!$D$2, Data!$K921='All Types'!$D$2,Data!$L921='All Types'!$D$3),Data!M921,"")</f>
        <v/>
      </c>
    </row>
    <row r="922">
      <c r="A922" s="102" t="str">
        <f t="shared" si="1"/>
        <v/>
      </c>
      <c r="B922" s="3" t="str">
        <f>IF(AND(Data!$B922='Individual Type'!$D$2, Data!$K922='All Types'!$D$2,Data!$L922='All Types'!$D$3),Data!$B922,"")</f>
        <v/>
      </c>
      <c r="C922" s="3" t="str">
        <f>IF(F922="","",Data!N922)</f>
        <v/>
      </c>
      <c r="D922" s="3" t="str">
        <f>IF(AND(Data!$B922='Individual Type'!$D$2, Data!$K922='All Types'!$D$2,Data!$L922='All Types'!$D$3),Data!$C922,"")</f>
        <v/>
      </c>
      <c r="E922" s="3" t="str">
        <f>IF($F922="","",Data!P922)</f>
        <v/>
      </c>
      <c r="F922" s="3" t="str">
        <f>IF(AND(Data!$B922='Individual Type'!$D$2, Data!$K922='All Types'!$D$2,Data!$L922='All Types'!$D$3),Data!M922,"")</f>
        <v/>
      </c>
    </row>
    <row r="923">
      <c r="A923" s="102" t="str">
        <f t="shared" si="1"/>
        <v/>
      </c>
      <c r="B923" s="3" t="str">
        <f>IF(AND(Data!$B923='Individual Type'!$D$2, Data!$K923='All Types'!$D$2,Data!$L923='All Types'!$D$3),Data!$B923,"")</f>
        <v/>
      </c>
      <c r="C923" s="3" t="str">
        <f>IF(F923="","",Data!N923)</f>
        <v/>
      </c>
      <c r="D923" s="3" t="str">
        <f>IF(AND(Data!$B923='Individual Type'!$D$2, Data!$K923='All Types'!$D$2,Data!$L923='All Types'!$D$3),Data!$C923,"")</f>
        <v/>
      </c>
      <c r="E923" s="3" t="str">
        <f>IF($F923="","",Data!P923)</f>
        <v/>
      </c>
      <c r="F923" s="3" t="str">
        <f>IF(AND(Data!$B923='Individual Type'!$D$2, Data!$K923='All Types'!$D$2,Data!$L923='All Types'!$D$3),Data!M923,"")</f>
        <v/>
      </c>
    </row>
    <row r="924">
      <c r="A924" s="102" t="str">
        <f t="shared" si="1"/>
        <v/>
      </c>
      <c r="B924" s="3" t="str">
        <f>IF(AND(Data!$B924='Individual Type'!$D$2, Data!$K924='All Types'!$D$2,Data!$L924='All Types'!$D$3),Data!$B924,"")</f>
        <v/>
      </c>
      <c r="C924" s="3" t="str">
        <f>IF(F924="","",Data!N924)</f>
        <v/>
      </c>
      <c r="D924" s="3" t="str">
        <f>IF(AND(Data!$B924='Individual Type'!$D$2, Data!$K924='All Types'!$D$2,Data!$L924='All Types'!$D$3),Data!$C924,"")</f>
        <v/>
      </c>
      <c r="E924" s="3" t="str">
        <f>IF($F924="","",Data!P924)</f>
        <v/>
      </c>
      <c r="F924" s="3" t="str">
        <f>IF(AND(Data!$B924='Individual Type'!$D$2, Data!$K924='All Types'!$D$2,Data!$L924='All Types'!$D$3),Data!M924,"")</f>
        <v/>
      </c>
    </row>
    <row r="925">
      <c r="A925" s="102" t="str">
        <f t="shared" si="1"/>
        <v/>
      </c>
      <c r="B925" s="3" t="str">
        <f>IF(AND(Data!$B925='Individual Type'!$D$2, Data!$K925='All Types'!$D$2,Data!$L925='All Types'!$D$3),Data!$B925,"")</f>
        <v/>
      </c>
      <c r="C925" s="3" t="str">
        <f>IF(F925="","",Data!N925)</f>
        <v/>
      </c>
      <c r="D925" s="3" t="str">
        <f>IF(AND(Data!$B925='Individual Type'!$D$2, Data!$K925='All Types'!$D$2,Data!$L925='All Types'!$D$3),Data!$C925,"")</f>
        <v/>
      </c>
      <c r="E925" s="3" t="str">
        <f>IF($F925="","",Data!P925)</f>
        <v/>
      </c>
      <c r="F925" s="3" t="str">
        <f>IF(AND(Data!$B925='Individual Type'!$D$2, Data!$K925='All Types'!$D$2,Data!$L925='All Types'!$D$3),Data!M925,"")</f>
        <v/>
      </c>
    </row>
    <row r="926">
      <c r="A926" s="102" t="str">
        <f t="shared" si="1"/>
        <v/>
      </c>
      <c r="B926" s="3" t="str">
        <f>IF(AND(Data!$B926='Individual Type'!$D$2, Data!$K926='All Types'!$D$2,Data!$L926='All Types'!$D$3),Data!$B926,"")</f>
        <v/>
      </c>
      <c r="C926" s="3" t="str">
        <f>IF(F926="","",Data!N926)</f>
        <v/>
      </c>
      <c r="D926" s="3" t="str">
        <f>IF(AND(Data!$B926='Individual Type'!$D$2, Data!$K926='All Types'!$D$2,Data!$L926='All Types'!$D$3),Data!$C926,"")</f>
        <v/>
      </c>
      <c r="E926" s="3" t="str">
        <f>IF($F926="","",Data!P926)</f>
        <v/>
      </c>
      <c r="F926" s="3" t="str">
        <f>IF(AND(Data!$B926='Individual Type'!$D$2, Data!$K926='All Types'!$D$2,Data!$L926='All Types'!$D$3),Data!M926,"")</f>
        <v/>
      </c>
    </row>
    <row r="927">
      <c r="A927" s="102" t="str">
        <f t="shared" si="1"/>
        <v/>
      </c>
      <c r="B927" s="3" t="str">
        <f>IF(AND(Data!$B927='Individual Type'!$D$2, Data!$K927='All Types'!$D$2,Data!$L927='All Types'!$D$3),Data!$B927,"")</f>
        <v/>
      </c>
      <c r="C927" s="3" t="str">
        <f>IF(F927="","",Data!N927)</f>
        <v/>
      </c>
      <c r="D927" s="3" t="str">
        <f>IF(AND(Data!$B927='Individual Type'!$D$2, Data!$K927='All Types'!$D$2,Data!$L927='All Types'!$D$3),Data!$C927,"")</f>
        <v/>
      </c>
      <c r="E927" s="3" t="str">
        <f>IF($F927="","",Data!P927)</f>
        <v/>
      </c>
      <c r="F927" s="3" t="str">
        <f>IF(AND(Data!$B927='Individual Type'!$D$2, Data!$K927='All Types'!$D$2,Data!$L927='All Types'!$D$3),Data!M927,"")</f>
        <v/>
      </c>
    </row>
    <row r="928">
      <c r="A928" s="102" t="str">
        <f t="shared" si="1"/>
        <v/>
      </c>
      <c r="B928" s="3" t="str">
        <f>IF(AND(Data!$B928='Individual Type'!$D$2, Data!$K928='All Types'!$D$2,Data!$L928='All Types'!$D$3),Data!$B928,"")</f>
        <v/>
      </c>
      <c r="C928" s="3" t="str">
        <f>IF(F928="","",Data!N928)</f>
        <v/>
      </c>
      <c r="D928" s="3" t="str">
        <f>IF(AND(Data!$B928='Individual Type'!$D$2, Data!$K928='All Types'!$D$2,Data!$L928='All Types'!$D$3),Data!$C928,"")</f>
        <v/>
      </c>
      <c r="E928" s="3" t="str">
        <f>IF($F928="","",Data!P928)</f>
        <v/>
      </c>
      <c r="F928" s="3" t="str">
        <f>IF(AND(Data!$B928='Individual Type'!$D$2, Data!$K928='All Types'!$D$2,Data!$L928='All Types'!$D$3),Data!M928,"")</f>
        <v/>
      </c>
    </row>
    <row r="929">
      <c r="A929" s="102" t="str">
        <f t="shared" si="1"/>
        <v/>
      </c>
      <c r="B929" s="3" t="str">
        <f>IF(AND(Data!$B929='Individual Type'!$D$2, Data!$K929='All Types'!$D$2,Data!$L929='All Types'!$D$3),Data!$B929,"")</f>
        <v/>
      </c>
      <c r="C929" s="3" t="str">
        <f>IF(F929="","",Data!N929)</f>
        <v/>
      </c>
      <c r="D929" s="3" t="str">
        <f>IF(AND(Data!$B929='Individual Type'!$D$2, Data!$K929='All Types'!$D$2,Data!$L929='All Types'!$D$3),Data!$C929,"")</f>
        <v/>
      </c>
      <c r="E929" s="3" t="str">
        <f>IF($F929="","",Data!P929)</f>
        <v/>
      </c>
      <c r="F929" s="3" t="str">
        <f>IF(AND(Data!$B929='Individual Type'!$D$2, Data!$K929='All Types'!$D$2,Data!$L929='All Types'!$D$3),Data!M929,"")</f>
        <v/>
      </c>
    </row>
    <row r="930">
      <c r="A930" s="102" t="str">
        <f t="shared" si="1"/>
        <v/>
      </c>
      <c r="B930" s="3" t="str">
        <f>IF(AND(Data!$B930='Individual Type'!$D$2, Data!$K930='All Types'!$D$2,Data!$L930='All Types'!$D$3),Data!$B930,"")</f>
        <v/>
      </c>
      <c r="C930" s="3" t="str">
        <f>IF(F930="","",Data!N930)</f>
        <v/>
      </c>
      <c r="D930" s="3" t="str">
        <f>IF(AND(Data!$B930='Individual Type'!$D$2, Data!$K930='All Types'!$D$2,Data!$L930='All Types'!$D$3),Data!$C930,"")</f>
        <v/>
      </c>
      <c r="E930" s="3" t="str">
        <f>IF($F930="","",Data!P930)</f>
        <v/>
      </c>
      <c r="F930" s="3" t="str">
        <f>IF(AND(Data!$B930='Individual Type'!$D$2, Data!$K930='All Types'!$D$2,Data!$L930='All Types'!$D$3),Data!M930,"")</f>
        <v/>
      </c>
    </row>
    <row r="931">
      <c r="A931" s="102" t="str">
        <f t="shared" si="1"/>
        <v/>
      </c>
      <c r="B931" s="3" t="str">
        <f>IF(AND(Data!$B931='Individual Type'!$D$2, Data!$K931='All Types'!$D$2,Data!$L931='All Types'!$D$3),Data!$B931,"")</f>
        <v/>
      </c>
      <c r="C931" s="3" t="str">
        <f>IF(F931="","",Data!N931)</f>
        <v/>
      </c>
      <c r="D931" s="3" t="str">
        <f>IF(AND(Data!$B931='Individual Type'!$D$2, Data!$K931='All Types'!$D$2,Data!$L931='All Types'!$D$3),Data!$C931,"")</f>
        <v/>
      </c>
      <c r="E931" s="3" t="str">
        <f>IF($F931="","",Data!P931)</f>
        <v/>
      </c>
      <c r="F931" s="3" t="str">
        <f>IF(AND(Data!$B931='Individual Type'!$D$2, Data!$K931='All Types'!$D$2,Data!$L931='All Types'!$D$3),Data!M931,"")</f>
        <v/>
      </c>
    </row>
    <row r="932">
      <c r="A932" s="102" t="str">
        <f t="shared" si="1"/>
        <v/>
      </c>
      <c r="B932" s="3" t="str">
        <f>IF(AND(Data!$B932='Individual Type'!$D$2, Data!$K932='All Types'!$D$2,Data!$L932='All Types'!$D$3),Data!$B932,"")</f>
        <v/>
      </c>
      <c r="C932" s="3" t="str">
        <f>IF(F932="","",Data!N932)</f>
        <v/>
      </c>
      <c r="D932" s="3" t="str">
        <f>IF(AND(Data!$B932='Individual Type'!$D$2, Data!$K932='All Types'!$D$2,Data!$L932='All Types'!$D$3),Data!$C932,"")</f>
        <v/>
      </c>
      <c r="E932" s="3" t="str">
        <f>IF($F932="","",Data!P932)</f>
        <v/>
      </c>
      <c r="F932" s="3" t="str">
        <f>IF(AND(Data!$B932='Individual Type'!$D$2, Data!$K932='All Types'!$D$2,Data!$L932='All Types'!$D$3),Data!M932,"")</f>
        <v/>
      </c>
    </row>
    <row r="933">
      <c r="A933" s="102" t="str">
        <f t="shared" si="1"/>
        <v/>
      </c>
      <c r="B933" s="3" t="str">
        <f>IF(AND(Data!$B933='Individual Type'!$D$2, Data!$K933='All Types'!$D$2,Data!$L933='All Types'!$D$3),Data!$B933,"")</f>
        <v/>
      </c>
      <c r="C933" s="3" t="str">
        <f>IF(F933="","",Data!N933)</f>
        <v/>
      </c>
      <c r="D933" s="3" t="str">
        <f>IF(AND(Data!$B933='Individual Type'!$D$2, Data!$K933='All Types'!$D$2,Data!$L933='All Types'!$D$3),Data!$C933,"")</f>
        <v/>
      </c>
      <c r="E933" s="3" t="str">
        <f>IF($F933="","",Data!P933)</f>
        <v/>
      </c>
      <c r="F933" s="3" t="str">
        <f>IF(AND(Data!$B933='Individual Type'!$D$2, Data!$K933='All Types'!$D$2,Data!$L933='All Types'!$D$3),Data!M933,"")</f>
        <v/>
      </c>
    </row>
    <row r="934">
      <c r="A934" s="102" t="str">
        <f t="shared" si="1"/>
        <v/>
      </c>
      <c r="B934" s="3" t="str">
        <f>IF(AND(Data!$B934='Individual Type'!$D$2, Data!$K934='All Types'!$D$2,Data!$L934='All Types'!$D$3),Data!$B934,"")</f>
        <v/>
      </c>
      <c r="C934" s="3" t="str">
        <f>IF(F934="","",Data!N934)</f>
        <v/>
      </c>
      <c r="D934" s="3" t="str">
        <f>IF(AND(Data!$B934='Individual Type'!$D$2, Data!$K934='All Types'!$D$2,Data!$L934='All Types'!$D$3),Data!$C934,"")</f>
        <v/>
      </c>
      <c r="E934" s="3" t="str">
        <f>IF($F934="","",Data!P934)</f>
        <v/>
      </c>
      <c r="F934" s="3" t="str">
        <f>IF(AND(Data!$B934='Individual Type'!$D$2, Data!$K934='All Types'!$D$2,Data!$L934='All Types'!$D$3),Data!M934,"")</f>
        <v/>
      </c>
    </row>
    <row r="935">
      <c r="A935" s="102" t="str">
        <f t="shared" si="1"/>
        <v/>
      </c>
      <c r="B935" s="3" t="str">
        <f>IF(AND(Data!$B935='Individual Type'!$D$2, Data!$K935='All Types'!$D$2,Data!$L935='All Types'!$D$3),Data!$B935,"")</f>
        <v/>
      </c>
      <c r="C935" s="3" t="str">
        <f>IF(F935="","",Data!N935)</f>
        <v/>
      </c>
      <c r="D935" s="3" t="str">
        <f>IF(AND(Data!$B935='Individual Type'!$D$2, Data!$K935='All Types'!$D$2,Data!$L935='All Types'!$D$3),Data!$C935,"")</f>
        <v/>
      </c>
      <c r="E935" s="3" t="str">
        <f>IF($F935="","",Data!P935)</f>
        <v/>
      </c>
      <c r="F935" s="3" t="str">
        <f>IF(AND(Data!$B935='Individual Type'!$D$2, Data!$K935='All Types'!$D$2,Data!$L935='All Types'!$D$3),Data!M935,"")</f>
        <v/>
      </c>
    </row>
    <row r="936">
      <c r="A936" s="102" t="str">
        <f t="shared" si="1"/>
        <v/>
      </c>
      <c r="B936" s="3" t="str">
        <f>IF(AND(Data!$B936='Individual Type'!$D$2, Data!$K936='All Types'!$D$2,Data!$L936='All Types'!$D$3),Data!$B936,"")</f>
        <v/>
      </c>
      <c r="C936" s="3" t="str">
        <f>IF(F936="","",Data!N936)</f>
        <v/>
      </c>
      <c r="D936" s="3" t="str">
        <f>IF(AND(Data!$B936='Individual Type'!$D$2, Data!$K936='All Types'!$D$2,Data!$L936='All Types'!$D$3),Data!$C936,"")</f>
        <v/>
      </c>
      <c r="E936" s="3" t="str">
        <f>IF($F936="","",Data!P936)</f>
        <v/>
      </c>
      <c r="F936" s="3" t="str">
        <f>IF(AND(Data!$B936='Individual Type'!$D$2, Data!$K936='All Types'!$D$2,Data!$L936='All Types'!$D$3),Data!M936,"")</f>
        <v/>
      </c>
    </row>
    <row r="937">
      <c r="A937" s="102" t="str">
        <f t="shared" si="1"/>
        <v/>
      </c>
      <c r="B937" s="3" t="str">
        <f>IF(AND(Data!$B937='Individual Type'!$D$2, Data!$K937='All Types'!$D$2,Data!$L937='All Types'!$D$3),Data!$B937,"")</f>
        <v/>
      </c>
      <c r="C937" s="3" t="str">
        <f>IF(F937="","",Data!N937)</f>
        <v/>
      </c>
      <c r="D937" s="3" t="str">
        <f>IF(AND(Data!$B937='Individual Type'!$D$2, Data!$K937='All Types'!$D$2,Data!$L937='All Types'!$D$3),Data!$C937,"")</f>
        <v/>
      </c>
      <c r="E937" s="3" t="str">
        <f>IF($F937="","",Data!P937)</f>
        <v/>
      </c>
      <c r="F937" s="3" t="str">
        <f>IF(AND(Data!$B937='Individual Type'!$D$2, Data!$K937='All Types'!$D$2,Data!$L937='All Types'!$D$3),Data!M937,"")</f>
        <v/>
      </c>
    </row>
    <row r="938">
      <c r="A938" s="102" t="str">
        <f t="shared" si="1"/>
        <v/>
      </c>
      <c r="B938" s="3" t="str">
        <f>IF(AND(Data!$B938='Individual Type'!$D$2, Data!$K938='All Types'!$D$2,Data!$L938='All Types'!$D$3),Data!$B938,"")</f>
        <v/>
      </c>
      <c r="C938" s="3" t="str">
        <f>IF(F938="","",Data!N938)</f>
        <v/>
      </c>
      <c r="D938" s="3" t="str">
        <f>IF(AND(Data!$B938='Individual Type'!$D$2, Data!$K938='All Types'!$D$2,Data!$L938='All Types'!$D$3),Data!$C938,"")</f>
        <v/>
      </c>
      <c r="E938" s="3" t="str">
        <f>IF($F938="","",Data!P938)</f>
        <v/>
      </c>
      <c r="F938" s="3" t="str">
        <f>IF(AND(Data!$B938='Individual Type'!$D$2, Data!$K938='All Types'!$D$2,Data!$L938='All Types'!$D$3),Data!M938,"")</f>
        <v/>
      </c>
    </row>
    <row r="939">
      <c r="A939" s="102" t="str">
        <f t="shared" si="1"/>
        <v/>
      </c>
      <c r="B939" s="3" t="str">
        <f>IF(AND(Data!$B939='Individual Type'!$D$2, Data!$K939='All Types'!$D$2,Data!$L939='All Types'!$D$3),Data!$B939,"")</f>
        <v/>
      </c>
      <c r="C939" s="3" t="str">
        <f>IF(F939="","",Data!N939)</f>
        <v/>
      </c>
      <c r="D939" s="3" t="str">
        <f>IF(AND(Data!$B939='Individual Type'!$D$2, Data!$K939='All Types'!$D$2,Data!$L939='All Types'!$D$3),Data!$C939,"")</f>
        <v/>
      </c>
      <c r="E939" s="3" t="str">
        <f>IF($F939="","",Data!P939)</f>
        <v/>
      </c>
      <c r="F939" s="3" t="str">
        <f>IF(AND(Data!$B939='Individual Type'!$D$2, Data!$K939='All Types'!$D$2,Data!$L939='All Types'!$D$3),Data!M939,"")</f>
        <v/>
      </c>
    </row>
    <row r="940">
      <c r="A940" s="102" t="str">
        <f t="shared" si="1"/>
        <v/>
      </c>
      <c r="B940" s="3" t="str">
        <f>IF(AND(Data!$B940='Individual Type'!$D$2, Data!$K940='All Types'!$D$2,Data!$L940='All Types'!$D$3),Data!$B940,"")</f>
        <v/>
      </c>
      <c r="C940" s="3" t="str">
        <f>IF(F940="","",Data!N940)</f>
        <v/>
      </c>
      <c r="D940" s="3" t="str">
        <f>IF(AND(Data!$B940='Individual Type'!$D$2, Data!$K940='All Types'!$D$2,Data!$L940='All Types'!$D$3),Data!$C940,"")</f>
        <v/>
      </c>
      <c r="E940" s="3" t="str">
        <f>IF($F940="","",Data!P940)</f>
        <v/>
      </c>
      <c r="F940" s="3" t="str">
        <f>IF(AND(Data!$B940='Individual Type'!$D$2, Data!$K940='All Types'!$D$2,Data!$L940='All Types'!$D$3),Data!M940,"")</f>
        <v/>
      </c>
    </row>
    <row r="941">
      <c r="A941" s="102" t="str">
        <f t="shared" si="1"/>
        <v/>
      </c>
      <c r="B941" s="3" t="str">
        <f>IF(AND(Data!$B941='Individual Type'!$D$2, Data!$K941='All Types'!$D$2,Data!$L941='All Types'!$D$3),Data!$B941,"")</f>
        <v/>
      </c>
      <c r="C941" s="3" t="str">
        <f>IF(F941="","",Data!N941)</f>
        <v/>
      </c>
      <c r="D941" s="3" t="str">
        <f>IF(AND(Data!$B941='Individual Type'!$D$2, Data!$K941='All Types'!$D$2,Data!$L941='All Types'!$D$3),Data!$C941,"")</f>
        <v/>
      </c>
      <c r="E941" s="3" t="str">
        <f>IF($F941="","",Data!P941)</f>
        <v/>
      </c>
      <c r="F941" s="3" t="str">
        <f>IF(AND(Data!$B941='Individual Type'!$D$2, Data!$K941='All Types'!$D$2,Data!$L941='All Types'!$D$3),Data!M941,"")</f>
        <v/>
      </c>
    </row>
    <row r="942">
      <c r="A942" s="102" t="str">
        <f t="shared" si="1"/>
        <v/>
      </c>
      <c r="B942" s="3" t="str">
        <f>IF(AND(Data!$B942='Individual Type'!$D$2, Data!$K942='All Types'!$D$2,Data!$L942='All Types'!$D$3),Data!$B942,"")</f>
        <v/>
      </c>
      <c r="C942" s="3" t="str">
        <f>IF(F942="","",Data!N942)</f>
        <v/>
      </c>
      <c r="D942" s="3" t="str">
        <f>IF(AND(Data!$B942='Individual Type'!$D$2, Data!$K942='All Types'!$D$2,Data!$L942='All Types'!$D$3),Data!$C942,"")</f>
        <v/>
      </c>
      <c r="E942" s="3" t="str">
        <f>IF($F942="","",Data!P942)</f>
        <v/>
      </c>
      <c r="F942" s="3" t="str">
        <f>IF(AND(Data!$B942='Individual Type'!$D$2, Data!$K942='All Types'!$D$2,Data!$L942='All Types'!$D$3),Data!M942,"")</f>
        <v/>
      </c>
    </row>
    <row r="943">
      <c r="A943" s="102" t="str">
        <f t="shared" si="1"/>
        <v/>
      </c>
      <c r="B943" s="3" t="str">
        <f>IF(AND(Data!$B943='Individual Type'!$D$2, Data!$K943='All Types'!$D$2,Data!$L943='All Types'!$D$3),Data!$B943,"")</f>
        <v/>
      </c>
      <c r="C943" s="3" t="str">
        <f>IF(F943="","",Data!N943)</f>
        <v/>
      </c>
      <c r="D943" s="3" t="str">
        <f>IF(AND(Data!$B943='Individual Type'!$D$2, Data!$K943='All Types'!$D$2,Data!$L943='All Types'!$D$3),Data!$C943,"")</f>
        <v/>
      </c>
      <c r="E943" s="3" t="str">
        <f>IF($F943="","",Data!P943)</f>
        <v/>
      </c>
      <c r="F943" s="3" t="str">
        <f>IF(AND(Data!$B943='Individual Type'!$D$2, Data!$K943='All Types'!$D$2,Data!$L943='All Types'!$D$3),Data!M943,"")</f>
        <v/>
      </c>
    </row>
    <row r="944">
      <c r="A944" s="102" t="str">
        <f t="shared" si="1"/>
        <v/>
      </c>
      <c r="B944" s="3" t="str">
        <f>IF(AND(Data!$B944='Individual Type'!$D$2, Data!$K944='All Types'!$D$2,Data!$L944='All Types'!$D$3),Data!$B944,"")</f>
        <v/>
      </c>
      <c r="C944" s="3" t="str">
        <f>IF(F944="","",Data!N944)</f>
        <v/>
      </c>
      <c r="D944" s="3" t="str">
        <f>IF(AND(Data!$B944='Individual Type'!$D$2, Data!$K944='All Types'!$D$2,Data!$L944='All Types'!$D$3),Data!$C944,"")</f>
        <v/>
      </c>
      <c r="E944" s="3" t="str">
        <f>IF($F944="","",Data!P944)</f>
        <v/>
      </c>
      <c r="F944" s="3" t="str">
        <f>IF(AND(Data!$B944='Individual Type'!$D$2, Data!$K944='All Types'!$D$2,Data!$L944='All Types'!$D$3),Data!M944,"")</f>
        <v/>
      </c>
    </row>
    <row r="945">
      <c r="A945" s="102" t="str">
        <f t="shared" si="1"/>
        <v/>
      </c>
      <c r="B945" s="3" t="str">
        <f>IF(AND(Data!$B945='Individual Type'!$D$2, Data!$K945='All Types'!$D$2,Data!$L945='All Types'!$D$3),Data!$B945,"")</f>
        <v/>
      </c>
      <c r="C945" s="3" t="str">
        <f>IF(F945="","",Data!N945)</f>
        <v/>
      </c>
      <c r="D945" s="3" t="str">
        <f>IF(AND(Data!$B945='Individual Type'!$D$2, Data!$K945='All Types'!$D$2,Data!$L945='All Types'!$D$3),Data!$C945,"")</f>
        <v/>
      </c>
      <c r="E945" s="3" t="str">
        <f>IF($F945="","",Data!P945)</f>
        <v/>
      </c>
      <c r="F945" s="3" t="str">
        <f>IF(AND(Data!$B945='Individual Type'!$D$2, Data!$K945='All Types'!$D$2,Data!$L945='All Types'!$D$3),Data!M945,"")</f>
        <v/>
      </c>
    </row>
    <row r="946">
      <c r="A946" s="102" t="str">
        <f t="shared" si="1"/>
        <v/>
      </c>
      <c r="B946" s="3" t="str">
        <f>IF(AND(Data!$B946='Individual Type'!$D$2, Data!$K946='All Types'!$D$2,Data!$L946='All Types'!$D$3),Data!$B946,"")</f>
        <v/>
      </c>
      <c r="C946" s="3" t="str">
        <f>IF(F946="","",Data!N946)</f>
        <v/>
      </c>
      <c r="D946" s="3" t="str">
        <f>IF(AND(Data!$B946='Individual Type'!$D$2, Data!$K946='All Types'!$D$2,Data!$L946='All Types'!$D$3),Data!$C946,"")</f>
        <v/>
      </c>
      <c r="E946" s="3" t="str">
        <f>IF($F946="","",Data!P946)</f>
        <v/>
      </c>
      <c r="F946" s="3" t="str">
        <f>IF(AND(Data!$B946='Individual Type'!$D$2, Data!$K946='All Types'!$D$2,Data!$L946='All Types'!$D$3),Data!M946,"")</f>
        <v/>
      </c>
    </row>
    <row r="947">
      <c r="A947" s="102" t="str">
        <f t="shared" si="1"/>
        <v/>
      </c>
      <c r="B947" s="3" t="str">
        <f>IF(AND(Data!$B947='Individual Type'!$D$2, Data!$K947='All Types'!$D$2,Data!$L947='All Types'!$D$3),Data!$B947,"")</f>
        <v/>
      </c>
      <c r="C947" s="3" t="str">
        <f>IF(F947="","",Data!N947)</f>
        <v/>
      </c>
      <c r="D947" s="3" t="str">
        <f>IF(AND(Data!$B947='Individual Type'!$D$2, Data!$K947='All Types'!$D$2,Data!$L947='All Types'!$D$3),Data!$C947,"")</f>
        <v/>
      </c>
      <c r="E947" s="3" t="str">
        <f>IF($F947="","",Data!P947)</f>
        <v/>
      </c>
      <c r="F947" s="3" t="str">
        <f>IF(AND(Data!$B947='Individual Type'!$D$2, Data!$K947='All Types'!$D$2,Data!$L947='All Types'!$D$3),Data!M947,"")</f>
        <v/>
      </c>
    </row>
    <row r="948">
      <c r="A948" s="102" t="str">
        <f t="shared" si="1"/>
        <v/>
      </c>
      <c r="B948" s="3" t="str">
        <f>IF(AND(Data!$B948='Individual Type'!$D$2, Data!$K948='All Types'!$D$2,Data!$L948='All Types'!$D$3),Data!$B948,"")</f>
        <v/>
      </c>
      <c r="C948" s="3" t="str">
        <f>IF(F948="","",Data!N948)</f>
        <v/>
      </c>
      <c r="D948" s="3" t="str">
        <f>IF(AND(Data!$B948='Individual Type'!$D$2, Data!$K948='All Types'!$D$2,Data!$L948='All Types'!$D$3),Data!$C948,"")</f>
        <v/>
      </c>
      <c r="E948" s="3" t="str">
        <f>IF($F948="","",Data!P948)</f>
        <v/>
      </c>
      <c r="F948" s="3" t="str">
        <f>IF(AND(Data!$B948='Individual Type'!$D$2, Data!$K948='All Types'!$D$2,Data!$L948='All Types'!$D$3),Data!M948,"")</f>
        <v/>
      </c>
    </row>
    <row r="949">
      <c r="A949" s="102" t="str">
        <f t="shared" si="1"/>
        <v/>
      </c>
      <c r="B949" s="3" t="str">
        <f>IF(AND(Data!$B949='Individual Type'!$D$2, Data!$K949='All Types'!$D$2,Data!$L949='All Types'!$D$3),Data!$B949,"")</f>
        <v/>
      </c>
      <c r="C949" s="3" t="str">
        <f>IF(F949="","",Data!N949)</f>
        <v/>
      </c>
      <c r="D949" s="3" t="str">
        <f>IF(AND(Data!$B949='Individual Type'!$D$2, Data!$K949='All Types'!$D$2,Data!$L949='All Types'!$D$3),Data!$C949,"")</f>
        <v/>
      </c>
      <c r="E949" s="3" t="str">
        <f>IF($F949="","",Data!P949)</f>
        <v/>
      </c>
      <c r="F949" s="3" t="str">
        <f>IF(AND(Data!$B949='Individual Type'!$D$2, Data!$K949='All Types'!$D$2,Data!$L949='All Types'!$D$3),Data!M949,"")</f>
        <v/>
      </c>
    </row>
    <row r="950">
      <c r="A950" s="102" t="str">
        <f t="shared" si="1"/>
        <v/>
      </c>
      <c r="B950" s="3" t="str">
        <f>IF(AND(Data!$B950='Individual Type'!$D$2, Data!$K950='All Types'!$D$2,Data!$L950='All Types'!$D$3),Data!$B950,"")</f>
        <v/>
      </c>
      <c r="C950" s="3" t="str">
        <f>IF(F950="","",Data!N950)</f>
        <v/>
      </c>
      <c r="D950" s="3" t="str">
        <f>IF(AND(Data!$B950='Individual Type'!$D$2, Data!$K950='All Types'!$D$2,Data!$L950='All Types'!$D$3),Data!$C950,"")</f>
        <v/>
      </c>
      <c r="E950" s="3" t="str">
        <f>IF($F950="","",Data!P950)</f>
        <v/>
      </c>
      <c r="F950" s="3" t="str">
        <f>IF(AND(Data!$B950='Individual Type'!$D$2, Data!$K950='All Types'!$D$2,Data!$L950='All Types'!$D$3),Data!M950,"")</f>
        <v/>
      </c>
    </row>
    <row r="951">
      <c r="A951" s="102" t="str">
        <f t="shared" si="1"/>
        <v/>
      </c>
      <c r="B951" s="3" t="str">
        <f>IF(AND(Data!$B951='Individual Type'!$D$2, Data!$K951='All Types'!$D$2,Data!$L951='All Types'!$D$3),Data!$B951,"")</f>
        <v/>
      </c>
      <c r="C951" s="3" t="str">
        <f>IF(F951="","",Data!N951)</f>
        <v/>
      </c>
      <c r="D951" s="3" t="str">
        <f>IF(AND(Data!$B951='Individual Type'!$D$2, Data!$K951='All Types'!$D$2,Data!$L951='All Types'!$D$3),Data!$C951,"")</f>
        <v/>
      </c>
      <c r="E951" s="3" t="str">
        <f>IF($F951="","",Data!P951)</f>
        <v/>
      </c>
      <c r="F951" s="3" t="str">
        <f>IF(AND(Data!$B951='Individual Type'!$D$2, Data!$K951='All Types'!$D$2,Data!$L951='All Types'!$D$3),Data!M951,"")</f>
        <v/>
      </c>
    </row>
    <row r="952">
      <c r="A952" s="102" t="str">
        <f t="shared" si="1"/>
        <v/>
      </c>
      <c r="B952" s="3" t="str">
        <f>IF(AND(Data!$B952='Individual Type'!$D$2, Data!$K952='All Types'!$D$2,Data!$L952='All Types'!$D$3),Data!$B952,"")</f>
        <v/>
      </c>
      <c r="C952" s="3" t="str">
        <f>IF(F952="","",Data!N952)</f>
        <v/>
      </c>
      <c r="D952" s="3" t="str">
        <f>IF(AND(Data!$B952='Individual Type'!$D$2, Data!$K952='All Types'!$D$2,Data!$L952='All Types'!$D$3),Data!$C952,"")</f>
        <v/>
      </c>
      <c r="E952" s="3" t="str">
        <f>IF($F952="","",Data!P952)</f>
        <v/>
      </c>
      <c r="F952" s="3" t="str">
        <f>IF(AND(Data!$B952='Individual Type'!$D$2, Data!$K952='All Types'!$D$2,Data!$L952='All Types'!$D$3),Data!M952,"")</f>
        <v/>
      </c>
    </row>
    <row r="953">
      <c r="A953" s="102" t="str">
        <f t="shared" si="1"/>
        <v/>
      </c>
      <c r="B953" s="3" t="str">
        <f>IF(AND(Data!$B953='Individual Type'!$D$2, Data!$K953='All Types'!$D$2,Data!$L953='All Types'!$D$3),Data!$B953,"")</f>
        <v/>
      </c>
      <c r="C953" s="3" t="str">
        <f>IF(F953="","",Data!N953)</f>
        <v/>
      </c>
      <c r="D953" s="3" t="str">
        <f>IF(AND(Data!$B953='Individual Type'!$D$2, Data!$K953='All Types'!$D$2,Data!$L953='All Types'!$D$3),Data!$C953,"")</f>
        <v/>
      </c>
      <c r="E953" s="3" t="str">
        <f>IF($F953="","",Data!P953)</f>
        <v/>
      </c>
      <c r="F953" s="3" t="str">
        <f>IF(AND(Data!$B953='Individual Type'!$D$2, Data!$K953='All Types'!$D$2,Data!$L953='All Types'!$D$3),Data!M953,"")</f>
        <v/>
      </c>
    </row>
    <row r="954">
      <c r="A954" s="102" t="str">
        <f t="shared" si="1"/>
        <v/>
      </c>
      <c r="B954" s="3" t="str">
        <f>IF(AND(Data!$B954='Individual Type'!$D$2, Data!$K954='All Types'!$D$2,Data!$L954='All Types'!$D$3),Data!$B954,"")</f>
        <v/>
      </c>
      <c r="C954" s="3" t="str">
        <f>IF(F954="","",Data!N954)</f>
        <v/>
      </c>
      <c r="D954" s="3" t="str">
        <f>IF(AND(Data!$B954='Individual Type'!$D$2, Data!$K954='All Types'!$D$2,Data!$L954='All Types'!$D$3),Data!$C954,"")</f>
        <v/>
      </c>
      <c r="E954" s="3" t="str">
        <f>IF($F954="","",Data!P954)</f>
        <v/>
      </c>
      <c r="F954" s="3" t="str">
        <f>IF(AND(Data!$B954='Individual Type'!$D$2, Data!$K954='All Types'!$D$2,Data!$L954='All Types'!$D$3),Data!M954,"")</f>
        <v/>
      </c>
    </row>
    <row r="955">
      <c r="A955" s="102" t="str">
        <f t="shared" si="1"/>
        <v/>
      </c>
      <c r="B955" s="3" t="str">
        <f>IF(AND(Data!$B955='Individual Type'!$D$2, Data!$K955='All Types'!$D$2,Data!$L955='All Types'!$D$3),Data!$B955,"")</f>
        <v/>
      </c>
      <c r="C955" s="3" t="str">
        <f>IF(F955="","",Data!N955)</f>
        <v/>
      </c>
      <c r="D955" s="3" t="str">
        <f>IF(AND(Data!$B955='Individual Type'!$D$2, Data!$K955='All Types'!$D$2,Data!$L955='All Types'!$D$3),Data!$C955,"")</f>
        <v/>
      </c>
      <c r="E955" s="3" t="str">
        <f>IF($F955="","",Data!P955)</f>
        <v/>
      </c>
      <c r="F955" s="3" t="str">
        <f>IF(AND(Data!$B955='Individual Type'!$D$2, Data!$K955='All Types'!$D$2,Data!$L955='All Types'!$D$3),Data!M955,"")</f>
        <v/>
      </c>
    </row>
    <row r="956">
      <c r="A956" s="102" t="str">
        <f t="shared" si="1"/>
        <v/>
      </c>
      <c r="B956" s="3" t="str">
        <f>IF(AND(Data!$B956='Individual Type'!$D$2, Data!$K956='All Types'!$D$2,Data!$L956='All Types'!$D$3),Data!$B956,"")</f>
        <v/>
      </c>
      <c r="C956" s="3" t="str">
        <f>IF(F956="","",Data!N956)</f>
        <v/>
      </c>
      <c r="D956" s="3" t="str">
        <f>IF(AND(Data!$B956='Individual Type'!$D$2, Data!$K956='All Types'!$D$2,Data!$L956='All Types'!$D$3),Data!$C956,"")</f>
        <v/>
      </c>
      <c r="E956" s="3" t="str">
        <f>IF($F956="","",Data!P956)</f>
        <v/>
      </c>
      <c r="F956" s="3" t="str">
        <f>IF(AND(Data!$B956='Individual Type'!$D$2, Data!$K956='All Types'!$D$2,Data!$L956='All Types'!$D$3),Data!M956,"")</f>
        <v/>
      </c>
    </row>
    <row r="957">
      <c r="A957" s="102" t="str">
        <f t="shared" si="1"/>
        <v/>
      </c>
      <c r="B957" s="3" t="str">
        <f>IF(AND(Data!$B957='Individual Type'!$D$2, Data!$K957='All Types'!$D$2,Data!$L957='All Types'!$D$3),Data!$B957,"")</f>
        <v/>
      </c>
      <c r="C957" s="3" t="str">
        <f>IF(F957="","",Data!N957)</f>
        <v/>
      </c>
      <c r="D957" s="3" t="str">
        <f>IF(AND(Data!$B957='Individual Type'!$D$2, Data!$K957='All Types'!$D$2,Data!$L957='All Types'!$D$3),Data!$C957,"")</f>
        <v/>
      </c>
      <c r="E957" s="3" t="str">
        <f>IF($F957="","",Data!P957)</f>
        <v/>
      </c>
      <c r="F957" s="3" t="str">
        <f>IF(AND(Data!$B957='Individual Type'!$D$2, Data!$K957='All Types'!$D$2,Data!$L957='All Types'!$D$3),Data!M957,"")</f>
        <v/>
      </c>
    </row>
    <row r="958">
      <c r="A958" s="102" t="str">
        <f t="shared" si="1"/>
        <v/>
      </c>
      <c r="B958" s="3" t="str">
        <f>IF(AND(Data!$B958='Individual Type'!$D$2, Data!$K958='All Types'!$D$2,Data!$L958='All Types'!$D$3),Data!$B958,"")</f>
        <v/>
      </c>
      <c r="C958" s="3" t="str">
        <f>IF(F958="","",Data!N958)</f>
        <v/>
      </c>
      <c r="D958" s="3" t="str">
        <f>IF(AND(Data!$B958='Individual Type'!$D$2, Data!$K958='All Types'!$D$2,Data!$L958='All Types'!$D$3),Data!$C958,"")</f>
        <v/>
      </c>
      <c r="E958" s="3" t="str">
        <f>IF($F958="","",Data!P958)</f>
        <v/>
      </c>
      <c r="F958" s="3" t="str">
        <f>IF(AND(Data!$B958='Individual Type'!$D$2, Data!$K958='All Types'!$D$2,Data!$L958='All Types'!$D$3),Data!M958,"")</f>
        <v/>
      </c>
    </row>
    <row r="959">
      <c r="A959" s="102" t="str">
        <f t="shared" si="1"/>
        <v/>
      </c>
      <c r="B959" s="3" t="str">
        <f>IF(AND(Data!$B959='Individual Type'!$D$2, Data!$K959='All Types'!$D$2,Data!$L959='All Types'!$D$3),Data!$B959,"")</f>
        <v/>
      </c>
      <c r="C959" s="3" t="str">
        <f>IF(F959="","",Data!N959)</f>
        <v/>
      </c>
      <c r="D959" s="3" t="str">
        <f>IF(AND(Data!$B959='Individual Type'!$D$2, Data!$K959='All Types'!$D$2,Data!$L959='All Types'!$D$3),Data!$C959,"")</f>
        <v/>
      </c>
      <c r="E959" s="3" t="str">
        <f>IF($F959="","",Data!P959)</f>
        <v/>
      </c>
      <c r="F959" s="3" t="str">
        <f>IF(AND(Data!$B959='Individual Type'!$D$2, Data!$K959='All Types'!$D$2,Data!$L959='All Types'!$D$3),Data!M959,"")</f>
        <v/>
      </c>
    </row>
    <row r="960">
      <c r="A960" s="102" t="str">
        <f t="shared" si="1"/>
        <v/>
      </c>
      <c r="B960" s="3" t="str">
        <f>IF(AND(Data!$B960='Individual Type'!$D$2, Data!$K960='All Types'!$D$2,Data!$L960='All Types'!$D$3),Data!$B960,"")</f>
        <v/>
      </c>
      <c r="C960" s="3" t="str">
        <f>IF(F960="","",Data!N960)</f>
        <v/>
      </c>
      <c r="D960" s="3" t="str">
        <f>IF(AND(Data!$B960='Individual Type'!$D$2, Data!$K960='All Types'!$D$2,Data!$L960='All Types'!$D$3),Data!$C960,"")</f>
        <v/>
      </c>
      <c r="E960" s="3" t="str">
        <f>IF($F960="","",Data!P960)</f>
        <v/>
      </c>
      <c r="F960" s="3" t="str">
        <f>IF(AND(Data!$B960='Individual Type'!$D$2, Data!$K960='All Types'!$D$2,Data!$L960='All Types'!$D$3),Data!M960,"")</f>
        <v/>
      </c>
    </row>
    <row r="961">
      <c r="A961" s="102" t="str">
        <f t="shared" si="1"/>
        <v/>
      </c>
      <c r="B961" s="3" t="str">
        <f>IF(AND(Data!$B961='Individual Type'!$D$2, Data!$K961='All Types'!$D$2,Data!$L961='All Types'!$D$3),Data!$B961,"")</f>
        <v/>
      </c>
      <c r="C961" s="3" t="str">
        <f>IF(F961="","",Data!N961)</f>
        <v/>
      </c>
      <c r="D961" s="3" t="str">
        <f>IF(AND(Data!$B961='Individual Type'!$D$2, Data!$K961='All Types'!$D$2,Data!$L961='All Types'!$D$3),Data!$C961,"")</f>
        <v/>
      </c>
      <c r="E961" s="3" t="str">
        <f>IF($F961="","",Data!P961)</f>
        <v/>
      </c>
      <c r="F961" s="3" t="str">
        <f>IF(AND(Data!$B961='Individual Type'!$D$2, Data!$K961='All Types'!$D$2,Data!$L961='All Types'!$D$3),Data!M961,"")</f>
        <v/>
      </c>
    </row>
    <row r="962">
      <c r="A962" s="102" t="str">
        <f t="shared" si="1"/>
        <v/>
      </c>
      <c r="B962" s="3" t="str">
        <f>IF(AND(Data!$B962='Individual Type'!$D$2, Data!$K962='All Types'!$D$2,Data!$L962='All Types'!$D$3),Data!$B962,"")</f>
        <v/>
      </c>
      <c r="C962" s="3" t="str">
        <f>IF(F962="","",Data!N962)</f>
        <v/>
      </c>
      <c r="D962" s="3" t="str">
        <f>IF(AND(Data!$B962='Individual Type'!$D$2, Data!$K962='All Types'!$D$2,Data!$L962='All Types'!$D$3),Data!$C962,"")</f>
        <v/>
      </c>
      <c r="E962" s="3" t="str">
        <f>IF($F962="","",Data!P962)</f>
        <v/>
      </c>
      <c r="F962" s="3" t="str">
        <f>IF(AND(Data!$B962='Individual Type'!$D$2, Data!$K962='All Types'!$D$2,Data!$L962='All Types'!$D$3),Data!M962,"")</f>
        <v/>
      </c>
    </row>
    <row r="963">
      <c r="A963" s="102" t="str">
        <f t="shared" si="1"/>
        <v/>
      </c>
      <c r="B963" s="3" t="str">
        <f>IF(AND(Data!$B963='Individual Type'!$D$2, Data!$K963='All Types'!$D$2,Data!$L963='All Types'!$D$3),Data!$B963,"")</f>
        <v/>
      </c>
      <c r="C963" s="3" t="str">
        <f>IF(F963="","",Data!N963)</f>
        <v/>
      </c>
      <c r="D963" s="3" t="str">
        <f>IF(AND(Data!$B963='Individual Type'!$D$2, Data!$K963='All Types'!$D$2,Data!$L963='All Types'!$D$3),Data!$C963,"")</f>
        <v/>
      </c>
      <c r="E963" s="3" t="str">
        <f>IF($F963="","",Data!P963)</f>
        <v/>
      </c>
      <c r="F963" s="3" t="str">
        <f>IF(AND(Data!$B963='Individual Type'!$D$2, Data!$K963='All Types'!$D$2,Data!$L963='All Types'!$D$3),Data!M963,"")</f>
        <v/>
      </c>
    </row>
    <row r="964">
      <c r="A964" s="102" t="str">
        <f t="shared" si="1"/>
        <v/>
      </c>
      <c r="B964" s="3" t="str">
        <f>IF(AND(Data!$B964='Individual Type'!$D$2, Data!$K964='All Types'!$D$2,Data!$L964='All Types'!$D$3),Data!$B964,"")</f>
        <v/>
      </c>
      <c r="C964" s="3" t="str">
        <f>IF(F964="","",Data!N964)</f>
        <v/>
      </c>
      <c r="D964" s="3" t="str">
        <f>IF(AND(Data!$B964='Individual Type'!$D$2, Data!$K964='All Types'!$D$2,Data!$L964='All Types'!$D$3),Data!$C964,"")</f>
        <v/>
      </c>
      <c r="E964" s="3" t="str">
        <f>IF($F964="","",Data!P964)</f>
        <v/>
      </c>
      <c r="F964" s="3" t="str">
        <f>IF(AND(Data!$B964='Individual Type'!$D$2, Data!$K964='All Types'!$D$2,Data!$L964='All Types'!$D$3),Data!M964,"")</f>
        <v/>
      </c>
    </row>
    <row r="965">
      <c r="A965" s="102" t="str">
        <f t="shared" si="1"/>
        <v/>
      </c>
      <c r="B965" s="3" t="str">
        <f>IF(AND(Data!$B965='Individual Type'!$D$2, Data!$K965='All Types'!$D$2,Data!$L965='All Types'!$D$3),Data!$B965,"")</f>
        <v/>
      </c>
      <c r="C965" s="3" t="str">
        <f>IF(F965="","",Data!N965)</f>
        <v/>
      </c>
      <c r="D965" s="3" t="str">
        <f>IF(AND(Data!$B965='Individual Type'!$D$2, Data!$K965='All Types'!$D$2,Data!$L965='All Types'!$D$3),Data!$C965,"")</f>
        <v/>
      </c>
      <c r="E965" s="3" t="str">
        <f>IF($F965="","",Data!P965)</f>
        <v/>
      </c>
      <c r="F965" s="3" t="str">
        <f>IF(AND(Data!$B965='Individual Type'!$D$2, Data!$K965='All Types'!$D$2,Data!$L965='All Types'!$D$3),Data!M965,"")</f>
        <v/>
      </c>
    </row>
    <row r="966">
      <c r="A966" s="102" t="str">
        <f t="shared" si="1"/>
        <v/>
      </c>
      <c r="B966" s="3" t="str">
        <f>IF(AND(Data!$B966='Individual Type'!$D$2, Data!$K966='All Types'!$D$2,Data!$L966='All Types'!$D$3),Data!$B966,"")</f>
        <v/>
      </c>
      <c r="C966" s="3" t="str">
        <f>IF(F966="","",Data!N966)</f>
        <v/>
      </c>
      <c r="D966" s="3" t="str">
        <f>IF(AND(Data!$B966='Individual Type'!$D$2, Data!$K966='All Types'!$D$2,Data!$L966='All Types'!$D$3),Data!$C966,"")</f>
        <v/>
      </c>
      <c r="E966" s="3" t="str">
        <f>IF($F966="","",Data!P966)</f>
        <v/>
      </c>
      <c r="F966" s="3" t="str">
        <f>IF(AND(Data!$B966='Individual Type'!$D$2, Data!$K966='All Types'!$D$2,Data!$L966='All Types'!$D$3),Data!M966,"")</f>
        <v/>
      </c>
    </row>
    <row r="967">
      <c r="A967" s="102" t="str">
        <f t="shared" si="1"/>
        <v/>
      </c>
      <c r="B967" s="3" t="str">
        <f>IF(AND(Data!$B967='Individual Type'!$D$2, Data!$K967='All Types'!$D$2,Data!$L967='All Types'!$D$3),Data!$B967,"")</f>
        <v/>
      </c>
      <c r="C967" s="3" t="str">
        <f>IF(F967="","",Data!N967)</f>
        <v/>
      </c>
      <c r="D967" s="3" t="str">
        <f>IF(AND(Data!$B967='Individual Type'!$D$2, Data!$K967='All Types'!$D$2,Data!$L967='All Types'!$D$3),Data!$C967,"")</f>
        <v/>
      </c>
      <c r="E967" s="3" t="str">
        <f>IF($F967="","",Data!P967)</f>
        <v/>
      </c>
      <c r="F967" s="3" t="str">
        <f>IF(AND(Data!$B967='Individual Type'!$D$2, Data!$K967='All Types'!$D$2,Data!$L967='All Types'!$D$3),Data!M967,"")</f>
        <v/>
      </c>
    </row>
    <row r="968">
      <c r="A968" s="102" t="str">
        <f t="shared" si="1"/>
        <v/>
      </c>
      <c r="B968" s="3" t="str">
        <f>IF(AND(Data!$B968='Individual Type'!$D$2, Data!$K968='All Types'!$D$2,Data!$L968='All Types'!$D$3),Data!$B968,"")</f>
        <v/>
      </c>
      <c r="C968" s="3" t="str">
        <f>IF(F968="","",Data!N968)</f>
        <v/>
      </c>
      <c r="D968" s="3" t="str">
        <f>IF(AND(Data!$B968='Individual Type'!$D$2, Data!$K968='All Types'!$D$2,Data!$L968='All Types'!$D$3),Data!$C968,"")</f>
        <v/>
      </c>
      <c r="E968" s="3" t="str">
        <f>IF($F968="","",Data!P968)</f>
        <v/>
      </c>
      <c r="F968" s="3" t="str">
        <f>IF(AND(Data!$B968='Individual Type'!$D$2, Data!$K968='All Types'!$D$2,Data!$L968='All Types'!$D$3),Data!M968,"")</f>
        <v/>
      </c>
    </row>
    <row r="969">
      <c r="A969" s="102" t="str">
        <f t="shared" si="1"/>
        <v/>
      </c>
      <c r="B969" s="3" t="str">
        <f>IF(AND(Data!$B969='Individual Type'!$D$2, Data!$K969='All Types'!$D$2,Data!$L969='All Types'!$D$3),Data!$B969,"")</f>
        <v/>
      </c>
      <c r="C969" s="3" t="str">
        <f>IF(F969="","",Data!N969)</f>
        <v/>
      </c>
      <c r="D969" s="3" t="str">
        <f>IF(AND(Data!$B969='Individual Type'!$D$2, Data!$K969='All Types'!$D$2,Data!$L969='All Types'!$D$3),Data!$C969,"")</f>
        <v/>
      </c>
      <c r="E969" s="3" t="str">
        <f>IF($F969="","",Data!P969)</f>
        <v/>
      </c>
      <c r="F969" s="3" t="str">
        <f>IF(AND(Data!$B969='Individual Type'!$D$2, Data!$K969='All Types'!$D$2,Data!$L969='All Types'!$D$3),Data!M969,"")</f>
        <v/>
      </c>
    </row>
    <row r="970">
      <c r="A970" s="102" t="str">
        <f t="shared" si="1"/>
        <v/>
      </c>
      <c r="B970" s="3" t="str">
        <f>IF(AND(Data!$B970='Individual Type'!$D$2, Data!$K970='All Types'!$D$2,Data!$L970='All Types'!$D$3),Data!$B970,"")</f>
        <v/>
      </c>
      <c r="C970" s="3" t="str">
        <f>IF(F970="","",Data!N970)</f>
        <v/>
      </c>
      <c r="D970" s="3" t="str">
        <f>IF(AND(Data!$B970='Individual Type'!$D$2, Data!$K970='All Types'!$D$2,Data!$L970='All Types'!$D$3),Data!$C970,"")</f>
        <v/>
      </c>
      <c r="E970" s="3" t="str">
        <f>IF($F970="","",Data!P970)</f>
        <v/>
      </c>
      <c r="F970" s="3" t="str">
        <f>IF(AND(Data!$B970='Individual Type'!$D$2, Data!$K970='All Types'!$D$2,Data!$L970='All Types'!$D$3),Data!M970,"")</f>
        <v/>
      </c>
    </row>
    <row r="971">
      <c r="A971" s="102" t="str">
        <f t="shared" si="1"/>
        <v/>
      </c>
      <c r="B971" s="3" t="str">
        <f>IF(AND(Data!$B971='Individual Type'!$D$2, Data!$K971='All Types'!$D$2,Data!$L971='All Types'!$D$3),Data!$B971,"")</f>
        <v/>
      </c>
      <c r="C971" s="3" t="str">
        <f>IF(F971="","",Data!N971)</f>
        <v/>
      </c>
      <c r="D971" s="3" t="str">
        <f>IF(AND(Data!$B971='Individual Type'!$D$2, Data!$K971='All Types'!$D$2,Data!$L971='All Types'!$D$3),Data!$C971,"")</f>
        <v/>
      </c>
      <c r="E971" s="3" t="str">
        <f>IF($F971="","",Data!P971)</f>
        <v/>
      </c>
      <c r="F971" s="3" t="str">
        <f>IF(AND(Data!$B971='Individual Type'!$D$2, Data!$K971='All Types'!$D$2,Data!$L971='All Types'!$D$3),Data!M971,"")</f>
        <v/>
      </c>
    </row>
    <row r="972">
      <c r="A972" s="102" t="str">
        <f t="shared" si="1"/>
        <v/>
      </c>
      <c r="B972" s="3" t="str">
        <f>IF(AND(Data!$B972='Individual Type'!$D$2, Data!$K972='All Types'!$D$2,Data!$L972='All Types'!$D$3),Data!$B972,"")</f>
        <v/>
      </c>
      <c r="C972" s="3" t="str">
        <f>IF(F972="","",Data!N972)</f>
        <v/>
      </c>
      <c r="D972" s="3" t="str">
        <f>IF(AND(Data!$B972='Individual Type'!$D$2, Data!$K972='All Types'!$D$2,Data!$L972='All Types'!$D$3),Data!$C972,"")</f>
        <v/>
      </c>
      <c r="E972" s="3" t="str">
        <f>IF($F972="","",Data!P972)</f>
        <v/>
      </c>
      <c r="F972" s="3" t="str">
        <f>IF(AND(Data!$B972='Individual Type'!$D$2, Data!$K972='All Types'!$D$2,Data!$L972='All Types'!$D$3),Data!M972,"")</f>
        <v/>
      </c>
    </row>
    <row r="973">
      <c r="A973" s="102" t="str">
        <f t="shared" si="1"/>
        <v/>
      </c>
      <c r="B973" s="3" t="str">
        <f>IF(AND(Data!$B973='Individual Type'!$D$2, Data!$K973='All Types'!$D$2,Data!$L973='All Types'!$D$3),Data!$B973,"")</f>
        <v/>
      </c>
      <c r="C973" s="3" t="str">
        <f>IF(F973="","",Data!N973)</f>
        <v/>
      </c>
      <c r="D973" s="3" t="str">
        <f>IF(AND(Data!$B973='Individual Type'!$D$2, Data!$K973='All Types'!$D$2,Data!$L973='All Types'!$D$3),Data!$C973,"")</f>
        <v/>
      </c>
      <c r="E973" s="3" t="str">
        <f>IF($F973="","",Data!P973)</f>
        <v/>
      </c>
      <c r="F973" s="3" t="str">
        <f>IF(AND(Data!$B973='Individual Type'!$D$2, Data!$K973='All Types'!$D$2,Data!$L973='All Types'!$D$3),Data!M973,"")</f>
        <v/>
      </c>
    </row>
    <row r="974">
      <c r="A974" s="102" t="str">
        <f t="shared" si="1"/>
        <v/>
      </c>
      <c r="B974" s="3" t="str">
        <f>IF(AND(Data!$B974='Individual Type'!$D$2, Data!$K974='All Types'!$D$2,Data!$L974='All Types'!$D$3),Data!$B974,"")</f>
        <v/>
      </c>
      <c r="C974" s="3" t="str">
        <f>IF(F974="","",Data!N974)</f>
        <v/>
      </c>
      <c r="D974" s="3" t="str">
        <f>IF(AND(Data!$B974='Individual Type'!$D$2, Data!$K974='All Types'!$D$2,Data!$L974='All Types'!$D$3),Data!$C974,"")</f>
        <v/>
      </c>
      <c r="E974" s="3" t="str">
        <f>IF($F974="","",Data!P974)</f>
        <v/>
      </c>
      <c r="F974" s="3" t="str">
        <f>IF(AND(Data!$B974='Individual Type'!$D$2, Data!$K974='All Types'!$D$2,Data!$L974='All Types'!$D$3),Data!M974,"")</f>
        <v/>
      </c>
    </row>
    <row r="975">
      <c r="A975" s="102" t="str">
        <f t="shared" si="1"/>
        <v/>
      </c>
      <c r="B975" s="3" t="str">
        <f>IF(AND(Data!$B975='Individual Type'!$D$2, Data!$K975='All Types'!$D$2,Data!$L975='All Types'!$D$3),Data!$B975,"")</f>
        <v/>
      </c>
      <c r="C975" s="3" t="str">
        <f>IF(F975="","",Data!N975)</f>
        <v/>
      </c>
      <c r="D975" s="3" t="str">
        <f>IF(AND(Data!$B975='Individual Type'!$D$2, Data!$K975='All Types'!$D$2,Data!$L975='All Types'!$D$3),Data!$C975,"")</f>
        <v/>
      </c>
      <c r="E975" s="3" t="str">
        <f>IF($F975="","",Data!P975)</f>
        <v/>
      </c>
      <c r="F975" s="3" t="str">
        <f>IF(AND(Data!$B975='Individual Type'!$D$2, Data!$K975='All Types'!$D$2,Data!$L975='All Types'!$D$3),Data!M975,"")</f>
        <v/>
      </c>
    </row>
    <row r="976">
      <c r="A976" s="102" t="str">
        <f t="shared" si="1"/>
        <v/>
      </c>
      <c r="B976" s="3" t="str">
        <f>IF(AND(Data!$B976='Individual Type'!$D$2, Data!$K976='All Types'!$D$2,Data!$L976='All Types'!$D$3),Data!$B976,"")</f>
        <v/>
      </c>
      <c r="C976" s="3" t="str">
        <f>IF(F976="","",Data!N976)</f>
        <v/>
      </c>
      <c r="D976" s="3" t="str">
        <f>IF(AND(Data!$B976='Individual Type'!$D$2, Data!$K976='All Types'!$D$2,Data!$L976='All Types'!$D$3),Data!$C976,"")</f>
        <v/>
      </c>
      <c r="E976" s="3" t="str">
        <f>IF($F976="","",Data!P976)</f>
        <v/>
      </c>
      <c r="F976" s="3" t="str">
        <f>IF(AND(Data!$B976='Individual Type'!$D$2, Data!$K976='All Types'!$D$2,Data!$L976='All Types'!$D$3),Data!M976,"")</f>
        <v/>
      </c>
    </row>
    <row r="977">
      <c r="A977" s="102" t="str">
        <f t="shared" si="1"/>
        <v/>
      </c>
      <c r="B977" s="3" t="str">
        <f>IF(AND(Data!$B977='Individual Type'!$D$2, Data!$K977='All Types'!$D$2,Data!$L977='All Types'!$D$3),Data!$B977,"")</f>
        <v/>
      </c>
      <c r="C977" s="3" t="str">
        <f>IF(F977="","",Data!N977)</f>
        <v/>
      </c>
      <c r="D977" s="3" t="str">
        <f>IF(AND(Data!$B977='Individual Type'!$D$2, Data!$K977='All Types'!$D$2,Data!$L977='All Types'!$D$3),Data!$C977,"")</f>
        <v/>
      </c>
      <c r="E977" s="3" t="str">
        <f>IF($F977="","",Data!P977)</f>
        <v/>
      </c>
      <c r="F977" s="3" t="str">
        <f>IF(AND(Data!$B977='Individual Type'!$D$2, Data!$K977='All Types'!$D$2,Data!$L977='All Types'!$D$3),Data!M977,"")</f>
        <v/>
      </c>
    </row>
    <row r="978">
      <c r="A978" s="102" t="str">
        <f t="shared" si="1"/>
        <v/>
      </c>
      <c r="B978" s="3" t="str">
        <f>IF(AND(Data!$B978='Individual Type'!$D$2, Data!$K978='All Types'!$D$2,Data!$L978='All Types'!$D$3),Data!$B978,"")</f>
        <v/>
      </c>
      <c r="C978" s="3" t="str">
        <f>IF(F978="","",Data!N978)</f>
        <v/>
      </c>
      <c r="D978" s="3" t="str">
        <f>IF(AND(Data!$B978='Individual Type'!$D$2, Data!$K978='All Types'!$D$2,Data!$L978='All Types'!$D$3),Data!$C978,"")</f>
        <v/>
      </c>
      <c r="E978" s="3" t="str">
        <f>IF($F978="","",Data!P978)</f>
        <v/>
      </c>
      <c r="F978" s="3" t="str">
        <f>IF(AND(Data!$B978='Individual Type'!$D$2, Data!$K978='All Types'!$D$2,Data!$L978='All Types'!$D$3),Data!M978,"")</f>
        <v/>
      </c>
    </row>
    <row r="979">
      <c r="A979" s="102" t="str">
        <f t="shared" si="1"/>
        <v/>
      </c>
      <c r="B979" s="3" t="str">
        <f>IF(AND(Data!$B979='Individual Type'!$D$2, Data!$K979='All Types'!$D$2,Data!$L979='All Types'!$D$3),Data!$B979,"")</f>
        <v/>
      </c>
      <c r="C979" s="3" t="str">
        <f>IF(F979="","",Data!N979)</f>
        <v/>
      </c>
      <c r="D979" s="3" t="str">
        <f>IF(AND(Data!$B979='Individual Type'!$D$2, Data!$K979='All Types'!$D$2,Data!$L979='All Types'!$D$3),Data!$C979,"")</f>
        <v/>
      </c>
      <c r="E979" s="3" t="str">
        <f>IF($F979="","",Data!P979)</f>
        <v/>
      </c>
      <c r="F979" s="3" t="str">
        <f>IF(AND(Data!$B979='Individual Type'!$D$2, Data!$K979='All Types'!$D$2,Data!$L979='All Types'!$D$3),Data!M979,"")</f>
        <v/>
      </c>
    </row>
    <row r="980">
      <c r="A980" s="102" t="str">
        <f t="shared" si="1"/>
        <v/>
      </c>
      <c r="B980" s="3" t="str">
        <f>IF(AND(Data!$B980='Individual Type'!$D$2, Data!$K980='All Types'!$D$2,Data!$L980='All Types'!$D$3),Data!$B980,"")</f>
        <v/>
      </c>
      <c r="C980" s="3" t="str">
        <f>IF(F980="","",Data!N980)</f>
        <v/>
      </c>
      <c r="D980" s="3" t="str">
        <f>IF(AND(Data!$B980='Individual Type'!$D$2, Data!$K980='All Types'!$D$2,Data!$L980='All Types'!$D$3),Data!$C980,"")</f>
        <v/>
      </c>
      <c r="E980" s="3" t="str">
        <f>IF($F980="","",Data!P980)</f>
        <v/>
      </c>
      <c r="F980" s="3" t="str">
        <f>IF(AND(Data!$B980='Individual Type'!$D$2, Data!$K980='All Types'!$D$2,Data!$L980='All Types'!$D$3),Data!M980,"")</f>
        <v/>
      </c>
    </row>
    <row r="981">
      <c r="A981" s="102" t="str">
        <f t="shared" si="1"/>
        <v/>
      </c>
      <c r="B981" s="3" t="str">
        <f>IF(AND(Data!$B981='Individual Type'!$D$2, Data!$K981='All Types'!$D$2,Data!$L981='All Types'!$D$3),Data!$B981,"")</f>
        <v/>
      </c>
      <c r="C981" s="3" t="str">
        <f>IF(F981="","",Data!N981)</f>
        <v/>
      </c>
      <c r="D981" s="3" t="str">
        <f>IF(AND(Data!$B981='Individual Type'!$D$2, Data!$K981='All Types'!$D$2,Data!$L981='All Types'!$D$3),Data!$C981,"")</f>
        <v/>
      </c>
      <c r="E981" s="3" t="str">
        <f>IF($F981="","",Data!P981)</f>
        <v/>
      </c>
      <c r="F981" s="3" t="str">
        <f>IF(AND(Data!$B981='Individual Type'!$D$2, Data!$K981='All Types'!$D$2,Data!$L981='All Types'!$D$3),Data!M981,"")</f>
        <v/>
      </c>
    </row>
    <row r="982">
      <c r="A982" s="102" t="str">
        <f t="shared" si="1"/>
        <v/>
      </c>
      <c r="B982" s="3" t="str">
        <f>IF(AND(Data!$B982='Individual Type'!$D$2, Data!$K982='All Types'!$D$2,Data!$L982='All Types'!$D$3),Data!$B982,"")</f>
        <v/>
      </c>
      <c r="C982" s="3" t="str">
        <f>IF(F982="","",Data!N982)</f>
        <v/>
      </c>
      <c r="D982" s="3" t="str">
        <f>IF(AND(Data!$B982='Individual Type'!$D$2, Data!$K982='All Types'!$D$2,Data!$L982='All Types'!$D$3),Data!$C982,"")</f>
        <v/>
      </c>
      <c r="E982" s="3" t="str">
        <f>IF($F982="","",Data!P982)</f>
        <v/>
      </c>
      <c r="F982" s="3" t="str">
        <f>IF(AND(Data!$B982='Individual Type'!$D$2, Data!$K982='All Types'!$D$2,Data!$L982='All Types'!$D$3),Data!M982,"")</f>
        <v/>
      </c>
    </row>
    <row r="983">
      <c r="A983" s="102" t="str">
        <f t="shared" si="1"/>
        <v/>
      </c>
      <c r="B983" s="3" t="str">
        <f>IF(AND(Data!$B983='Individual Type'!$D$2, Data!$K983='All Types'!$D$2,Data!$L983='All Types'!$D$3),Data!$B983,"")</f>
        <v/>
      </c>
      <c r="C983" s="3" t="str">
        <f>IF(F983="","",Data!N983)</f>
        <v/>
      </c>
      <c r="D983" s="3" t="str">
        <f>IF(AND(Data!$B983='Individual Type'!$D$2, Data!$K983='All Types'!$D$2,Data!$L983='All Types'!$D$3),Data!$C983,"")</f>
        <v/>
      </c>
      <c r="E983" s="3" t="str">
        <f>IF($F983="","",Data!P983)</f>
        <v/>
      </c>
      <c r="F983" s="3" t="str">
        <f>IF(AND(Data!$B983='Individual Type'!$D$2, Data!$K983='All Types'!$D$2,Data!$L983='All Types'!$D$3),Data!M983,"")</f>
        <v/>
      </c>
    </row>
    <row r="984">
      <c r="A984" s="102" t="str">
        <f t="shared" si="1"/>
        <v/>
      </c>
      <c r="B984" s="3" t="str">
        <f>IF(AND(Data!$B984='Individual Type'!$D$2, Data!$K984='All Types'!$D$2,Data!$L984='All Types'!$D$3),Data!$B984,"")</f>
        <v/>
      </c>
      <c r="C984" s="3" t="str">
        <f>IF(F984="","",Data!N984)</f>
        <v/>
      </c>
      <c r="D984" s="3" t="str">
        <f>IF(AND(Data!$B984='Individual Type'!$D$2, Data!$K984='All Types'!$D$2,Data!$L984='All Types'!$D$3),Data!$C984,"")</f>
        <v/>
      </c>
      <c r="E984" s="3" t="str">
        <f>IF($F984="","",Data!P984)</f>
        <v/>
      </c>
      <c r="F984" s="3" t="str">
        <f>IF(AND(Data!$B984='Individual Type'!$D$2, Data!$K984='All Types'!$D$2,Data!$L984='All Types'!$D$3),Data!M984,"")</f>
        <v/>
      </c>
    </row>
    <row r="985">
      <c r="A985" s="102" t="str">
        <f t="shared" si="1"/>
        <v/>
      </c>
      <c r="B985" s="3" t="str">
        <f>IF(AND(Data!$B985='Individual Type'!$D$2, Data!$K985='All Types'!$D$2,Data!$L985='All Types'!$D$3),Data!$B985,"")</f>
        <v/>
      </c>
      <c r="C985" s="3" t="str">
        <f>IF(F985="","",Data!N985)</f>
        <v/>
      </c>
      <c r="D985" s="3" t="str">
        <f>IF(AND(Data!$B985='Individual Type'!$D$2, Data!$K985='All Types'!$D$2,Data!$L985='All Types'!$D$3),Data!$C985,"")</f>
        <v/>
      </c>
      <c r="E985" s="3" t="str">
        <f>IF($F985="","",Data!P985)</f>
        <v/>
      </c>
      <c r="F985" s="3" t="str">
        <f>IF(AND(Data!$B985='Individual Type'!$D$2, Data!$K985='All Types'!$D$2,Data!$L985='All Types'!$D$3),Data!M985,"")</f>
        <v/>
      </c>
    </row>
    <row r="986">
      <c r="A986" s="102" t="str">
        <f t="shared" si="1"/>
        <v/>
      </c>
      <c r="B986" s="3" t="str">
        <f>IF(AND(Data!$B986='Individual Type'!$D$2, Data!$K986='All Types'!$D$2,Data!$L986='All Types'!$D$3),Data!$B986,"")</f>
        <v/>
      </c>
      <c r="C986" s="3" t="str">
        <f>IF(F986="","",Data!N986)</f>
        <v/>
      </c>
      <c r="D986" s="3" t="str">
        <f>IF(AND(Data!$B986='Individual Type'!$D$2, Data!$K986='All Types'!$D$2,Data!$L986='All Types'!$D$3),Data!$C986,"")</f>
        <v/>
      </c>
      <c r="E986" s="3" t="str">
        <f>IF($F986="","",Data!P986)</f>
        <v/>
      </c>
      <c r="F986" s="3" t="str">
        <f>IF(AND(Data!$B986='Individual Type'!$D$2, Data!$K986='All Types'!$D$2,Data!$L986='All Types'!$D$3),Data!M986,"")</f>
        <v/>
      </c>
    </row>
    <row r="987">
      <c r="A987" s="102" t="str">
        <f t="shared" si="1"/>
        <v/>
      </c>
      <c r="B987" s="3" t="str">
        <f>IF(AND(Data!$B987='Individual Type'!$D$2, Data!$K987='All Types'!$D$2,Data!$L987='All Types'!$D$3),Data!$B987,"")</f>
        <v/>
      </c>
      <c r="C987" s="3" t="str">
        <f>IF(F987="","",Data!N987)</f>
        <v/>
      </c>
      <c r="D987" s="3" t="str">
        <f>IF(AND(Data!$B987='Individual Type'!$D$2, Data!$K987='All Types'!$D$2,Data!$L987='All Types'!$D$3),Data!$C987,"")</f>
        <v/>
      </c>
      <c r="E987" s="3" t="str">
        <f>IF($F987="","",Data!P987)</f>
        <v/>
      </c>
      <c r="F987" s="3" t="str">
        <f>IF(AND(Data!$B987='Individual Type'!$D$2, Data!$K987='All Types'!$D$2,Data!$L987='All Types'!$D$3),Data!M987,"")</f>
        <v/>
      </c>
    </row>
    <row r="988">
      <c r="A988" s="102" t="str">
        <f t="shared" si="1"/>
        <v/>
      </c>
      <c r="B988" s="3" t="str">
        <f>IF(AND(Data!$B988='Individual Type'!$D$2, Data!$K988='All Types'!$D$2,Data!$L988='All Types'!$D$3),Data!$B988,"")</f>
        <v/>
      </c>
      <c r="C988" s="3" t="str">
        <f>IF(F988="","",Data!N988)</f>
        <v/>
      </c>
      <c r="D988" s="3" t="str">
        <f>IF(AND(Data!$B988='Individual Type'!$D$2, Data!$K988='All Types'!$D$2,Data!$L988='All Types'!$D$3),Data!$C988,"")</f>
        <v/>
      </c>
      <c r="E988" s="3" t="str">
        <f>IF($F988="","",Data!P988)</f>
        <v/>
      </c>
      <c r="F988" s="3" t="str">
        <f>IF(AND(Data!$B988='Individual Type'!$D$2, Data!$K988='All Types'!$D$2,Data!$L988='All Types'!$D$3),Data!M988,"")</f>
        <v/>
      </c>
    </row>
    <row r="989">
      <c r="A989" s="102" t="str">
        <f t="shared" si="1"/>
        <v/>
      </c>
      <c r="B989" s="3" t="str">
        <f>IF(AND(Data!$B989='Individual Type'!$D$2, Data!$K989='All Types'!$D$2,Data!$L989='All Types'!$D$3),Data!$B989,"")</f>
        <v/>
      </c>
      <c r="C989" s="3" t="str">
        <f>IF(F989="","",Data!N989)</f>
        <v/>
      </c>
      <c r="D989" s="3" t="str">
        <f>IF(AND(Data!$B989='Individual Type'!$D$2, Data!$K989='All Types'!$D$2,Data!$L989='All Types'!$D$3),Data!$C989,"")</f>
        <v/>
      </c>
      <c r="E989" s="3" t="str">
        <f>IF($F989="","",Data!P989)</f>
        <v/>
      </c>
      <c r="F989" s="3" t="str">
        <f>IF(AND(Data!$B989='Individual Type'!$D$2, Data!$K989='All Types'!$D$2,Data!$L989='All Types'!$D$3),Data!M989,"")</f>
        <v/>
      </c>
    </row>
    <row r="990">
      <c r="A990" s="102" t="str">
        <f t="shared" si="1"/>
        <v/>
      </c>
      <c r="B990" s="3" t="str">
        <f>IF(AND(Data!$B990='Individual Type'!$D$2, Data!$K990='All Types'!$D$2,Data!$L990='All Types'!$D$3),Data!$B990,"")</f>
        <v/>
      </c>
      <c r="C990" s="3" t="str">
        <f>IF(F990="","",Data!N990)</f>
        <v/>
      </c>
      <c r="D990" s="3" t="str">
        <f>IF(AND(Data!$B990='Individual Type'!$D$2, Data!$K990='All Types'!$D$2,Data!$L990='All Types'!$D$3),Data!$C990,"")</f>
        <v/>
      </c>
      <c r="E990" s="3" t="str">
        <f>IF($F990="","",Data!P990)</f>
        <v/>
      </c>
      <c r="F990" s="3" t="str">
        <f>IF(AND(Data!$B990='Individual Type'!$D$2, Data!$K990='All Types'!$D$2,Data!$L990='All Types'!$D$3),Data!M990,"")</f>
        <v/>
      </c>
    </row>
    <row r="991">
      <c r="A991" s="102" t="str">
        <f t="shared" si="1"/>
        <v/>
      </c>
      <c r="B991" s="3" t="str">
        <f>IF(AND(Data!$B991='Individual Type'!$D$2, Data!$K991='All Types'!$D$2,Data!$L991='All Types'!$D$3),Data!$B991,"")</f>
        <v/>
      </c>
      <c r="C991" s="3" t="str">
        <f>IF(F991="","",Data!N991)</f>
        <v/>
      </c>
      <c r="D991" s="3" t="str">
        <f>IF(AND(Data!$B991='Individual Type'!$D$2, Data!$K991='All Types'!$D$2,Data!$L991='All Types'!$D$3),Data!$C991,"")</f>
        <v/>
      </c>
      <c r="E991" s="3" t="str">
        <f>IF($F991="","",Data!P991)</f>
        <v/>
      </c>
      <c r="F991" s="3" t="str">
        <f>IF(AND(Data!$B991='Individual Type'!$D$2, Data!$K991='All Types'!$D$2,Data!$L991='All Types'!$D$3),Data!M991,"")</f>
        <v/>
      </c>
    </row>
    <row r="992">
      <c r="A992" s="102" t="str">
        <f t="shared" si="1"/>
        <v/>
      </c>
      <c r="B992" s="3" t="str">
        <f>IF(AND(Data!$B992='Individual Type'!$D$2, Data!$K992='All Types'!$D$2,Data!$L992='All Types'!$D$3),Data!$B992,"")</f>
        <v/>
      </c>
      <c r="C992" s="3" t="str">
        <f>IF(F992="","",Data!N992)</f>
        <v/>
      </c>
      <c r="D992" s="3" t="str">
        <f>IF(AND(Data!$B992='Individual Type'!$D$2, Data!$K992='All Types'!$D$2,Data!$L992='All Types'!$D$3),Data!$C992,"")</f>
        <v/>
      </c>
      <c r="E992" s="3" t="str">
        <f>IF($F992="","",Data!P992)</f>
        <v/>
      </c>
      <c r="F992" s="3" t="str">
        <f>IF(AND(Data!$B992='Individual Type'!$D$2, Data!$K992='All Types'!$D$2,Data!$L992='All Types'!$D$3),Data!M992,"")</f>
        <v/>
      </c>
    </row>
    <row r="993">
      <c r="A993" s="102" t="str">
        <f t="shared" si="1"/>
        <v/>
      </c>
      <c r="B993" s="3" t="str">
        <f>IF(AND(Data!$B993='Individual Type'!$D$2, Data!$K993='All Types'!$D$2,Data!$L993='All Types'!$D$3),Data!$B993,"")</f>
        <v/>
      </c>
      <c r="C993" s="3" t="str">
        <f>IF(F993="","",Data!N993)</f>
        <v/>
      </c>
      <c r="D993" s="3" t="str">
        <f>IF(AND(Data!$B993='Individual Type'!$D$2, Data!$K993='All Types'!$D$2,Data!$L993='All Types'!$D$3),Data!$C993,"")</f>
        <v/>
      </c>
      <c r="E993" s="3" t="str">
        <f>IF($F993="","",Data!P993)</f>
        <v/>
      </c>
      <c r="F993" s="3" t="str">
        <f>IF(AND(Data!$B993='Individual Type'!$D$2, Data!$K993='All Types'!$D$2,Data!$L993='All Types'!$D$3),Data!M993,"")</f>
        <v/>
      </c>
    </row>
    <row r="994">
      <c r="A994" s="102" t="str">
        <f t="shared" si="1"/>
        <v/>
      </c>
      <c r="B994" s="3" t="str">
        <f>IF(AND(Data!$B994='Individual Type'!$D$2, Data!$K994='All Types'!$D$2,Data!$L994='All Types'!$D$3),Data!$B994,"")</f>
        <v/>
      </c>
      <c r="C994" s="3" t="str">
        <f>IF(F994="","",Data!N994)</f>
        <v/>
      </c>
      <c r="D994" s="3" t="str">
        <f>IF(AND(Data!$B994='Individual Type'!$D$2, Data!$K994='All Types'!$D$2,Data!$L994='All Types'!$D$3),Data!$C994,"")</f>
        <v/>
      </c>
      <c r="E994" s="3" t="str">
        <f>IF($F994="","",Data!P994)</f>
        <v/>
      </c>
      <c r="F994" s="3" t="str">
        <f>IF(AND(Data!$B994='Individual Type'!$D$2, Data!$K994='All Types'!$D$2,Data!$L994='All Types'!$D$3),Data!M994,"")</f>
        <v/>
      </c>
    </row>
    <row r="995">
      <c r="A995" s="102" t="str">
        <f t="shared" si="1"/>
        <v/>
      </c>
      <c r="B995" s="3" t="str">
        <f>IF(AND(Data!$B995='Individual Type'!$D$2, Data!$K995='All Types'!$D$2,Data!$L995='All Types'!$D$3),Data!$B995,"")</f>
        <v/>
      </c>
      <c r="C995" s="3" t="str">
        <f>IF(F995="","",Data!N995)</f>
        <v/>
      </c>
      <c r="D995" s="3" t="str">
        <f>IF(AND(Data!$B995='Individual Type'!$D$2, Data!$K995='All Types'!$D$2,Data!$L995='All Types'!$D$3),Data!$C995,"")</f>
        <v/>
      </c>
      <c r="E995" s="3" t="str">
        <f>IF($F995="","",Data!P995)</f>
        <v/>
      </c>
      <c r="F995" s="3" t="str">
        <f>IF(AND(Data!$B995='Individual Type'!$D$2, Data!$K995='All Types'!$D$2,Data!$L995='All Types'!$D$3),Data!M995,"")</f>
        <v/>
      </c>
    </row>
    <row r="996">
      <c r="A996" s="102" t="str">
        <f t="shared" si="1"/>
        <v/>
      </c>
      <c r="B996" s="3" t="str">
        <f>IF(AND(Data!$B996='Individual Type'!$D$2, Data!$K996='All Types'!$D$2,Data!$L996='All Types'!$D$3),Data!$B996,"")</f>
        <v/>
      </c>
      <c r="C996" s="3" t="str">
        <f>IF(F996="","",Data!N996)</f>
        <v/>
      </c>
      <c r="D996" s="3" t="str">
        <f>IF(AND(Data!$B996='Individual Type'!$D$2, Data!$K996='All Types'!$D$2,Data!$L996='All Types'!$D$3),Data!$C996,"")</f>
        <v/>
      </c>
      <c r="E996" s="3" t="str">
        <f>IF($F996="","",Data!P996)</f>
        <v/>
      </c>
      <c r="F996" s="3" t="str">
        <f>IF(AND(Data!$B996='Individual Type'!$D$2, Data!$K996='All Types'!$D$2,Data!$L996='All Types'!$D$3),Data!M996,"")</f>
        <v/>
      </c>
    </row>
    <row r="997">
      <c r="A997" s="102" t="str">
        <f t="shared" si="1"/>
        <v/>
      </c>
      <c r="B997" s="3" t="str">
        <f>IF(AND(Data!$B997='Individual Type'!$D$2, Data!$K997='All Types'!$D$2,Data!$L997='All Types'!$D$3),Data!$B997,"")</f>
        <v/>
      </c>
      <c r="C997" s="3" t="str">
        <f>IF(F997="","",Data!N997)</f>
        <v/>
      </c>
      <c r="D997" s="3" t="str">
        <f>IF(AND(Data!$B997='Individual Type'!$D$2, Data!$K997='All Types'!$D$2,Data!$L997='All Types'!$D$3),Data!$C997,"")</f>
        <v/>
      </c>
      <c r="E997" s="3" t="str">
        <f>IF($F997="","",Data!P997)</f>
        <v/>
      </c>
      <c r="F997" s="3" t="str">
        <f>IF(AND(Data!$B997='Individual Type'!$D$2, Data!$K997='All Types'!$D$2,Data!$L997='All Types'!$D$3),Data!M997,"")</f>
        <v/>
      </c>
    </row>
    <row r="998">
      <c r="A998" s="102" t="str">
        <f t="shared" si="1"/>
        <v/>
      </c>
      <c r="B998" s="3" t="str">
        <f>IF(AND(Data!$B998='Individual Type'!$D$2, Data!$K998='All Types'!$D$2,Data!$L998='All Types'!$D$3),Data!$B998,"")</f>
        <v/>
      </c>
      <c r="C998" s="3" t="str">
        <f>IF(F998="","",Data!N998)</f>
        <v/>
      </c>
      <c r="D998" s="3" t="str">
        <f>IF(AND(Data!$B998='Individual Type'!$D$2, Data!$K998='All Types'!$D$2,Data!$L998='All Types'!$D$3),Data!$C998,"")</f>
        <v/>
      </c>
      <c r="E998" s="3" t="str">
        <f>IF($F998="","",Data!P998)</f>
        <v/>
      </c>
      <c r="F998" s="3" t="str">
        <f>IF(AND(Data!$B998='Individual Type'!$D$2, Data!$K998='All Types'!$D$2,Data!$L998='All Types'!$D$3),Data!M998,"")</f>
        <v/>
      </c>
    </row>
    <row r="999">
      <c r="A999" s="102" t="str">
        <f t="shared" si="1"/>
        <v/>
      </c>
      <c r="B999" s="3" t="str">
        <f>IF(AND(Data!$B999='Individual Type'!$D$2, Data!$K999='All Types'!$D$2,Data!$L999='All Types'!$D$3),Data!$B999,"")</f>
        <v/>
      </c>
      <c r="C999" s="3" t="str">
        <f>IF(F999="","",Data!N999)</f>
        <v/>
      </c>
      <c r="D999" s="3" t="str">
        <f>IF(AND(Data!$B999='Individual Type'!$D$2, Data!$K999='All Types'!$D$2,Data!$L999='All Types'!$D$3),Data!$C999,"")</f>
        <v/>
      </c>
      <c r="E999" s="3" t="str">
        <f>IF($F999="","",Data!P999)</f>
        <v/>
      </c>
      <c r="F999" s="3" t="str">
        <f>IF(AND(Data!$B999='Individual Type'!$D$2, Data!$K999='All Types'!$D$2,Data!$L999='All Types'!$D$3),Data!M999,"")</f>
        <v/>
      </c>
    </row>
    <row r="1000">
      <c r="A1000" s="102" t="str">
        <f t="shared" si="1"/>
        <v/>
      </c>
      <c r="B1000" s="3" t="str">
        <f>IF(AND(Data!$B1000='Individual Type'!$D$2, Data!$K1000='All Types'!$D$2,Data!$L1000='All Types'!$D$3),Data!$B1000,"")</f>
        <v/>
      </c>
      <c r="C1000" s="3" t="str">
        <f>IF(F1000="","",Data!N1000)</f>
        <v/>
      </c>
      <c r="D1000" s="3" t="str">
        <f>IF(AND(Data!$B1000='Individual Type'!$D$2, Data!$K1000='All Types'!$D$2,Data!$L1000='All Types'!$D$3),Data!$C1000,"")</f>
        <v/>
      </c>
      <c r="E1000" s="3" t="str">
        <f>IF($F1000="","",Data!P1000)</f>
        <v/>
      </c>
      <c r="F1000" s="3" t="str">
        <f>IF(AND(Data!$B1000='Individual Type'!$D$2, Data!$K1000='All Types'!$D$2,Data!$L1000='All Types'!$D$3),Data!M1000,"")</f>
        <v/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3" width="21.57"/>
  </cols>
  <sheetData>
    <row r="1">
      <c r="A1" s="104" t="s">
        <v>99</v>
      </c>
      <c r="B1" s="104" t="s">
        <v>100</v>
      </c>
      <c r="C1" s="105" t="s">
        <v>101</v>
      </c>
      <c r="D1" s="105" t="s">
        <v>102</v>
      </c>
      <c r="E1" s="105" t="s">
        <v>103</v>
      </c>
      <c r="F1" s="105" t="s">
        <v>104</v>
      </c>
      <c r="G1" s="105" t="s">
        <v>105</v>
      </c>
      <c r="H1" s="105" t="s">
        <v>106</v>
      </c>
      <c r="I1" s="105" t="s">
        <v>107</v>
      </c>
      <c r="J1" s="105" t="s">
        <v>53</v>
      </c>
      <c r="K1" s="105" t="s">
        <v>108</v>
      </c>
      <c r="L1" s="105" t="s">
        <v>109</v>
      </c>
      <c r="M1" s="105" t="s">
        <v>110</v>
      </c>
    </row>
    <row r="2">
      <c r="A2" s="106">
        <v>43912.532028483794</v>
      </c>
      <c r="B2" s="4" t="s">
        <v>111</v>
      </c>
      <c r="C2" s="4">
        <v>12.0</v>
      </c>
      <c r="D2" s="107" t="s">
        <v>112</v>
      </c>
      <c r="E2" s="4" t="s">
        <v>113</v>
      </c>
      <c r="H2" s="3" t="s">
        <v>114</v>
      </c>
    </row>
    <row r="3">
      <c r="A3" s="106">
        <v>43912.54251673611</v>
      </c>
      <c r="B3" s="4" t="s">
        <v>111</v>
      </c>
      <c r="C3" s="4">
        <v>19.0</v>
      </c>
      <c r="D3" s="107" t="s">
        <v>115</v>
      </c>
      <c r="E3" s="4" t="s">
        <v>113</v>
      </c>
      <c r="G3" s="4" t="s">
        <v>116</v>
      </c>
      <c r="H3" s="3" t="s">
        <v>114</v>
      </c>
      <c r="I3" s="108"/>
      <c r="J3" s="108"/>
      <c r="K3" s="108"/>
      <c r="L3" s="108"/>
      <c r="M3" s="108"/>
    </row>
    <row r="4">
      <c r="A4" s="106">
        <v>43912.545971087966</v>
      </c>
      <c r="B4" s="4" t="s">
        <v>117</v>
      </c>
      <c r="C4" s="4">
        <v>17.0</v>
      </c>
      <c r="D4" s="107" t="s">
        <v>118</v>
      </c>
      <c r="E4" s="4" t="s">
        <v>119</v>
      </c>
      <c r="H4" s="3" t="s">
        <v>114</v>
      </c>
    </row>
    <row r="5">
      <c r="A5" s="106">
        <v>43912.546194062495</v>
      </c>
      <c r="B5" s="4" t="s">
        <v>117</v>
      </c>
      <c r="C5" s="4">
        <v>16.0</v>
      </c>
      <c r="D5" s="107" t="s">
        <v>118</v>
      </c>
      <c r="E5" s="4" t="s">
        <v>120</v>
      </c>
      <c r="H5" s="3" t="s">
        <v>114</v>
      </c>
    </row>
    <row r="6">
      <c r="A6" s="106">
        <v>43912.5466175926</v>
      </c>
      <c r="B6" s="4" t="s">
        <v>117</v>
      </c>
      <c r="C6" s="4">
        <v>17.0</v>
      </c>
      <c r="D6" s="107" t="s">
        <v>121</v>
      </c>
      <c r="E6" s="4" t="s">
        <v>120</v>
      </c>
      <c r="H6" s="3" t="s">
        <v>114</v>
      </c>
    </row>
    <row r="7">
      <c r="A7" s="106">
        <v>43912.5469852199</v>
      </c>
      <c r="B7" s="4" t="s">
        <v>117</v>
      </c>
      <c r="C7" s="4">
        <v>17.0</v>
      </c>
      <c r="D7" s="107" t="s">
        <v>122</v>
      </c>
      <c r="E7" s="4" t="s">
        <v>120</v>
      </c>
      <c r="H7" s="4" t="s">
        <v>123</v>
      </c>
    </row>
    <row r="8">
      <c r="A8" s="106">
        <v>43912.54737162037</v>
      </c>
      <c r="B8" s="4" t="s">
        <v>117</v>
      </c>
      <c r="C8" s="4">
        <v>17.0</v>
      </c>
      <c r="D8" s="107" t="s">
        <v>118</v>
      </c>
      <c r="E8" s="4" t="s">
        <v>120</v>
      </c>
      <c r="H8" s="4" t="s">
        <v>123</v>
      </c>
    </row>
    <row r="9">
      <c r="A9" s="106">
        <v>43912.54765295138</v>
      </c>
      <c r="B9" s="4" t="s">
        <v>117</v>
      </c>
      <c r="C9" s="4">
        <v>17.0</v>
      </c>
      <c r="D9" s="107" t="s">
        <v>122</v>
      </c>
      <c r="E9" s="4" t="s">
        <v>124</v>
      </c>
      <c r="G9" s="4" t="s">
        <v>21</v>
      </c>
      <c r="H9" s="3" t="s">
        <v>114</v>
      </c>
      <c r="I9" s="108"/>
      <c r="J9" s="108"/>
      <c r="K9" s="108"/>
      <c r="L9" s="108"/>
      <c r="M9" s="108"/>
    </row>
    <row r="10">
      <c r="A10" s="106">
        <v>43912.54882296296</v>
      </c>
      <c r="B10" s="4" t="s">
        <v>117</v>
      </c>
      <c r="C10" s="4">
        <v>17.0</v>
      </c>
      <c r="D10" s="107" t="s">
        <v>125</v>
      </c>
      <c r="E10" s="4" t="s">
        <v>124</v>
      </c>
      <c r="H10" s="3" t="s">
        <v>114</v>
      </c>
    </row>
    <row r="11">
      <c r="A11" s="106">
        <v>43912.5492646412</v>
      </c>
      <c r="B11" s="4" t="s">
        <v>117</v>
      </c>
      <c r="C11" s="4">
        <v>17.0</v>
      </c>
      <c r="D11" s="107" t="s">
        <v>126</v>
      </c>
      <c r="E11" s="4" t="s">
        <v>120</v>
      </c>
      <c r="H11" s="4" t="s">
        <v>123</v>
      </c>
    </row>
    <row r="12">
      <c r="A12" s="106">
        <v>43912.54990616898</v>
      </c>
      <c r="B12" s="4" t="s">
        <v>117</v>
      </c>
      <c r="C12" s="4">
        <v>17.0</v>
      </c>
      <c r="D12" s="107" t="s">
        <v>127</v>
      </c>
      <c r="H12" s="3" t="s">
        <v>114</v>
      </c>
    </row>
    <row r="13">
      <c r="A13" s="106">
        <v>43912.55099048611</v>
      </c>
      <c r="B13" s="4" t="s">
        <v>117</v>
      </c>
      <c r="C13" s="4">
        <v>17.0</v>
      </c>
      <c r="D13" s="107" t="s">
        <v>128</v>
      </c>
      <c r="E13" s="4" t="s">
        <v>120</v>
      </c>
      <c r="G13" s="4" t="s">
        <v>17</v>
      </c>
      <c r="H13" s="3" t="s">
        <v>114</v>
      </c>
      <c r="I13" s="108"/>
      <c r="J13" s="108"/>
      <c r="K13" s="108"/>
      <c r="L13" s="108"/>
      <c r="M13" s="108"/>
    </row>
    <row r="14">
      <c r="A14" s="106">
        <v>43912.55145460648</v>
      </c>
      <c r="B14" s="4" t="s">
        <v>117</v>
      </c>
      <c r="C14" s="4">
        <v>18.0</v>
      </c>
      <c r="D14" s="107" t="s">
        <v>125</v>
      </c>
      <c r="E14" s="4" t="s">
        <v>120</v>
      </c>
      <c r="G14" s="4" t="s">
        <v>17</v>
      </c>
      <c r="H14" s="4" t="s">
        <v>123</v>
      </c>
      <c r="I14" s="108"/>
      <c r="J14" s="108"/>
      <c r="K14" s="108"/>
      <c r="L14" s="108"/>
      <c r="M14" s="108"/>
    </row>
    <row r="15">
      <c r="A15" s="106">
        <v>43912.55223339121</v>
      </c>
      <c r="B15" s="4" t="s">
        <v>117</v>
      </c>
      <c r="C15" s="4">
        <v>18.0</v>
      </c>
      <c r="D15" s="107" t="s">
        <v>112</v>
      </c>
      <c r="E15" s="4" t="s">
        <v>120</v>
      </c>
      <c r="G15" s="4" t="s">
        <v>17</v>
      </c>
      <c r="H15" s="4" t="s">
        <v>123</v>
      </c>
      <c r="I15" s="108"/>
      <c r="J15" s="108"/>
      <c r="K15" s="108"/>
      <c r="L15" s="108"/>
      <c r="M15" s="108"/>
    </row>
    <row r="16">
      <c r="A16" s="106">
        <v>43912.55257616898</v>
      </c>
      <c r="B16" s="4" t="s">
        <v>129</v>
      </c>
      <c r="C16" s="4">
        <v>20.0</v>
      </c>
      <c r="D16" s="107" t="s">
        <v>130</v>
      </c>
      <c r="E16" s="4" t="s">
        <v>119</v>
      </c>
      <c r="H16" s="3" t="s">
        <v>114</v>
      </c>
    </row>
    <row r="17">
      <c r="A17" s="106">
        <v>43912.55299280093</v>
      </c>
      <c r="B17" s="4" t="s">
        <v>129</v>
      </c>
      <c r="C17" s="4">
        <v>19.0</v>
      </c>
      <c r="D17" s="107" t="s">
        <v>131</v>
      </c>
      <c r="E17" s="4" t="s">
        <v>124</v>
      </c>
      <c r="H17" s="3" t="s">
        <v>114</v>
      </c>
    </row>
    <row r="18">
      <c r="A18" s="106">
        <v>43912.55503023148</v>
      </c>
      <c r="B18" s="4" t="s">
        <v>117</v>
      </c>
      <c r="C18" s="4">
        <v>15.0</v>
      </c>
      <c r="D18" s="107" t="s">
        <v>132</v>
      </c>
      <c r="E18" s="4" t="s">
        <v>124</v>
      </c>
      <c r="F18" s="4" t="s">
        <v>133</v>
      </c>
      <c r="H18" s="3" t="s">
        <v>114</v>
      </c>
    </row>
    <row r="19">
      <c r="A19" s="106">
        <v>43912.55587517361</v>
      </c>
      <c r="B19" s="4" t="s">
        <v>129</v>
      </c>
      <c r="C19" s="4">
        <v>18.0</v>
      </c>
      <c r="D19" s="107" t="s">
        <v>132</v>
      </c>
      <c r="E19" s="4" t="s">
        <v>120</v>
      </c>
      <c r="H19" s="4" t="s">
        <v>123</v>
      </c>
    </row>
    <row r="20">
      <c r="A20" s="106">
        <v>43912.55690148148</v>
      </c>
      <c r="B20" s="4" t="s">
        <v>117</v>
      </c>
      <c r="C20" s="4">
        <v>12.0</v>
      </c>
      <c r="D20" s="107" t="s">
        <v>112</v>
      </c>
      <c r="F20" s="4" t="s">
        <v>133</v>
      </c>
      <c r="H20" s="3" t="s">
        <v>114</v>
      </c>
    </row>
    <row r="21">
      <c r="A21" s="106">
        <v>43912.557924988425</v>
      </c>
      <c r="B21" s="4" t="s">
        <v>134</v>
      </c>
      <c r="C21" s="4">
        <v>17.0</v>
      </c>
      <c r="D21" s="107" t="s">
        <v>135</v>
      </c>
      <c r="E21" s="4" t="s">
        <v>120</v>
      </c>
      <c r="H21" s="3" t="s">
        <v>114</v>
      </c>
    </row>
    <row r="22">
      <c r="A22" s="106">
        <v>43912.55824835648</v>
      </c>
      <c r="B22" s="4" t="s">
        <v>134</v>
      </c>
      <c r="C22" s="4">
        <v>18.0</v>
      </c>
      <c r="D22" s="107" t="s">
        <v>112</v>
      </c>
      <c r="E22" s="4" t="s">
        <v>120</v>
      </c>
      <c r="H22" s="3" t="s">
        <v>114</v>
      </c>
    </row>
    <row r="23">
      <c r="A23" s="106">
        <v>43912.55909491898</v>
      </c>
      <c r="B23" s="4" t="s">
        <v>134</v>
      </c>
      <c r="C23" s="4">
        <v>19.0</v>
      </c>
      <c r="D23" s="107" t="s">
        <v>112</v>
      </c>
      <c r="E23" s="4" t="s">
        <v>120</v>
      </c>
      <c r="G23" s="4" t="s">
        <v>21</v>
      </c>
      <c r="H23" s="3" t="s">
        <v>114</v>
      </c>
      <c r="I23" s="108"/>
      <c r="J23" s="108"/>
      <c r="K23" s="108"/>
      <c r="L23" s="108"/>
      <c r="M23" s="108"/>
    </row>
    <row r="24">
      <c r="A24" s="106">
        <v>43912.55962140046</v>
      </c>
      <c r="B24" s="4" t="s">
        <v>134</v>
      </c>
      <c r="C24" s="4">
        <v>20.0</v>
      </c>
      <c r="D24" s="107" t="s">
        <v>118</v>
      </c>
      <c r="E24" s="4" t="s">
        <v>119</v>
      </c>
      <c r="H24" s="3" t="s">
        <v>114</v>
      </c>
    </row>
    <row r="25">
      <c r="A25" s="106">
        <v>43912.56010368056</v>
      </c>
      <c r="B25" s="4" t="s">
        <v>134</v>
      </c>
      <c r="C25" s="4">
        <v>20.0</v>
      </c>
      <c r="D25" s="107" t="s">
        <v>128</v>
      </c>
      <c r="E25" s="4" t="s">
        <v>120</v>
      </c>
      <c r="H25" s="4" t="s">
        <v>123</v>
      </c>
    </row>
    <row r="26">
      <c r="A26" s="106">
        <v>43912.56075665509</v>
      </c>
      <c r="B26" s="4" t="s">
        <v>134</v>
      </c>
      <c r="C26" s="4">
        <v>20.0</v>
      </c>
      <c r="D26" s="107" t="s">
        <v>136</v>
      </c>
      <c r="E26" s="4" t="s">
        <v>120</v>
      </c>
      <c r="H26" s="4" t="s">
        <v>123</v>
      </c>
    </row>
    <row r="27">
      <c r="A27" s="106">
        <v>43912.56111819444</v>
      </c>
      <c r="B27" s="4" t="s">
        <v>134</v>
      </c>
      <c r="C27" s="4">
        <v>20.0</v>
      </c>
      <c r="D27" s="107" t="s">
        <v>128</v>
      </c>
      <c r="E27" s="4" t="s">
        <v>120</v>
      </c>
      <c r="H27" s="4" t="s">
        <v>123</v>
      </c>
    </row>
    <row r="28">
      <c r="A28" s="106">
        <v>43912.561695798606</v>
      </c>
      <c r="B28" s="4" t="s">
        <v>137</v>
      </c>
      <c r="C28" s="4">
        <v>17.0</v>
      </c>
      <c r="D28" s="107" t="s">
        <v>138</v>
      </c>
      <c r="E28" s="4" t="s">
        <v>113</v>
      </c>
      <c r="H28" s="3" t="s">
        <v>114</v>
      </c>
    </row>
    <row r="29">
      <c r="A29" s="106">
        <v>43912.56266232639</v>
      </c>
      <c r="B29" s="4" t="s">
        <v>137</v>
      </c>
      <c r="C29" s="4">
        <v>21.0</v>
      </c>
      <c r="D29" s="107" t="s">
        <v>112</v>
      </c>
      <c r="E29" s="4" t="s">
        <v>120</v>
      </c>
      <c r="H29" s="3" t="s">
        <v>114</v>
      </c>
    </row>
    <row r="30">
      <c r="A30" s="106">
        <v>43912.56313701389</v>
      </c>
      <c r="B30" s="4" t="s">
        <v>137</v>
      </c>
      <c r="C30" s="4">
        <v>22.0</v>
      </c>
      <c r="D30" s="107" t="s">
        <v>118</v>
      </c>
      <c r="E30" s="4" t="s">
        <v>120</v>
      </c>
      <c r="H30" s="4" t="s">
        <v>123</v>
      </c>
    </row>
    <row r="31">
      <c r="A31" s="106">
        <v>43912.56347792824</v>
      </c>
      <c r="B31" s="4" t="s">
        <v>137</v>
      </c>
      <c r="C31" s="4">
        <v>22.0</v>
      </c>
      <c r="D31" s="107" t="s">
        <v>112</v>
      </c>
      <c r="E31" s="4" t="s">
        <v>120</v>
      </c>
      <c r="G31" s="4" t="s">
        <v>17</v>
      </c>
      <c r="H31" s="4" t="s">
        <v>123</v>
      </c>
      <c r="I31" s="108"/>
      <c r="J31" s="108"/>
      <c r="K31" s="108"/>
      <c r="L31" s="108"/>
      <c r="M31" s="108"/>
    </row>
    <row r="32">
      <c r="A32" s="106">
        <v>43912.56411789352</v>
      </c>
      <c r="B32" s="4" t="s">
        <v>139</v>
      </c>
      <c r="C32" s="4">
        <v>18.0</v>
      </c>
      <c r="D32" s="107" t="s">
        <v>140</v>
      </c>
      <c r="E32" s="4" t="s">
        <v>141</v>
      </c>
      <c r="H32" s="3" t="s">
        <v>114</v>
      </c>
    </row>
    <row r="33">
      <c r="A33" s="106">
        <v>43912.566841990745</v>
      </c>
      <c r="B33" s="4" t="s">
        <v>142</v>
      </c>
      <c r="C33" s="4">
        <v>19.0</v>
      </c>
      <c r="D33" s="107" t="s">
        <v>135</v>
      </c>
      <c r="E33" s="4" t="s">
        <v>113</v>
      </c>
      <c r="G33" s="4" t="s">
        <v>21</v>
      </c>
      <c r="H33" s="3" t="s">
        <v>114</v>
      </c>
      <c r="I33" s="108"/>
      <c r="J33" s="108"/>
      <c r="K33" s="108"/>
      <c r="L33" s="108"/>
      <c r="M33" s="108"/>
    </row>
    <row r="34">
      <c r="A34" s="106">
        <v>43913.42453063658</v>
      </c>
      <c r="B34" s="4" t="s">
        <v>139</v>
      </c>
      <c r="C34" s="4">
        <v>20.0</v>
      </c>
      <c r="D34" s="107" t="s">
        <v>143</v>
      </c>
      <c r="E34" s="4" t="s">
        <v>120</v>
      </c>
      <c r="G34" s="4" t="s">
        <v>17</v>
      </c>
      <c r="H34" s="4" t="s">
        <v>123</v>
      </c>
      <c r="I34" s="108"/>
      <c r="J34" s="108"/>
      <c r="K34" s="108"/>
      <c r="L34" s="108"/>
      <c r="M34" s="108"/>
    </row>
    <row r="35">
      <c r="A35" s="106">
        <v>43914.37918497685</v>
      </c>
      <c r="B35" s="4" t="s">
        <v>142</v>
      </c>
      <c r="C35" s="4">
        <v>22.0</v>
      </c>
      <c r="D35" s="107" t="s">
        <v>112</v>
      </c>
      <c r="E35" s="4" t="s">
        <v>120</v>
      </c>
      <c r="G35" s="4" t="s">
        <v>17</v>
      </c>
      <c r="H35" s="3" t="s">
        <v>114</v>
      </c>
      <c r="I35" s="108"/>
      <c r="J35" s="108"/>
      <c r="K35" s="108"/>
      <c r="L35" s="108"/>
      <c r="M35" s="108"/>
    </row>
    <row r="36">
      <c r="A36" s="106">
        <v>43915.88899431713</v>
      </c>
      <c r="B36" s="4" t="s">
        <v>117</v>
      </c>
      <c r="C36" s="4">
        <v>18.0</v>
      </c>
      <c r="D36" s="107" t="s">
        <v>135</v>
      </c>
      <c r="E36" s="4" t="s">
        <v>120</v>
      </c>
      <c r="G36" s="4" t="s">
        <v>17</v>
      </c>
      <c r="H36" s="4" t="s">
        <v>123</v>
      </c>
    </row>
    <row r="37">
      <c r="A37" s="106">
        <v>43916.42693097222</v>
      </c>
      <c r="B37" s="4" t="s">
        <v>139</v>
      </c>
      <c r="C37" s="4">
        <v>22.0</v>
      </c>
      <c r="D37" s="107" t="s">
        <v>130</v>
      </c>
      <c r="E37" s="4" t="s">
        <v>124</v>
      </c>
      <c r="G37" s="4" t="s">
        <v>17</v>
      </c>
      <c r="H37" s="4" t="s">
        <v>144</v>
      </c>
    </row>
    <row r="38">
      <c r="A38" s="106">
        <v>43917.382708703706</v>
      </c>
      <c r="B38" s="4" t="s">
        <v>142</v>
      </c>
      <c r="C38" s="4">
        <v>23.0</v>
      </c>
      <c r="D38" s="107" t="s">
        <v>130</v>
      </c>
      <c r="E38" s="4" t="s">
        <v>145</v>
      </c>
      <c r="G38" s="4" t="s">
        <v>17</v>
      </c>
      <c r="H38" s="4" t="s">
        <v>123</v>
      </c>
    </row>
    <row r="39">
      <c r="A39" s="106">
        <v>43918.443191342594</v>
      </c>
      <c r="B39" s="4" t="s">
        <v>117</v>
      </c>
      <c r="C39" s="4">
        <v>19.0</v>
      </c>
      <c r="D39" s="107" t="s">
        <v>130</v>
      </c>
      <c r="E39" s="4" t="s">
        <v>145</v>
      </c>
      <c r="G39" s="4" t="s">
        <v>17</v>
      </c>
      <c r="H39" s="4" t="s">
        <v>123</v>
      </c>
    </row>
    <row r="40">
      <c r="A40" s="106">
        <v>43918.46124672454</v>
      </c>
      <c r="B40" s="4" t="s">
        <v>139</v>
      </c>
      <c r="C40" s="4">
        <v>21.0</v>
      </c>
      <c r="D40" s="107" t="s">
        <v>130</v>
      </c>
      <c r="E40" s="4" t="s">
        <v>145</v>
      </c>
      <c r="G40" s="4" t="s">
        <v>17</v>
      </c>
      <c r="H40" s="4" t="s">
        <v>123</v>
      </c>
    </row>
    <row r="41">
      <c r="A41" s="106">
        <v>43919.46787050926</v>
      </c>
      <c r="B41" s="4" t="s">
        <v>117</v>
      </c>
      <c r="C41" s="4">
        <v>19.0</v>
      </c>
      <c r="D41" s="107" t="s">
        <v>121</v>
      </c>
      <c r="E41" s="4" t="s">
        <v>145</v>
      </c>
      <c r="G41" s="4" t="s">
        <v>17</v>
      </c>
      <c r="H41" s="4" t="s">
        <v>123</v>
      </c>
    </row>
    <row r="42">
      <c r="A42" s="106">
        <v>43919.83004451389</v>
      </c>
      <c r="B42" s="4" t="s">
        <v>139</v>
      </c>
      <c r="C42" s="4">
        <v>21.0</v>
      </c>
      <c r="D42" s="107" t="s">
        <v>136</v>
      </c>
      <c r="E42" s="4" t="s">
        <v>145</v>
      </c>
      <c r="G42" s="4" t="s">
        <v>17</v>
      </c>
      <c r="H42" s="4" t="s">
        <v>123</v>
      </c>
    </row>
    <row r="43">
      <c r="A43" s="106">
        <v>43920.431062592594</v>
      </c>
      <c r="B43" s="4" t="s">
        <v>142</v>
      </c>
      <c r="C43" s="4">
        <v>23.0</v>
      </c>
      <c r="D43" s="107" t="s">
        <v>135</v>
      </c>
      <c r="E43" s="4" t="s">
        <v>113</v>
      </c>
      <c r="G43" s="4" t="s">
        <v>17</v>
      </c>
      <c r="H43" s="4" t="s">
        <v>144</v>
      </c>
    </row>
    <row r="44">
      <c r="A44" s="106">
        <v>43921.39330295139</v>
      </c>
      <c r="B44" s="4" t="s">
        <v>142</v>
      </c>
      <c r="C44" s="4">
        <v>23.0</v>
      </c>
      <c r="D44" s="107" t="s">
        <v>146</v>
      </c>
      <c r="E44" s="4" t="s">
        <v>145</v>
      </c>
      <c r="G44" s="4" t="s">
        <v>17</v>
      </c>
      <c r="H44" s="4" t="s">
        <v>123</v>
      </c>
    </row>
    <row r="45">
      <c r="A45" s="106">
        <v>43922.3917481713</v>
      </c>
      <c r="B45" s="4" t="s">
        <v>117</v>
      </c>
      <c r="C45" s="4">
        <v>20.0</v>
      </c>
      <c r="D45" s="107" t="s">
        <v>130</v>
      </c>
      <c r="E45" s="4" t="s">
        <v>119</v>
      </c>
      <c r="G45" s="4" t="s">
        <v>17</v>
      </c>
      <c r="H45" s="4" t="s">
        <v>123</v>
      </c>
    </row>
    <row r="46">
      <c r="A46" s="106">
        <v>43923.385633287035</v>
      </c>
      <c r="B46" s="4" t="s">
        <v>117</v>
      </c>
      <c r="C46" s="4">
        <v>20.0</v>
      </c>
      <c r="D46" s="107" t="s">
        <v>118</v>
      </c>
      <c r="E46" s="4" t="s">
        <v>124</v>
      </c>
      <c r="G46" s="4" t="s">
        <v>17</v>
      </c>
      <c r="H46" s="4" t="s">
        <v>123</v>
      </c>
    </row>
    <row r="47">
      <c r="A47" s="106">
        <v>43924.393763622684</v>
      </c>
      <c r="B47" s="4" t="s">
        <v>142</v>
      </c>
      <c r="C47" s="4">
        <v>20.0</v>
      </c>
      <c r="D47" s="107" t="s">
        <v>140</v>
      </c>
      <c r="E47" s="4" t="s">
        <v>113</v>
      </c>
      <c r="G47" s="4" t="s">
        <v>17</v>
      </c>
    </row>
    <row r="48">
      <c r="A48" s="106">
        <v>43925.447002569446</v>
      </c>
      <c r="B48" s="4" t="s">
        <v>139</v>
      </c>
      <c r="C48" s="4">
        <v>21.0</v>
      </c>
      <c r="D48" s="107" t="s">
        <v>147</v>
      </c>
      <c r="E48" s="4" t="s">
        <v>113</v>
      </c>
      <c r="G48" s="4" t="s">
        <v>21</v>
      </c>
      <c r="J48" s="4">
        <v>1.45</v>
      </c>
    </row>
    <row r="49">
      <c r="A49" s="106">
        <v>43925.4561706713</v>
      </c>
      <c r="B49" s="4" t="s">
        <v>117</v>
      </c>
      <c r="C49" s="4">
        <v>21.0</v>
      </c>
      <c r="D49" s="107" t="s">
        <v>148</v>
      </c>
      <c r="E49" s="4" t="s">
        <v>119</v>
      </c>
      <c r="G49" s="4" t="s">
        <v>17</v>
      </c>
      <c r="H49" s="4" t="s">
        <v>123</v>
      </c>
      <c r="J49" s="4">
        <v>1.59</v>
      </c>
    </row>
    <row r="50">
      <c r="A50" s="106">
        <v>43925.868900127316</v>
      </c>
      <c r="B50" s="4" t="s">
        <v>137</v>
      </c>
      <c r="C50" s="4">
        <v>23.0</v>
      </c>
      <c r="D50" s="107" t="s">
        <v>148</v>
      </c>
      <c r="E50" s="4" t="s">
        <v>124</v>
      </c>
      <c r="G50" s="4" t="s">
        <v>17</v>
      </c>
      <c r="H50" s="4" t="s">
        <v>123</v>
      </c>
    </row>
    <row r="51">
      <c r="A51" s="106">
        <v>43926.475761863425</v>
      </c>
      <c r="B51" s="4" t="s">
        <v>68</v>
      </c>
      <c r="C51" s="4">
        <v>20.0</v>
      </c>
      <c r="D51" s="107" t="s">
        <v>149</v>
      </c>
      <c r="E51" s="4" t="s">
        <v>141</v>
      </c>
      <c r="G51" s="4" t="s">
        <v>17</v>
      </c>
      <c r="H51" s="4" t="s">
        <v>123</v>
      </c>
    </row>
    <row r="52">
      <c r="A52" s="106">
        <v>43926.476302511575</v>
      </c>
      <c r="B52" s="4" t="s">
        <v>117</v>
      </c>
      <c r="C52" s="4">
        <v>21.0</v>
      </c>
      <c r="D52" s="107" t="s">
        <v>150</v>
      </c>
      <c r="E52" s="4" t="s">
        <v>119</v>
      </c>
      <c r="G52" s="4" t="s">
        <v>17</v>
      </c>
      <c r="H52" s="4" t="s">
        <v>123</v>
      </c>
    </row>
    <row r="53">
      <c r="A53" s="106">
        <v>43926.890436574075</v>
      </c>
      <c r="B53" s="4" t="s">
        <v>137</v>
      </c>
      <c r="C53" s="4">
        <v>24.0</v>
      </c>
      <c r="D53" s="107" t="s">
        <v>151</v>
      </c>
      <c r="E53" s="4" t="s">
        <v>145</v>
      </c>
      <c r="G53" s="4" t="s">
        <v>17</v>
      </c>
      <c r="H53" s="4" t="s">
        <v>123</v>
      </c>
    </row>
    <row r="54">
      <c r="A54" s="106">
        <v>43928.36847255787</v>
      </c>
      <c r="B54" s="4" t="s">
        <v>68</v>
      </c>
      <c r="C54" s="4">
        <v>22.0</v>
      </c>
      <c r="D54" s="107" t="s">
        <v>152</v>
      </c>
      <c r="E54" s="4" t="s">
        <v>145</v>
      </c>
      <c r="G54" s="4" t="s">
        <v>17</v>
      </c>
      <c r="H54" s="4" t="s">
        <v>123</v>
      </c>
    </row>
    <row r="55">
      <c r="A55" s="106">
        <v>43928.85090793981</v>
      </c>
      <c r="B55" s="4" t="s">
        <v>68</v>
      </c>
      <c r="C55" s="4">
        <v>23.0</v>
      </c>
      <c r="D55" s="107" t="s">
        <v>130</v>
      </c>
      <c r="E55" s="4" t="s">
        <v>145</v>
      </c>
      <c r="G55" s="4" t="s">
        <v>17</v>
      </c>
      <c r="H55" s="4" t="s">
        <v>123</v>
      </c>
    </row>
    <row r="56">
      <c r="A56" s="106">
        <v>43930.36419042824</v>
      </c>
      <c r="B56" s="4" t="s">
        <v>68</v>
      </c>
      <c r="C56" s="4">
        <v>24.0</v>
      </c>
      <c r="D56" s="107" t="s">
        <v>136</v>
      </c>
      <c r="E56" s="4" t="s">
        <v>119</v>
      </c>
      <c r="G56" s="4" t="s">
        <v>17</v>
      </c>
      <c r="H56" s="4" t="s">
        <v>123</v>
      </c>
    </row>
    <row r="57">
      <c r="A57" s="106">
        <v>43930.43724659723</v>
      </c>
      <c r="B57" s="4" t="s">
        <v>142</v>
      </c>
      <c r="C57" s="4">
        <v>24.0</v>
      </c>
      <c r="D57" s="107" t="s">
        <v>128</v>
      </c>
      <c r="E57" s="4" t="s">
        <v>153</v>
      </c>
      <c r="G57" s="4" t="s">
        <v>17</v>
      </c>
      <c r="H57" s="4" t="s">
        <v>123</v>
      </c>
    </row>
    <row r="58">
      <c r="A58" s="106">
        <v>43932.849270833336</v>
      </c>
      <c r="B58" s="4" t="s">
        <v>68</v>
      </c>
      <c r="C58" s="4">
        <v>24.0</v>
      </c>
      <c r="D58" s="107" t="s">
        <v>118</v>
      </c>
      <c r="E58" s="4" t="s">
        <v>124</v>
      </c>
      <c r="G58" s="4" t="s">
        <v>17</v>
      </c>
      <c r="H58" s="4" t="s">
        <v>123</v>
      </c>
    </row>
    <row r="59">
      <c r="A59" s="106">
        <v>43933.424751631945</v>
      </c>
      <c r="B59" s="4" t="s">
        <v>137</v>
      </c>
      <c r="C59" s="4">
        <v>24.0</v>
      </c>
      <c r="D59" s="107" t="s">
        <v>146</v>
      </c>
      <c r="E59" s="4" t="s">
        <v>145</v>
      </c>
      <c r="G59" s="4" t="s">
        <v>17</v>
      </c>
      <c r="H59" s="4" t="s">
        <v>123</v>
      </c>
    </row>
    <row r="60">
      <c r="A60" s="106">
        <v>43933.444561111115</v>
      </c>
      <c r="B60" s="4" t="s">
        <v>117</v>
      </c>
      <c r="C60" s="4">
        <v>21.0</v>
      </c>
      <c r="D60" s="107" t="s">
        <v>122</v>
      </c>
      <c r="E60" s="4" t="s">
        <v>154</v>
      </c>
      <c r="G60" s="4" t="s">
        <v>17</v>
      </c>
      <c r="H60" s="4" t="s">
        <v>123</v>
      </c>
    </row>
    <row r="61">
      <c r="A61" s="106">
        <v>43933.44483439815</v>
      </c>
      <c r="B61" s="4" t="s">
        <v>117</v>
      </c>
      <c r="C61" s="4">
        <v>20.0</v>
      </c>
      <c r="D61" s="107" t="s">
        <v>150</v>
      </c>
      <c r="E61" s="4" t="s">
        <v>154</v>
      </c>
      <c r="G61" s="4" t="s">
        <v>17</v>
      </c>
      <c r="H61" s="4" t="s">
        <v>123</v>
      </c>
    </row>
    <row r="62">
      <c r="A62" s="106">
        <v>43933.80231920139</v>
      </c>
      <c r="B62" s="4" t="s">
        <v>139</v>
      </c>
      <c r="C62" s="4">
        <v>21.0</v>
      </c>
      <c r="D62" s="107" t="s">
        <v>118</v>
      </c>
      <c r="E62" s="4" t="s">
        <v>119</v>
      </c>
      <c r="G62" s="4" t="s">
        <v>17</v>
      </c>
      <c r="H62" s="4" t="s">
        <v>123</v>
      </c>
    </row>
    <row r="63">
      <c r="A63" s="106">
        <v>43933.93426271991</v>
      </c>
      <c r="B63" s="4" t="s">
        <v>137</v>
      </c>
      <c r="C63" s="4">
        <v>24.0</v>
      </c>
      <c r="D63" s="107" t="s">
        <v>118</v>
      </c>
      <c r="E63" s="4" t="s">
        <v>119</v>
      </c>
      <c r="G63" s="4" t="s">
        <v>17</v>
      </c>
      <c r="H63" s="4" t="s">
        <v>123</v>
      </c>
    </row>
    <row r="64">
      <c r="A64" s="106">
        <v>43934.87826145833</v>
      </c>
      <c r="B64" s="4" t="s">
        <v>139</v>
      </c>
      <c r="C64" s="4">
        <v>21.0</v>
      </c>
      <c r="D64" s="107" t="s">
        <v>118</v>
      </c>
      <c r="E64" s="4" t="s">
        <v>119</v>
      </c>
      <c r="G64" s="4" t="s">
        <v>17</v>
      </c>
      <c r="H64" s="4" t="s">
        <v>123</v>
      </c>
    </row>
    <row r="65">
      <c r="A65" s="106">
        <v>43935.79343200232</v>
      </c>
      <c r="B65" s="4" t="s">
        <v>68</v>
      </c>
      <c r="C65" s="4">
        <v>23.0</v>
      </c>
      <c r="D65" s="107" t="s">
        <v>155</v>
      </c>
      <c r="E65" s="4" t="s">
        <v>124</v>
      </c>
      <c r="G65" s="4" t="s">
        <v>17</v>
      </c>
      <c r="H65" s="4" t="s">
        <v>123</v>
      </c>
    </row>
    <row r="66">
      <c r="A66" s="106">
        <v>43937.371214479164</v>
      </c>
      <c r="B66" s="4" t="s">
        <v>117</v>
      </c>
      <c r="C66" s="4">
        <v>20.0</v>
      </c>
      <c r="D66" s="107" t="s">
        <v>127</v>
      </c>
      <c r="E66" s="4" t="s">
        <v>124</v>
      </c>
      <c r="G66" s="4" t="s">
        <v>17</v>
      </c>
      <c r="H66" s="4" t="s">
        <v>123</v>
      </c>
    </row>
    <row r="67">
      <c r="A67" s="106">
        <v>43938.37260199074</v>
      </c>
      <c r="B67" s="4" t="s">
        <v>142</v>
      </c>
      <c r="C67" s="4">
        <v>23.0</v>
      </c>
      <c r="D67" s="107" t="s">
        <v>146</v>
      </c>
      <c r="E67" s="4" t="s">
        <v>153</v>
      </c>
      <c r="G67" s="4" t="s">
        <v>17</v>
      </c>
      <c r="H67" s="4" t="s">
        <v>123</v>
      </c>
    </row>
    <row r="68">
      <c r="A68" s="106">
        <v>43939.413855520834</v>
      </c>
      <c r="B68" s="4" t="s">
        <v>142</v>
      </c>
      <c r="C68" s="4">
        <v>22.0</v>
      </c>
      <c r="D68" s="107" t="s">
        <v>130</v>
      </c>
      <c r="E68" s="4" t="s">
        <v>113</v>
      </c>
      <c r="G68" s="4" t="s">
        <v>17</v>
      </c>
      <c r="H68" s="4" t="s">
        <v>123</v>
      </c>
    </row>
    <row r="69">
      <c r="A69" s="106">
        <v>43939.439629305554</v>
      </c>
      <c r="B69" s="4" t="s">
        <v>137</v>
      </c>
      <c r="C69" s="4">
        <v>23.0</v>
      </c>
      <c r="D69" s="107" t="s">
        <v>156</v>
      </c>
      <c r="E69" s="4" t="s">
        <v>119</v>
      </c>
      <c r="G69" s="4" t="s">
        <v>17</v>
      </c>
      <c r="H69" s="4" t="s">
        <v>123</v>
      </c>
      <c r="I69" s="4">
        <v>20.0</v>
      </c>
    </row>
    <row r="70">
      <c r="A70" s="106">
        <v>43940.45594832176</v>
      </c>
      <c r="B70" s="4" t="s">
        <v>117</v>
      </c>
      <c r="C70" s="4">
        <v>20.0</v>
      </c>
      <c r="D70" s="107" t="s">
        <v>146</v>
      </c>
      <c r="E70" s="4" t="s">
        <v>154</v>
      </c>
      <c r="G70" s="4" t="s">
        <v>17</v>
      </c>
      <c r="H70" s="4" t="s">
        <v>123</v>
      </c>
    </row>
    <row r="71">
      <c r="H71" s="3" t="s">
        <v>114</v>
      </c>
    </row>
    <row r="72">
      <c r="H72" s="3" t="s">
        <v>114</v>
      </c>
    </row>
    <row r="73">
      <c r="H73" s="3" t="s">
        <v>114</v>
      </c>
    </row>
    <row r="74">
      <c r="H74" s="3" t="s">
        <v>114</v>
      </c>
    </row>
    <row r="75">
      <c r="H75" s="3" t="s">
        <v>114</v>
      </c>
    </row>
    <row r="76">
      <c r="H76" s="3" t="s">
        <v>114</v>
      </c>
    </row>
    <row r="77">
      <c r="H77" s="3" t="s">
        <v>114</v>
      </c>
    </row>
    <row r="78">
      <c r="H78" s="3" t="s">
        <v>114</v>
      </c>
    </row>
    <row r="79">
      <c r="H79" s="3" t="s">
        <v>114</v>
      </c>
    </row>
    <row r="80">
      <c r="H80" s="3" t="s">
        <v>114</v>
      </c>
    </row>
    <row r="81">
      <c r="H81" s="3" t="s">
        <v>114</v>
      </c>
    </row>
    <row r="82">
      <c r="H82" s="3" t="s">
        <v>114</v>
      </c>
    </row>
    <row r="83">
      <c r="H83" s="3" t="s">
        <v>114</v>
      </c>
    </row>
    <row r="84">
      <c r="H84" s="3" t="s">
        <v>114</v>
      </c>
    </row>
    <row r="85">
      <c r="H85" s="3" t="s">
        <v>114</v>
      </c>
    </row>
    <row r="86">
      <c r="H86" s="3" t="s">
        <v>114</v>
      </c>
    </row>
    <row r="87">
      <c r="H87" s="3" t="s">
        <v>114</v>
      </c>
    </row>
    <row r="88">
      <c r="H88" s="3" t="s">
        <v>114</v>
      </c>
    </row>
    <row r="89">
      <c r="H89" s="3" t="s">
        <v>114</v>
      </c>
    </row>
    <row r="90">
      <c r="H90" s="3" t="s">
        <v>114</v>
      </c>
    </row>
    <row r="91">
      <c r="H91" s="3" t="s">
        <v>114</v>
      </c>
    </row>
    <row r="92">
      <c r="H92" s="3" t="s">
        <v>114</v>
      </c>
    </row>
    <row r="93">
      <c r="H93" s="3" t="s">
        <v>114</v>
      </c>
    </row>
    <row r="94">
      <c r="H94" s="3" t="s">
        <v>114</v>
      </c>
    </row>
    <row r="95">
      <c r="H95" s="3" t="s">
        <v>114</v>
      </c>
    </row>
    <row r="96">
      <c r="H96" s="3" t="s">
        <v>114</v>
      </c>
    </row>
    <row r="97">
      <c r="H97" s="3" t="s">
        <v>114</v>
      </c>
    </row>
    <row r="98">
      <c r="H98" s="3" t="s">
        <v>114</v>
      </c>
    </row>
    <row r="99">
      <c r="H99" s="3" t="s">
        <v>114</v>
      </c>
    </row>
    <row r="100">
      <c r="H100" s="3" t="s">
        <v>114</v>
      </c>
    </row>
    <row r="101">
      <c r="H101" s="3" t="s">
        <v>114</v>
      </c>
    </row>
    <row r="102">
      <c r="H102" s="3" t="s">
        <v>114</v>
      </c>
    </row>
    <row r="103">
      <c r="H103" s="3" t="s">
        <v>114</v>
      </c>
    </row>
    <row r="104">
      <c r="H104" s="3" t="s">
        <v>114</v>
      </c>
    </row>
    <row r="105">
      <c r="H105" s="3" t="s">
        <v>114</v>
      </c>
    </row>
    <row r="106">
      <c r="H106" s="3" t="s">
        <v>114</v>
      </c>
    </row>
    <row r="107">
      <c r="H107" s="3" t="s">
        <v>114</v>
      </c>
    </row>
    <row r="108">
      <c r="H108" s="3" t="s">
        <v>114</v>
      </c>
    </row>
    <row r="109">
      <c r="H109" s="3" t="s">
        <v>114</v>
      </c>
    </row>
    <row r="110">
      <c r="H110" s="3" t="s">
        <v>114</v>
      </c>
    </row>
    <row r="111">
      <c r="H111" s="3" t="s">
        <v>114</v>
      </c>
    </row>
    <row r="112">
      <c r="H112" s="3" t="s">
        <v>114</v>
      </c>
    </row>
    <row r="113">
      <c r="H113" s="3" t="s">
        <v>114</v>
      </c>
    </row>
    <row r="114">
      <c r="H114" s="3" t="s">
        <v>114</v>
      </c>
    </row>
    <row r="115">
      <c r="H115" s="3" t="s">
        <v>114</v>
      </c>
    </row>
    <row r="116">
      <c r="H116" s="3" t="s">
        <v>114</v>
      </c>
    </row>
    <row r="117">
      <c r="H117" s="3" t="s">
        <v>114</v>
      </c>
    </row>
    <row r="118">
      <c r="H118" s="3" t="s">
        <v>114</v>
      </c>
    </row>
    <row r="119">
      <c r="H119" s="3" t="s">
        <v>114</v>
      </c>
    </row>
    <row r="120">
      <c r="H120" s="3" t="s">
        <v>114</v>
      </c>
    </row>
    <row r="121">
      <c r="H121" s="3" t="s">
        <v>114</v>
      </c>
    </row>
    <row r="122">
      <c r="H122" s="3" t="s">
        <v>114</v>
      </c>
    </row>
    <row r="123">
      <c r="H123" s="3" t="s">
        <v>114</v>
      </c>
    </row>
    <row r="124">
      <c r="H124" s="3" t="s">
        <v>114</v>
      </c>
    </row>
    <row r="125">
      <c r="H125" s="3" t="s">
        <v>114</v>
      </c>
    </row>
    <row r="126">
      <c r="H126" s="3" t="s">
        <v>114</v>
      </c>
    </row>
    <row r="127">
      <c r="H127" s="3" t="s">
        <v>114</v>
      </c>
    </row>
    <row r="128">
      <c r="H128" s="3" t="s">
        <v>114</v>
      </c>
    </row>
    <row r="129">
      <c r="H129" s="3" t="s">
        <v>114</v>
      </c>
    </row>
    <row r="130">
      <c r="H130" s="3" t="s">
        <v>114</v>
      </c>
    </row>
    <row r="131">
      <c r="H131" s="3" t="s">
        <v>114</v>
      </c>
    </row>
    <row r="132">
      <c r="H132" s="3" t="s">
        <v>114</v>
      </c>
    </row>
    <row r="133">
      <c r="H133" s="3" t="s">
        <v>114</v>
      </c>
    </row>
    <row r="134">
      <c r="H134" s="3" t="s">
        <v>114</v>
      </c>
    </row>
    <row r="135">
      <c r="H135" s="3" t="s">
        <v>114</v>
      </c>
    </row>
    <row r="136">
      <c r="H136" s="3" t="s">
        <v>114</v>
      </c>
    </row>
    <row r="137">
      <c r="H137" s="3" t="s">
        <v>114</v>
      </c>
    </row>
    <row r="138">
      <c r="H138" s="3" t="s">
        <v>114</v>
      </c>
    </row>
    <row r="139">
      <c r="H139" s="3" t="s">
        <v>114</v>
      </c>
    </row>
    <row r="140">
      <c r="H140" s="3" t="s">
        <v>114</v>
      </c>
    </row>
    <row r="141">
      <c r="H141" s="3" t="s">
        <v>114</v>
      </c>
    </row>
    <row r="142">
      <c r="H142" s="3" t="s">
        <v>114</v>
      </c>
    </row>
    <row r="143">
      <c r="H143" s="3" t="s">
        <v>114</v>
      </c>
    </row>
    <row r="144">
      <c r="H144" s="3" t="s">
        <v>114</v>
      </c>
    </row>
    <row r="145">
      <c r="H145" s="3" t="s">
        <v>114</v>
      </c>
    </row>
    <row r="146">
      <c r="H146" s="3" t="s">
        <v>114</v>
      </c>
    </row>
    <row r="147">
      <c r="H147" s="3" t="s">
        <v>114</v>
      </c>
    </row>
    <row r="148">
      <c r="H148" s="3" t="s">
        <v>114</v>
      </c>
    </row>
    <row r="149">
      <c r="H149" s="3" t="s">
        <v>114</v>
      </c>
    </row>
    <row r="150">
      <c r="H150" s="3" t="s">
        <v>114</v>
      </c>
    </row>
    <row r="151">
      <c r="H151" s="3" t="s">
        <v>114</v>
      </c>
    </row>
    <row r="152">
      <c r="H152" s="3" t="s">
        <v>114</v>
      </c>
    </row>
    <row r="153">
      <c r="H153" s="3" t="s">
        <v>114</v>
      </c>
    </row>
    <row r="154">
      <c r="H154" s="3" t="s">
        <v>114</v>
      </c>
    </row>
    <row r="155">
      <c r="H155" s="3" t="s">
        <v>114</v>
      </c>
    </row>
    <row r="156">
      <c r="H156" s="3" t="s">
        <v>114</v>
      </c>
    </row>
    <row r="157">
      <c r="H157" s="3" t="s">
        <v>114</v>
      </c>
    </row>
    <row r="158">
      <c r="H158" s="3" t="s">
        <v>114</v>
      </c>
    </row>
    <row r="159">
      <c r="H159" s="3" t="s">
        <v>114</v>
      </c>
    </row>
    <row r="160">
      <c r="H160" s="3" t="s">
        <v>114</v>
      </c>
    </row>
    <row r="161">
      <c r="H161" s="3" t="s">
        <v>114</v>
      </c>
    </row>
    <row r="162">
      <c r="H162" s="3" t="s">
        <v>114</v>
      </c>
    </row>
    <row r="163">
      <c r="H163" s="3" t="s">
        <v>114</v>
      </c>
    </row>
    <row r="164">
      <c r="H164" s="3" t="s">
        <v>114</v>
      </c>
    </row>
    <row r="165">
      <c r="H165" s="3" t="s">
        <v>114</v>
      </c>
    </row>
    <row r="166">
      <c r="H166" s="3" t="s">
        <v>114</v>
      </c>
    </row>
    <row r="167">
      <c r="H167" s="3" t="s">
        <v>114</v>
      </c>
    </row>
    <row r="168">
      <c r="H168" s="3" t="s">
        <v>114</v>
      </c>
    </row>
    <row r="169">
      <c r="H169" s="3" t="s">
        <v>114</v>
      </c>
    </row>
    <row r="170">
      <c r="H170" s="3" t="s">
        <v>114</v>
      </c>
    </row>
    <row r="171">
      <c r="H171" s="3" t="s">
        <v>114</v>
      </c>
    </row>
    <row r="172">
      <c r="H172" s="3" t="s">
        <v>114</v>
      </c>
    </row>
    <row r="173">
      <c r="H173" s="3" t="s">
        <v>114</v>
      </c>
    </row>
    <row r="174">
      <c r="H174" s="3" t="s">
        <v>114</v>
      </c>
    </row>
    <row r="175">
      <c r="H175" s="3" t="s">
        <v>114</v>
      </c>
    </row>
    <row r="176">
      <c r="H176" s="3" t="s">
        <v>114</v>
      </c>
    </row>
    <row r="177">
      <c r="H177" s="3" t="s">
        <v>114</v>
      </c>
    </row>
    <row r="178">
      <c r="H178" s="3" t="s">
        <v>114</v>
      </c>
    </row>
    <row r="179">
      <c r="H179" s="3" t="s">
        <v>114</v>
      </c>
    </row>
    <row r="180">
      <c r="H180" s="3" t="s">
        <v>114</v>
      </c>
    </row>
    <row r="181">
      <c r="H181" s="3" t="s">
        <v>114</v>
      </c>
    </row>
    <row r="182">
      <c r="H182" s="3" t="s">
        <v>114</v>
      </c>
    </row>
    <row r="183">
      <c r="H183" s="3" t="s">
        <v>114</v>
      </c>
    </row>
    <row r="184">
      <c r="H184" s="3" t="s">
        <v>114</v>
      </c>
    </row>
    <row r="185">
      <c r="H185" s="3" t="s">
        <v>114</v>
      </c>
    </row>
    <row r="186">
      <c r="H186" s="3" t="s">
        <v>114</v>
      </c>
    </row>
    <row r="187">
      <c r="H187" s="3" t="s">
        <v>114</v>
      </c>
    </row>
    <row r="188">
      <c r="H188" s="3" t="s">
        <v>114</v>
      </c>
    </row>
    <row r="189">
      <c r="H189" s="3" t="s">
        <v>114</v>
      </c>
    </row>
    <row r="190">
      <c r="H190" s="3" t="s">
        <v>114</v>
      </c>
    </row>
    <row r="191">
      <c r="H191" s="3" t="s">
        <v>114</v>
      </c>
    </row>
    <row r="192">
      <c r="H192" s="3" t="s">
        <v>114</v>
      </c>
    </row>
    <row r="193">
      <c r="H193" s="3" t="s">
        <v>114</v>
      </c>
    </row>
    <row r="194">
      <c r="H194" s="3" t="s">
        <v>114</v>
      </c>
    </row>
    <row r="195">
      <c r="H195" s="3" t="s">
        <v>114</v>
      </c>
    </row>
    <row r="196">
      <c r="H196" s="3" t="s">
        <v>114</v>
      </c>
    </row>
    <row r="197">
      <c r="H197" s="3" t="s">
        <v>114</v>
      </c>
    </row>
    <row r="198">
      <c r="H198" s="3" t="s">
        <v>114</v>
      </c>
    </row>
    <row r="199">
      <c r="H199" s="3" t="s">
        <v>114</v>
      </c>
    </row>
    <row r="200">
      <c r="H200" s="3" t="s">
        <v>114</v>
      </c>
    </row>
    <row r="201">
      <c r="H201" s="3" t="s">
        <v>114</v>
      </c>
    </row>
    <row r="202">
      <c r="H202" s="3" t="s">
        <v>114</v>
      </c>
    </row>
    <row r="203">
      <c r="H203" s="3" t="s">
        <v>114</v>
      </c>
    </row>
    <row r="204">
      <c r="H204" s="3" t="s">
        <v>114</v>
      </c>
    </row>
    <row r="205">
      <c r="H205" s="3" t="s">
        <v>114</v>
      </c>
    </row>
    <row r="206">
      <c r="H206" s="3" t="s">
        <v>114</v>
      </c>
    </row>
    <row r="207">
      <c r="H207" s="3" t="s">
        <v>114</v>
      </c>
    </row>
    <row r="208">
      <c r="H208" s="3" t="s">
        <v>114</v>
      </c>
    </row>
    <row r="209">
      <c r="H209" s="3" t="s">
        <v>114</v>
      </c>
    </row>
    <row r="210">
      <c r="H210" s="3" t="s">
        <v>114</v>
      </c>
    </row>
    <row r="211">
      <c r="H211" s="3" t="s">
        <v>114</v>
      </c>
    </row>
    <row r="212">
      <c r="H212" s="3" t="s">
        <v>114</v>
      </c>
    </row>
    <row r="213">
      <c r="H213" s="3" t="s">
        <v>114</v>
      </c>
    </row>
    <row r="214">
      <c r="H214" s="3" t="s">
        <v>114</v>
      </c>
    </row>
    <row r="215">
      <c r="H215" s="3" t="s">
        <v>114</v>
      </c>
    </row>
    <row r="216">
      <c r="H216" s="3" t="s">
        <v>114</v>
      </c>
    </row>
    <row r="217">
      <c r="H217" s="3" t="s">
        <v>114</v>
      </c>
    </row>
    <row r="218">
      <c r="H218" s="3" t="s">
        <v>114</v>
      </c>
    </row>
    <row r="219">
      <c r="H219" s="3" t="s">
        <v>114</v>
      </c>
    </row>
    <row r="220">
      <c r="H220" s="3" t="s">
        <v>114</v>
      </c>
    </row>
    <row r="221">
      <c r="H221" s="3" t="s">
        <v>114</v>
      </c>
    </row>
    <row r="222">
      <c r="H222" s="3" t="s">
        <v>114</v>
      </c>
    </row>
    <row r="223">
      <c r="H223" s="3" t="s">
        <v>114</v>
      </c>
    </row>
    <row r="224">
      <c r="H224" s="3" t="s">
        <v>114</v>
      </c>
    </row>
    <row r="225">
      <c r="H225" s="3" t="s">
        <v>114</v>
      </c>
    </row>
    <row r="226">
      <c r="H226" s="3" t="s">
        <v>114</v>
      </c>
    </row>
    <row r="227">
      <c r="H227" s="3" t="s">
        <v>114</v>
      </c>
    </row>
    <row r="228">
      <c r="H228" s="3" t="s">
        <v>114</v>
      </c>
    </row>
    <row r="229">
      <c r="H229" s="3" t="s">
        <v>114</v>
      </c>
    </row>
    <row r="230">
      <c r="H230" s="3" t="s">
        <v>114</v>
      </c>
    </row>
    <row r="231">
      <c r="H231" s="3" t="s">
        <v>114</v>
      </c>
    </row>
    <row r="232">
      <c r="H232" s="3" t="s">
        <v>114</v>
      </c>
    </row>
    <row r="233">
      <c r="H233" s="3" t="s">
        <v>114</v>
      </c>
    </row>
    <row r="234">
      <c r="H234" s="3" t="s">
        <v>114</v>
      </c>
    </row>
    <row r="235">
      <c r="H235" s="3" t="s">
        <v>114</v>
      </c>
    </row>
    <row r="236">
      <c r="H236" s="3" t="s">
        <v>114</v>
      </c>
    </row>
    <row r="237">
      <c r="H237" s="3" t="s">
        <v>114</v>
      </c>
    </row>
    <row r="238">
      <c r="H238" s="3" t="s">
        <v>114</v>
      </c>
    </row>
    <row r="239">
      <c r="H239" s="3" t="s">
        <v>114</v>
      </c>
    </row>
    <row r="240">
      <c r="H240" s="3" t="s">
        <v>114</v>
      </c>
    </row>
    <row r="241">
      <c r="H241" s="3" t="s">
        <v>114</v>
      </c>
    </row>
    <row r="242">
      <c r="H242" s="3" t="s">
        <v>114</v>
      </c>
    </row>
    <row r="243">
      <c r="H243" s="3" t="s">
        <v>114</v>
      </c>
    </row>
    <row r="244">
      <c r="H244" s="3" t="s">
        <v>114</v>
      </c>
    </row>
    <row r="245">
      <c r="H245" s="3" t="s">
        <v>114</v>
      </c>
    </row>
    <row r="246">
      <c r="H246" s="3" t="s">
        <v>114</v>
      </c>
    </row>
    <row r="247">
      <c r="H247" s="3" t="s">
        <v>114</v>
      </c>
    </row>
    <row r="248">
      <c r="H248" s="3" t="s">
        <v>114</v>
      </c>
    </row>
    <row r="249">
      <c r="H249" s="3" t="s">
        <v>114</v>
      </c>
    </row>
    <row r="250">
      <c r="H250" s="3" t="s">
        <v>114</v>
      </c>
    </row>
    <row r="251">
      <c r="H251" s="3" t="s">
        <v>114</v>
      </c>
    </row>
    <row r="252">
      <c r="H252" s="3" t="s">
        <v>114</v>
      </c>
    </row>
    <row r="253">
      <c r="H253" s="3" t="s">
        <v>114</v>
      </c>
    </row>
    <row r="254">
      <c r="H254" s="3" t="s">
        <v>114</v>
      </c>
    </row>
    <row r="255">
      <c r="H255" s="3" t="s">
        <v>114</v>
      </c>
    </row>
    <row r="256">
      <c r="H256" s="3" t="s">
        <v>114</v>
      </c>
    </row>
    <row r="257">
      <c r="H257" s="3" t="s">
        <v>114</v>
      </c>
    </row>
    <row r="258">
      <c r="H258" s="3" t="s">
        <v>114</v>
      </c>
    </row>
    <row r="259">
      <c r="H259" s="3" t="s">
        <v>114</v>
      </c>
    </row>
    <row r="260">
      <c r="H260" s="3" t="s">
        <v>114</v>
      </c>
    </row>
    <row r="261">
      <c r="H261" s="3" t="s">
        <v>114</v>
      </c>
    </row>
    <row r="262">
      <c r="H262" s="3" t="s">
        <v>114</v>
      </c>
    </row>
    <row r="263">
      <c r="H263" s="3" t="s">
        <v>114</v>
      </c>
    </row>
    <row r="264">
      <c r="H264" s="3" t="s">
        <v>114</v>
      </c>
    </row>
    <row r="265">
      <c r="H265" s="3" t="s">
        <v>114</v>
      </c>
    </row>
    <row r="266">
      <c r="H266" s="3" t="s">
        <v>114</v>
      </c>
    </row>
    <row r="267">
      <c r="H267" s="3" t="s">
        <v>114</v>
      </c>
    </row>
    <row r="268">
      <c r="H268" s="3" t="s">
        <v>114</v>
      </c>
    </row>
    <row r="269">
      <c r="H269" s="3" t="s">
        <v>114</v>
      </c>
    </row>
    <row r="270">
      <c r="H270" s="3" t="s">
        <v>114</v>
      </c>
    </row>
    <row r="271">
      <c r="H271" s="3" t="s">
        <v>114</v>
      </c>
    </row>
    <row r="272">
      <c r="H272" s="3" t="s">
        <v>114</v>
      </c>
    </row>
    <row r="273">
      <c r="H273" s="3" t="s">
        <v>114</v>
      </c>
    </row>
    <row r="274">
      <c r="H274" s="3" t="s">
        <v>114</v>
      </c>
    </row>
    <row r="275">
      <c r="H275" s="3" t="s">
        <v>114</v>
      </c>
    </row>
    <row r="276">
      <c r="H276" s="3" t="s">
        <v>114</v>
      </c>
    </row>
    <row r="277">
      <c r="H277" s="3" t="s">
        <v>114</v>
      </c>
    </row>
    <row r="278">
      <c r="H278" s="3" t="s">
        <v>114</v>
      </c>
    </row>
    <row r="279">
      <c r="H279" s="3" t="s">
        <v>114</v>
      </c>
    </row>
    <row r="280">
      <c r="H280" s="3" t="s">
        <v>114</v>
      </c>
    </row>
    <row r="281">
      <c r="H281" s="3" t="s">
        <v>114</v>
      </c>
    </row>
    <row r="282">
      <c r="H282" s="3" t="s">
        <v>114</v>
      </c>
    </row>
    <row r="283">
      <c r="H283" s="3" t="s">
        <v>114</v>
      </c>
    </row>
    <row r="284">
      <c r="H284" s="3" t="s">
        <v>114</v>
      </c>
    </row>
    <row r="285">
      <c r="H285" s="3" t="s">
        <v>114</v>
      </c>
    </row>
    <row r="286">
      <c r="H286" s="3" t="s">
        <v>114</v>
      </c>
    </row>
    <row r="287">
      <c r="H287" s="3" t="s">
        <v>114</v>
      </c>
    </row>
    <row r="288">
      <c r="H288" s="3" t="s">
        <v>114</v>
      </c>
    </row>
    <row r="289">
      <c r="H289" s="3" t="s">
        <v>114</v>
      </c>
    </row>
    <row r="290">
      <c r="H290" s="3" t="s">
        <v>114</v>
      </c>
    </row>
    <row r="291">
      <c r="H291" s="3" t="s">
        <v>114</v>
      </c>
    </row>
    <row r="292">
      <c r="H292" s="3" t="s">
        <v>114</v>
      </c>
    </row>
    <row r="293">
      <c r="H293" s="3" t="s">
        <v>114</v>
      </c>
    </row>
    <row r="294">
      <c r="H294" s="3" t="s">
        <v>114</v>
      </c>
    </row>
    <row r="295">
      <c r="H295" s="3" t="s">
        <v>114</v>
      </c>
    </row>
    <row r="296">
      <c r="H296" s="3" t="s">
        <v>114</v>
      </c>
    </row>
    <row r="297">
      <c r="H297" s="3" t="s">
        <v>114</v>
      </c>
    </row>
    <row r="298">
      <c r="H298" s="3" t="s">
        <v>114</v>
      </c>
    </row>
    <row r="299">
      <c r="H299" s="3" t="s">
        <v>114</v>
      </c>
    </row>
    <row r="300">
      <c r="H300" s="3" t="s">
        <v>114</v>
      </c>
    </row>
    <row r="301">
      <c r="H301" s="3" t="s">
        <v>114</v>
      </c>
    </row>
    <row r="302">
      <c r="H302" s="3" t="s">
        <v>114</v>
      </c>
    </row>
    <row r="303">
      <c r="H303" s="3" t="s">
        <v>114</v>
      </c>
    </row>
    <row r="304">
      <c r="H304" s="3" t="s">
        <v>114</v>
      </c>
    </row>
    <row r="305">
      <c r="H305" s="3" t="s">
        <v>114</v>
      </c>
    </row>
    <row r="306">
      <c r="H306" s="3" t="s">
        <v>114</v>
      </c>
    </row>
    <row r="307">
      <c r="H307" s="3" t="s">
        <v>114</v>
      </c>
    </row>
    <row r="308">
      <c r="H308" s="3" t="s">
        <v>114</v>
      </c>
    </row>
    <row r="309">
      <c r="H309" s="3" t="s">
        <v>114</v>
      </c>
    </row>
    <row r="310">
      <c r="H310" s="3" t="s">
        <v>114</v>
      </c>
    </row>
    <row r="311">
      <c r="H311" s="3" t="s">
        <v>114</v>
      </c>
    </row>
    <row r="312">
      <c r="H312" s="3" t="s">
        <v>114</v>
      </c>
    </row>
    <row r="313">
      <c r="H313" s="3" t="s">
        <v>114</v>
      </c>
    </row>
    <row r="314">
      <c r="H314" s="3" t="s">
        <v>114</v>
      </c>
    </row>
    <row r="315">
      <c r="H315" s="3" t="s">
        <v>114</v>
      </c>
    </row>
    <row r="316">
      <c r="H316" s="3" t="s">
        <v>114</v>
      </c>
    </row>
    <row r="317">
      <c r="H317" s="3" t="s">
        <v>114</v>
      </c>
    </row>
    <row r="318">
      <c r="H318" s="3" t="s">
        <v>114</v>
      </c>
    </row>
    <row r="319">
      <c r="H319" s="3" t="s">
        <v>114</v>
      </c>
    </row>
    <row r="320">
      <c r="H320" s="3" t="s">
        <v>114</v>
      </c>
    </row>
    <row r="321">
      <c r="H321" s="3" t="s">
        <v>114</v>
      </c>
    </row>
    <row r="322">
      <c r="H322" s="3" t="s">
        <v>114</v>
      </c>
    </row>
    <row r="323">
      <c r="H323" s="3" t="s">
        <v>114</v>
      </c>
    </row>
    <row r="324">
      <c r="H324" s="3" t="s">
        <v>114</v>
      </c>
    </row>
    <row r="325">
      <c r="H325" s="3" t="s">
        <v>114</v>
      </c>
    </row>
    <row r="326">
      <c r="H326" s="3" t="s">
        <v>114</v>
      </c>
    </row>
    <row r="327">
      <c r="H327" s="3" t="s">
        <v>114</v>
      </c>
    </row>
    <row r="328">
      <c r="H328" s="3" t="s">
        <v>114</v>
      </c>
    </row>
    <row r="329">
      <c r="H329" s="3" t="s">
        <v>114</v>
      </c>
    </row>
    <row r="330">
      <c r="H330" s="3" t="s">
        <v>114</v>
      </c>
    </row>
    <row r="331">
      <c r="H331" s="3" t="s">
        <v>114</v>
      </c>
    </row>
    <row r="332">
      <c r="H332" s="3" t="s">
        <v>114</v>
      </c>
    </row>
    <row r="333">
      <c r="H333" s="3" t="s">
        <v>114</v>
      </c>
    </row>
    <row r="334">
      <c r="H334" s="3" t="s">
        <v>114</v>
      </c>
    </row>
    <row r="335">
      <c r="H335" s="3" t="s">
        <v>114</v>
      </c>
    </row>
    <row r="336">
      <c r="H336" s="3" t="s">
        <v>114</v>
      </c>
    </row>
    <row r="337">
      <c r="H337" s="3" t="s">
        <v>114</v>
      </c>
    </row>
    <row r="338">
      <c r="H338" s="3" t="s">
        <v>114</v>
      </c>
    </row>
    <row r="339">
      <c r="H339" s="3" t="s">
        <v>114</v>
      </c>
    </row>
    <row r="340">
      <c r="H340" s="3" t="s">
        <v>114</v>
      </c>
    </row>
    <row r="341">
      <c r="H341" s="3" t="s">
        <v>114</v>
      </c>
    </row>
    <row r="342">
      <c r="H342" s="3" t="s">
        <v>114</v>
      </c>
    </row>
    <row r="343">
      <c r="H343" s="3" t="s">
        <v>114</v>
      </c>
    </row>
    <row r="344">
      <c r="H344" s="3" t="s">
        <v>114</v>
      </c>
    </row>
    <row r="345">
      <c r="H345" s="3" t="s">
        <v>114</v>
      </c>
    </row>
    <row r="346">
      <c r="H346" s="3" t="s">
        <v>114</v>
      </c>
    </row>
    <row r="347">
      <c r="H347" s="3" t="s">
        <v>114</v>
      </c>
    </row>
    <row r="348">
      <c r="H348" s="3" t="s">
        <v>114</v>
      </c>
    </row>
    <row r="349">
      <c r="H349" s="3" t="s">
        <v>114</v>
      </c>
    </row>
    <row r="350">
      <c r="H350" s="3" t="s">
        <v>114</v>
      </c>
    </row>
    <row r="351">
      <c r="H351" s="3" t="s">
        <v>114</v>
      </c>
    </row>
    <row r="352">
      <c r="H352" s="3" t="s">
        <v>114</v>
      </c>
    </row>
    <row r="353">
      <c r="H353" s="3" t="s">
        <v>114</v>
      </c>
    </row>
    <row r="354">
      <c r="H354" s="3" t="s">
        <v>114</v>
      </c>
    </row>
    <row r="355">
      <c r="H355" s="3" t="s">
        <v>114</v>
      </c>
    </row>
    <row r="356">
      <c r="H356" s="3" t="s">
        <v>114</v>
      </c>
    </row>
    <row r="357">
      <c r="H357" s="3" t="s">
        <v>114</v>
      </c>
    </row>
    <row r="358">
      <c r="H358" s="3" t="s">
        <v>114</v>
      </c>
    </row>
    <row r="359">
      <c r="H359" s="3" t="s">
        <v>114</v>
      </c>
    </row>
    <row r="360">
      <c r="H360" s="3" t="s">
        <v>114</v>
      </c>
    </row>
    <row r="361">
      <c r="H361" s="3" t="s">
        <v>114</v>
      </c>
    </row>
    <row r="362">
      <c r="H362" s="3" t="s">
        <v>114</v>
      </c>
    </row>
    <row r="363">
      <c r="H363" s="3" t="s">
        <v>114</v>
      </c>
    </row>
    <row r="364">
      <c r="H364" s="3" t="s">
        <v>114</v>
      </c>
    </row>
    <row r="365">
      <c r="H365" s="3" t="s">
        <v>114</v>
      </c>
    </row>
    <row r="366">
      <c r="H366" s="3" t="s">
        <v>114</v>
      </c>
    </row>
    <row r="367">
      <c r="H367" s="3" t="s">
        <v>114</v>
      </c>
    </row>
    <row r="368">
      <c r="H368" s="3" t="s">
        <v>114</v>
      </c>
    </row>
    <row r="369">
      <c r="H369" s="3" t="s">
        <v>114</v>
      </c>
    </row>
    <row r="370">
      <c r="H370" s="3" t="s">
        <v>114</v>
      </c>
    </row>
    <row r="371">
      <c r="H371" s="3" t="s">
        <v>114</v>
      </c>
    </row>
    <row r="372">
      <c r="H372" s="3" t="s">
        <v>114</v>
      </c>
    </row>
    <row r="373">
      <c r="H373" s="3" t="s">
        <v>114</v>
      </c>
    </row>
    <row r="374">
      <c r="H374" s="3" t="s">
        <v>114</v>
      </c>
    </row>
    <row r="375">
      <c r="H375" s="3" t="s">
        <v>114</v>
      </c>
    </row>
    <row r="376">
      <c r="H376" s="3" t="s">
        <v>114</v>
      </c>
    </row>
    <row r="377">
      <c r="H377" s="3" t="s">
        <v>114</v>
      </c>
    </row>
    <row r="378">
      <c r="H378" s="3" t="s">
        <v>114</v>
      </c>
    </row>
    <row r="379">
      <c r="H379" s="3" t="s">
        <v>114</v>
      </c>
    </row>
    <row r="380">
      <c r="H380" s="3" t="s">
        <v>114</v>
      </c>
    </row>
    <row r="381">
      <c r="H381" s="3" t="s">
        <v>114</v>
      </c>
    </row>
    <row r="382">
      <c r="H382" s="3" t="s">
        <v>114</v>
      </c>
    </row>
    <row r="383">
      <c r="H383" s="3" t="s">
        <v>114</v>
      </c>
    </row>
    <row r="384">
      <c r="H384" s="3" t="s">
        <v>114</v>
      </c>
    </row>
    <row r="385">
      <c r="H385" s="3" t="s">
        <v>114</v>
      </c>
    </row>
    <row r="386">
      <c r="H386" s="3" t="s">
        <v>114</v>
      </c>
    </row>
    <row r="387">
      <c r="H387" s="3" t="s">
        <v>114</v>
      </c>
    </row>
    <row r="388">
      <c r="H388" s="3" t="s">
        <v>114</v>
      </c>
    </row>
    <row r="389">
      <c r="H389" s="3" t="s">
        <v>114</v>
      </c>
    </row>
    <row r="390">
      <c r="H390" s="3" t="s">
        <v>114</v>
      </c>
    </row>
    <row r="391">
      <c r="H391" s="3" t="s">
        <v>114</v>
      </c>
    </row>
    <row r="392">
      <c r="H392" s="3" t="s">
        <v>114</v>
      </c>
    </row>
    <row r="393">
      <c r="H393" s="3" t="s">
        <v>114</v>
      </c>
    </row>
    <row r="394">
      <c r="H394" s="3" t="s">
        <v>114</v>
      </c>
    </row>
    <row r="395">
      <c r="H395" s="3" t="s">
        <v>114</v>
      </c>
    </row>
    <row r="396">
      <c r="H396" s="3" t="s">
        <v>114</v>
      </c>
    </row>
    <row r="397">
      <c r="H397" s="3" t="s">
        <v>114</v>
      </c>
    </row>
    <row r="398">
      <c r="H398" s="3" t="s">
        <v>114</v>
      </c>
    </row>
    <row r="399">
      <c r="H399" s="3" t="s">
        <v>114</v>
      </c>
    </row>
    <row r="400">
      <c r="H400" s="3" t="s">
        <v>114</v>
      </c>
    </row>
    <row r="401">
      <c r="H401" s="3" t="s">
        <v>114</v>
      </c>
    </row>
    <row r="402">
      <c r="H402" s="3" t="s">
        <v>114</v>
      </c>
    </row>
    <row r="403">
      <c r="H403" s="3" t="s">
        <v>114</v>
      </c>
    </row>
    <row r="404">
      <c r="H404" s="3" t="s">
        <v>114</v>
      </c>
    </row>
    <row r="405">
      <c r="H405" s="3" t="s">
        <v>114</v>
      </c>
    </row>
    <row r="406">
      <c r="H406" s="3" t="s">
        <v>114</v>
      </c>
    </row>
    <row r="407">
      <c r="H407" s="3" t="s">
        <v>114</v>
      </c>
    </row>
    <row r="408">
      <c r="H408" s="3" t="s">
        <v>114</v>
      </c>
    </row>
    <row r="409">
      <c r="H409" s="3" t="s">
        <v>114</v>
      </c>
    </row>
    <row r="410">
      <c r="H410" s="3" t="s">
        <v>114</v>
      </c>
    </row>
    <row r="411">
      <c r="H411" s="3" t="s">
        <v>114</v>
      </c>
    </row>
    <row r="412">
      <c r="H412" s="3" t="s">
        <v>114</v>
      </c>
    </row>
    <row r="413">
      <c r="H413" s="3" t="s">
        <v>114</v>
      </c>
    </row>
    <row r="414">
      <c r="H414" s="3" t="s">
        <v>114</v>
      </c>
    </row>
    <row r="415">
      <c r="H415" s="3" t="s">
        <v>114</v>
      </c>
    </row>
    <row r="416">
      <c r="H416" s="3" t="s">
        <v>114</v>
      </c>
    </row>
    <row r="417">
      <c r="H417" s="3" t="s">
        <v>114</v>
      </c>
    </row>
    <row r="418">
      <c r="H418" s="3" t="s">
        <v>114</v>
      </c>
    </row>
    <row r="419">
      <c r="H419" s="3" t="s">
        <v>114</v>
      </c>
    </row>
    <row r="420">
      <c r="H420" s="3" t="s">
        <v>114</v>
      </c>
    </row>
    <row r="421">
      <c r="H421" s="3" t="s">
        <v>114</v>
      </c>
    </row>
    <row r="422">
      <c r="H422" s="3" t="s">
        <v>114</v>
      </c>
    </row>
    <row r="423">
      <c r="H423" s="3" t="s">
        <v>114</v>
      </c>
    </row>
    <row r="424">
      <c r="H424" s="3" t="s">
        <v>114</v>
      </c>
    </row>
    <row r="425">
      <c r="H425" s="3" t="s">
        <v>114</v>
      </c>
    </row>
    <row r="426">
      <c r="H426" s="3" t="s">
        <v>114</v>
      </c>
    </row>
    <row r="427">
      <c r="H427" s="3" t="s">
        <v>114</v>
      </c>
    </row>
    <row r="428">
      <c r="H428" s="3" t="s">
        <v>114</v>
      </c>
    </row>
    <row r="429">
      <c r="H429" s="3" t="s">
        <v>114</v>
      </c>
    </row>
    <row r="430">
      <c r="H430" s="3" t="s">
        <v>114</v>
      </c>
    </row>
    <row r="431">
      <c r="H431" s="3" t="s">
        <v>114</v>
      </c>
    </row>
    <row r="432">
      <c r="H432" s="3" t="s">
        <v>114</v>
      </c>
    </row>
    <row r="433">
      <c r="H433" s="3" t="s">
        <v>114</v>
      </c>
    </row>
    <row r="434">
      <c r="H434" s="3" t="s">
        <v>114</v>
      </c>
    </row>
    <row r="435">
      <c r="H435" s="3" t="s">
        <v>114</v>
      </c>
    </row>
    <row r="436">
      <c r="H436" s="3" t="s">
        <v>114</v>
      </c>
    </row>
    <row r="437">
      <c r="H437" s="3" t="s">
        <v>114</v>
      </c>
    </row>
    <row r="438">
      <c r="H438" s="3" t="s">
        <v>114</v>
      </c>
    </row>
    <row r="439">
      <c r="H439" s="3" t="s">
        <v>114</v>
      </c>
    </row>
    <row r="440">
      <c r="H440" s="3" t="s">
        <v>114</v>
      </c>
    </row>
    <row r="441">
      <c r="H441" s="3" t="s">
        <v>114</v>
      </c>
    </row>
    <row r="442">
      <c r="H442" s="3" t="s">
        <v>114</v>
      </c>
    </row>
    <row r="443">
      <c r="H443" s="3" t="s">
        <v>114</v>
      </c>
    </row>
    <row r="444">
      <c r="H444" s="3" t="s">
        <v>114</v>
      </c>
    </row>
    <row r="445">
      <c r="H445" s="3" t="s">
        <v>114</v>
      </c>
    </row>
    <row r="446">
      <c r="H446" s="3" t="s">
        <v>114</v>
      </c>
    </row>
    <row r="447">
      <c r="H447" s="3" t="s">
        <v>114</v>
      </c>
    </row>
    <row r="448">
      <c r="H448" s="3" t="s">
        <v>114</v>
      </c>
    </row>
    <row r="449">
      <c r="H449" s="3" t="s">
        <v>114</v>
      </c>
    </row>
    <row r="450">
      <c r="H450" s="3" t="s">
        <v>114</v>
      </c>
    </row>
    <row r="451">
      <c r="H451" s="3" t="s">
        <v>114</v>
      </c>
    </row>
    <row r="452">
      <c r="H452" s="3" t="s">
        <v>114</v>
      </c>
    </row>
    <row r="453">
      <c r="H453" s="3" t="s">
        <v>114</v>
      </c>
    </row>
    <row r="454">
      <c r="H454" s="3" t="s">
        <v>114</v>
      </c>
    </row>
    <row r="455">
      <c r="H455" s="3" t="s">
        <v>114</v>
      </c>
    </row>
    <row r="456">
      <c r="H456" s="3" t="s">
        <v>114</v>
      </c>
    </row>
    <row r="457">
      <c r="H457" s="3" t="s">
        <v>114</v>
      </c>
    </row>
    <row r="458">
      <c r="H458" s="3" t="s">
        <v>114</v>
      </c>
    </row>
    <row r="459">
      <c r="H459" s="3" t="s">
        <v>114</v>
      </c>
    </row>
    <row r="460">
      <c r="H460" s="3" t="s">
        <v>114</v>
      </c>
    </row>
    <row r="461">
      <c r="H461" s="3" t="s">
        <v>114</v>
      </c>
    </row>
    <row r="462">
      <c r="H462" s="3" t="s">
        <v>114</v>
      </c>
    </row>
    <row r="463">
      <c r="H463" s="3" t="s">
        <v>114</v>
      </c>
    </row>
    <row r="464">
      <c r="H464" s="3" t="s">
        <v>114</v>
      </c>
    </row>
    <row r="465">
      <c r="H465" s="3" t="s">
        <v>114</v>
      </c>
    </row>
    <row r="466">
      <c r="H466" s="3" t="s">
        <v>114</v>
      </c>
    </row>
    <row r="467">
      <c r="H467" s="3" t="s">
        <v>114</v>
      </c>
    </row>
    <row r="468">
      <c r="H468" s="3" t="s">
        <v>114</v>
      </c>
    </row>
    <row r="469">
      <c r="H469" s="3" t="s">
        <v>114</v>
      </c>
    </row>
    <row r="470">
      <c r="H470" s="3" t="s">
        <v>114</v>
      </c>
    </row>
    <row r="471">
      <c r="H471" s="3" t="s">
        <v>114</v>
      </c>
    </row>
    <row r="472">
      <c r="H472" s="3" t="s">
        <v>114</v>
      </c>
    </row>
    <row r="473">
      <c r="H473" s="3" t="s">
        <v>114</v>
      </c>
    </row>
    <row r="474">
      <c r="H474" s="3" t="s">
        <v>114</v>
      </c>
    </row>
    <row r="475">
      <c r="H475" s="3" t="s">
        <v>114</v>
      </c>
    </row>
    <row r="476">
      <c r="H476" s="3" t="s">
        <v>114</v>
      </c>
    </row>
    <row r="477">
      <c r="H477" s="3" t="s">
        <v>114</v>
      </c>
    </row>
    <row r="478">
      <c r="H478" s="3" t="s">
        <v>114</v>
      </c>
    </row>
    <row r="479">
      <c r="H479" s="3" t="s">
        <v>114</v>
      </c>
    </row>
    <row r="480">
      <c r="H480" s="3" t="s">
        <v>114</v>
      </c>
    </row>
    <row r="481">
      <c r="H481" s="3" t="s">
        <v>114</v>
      </c>
    </row>
    <row r="482">
      <c r="H482" s="3" t="s">
        <v>114</v>
      </c>
    </row>
    <row r="483">
      <c r="H483" s="3" t="s">
        <v>114</v>
      </c>
    </row>
    <row r="484">
      <c r="H484" s="3" t="s">
        <v>114</v>
      </c>
    </row>
    <row r="485">
      <c r="H485" s="3" t="s">
        <v>114</v>
      </c>
    </row>
    <row r="486">
      <c r="H486" s="3" t="s">
        <v>114</v>
      </c>
    </row>
    <row r="487">
      <c r="H487" s="3" t="s">
        <v>114</v>
      </c>
    </row>
    <row r="488">
      <c r="H488" s="3" t="s">
        <v>114</v>
      </c>
    </row>
    <row r="489">
      <c r="H489" s="3" t="s">
        <v>114</v>
      </c>
    </row>
    <row r="490">
      <c r="H490" s="3" t="s">
        <v>114</v>
      </c>
    </row>
    <row r="491">
      <c r="H491" s="3" t="s">
        <v>114</v>
      </c>
    </row>
    <row r="492">
      <c r="H492" s="3" t="s">
        <v>114</v>
      </c>
    </row>
    <row r="493">
      <c r="H493" s="3" t="s">
        <v>114</v>
      </c>
    </row>
    <row r="494">
      <c r="H494" s="3" t="s">
        <v>114</v>
      </c>
    </row>
    <row r="495">
      <c r="H495" s="3" t="s">
        <v>114</v>
      </c>
    </row>
    <row r="496">
      <c r="H496" s="3" t="s">
        <v>114</v>
      </c>
    </row>
    <row r="497">
      <c r="H497" s="3" t="s">
        <v>114</v>
      </c>
    </row>
    <row r="498">
      <c r="H498" s="3" t="s">
        <v>114</v>
      </c>
    </row>
    <row r="499">
      <c r="H499" s="3" t="s">
        <v>114</v>
      </c>
    </row>
    <row r="500">
      <c r="H500" s="3" t="s">
        <v>114</v>
      </c>
    </row>
    <row r="501">
      <c r="H501" s="3" t="s">
        <v>114</v>
      </c>
    </row>
    <row r="502">
      <c r="H502" s="3" t="s">
        <v>114</v>
      </c>
    </row>
    <row r="503">
      <c r="H503" s="3" t="s">
        <v>114</v>
      </c>
    </row>
    <row r="504">
      <c r="H504" s="3" t="s">
        <v>114</v>
      </c>
    </row>
    <row r="505">
      <c r="H505" s="3" t="s">
        <v>114</v>
      </c>
    </row>
    <row r="506">
      <c r="H506" s="3" t="s">
        <v>114</v>
      </c>
    </row>
    <row r="507">
      <c r="H507" s="3" t="s">
        <v>114</v>
      </c>
    </row>
    <row r="508">
      <c r="H508" s="3" t="s">
        <v>114</v>
      </c>
    </row>
    <row r="509">
      <c r="H509" s="3" t="s">
        <v>114</v>
      </c>
    </row>
    <row r="510">
      <c r="H510" s="3" t="s">
        <v>114</v>
      </c>
    </row>
    <row r="511">
      <c r="H511" s="3" t="s">
        <v>114</v>
      </c>
    </row>
    <row r="512">
      <c r="H512" s="3" t="s">
        <v>114</v>
      </c>
    </row>
    <row r="513">
      <c r="H513" s="3" t="s">
        <v>114</v>
      </c>
    </row>
    <row r="514">
      <c r="H514" s="3" t="s">
        <v>114</v>
      </c>
    </row>
    <row r="515">
      <c r="H515" s="3" t="s">
        <v>114</v>
      </c>
    </row>
    <row r="516">
      <c r="H516" s="3" t="s">
        <v>114</v>
      </c>
    </row>
    <row r="517">
      <c r="H517" s="3" t="s">
        <v>114</v>
      </c>
    </row>
    <row r="518">
      <c r="H518" s="3" t="s">
        <v>114</v>
      </c>
    </row>
    <row r="519">
      <c r="H519" s="3" t="s">
        <v>114</v>
      </c>
    </row>
    <row r="520">
      <c r="H520" s="3" t="s">
        <v>114</v>
      </c>
    </row>
    <row r="521">
      <c r="H521" s="3" t="s">
        <v>114</v>
      </c>
    </row>
    <row r="522">
      <c r="H522" s="3" t="s">
        <v>114</v>
      </c>
    </row>
    <row r="523">
      <c r="H523" s="3" t="s">
        <v>114</v>
      </c>
    </row>
    <row r="524">
      <c r="H524" s="3" t="s">
        <v>114</v>
      </c>
    </row>
    <row r="525">
      <c r="H525" s="3" t="s">
        <v>114</v>
      </c>
    </row>
    <row r="526">
      <c r="H526" s="3" t="s">
        <v>114</v>
      </c>
    </row>
    <row r="527">
      <c r="H527" s="3" t="s">
        <v>114</v>
      </c>
    </row>
    <row r="528">
      <c r="H528" s="3" t="s">
        <v>114</v>
      </c>
    </row>
    <row r="529">
      <c r="H529" s="3" t="s">
        <v>114</v>
      </c>
    </row>
    <row r="530">
      <c r="H530" s="3" t="s">
        <v>114</v>
      </c>
    </row>
    <row r="531">
      <c r="H531" s="3" t="s">
        <v>114</v>
      </c>
    </row>
    <row r="532">
      <c r="H532" s="3" t="s">
        <v>114</v>
      </c>
    </row>
    <row r="533">
      <c r="H533" s="3" t="s">
        <v>114</v>
      </c>
    </row>
    <row r="534">
      <c r="H534" s="3" t="s">
        <v>114</v>
      </c>
    </row>
    <row r="535">
      <c r="H535" s="3" t="s">
        <v>114</v>
      </c>
    </row>
    <row r="536">
      <c r="H536" s="3" t="s">
        <v>114</v>
      </c>
    </row>
    <row r="537">
      <c r="H537" s="3" t="s">
        <v>114</v>
      </c>
    </row>
    <row r="538">
      <c r="H538" s="3" t="s">
        <v>114</v>
      </c>
    </row>
    <row r="539">
      <c r="H539" s="3" t="s">
        <v>114</v>
      </c>
    </row>
    <row r="540">
      <c r="H540" s="3" t="s">
        <v>114</v>
      </c>
    </row>
    <row r="541">
      <c r="H541" s="3" t="s">
        <v>114</v>
      </c>
    </row>
    <row r="542">
      <c r="H542" s="3" t="s">
        <v>114</v>
      </c>
    </row>
    <row r="543">
      <c r="H543" s="3" t="s">
        <v>114</v>
      </c>
    </row>
    <row r="544">
      <c r="H544" s="3" t="s">
        <v>114</v>
      </c>
    </row>
    <row r="545">
      <c r="H545" s="3" t="s">
        <v>114</v>
      </c>
    </row>
    <row r="546">
      <c r="H546" s="3" t="s">
        <v>114</v>
      </c>
    </row>
    <row r="547">
      <c r="H547" s="3" t="s">
        <v>114</v>
      </c>
    </row>
    <row r="548">
      <c r="H548" s="3" t="s">
        <v>114</v>
      </c>
    </row>
    <row r="549">
      <c r="H549" s="3" t="s">
        <v>114</v>
      </c>
    </row>
    <row r="550">
      <c r="H550" s="3" t="s">
        <v>114</v>
      </c>
    </row>
    <row r="551">
      <c r="H551" s="3" t="s">
        <v>114</v>
      </c>
    </row>
    <row r="552">
      <c r="H552" s="3" t="s">
        <v>114</v>
      </c>
    </row>
    <row r="553">
      <c r="H553" s="3" t="s">
        <v>114</v>
      </c>
    </row>
    <row r="554">
      <c r="H554" s="3" t="s">
        <v>114</v>
      </c>
    </row>
    <row r="555">
      <c r="H555" s="3" t="s">
        <v>114</v>
      </c>
    </row>
    <row r="556">
      <c r="H556" s="3" t="s">
        <v>114</v>
      </c>
    </row>
    <row r="557">
      <c r="H557" s="3" t="s">
        <v>114</v>
      </c>
    </row>
    <row r="558">
      <c r="H558" s="3" t="s">
        <v>114</v>
      </c>
    </row>
    <row r="559">
      <c r="H559" s="3" t="s">
        <v>114</v>
      </c>
    </row>
    <row r="560">
      <c r="H560" s="3" t="s">
        <v>114</v>
      </c>
    </row>
    <row r="561">
      <c r="H561" s="3" t="s">
        <v>114</v>
      </c>
    </row>
    <row r="562">
      <c r="H562" s="3" t="s">
        <v>114</v>
      </c>
    </row>
    <row r="563">
      <c r="H563" s="3" t="s">
        <v>114</v>
      </c>
    </row>
    <row r="564">
      <c r="H564" s="3" t="s">
        <v>114</v>
      </c>
    </row>
    <row r="565">
      <c r="H565" s="3" t="s">
        <v>114</v>
      </c>
    </row>
    <row r="566">
      <c r="H566" s="3" t="s">
        <v>114</v>
      </c>
    </row>
    <row r="567">
      <c r="H567" s="3" t="s">
        <v>114</v>
      </c>
    </row>
    <row r="568">
      <c r="H568" s="3" t="s">
        <v>114</v>
      </c>
    </row>
    <row r="569">
      <c r="H569" s="3" t="s">
        <v>114</v>
      </c>
    </row>
    <row r="570">
      <c r="H570" s="3" t="s">
        <v>114</v>
      </c>
    </row>
    <row r="571">
      <c r="H571" s="3" t="s">
        <v>114</v>
      </c>
    </row>
    <row r="572">
      <c r="H572" s="3" t="s">
        <v>114</v>
      </c>
    </row>
    <row r="573">
      <c r="H573" s="3" t="s">
        <v>114</v>
      </c>
    </row>
    <row r="574">
      <c r="H574" s="3" t="s">
        <v>114</v>
      </c>
    </row>
    <row r="575">
      <c r="H575" s="3" t="s">
        <v>114</v>
      </c>
    </row>
    <row r="576">
      <c r="H576" s="3" t="s">
        <v>114</v>
      </c>
    </row>
    <row r="577">
      <c r="H577" s="3" t="s">
        <v>114</v>
      </c>
    </row>
    <row r="578">
      <c r="H578" s="3" t="s">
        <v>114</v>
      </c>
    </row>
    <row r="579">
      <c r="H579" s="3" t="s">
        <v>114</v>
      </c>
    </row>
    <row r="580">
      <c r="H580" s="3" t="s">
        <v>114</v>
      </c>
    </row>
    <row r="581">
      <c r="H581" s="3" t="s">
        <v>114</v>
      </c>
    </row>
    <row r="582">
      <c r="H582" s="3" t="s">
        <v>114</v>
      </c>
    </row>
    <row r="583">
      <c r="H583" s="3" t="s">
        <v>114</v>
      </c>
    </row>
    <row r="584">
      <c r="H584" s="3" t="s">
        <v>114</v>
      </c>
    </row>
    <row r="585">
      <c r="H585" s="3" t="s">
        <v>114</v>
      </c>
    </row>
    <row r="586">
      <c r="H586" s="3" t="s">
        <v>114</v>
      </c>
    </row>
    <row r="587">
      <c r="H587" s="3" t="s">
        <v>114</v>
      </c>
    </row>
    <row r="588">
      <c r="H588" s="3" t="s">
        <v>114</v>
      </c>
    </row>
    <row r="589">
      <c r="H589" s="3" t="s">
        <v>114</v>
      </c>
    </row>
    <row r="590">
      <c r="H590" s="3" t="s">
        <v>114</v>
      </c>
    </row>
    <row r="591">
      <c r="H591" s="3" t="s">
        <v>114</v>
      </c>
    </row>
    <row r="592">
      <c r="H592" s="3" t="s">
        <v>114</v>
      </c>
    </row>
    <row r="593">
      <c r="H593" s="3" t="s">
        <v>114</v>
      </c>
    </row>
    <row r="594">
      <c r="H594" s="3" t="s">
        <v>114</v>
      </c>
    </row>
    <row r="595">
      <c r="H595" s="3" t="s">
        <v>114</v>
      </c>
    </row>
    <row r="596">
      <c r="H596" s="3" t="s">
        <v>114</v>
      </c>
    </row>
    <row r="597">
      <c r="H597" s="3" t="s">
        <v>114</v>
      </c>
    </row>
    <row r="598">
      <c r="H598" s="3" t="s">
        <v>114</v>
      </c>
    </row>
    <row r="599">
      <c r="H599" s="3" t="s">
        <v>114</v>
      </c>
    </row>
    <row r="600">
      <c r="H600" s="3" t="s">
        <v>114</v>
      </c>
    </row>
    <row r="601">
      <c r="H601" s="3" t="s">
        <v>114</v>
      </c>
    </row>
    <row r="602">
      <c r="H602" s="3" t="s">
        <v>114</v>
      </c>
    </row>
    <row r="603">
      <c r="H603" s="3" t="s">
        <v>114</v>
      </c>
    </row>
    <row r="604">
      <c r="H604" s="3" t="s">
        <v>114</v>
      </c>
    </row>
    <row r="605">
      <c r="H605" s="3" t="s">
        <v>114</v>
      </c>
    </row>
    <row r="606">
      <c r="H606" s="3" t="s">
        <v>114</v>
      </c>
    </row>
    <row r="607">
      <c r="H607" s="3" t="s">
        <v>114</v>
      </c>
    </row>
    <row r="608">
      <c r="H608" s="3" t="s">
        <v>114</v>
      </c>
    </row>
    <row r="609">
      <c r="H609" s="3" t="s">
        <v>114</v>
      </c>
    </row>
    <row r="610">
      <c r="H610" s="3" t="s">
        <v>114</v>
      </c>
    </row>
    <row r="611">
      <c r="H611" s="3" t="s">
        <v>114</v>
      </c>
    </row>
    <row r="612">
      <c r="H612" s="3" t="s">
        <v>114</v>
      </c>
    </row>
    <row r="613">
      <c r="H613" s="3" t="s">
        <v>114</v>
      </c>
    </row>
    <row r="614">
      <c r="H614" s="3" t="s">
        <v>114</v>
      </c>
    </row>
    <row r="615">
      <c r="H615" s="3" t="s">
        <v>114</v>
      </c>
    </row>
    <row r="616">
      <c r="H616" s="3" t="s">
        <v>114</v>
      </c>
    </row>
    <row r="617">
      <c r="H617" s="3" t="s">
        <v>114</v>
      </c>
    </row>
    <row r="618">
      <c r="H618" s="3" t="s">
        <v>114</v>
      </c>
    </row>
    <row r="619">
      <c r="H619" s="3" t="s">
        <v>114</v>
      </c>
    </row>
    <row r="620">
      <c r="H620" s="3" t="s">
        <v>114</v>
      </c>
    </row>
    <row r="621">
      <c r="H621" s="3" t="s">
        <v>114</v>
      </c>
    </row>
    <row r="622">
      <c r="H622" s="3" t="s">
        <v>114</v>
      </c>
    </row>
    <row r="623">
      <c r="H623" s="3" t="s">
        <v>114</v>
      </c>
    </row>
    <row r="624">
      <c r="H624" s="3" t="s">
        <v>114</v>
      </c>
    </row>
    <row r="625">
      <c r="H625" s="3" t="s">
        <v>114</v>
      </c>
    </row>
    <row r="626">
      <c r="H626" s="3" t="s">
        <v>114</v>
      </c>
    </row>
    <row r="627">
      <c r="H627" s="3" t="s">
        <v>114</v>
      </c>
    </row>
    <row r="628">
      <c r="H628" s="3" t="s">
        <v>114</v>
      </c>
    </row>
    <row r="629">
      <c r="H629" s="3" t="s">
        <v>114</v>
      </c>
    </row>
    <row r="630">
      <c r="H630" s="3" t="s">
        <v>114</v>
      </c>
    </row>
    <row r="631">
      <c r="H631" s="3" t="s">
        <v>114</v>
      </c>
    </row>
    <row r="632">
      <c r="H632" s="3" t="s">
        <v>114</v>
      </c>
    </row>
    <row r="633">
      <c r="H633" s="3" t="s">
        <v>114</v>
      </c>
    </row>
    <row r="634">
      <c r="H634" s="3" t="s">
        <v>114</v>
      </c>
    </row>
    <row r="635">
      <c r="H635" s="3" t="s">
        <v>114</v>
      </c>
    </row>
    <row r="636">
      <c r="H636" s="3" t="s">
        <v>114</v>
      </c>
    </row>
    <row r="637">
      <c r="H637" s="3" t="s">
        <v>114</v>
      </c>
    </row>
    <row r="638">
      <c r="H638" s="3" t="s">
        <v>114</v>
      </c>
    </row>
    <row r="639">
      <c r="H639" s="3" t="s">
        <v>114</v>
      </c>
    </row>
    <row r="640">
      <c r="H640" s="3" t="s">
        <v>114</v>
      </c>
    </row>
    <row r="641">
      <c r="H641" s="3" t="s">
        <v>114</v>
      </c>
    </row>
    <row r="642">
      <c r="H642" s="3" t="s">
        <v>114</v>
      </c>
    </row>
    <row r="643">
      <c r="H643" s="3" t="s">
        <v>114</v>
      </c>
    </row>
    <row r="644">
      <c r="H644" s="3" t="s">
        <v>114</v>
      </c>
    </row>
    <row r="645">
      <c r="H645" s="3" t="s">
        <v>114</v>
      </c>
    </row>
    <row r="646">
      <c r="H646" s="3" t="s">
        <v>114</v>
      </c>
    </row>
    <row r="647">
      <c r="H647" s="3" t="s">
        <v>114</v>
      </c>
    </row>
    <row r="648">
      <c r="H648" s="3" t="s">
        <v>114</v>
      </c>
    </row>
    <row r="649">
      <c r="H649" s="3" t="s">
        <v>114</v>
      </c>
    </row>
    <row r="650">
      <c r="H650" s="3" t="s">
        <v>114</v>
      </c>
    </row>
    <row r="651">
      <c r="H651" s="3" t="s">
        <v>114</v>
      </c>
    </row>
    <row r="652">
      <c r="H652" s="3" t="s">
        <v>114</v>
      </c>
    </row>
    <row r="653">
      <c r="H653" s="3" t="s">
        <v>114</v>
      </c>
    </row>
    <row r="654">
      <c r="H654" s="3" t="s">
        <v>114</v>
      </c>
    </row>
    <row r="655">
      <c r="H655" s="3" t="s">
        <v>114</v>
      </c>
    </row>
    <row r="656">
      <c r="H656" s="3" t="s">
        <v>114</v>
      </c>
    </row>
    <row r="657">
      <c r="H657" s="3" t="s">
        <v>114</v>
      </c>
    </row>
    <row r="658">
      <c r="H658" s="3" t="s">
        <v>114</v>
      </c>
    </row>
    <row r="659">
      <c r="H659" s="3" t="s">
        <v>114</v>
      </c>
    </row>
    <row r="660">
      <c r="H660" s="3" t="s">
        <v>114</v>
      </c>
    </row>
    <row r="661">
      <c r="H661" s="3" t="s">
        <v>114</v>
      </c>
    </row>
    <row r="662">
      <c r="H662" s="3" t="s">
        <v>114</v>
      </c>
    </row>
    <row r="663">
      <c r="H663" s="3" t="s">
        <v>114</v>
      </c>
    </row>
    <row r="664">
      <c r="H664" s="3" t="s">
        <v>114</v>
      </c>
    </row>
    <row r="665">
      <c r="H665" s="3" t="s">
        <v>114</v>
      </c>
    </row>
    <row r="666">
      <c r="H666" s="3" t="s">
        <v>114</v>
      </c>
    </row>
    <row r="667">
      <c r="H667" s="3" t="s">
        <v>114</v>
      </c>
    </row>
    <row r="668">
      <c r="H668" s="3" t="s">
        <v>114</v>
      </c>
    </row>
    <row r="669">
      <c r="H669" s="3" t="s">
        <v>114</v>
      </c>
    </row>
    <row r="670">
      <c r="H670" s="3" t="s">
        <v>114</v>
      </c>
    </row>
    <row r="671">
      <c r="H671" s="3" t="s">
        <v>114</v>
      </c>
    </row>
    <row r="672">
      <c r="H672" s="3" t="s">
        <v>114</v>
      </c>
    </row>
    <row r="673">
      <c r="H673" s="3" t="s">
        <v>114</v>
      </c>
    </row>
    <row r="674">
      <c r="H674" s="3" t="s">
        <v>114</v>
      </c>
    </row>
    <row r="675">
      <c r="H675" s="3" t="s">
        <v>114</v>
      </c>
    </row>
    <row r="676">
      <c r="H676" s="3" t="s">
        <v>114</v>
      </c>
    </row>
    <row r="677">
      <c r="H677" s="3" t="s">
        <v>114</v>
      </c>
    </row>
    <row r="678">
      <c r="H678" s="3" t="s">
        <v>114</v>
      </c>
    </row>
    <row r="679">
      <c r="H679" s="3" t="s">
        <v>114</v>
      </c>
    </row>
    <row r="680">
      <c r="H680" s="3" t="s">
        <v>114</v>
      </c>
    </row>
    <row r="681">
      <c r="H681" s="3" t="s">
        <v>114</v>
      </c>
    </row>
    <row r="682">
      <c r="H682" s="3" t="s">
        <v>114</v>
      </c>
    </row>
    <row r="683">
      <c r="H683" s="3" t="s">
        <v>114</v>
      </c>
    </row>
    <row r="684">
      <c r="H684" s="3" t="s">
        <v>114</v>
      </c>
    </row>
    <row r="685">
      <c r="H685" s="3" t="s">
        <v>114</v>
      </c>
    </row>
    <row r="686">
      <c r="H686" s="3" t="s">
        <v>114</v>
      </c>
    </row>
    <row r="687">
      <c r="H687" s="3" t="s">
        <v>114</v>
      </c>
    </row>
    <row r="688">
      <c r="H688" s="3" t="s">
        <v>114</v>
      </c>
    </row>
    <row r="689">
      <c r="H689" s="3" t="s">
        <v>114</v>
      </c>
    </row>
    <row r="690">
      <c r="H690" s="3" t="s">
        <v>114</v>
      </c>
    </row>
    <row r="691">
      <c r="H691" s="3" t="s">
        <v>114</v>
      </c>
    </row>
    <row r="692">
      <c r="H692" s="3" t="s">
        <v>114</v>
      </c>
    </row>
    <row r="693">
      <c r="H693" s="3" t="s">
        <v>114</v>
      </c>
    </row>
    <row r="694">
      <c r="H694" s="3" t="s">
        <v>114</v>
      </c>
    </row>
    <row r="695">
      <c r="H695" s="3" t="s">
        <v>114</v>
      </c>
    </row>
    <row r="696">
      <c r="H696" s="3" t="s">
        <v>114</v>
      </c>
    </row>
    <row r="697">
      <c r="H697" s="3" t="s">
        <v>114</v>
      </c>
    </row>
    <row r="698">
      <c r="H698" s="3" t="s">
        <v>114</v>
      </c>
    </row>
    <row r="699">
      <c r="H699" s="3" t="s">
        <v>114</v>
      </c>
    </row>
    <row r="700">
      <c r="H700" s="3" t="s">
        <v>114</v>
      </c>
    </row>
    <row r="701">
      <c r="H701" s="3" t="s">
        <v>114</v>
      </c>
    </row>
    <row r="702">
      <c r="H702" s="3" t="s">
        <v>114</v>
      </c>
    </row>
    <row r="703">
      <c r="H703" s="3" t="s">
        <v>114</v>
      </c>
    </row>
    <row r="704">
      <c r="H704" s="3" t="s">
        <v>114</v>
      </c>
    </row>
    <row r="705">
      <c r="H705" s="3" t="s">
        <v>114</v>
      </c>
    </row>
    <row r="706">
      <c r="H706" s="3" t="s">
        <v>114</v>
      </c>
    </row>
    <row r="707">
      <c r="H707" s="3" t="s">
        <v>114</v>
      </c>
    </row>
    <row r="708">
      <c r="H708" s="3" t="s">
        <v>114</v>
      </c>
    </row>
    <row r="709">
      <c r="H709" s="3" t="s">
        <v>114</v>
      </c>
    </row>
    <row r="710">
      <c r="H710" s="3" t="s">
        <v>114</v>
      </c>
    </row>
    <row r="711">
      <c r="H711" s="3" t="s">
        <v>114</v>
      </c>
    </row>
    <row r="712">
      <c r="H712" s="3" t="s">
        <v>114</v>
      </c>
    </row>
    <row r="713">
      <c r="H713" s="3" t="s">
        <v>114</v>
      </c>
    </row>
    <row r="714">
      <c r="H714" s="3" t="s">
        <v>114</v>
      </c>
    </row>
    <row r="715">
      <c r="H715" s="3" t="s">
        <v>114</v>
      </c>
    </row>
    <row r="716">
      <c r="H716" s="3" t="s">
        <v>114</v>
      </c>
    </row>
    <row r="717">
      <c r="H717" s="3" t="s">
        <v>114</v>
      </c>
    </row>
    <row r="718">
      <c r="H718" s="3" t="s">
        <v>114</v>
      </c>
    </row>
    <row r="719">
      <c r="H719" s="3" t="s">
        <v>114</v>
      </c>
    </row>
    <row r="720">
      <c r="H720" s="3" t="s">
        <v>114</v>
      </c>
    </row>
    <row r="721">
      <c r="H721" s="3" t="s">
        <v>114</v>
      </c>
    </row>
    <row r="722">
      <c r="H722" s="3" t="s">
        <v>114</v>
      </c>
    </row>
    <row r="723">
      <c r="H723" s="3" t="s">
        <v>114</v>
      </c>
    </row>
    <row r="724">
      <c r="H724" s="3" t="s">
        <v>114</v>
      </c>
    </row>
    <row r="725">
      <c r="H725" s="3" t="s">
        <v>114</v>
      </c>
    </row>
    <row r="726">
      <c r="H726" s="3" t="s">
        <v>114</v>
      </c>
    </row>
    <row r="727">
      <c r="H727" s="3" t="s">
        <v>114</v>
      </c>
    </row>
    <row r="728">
      <c r="H728" s="3" t="s">
        <v>114</v>
      </c>
    </row>
    <row r="729">
      <c r="H729" s="3" t="s">
        <v>114</v>
      </c>
    </row>
    <row r="730">
      <c r="H730" s="3" t="s">
        <v>114</v>
      </c>
    </row>
    <row r="731">
      <c r="H731" s="3" t="s">
        <v>114</v>
      </c>
    </row>
    <row r="732">
      <c r="H732" s="3" t="s">
        <v>114</v>
      </c>
    </row>
    <row r="733">
      <c r="H733" s="3" t="s">
        <v>114</v>
      </c>
    </row>
    <row r="734">
      <c r="H734" s="3" t="s">
        <v>114</v>
      </c>
    </row>
    <row r="735">
      <c r="H735" s="3" t="s">
        <v>114</v>
      </c>
    </row>
    <row r="736">
      <c r="H736" s="3" t="s">
        <v>114</v>
      </c>
    </row>
    <row r="737">
      <c r="H737" s="3" t="s">
        <v>114</v>
      </c>
    </row>
    <row r="738">
      <c r="H738" s="3" t="s">
        <v>114</v>
      </c>
    </row>
    <row r="739">
      <c r="H739" s="3" t="s">
        <v>114</v>
      </c>
    </row>
    <row r="740">
      <c r="H740" s="3" t="s">
        <v>114</v>
      </c>
    </row>
    <row r="741">
      <c r="H741" s="3" t="s">
        <v>114</v>
      </c>
    </row>
    <row r="742">
      <c r="H742" s="3" t="s">
        <v>114</v>
      </c>
    </row>
    <row r="743">
      <c r="H743" s="3" t="s">
        <v>114</v>
      </c>
    </row>
    <row r="744">
      <c r="H744" s="3" t="s">
        <v>114</v>
      </c>
    </row>
    <row r="745">
      <c r="H745" s="3" t="s">
        <v>114</v>
      </c>
    </row>
    <row r="746">
      <c r="H746" s="3" t="s">
        <v>114</v>
      </c>
    </row>
    <row r="747">
      <c r="H747" s="3" t="s">
        <v>114</v>
      </c>
    </row>
    <row r="748">
      <c r="H748" s="3" t="s">
        <v>114</v>
      </c>
    </row>
    <row r="749">
      <c r="H749" s="3" t="s">
        <v>114</v>
      </c>
    </row>
    <row r="750">
      <c r="H750" s="3" t="s">
        <v>114</v>
      </c>
    </row>
    <row r="751">
      <c r="H751" s="3" t="s">
        <v>114</v>
      </c>
    </row>
    <row r="752">
      <c r="H752" s="3" t="s">
        <v>114</v>
      </c>
    </row>
    <row r="753">
      <c r="H753" s="3" t="s">
        <v>114</v>
      </c>
    </row>
    <row r="754">
      <c r="H754" s="3" t="s">
        <v>114</v>
      </c>
    </row>
    <row r="755">
      <c r="H755" s="3" t="s">
        <v>114</v>
      </c>
    </row>
    <row r="756">
      <c r="H756" s="3" t="s">
        <v>114</v>
      </c>
    </row>
    <row r="757">
      <c r="H757" s="3" t="s">
        <v>114</v>
      </c>
    </row>
    <row r="758">
      <c r="H758" s="3" t="s">
        <v>114</v>
      </c>
    </row>
    <row r="759">
      <c r="H759" s="3" t="s">
        <v>114</v>
      </c>
    </row>
    <row r="760">
      <c r="H760" s="3" t="s">
        <v>114</v>
      </c>
    </row>
    <row r="761">
      <c r="H761" s="3" t="s">
        <v>114</v>
      </c>
    </row>
    <row r="762">
      <c r="H762" s="3" t="s">
        <v>114</v>
      </c>
    </row>
    <row r="763">
      <c r="H763" s="3" t="s">
        <v>114</v>
      </c>
    </row>
    <row r="764">
      <c r="H764" s="3" t="s">
        <v>114</v>
      </c>
    </row>
    <row r="765">
      <c r="H765" s="3" t="s">
        <v>114</v>
      </c>
    </row>
    <row r="766">
      <c r="H766" s="3" t="s">
        <v>114</v>
      </c>
    </row>
    <row r="767">
      <c r="H767" s="3" t="s">
        <v>114</v>
      </c>
    </row>
    <row r="768">
      <c r="H768" s="3" t="s">
        <v>114</v>
      </c>
    </row>
    <row r="769">
      <c r="H769" s="3" t="s">
        <v>114</v>
      </c>
    </row>
    <row r="770">
      <c r="H770" s="3" t="s">
        <v>114</v>
      </c>
    </row>
    <row r="771">
      <c r="H771" s="3" t="s">
        <v>114</v>
      </c>
    </row>
    <row r="772">
      <c r="H772" s="3" t="s">
        <v>114</v>
      </c>
    </row>
    <row r="773">
      <c r="H773" s="3" t="s">
        <v>114</v>
      </c>
    </row>
    <row r="774">
      <c r="H774" s="3" t="s">
        <v>114</v>
      </c>
    </row>
    <row r="775">
      <c r="H775" s="3" t="s">
        <v>114</v>
      </c>
    </row>
    <row r="776">
      <c r="H776" s="3" t="s">
        <v>114</v>
      </c>
    </row>
    <row r="777">
      <c r="H777" s="3" t="s">
        <v>114</v>
      </c>
    </row>
    <row r="778">
      <c r="H778" s="3" t="s">
        <v>114</v>
      </c>
    </row>
    <row r="779">
      <c r="H779" s="3" t="s">
        <v>114</v>
      </c>
    </row>
    <row r="780">
      <c r="H780" s="3" t="s">
        <v>114</v>
      </c>
    </row>
    <row r="781">
      <c r="H781" s="3" t="s">
        <v>114</v>
      </c>
    </row>
    <row r="782">
      <c r="H782" s="3" t="s">
        <v>114</v>
      </c>
    </row>
    <row r="783">
      <c r="H783" s="3" t="s">
        <v>114</v>
      </c>
    </row>
    <row r="784">
      <c r="H784" s="3" t="s">
        <v>114</v>
      </c>
    </row>
    <row r="785">
      <c r="H785" s="3" t="s">
        <v>114</v>
      </c>
    </row>
    <row r="786">
      <c r="H786" s="3" t="s">
        <v>114</v>
      </c>
    </row>
    <row r="787">
      <c r="H787" s="3" t="s">
        <v>114</v>
      </c>
    </row>
    <row r="788">
      <c r="H788" s="3" t="s">
        <v>114</v>
      </c>
    </row>
    <row r="789">
      <c r="H789" s="3" t="s">
        <v>114</v>
      </c>
    </row>
    <row r="790">
      <c r="H790" s="3" t="s">
        <v>114</v>
      </c>
    </row>
    <row r="791">
      <c r="H791" s="3" t="s">
        <v>114</v>
      </c>
    </row>
    <row r="792">
      <c r="H792" s="3" t="s">
        <v>114</v>
      </c>
    </row>
    <row r="793">
      <c r="H793" s="3" t="s">
        <v>114</v>
      </c>
    </row>
    <row r="794">
      <c r="H794" s="3" t="s">
        <v>114</v>
      </c>
    </row>
    <row r="795">
      <c r="H795" s="3" t="s">
        <v>114</v>
      </c>
    </row>
    <row r="796">
      <c r="H796" s="3" t="s">
        <v>114</v>
      </c>
    </row>
    <row r="797">
      <c r="H797" s="3" t="s">
        <v>114</v>
      </c>
    </row>
    <row r="798">
      <c r="H798" s="3" t="s">
        <v>114</v>
      </c>
    </row>
    <row r="799">
      <c r="H799" s="3" t="s">
        <v>114</v>
      </c>
    </row>
    <row r="800">
      <c r="H800" s="3" t="s">
        <v>114</v>
      </c>
    </row>
    <row r="801">
      <c r="H801" s="3" t="s">
        <v>114</v>
      </c>
    </row>
    <row r="802">
      <c r="H802" s="3" t="s">
        <v>114</v>
      </c>
    </row>
    <row r="803">
      <c r="H803" s="3" t="s">
        <v>114</v>
      </c>
    </row>
    <row r="804">
      <c r="H804" s="3" t="s">
        <v>114</v>
      </c>
    </row>
    <row r="805">
      <c r="H805" s="3" t="s">
        <v>114</v>
      </c>
    </row>
    <row r="806">
      <c r="H806" s="3" t="s">
        <v>114</v>
      </c>
    </row>
    <row r="807">
      <c r="H807" s="3" t="s">
        <v>114</v>
      </c>
    </row>
    <row r="808">
      <c r="H808" s="3" t="s">
        <v>114</v>
      </c>
    </row>
    <row r="809">
      <c r="H809" s="3" t="s">
        <v>114</v>
      </c>
    </row>
    <row r="810">
      <c r="H810" s="3" t="s">
        <v>114</v>
      </c>
    </row>
    <row r="811">
      <c r="H811" s="3" t="s">
        <v>114</v>
      </c>
    </row>
    <row r="812">
      <c r="H812" s="3" t="s">
        <v>114</v>
      </c>
    </row>
    <row r="813">
      <c r="H813" s="3" t="s">
        <v>114</v>
      </c>
    </row>
    <row r="814">
      <c r="H814" s="3" t="s">
        <v>114</v>
      </c>
    </row>
    <row r="815">
      <c r="H815" s="3" t="s">
        <v>114</v>
      </c>
    </row>
    <row r="816">
      <c r="H816" s="3" t="s">
        <v>114</v>
      </c>
    </row>
    <row r="817">
      <c r="H817" s="3" t="s">
        <v>114</v>
      </c>
    </row>
    <row r="818">
      <c r="H818" s="3" t="s">
        <v>114</v>
      </c>
    </row>
    <row r="819">
      <c r="H819" s="3" t="s">
        <v>114</v>
      </c>
    </row>
    <row r="820">
      <c r="H820" s="3" t="s">
        <v>114</v>
      </c>
    </row>
    <row r="821">
      <c r="H821" s="3" t="s">
        <v>114</v>
      </c>
    </row>
    <row r="822">
      <c r="H822" s="3" t="s">
        <v>114</v>
      </c>
    </row>
    <row r="823">
      <c r="H823" s="3" t="s">
        <v>114</v>
      </c>
    </row>
    <row r="824">
      <c r="H824" s="3" t="s">
        <v>114</v>
      </c>
    </row>
    <row r="825">
      <c r="H825" s="3" t="s">
        <v>114</v>
      </c>
    </row>
    <row r="826">
      <c r="H826" s="3" t="s">
        <v>114</v>
      </c>
    </row>
    <row r="827">
      <c r="H827" s="3" t="s">
        <v>114</v>
      </c>
    </row>
    <row r="828">
      <c r="H828" s="3" t="s">
        <v>114</v>
      </c>
    </row>
    <row r="829">
      <c r="H829" s="3" t="s">
        <v>114</v>
      </c>
    </row>
    <row r="830">
      <c r="H830" s="3" t="s">
        <v>114</v>
      </c>
    </row>
    <row r="831">
      <c r="H831" s="3" t="s">
        <v>114</v>
      </c>
    </row>
    <row r="832">
      <c r="H832" s="3" t="s">
        <v>114</v>
      </c>
    </row>
    <row r="833">
      <c r="H833" s="3" t="s">
        <v>114</v>
      </c>
    </row>
    <row r="834">
      <c r="H834" s="3" t="s">
        <v>114</v>
      </c>
    </row>
    <row r="835">
      <c r="H835" s="3" t="s">
        <v>114</v>
      </c>
    </row>
    <row r="836">
      <c r="H836" s="3" t="s">
        <v>114</v>
      </c>
    </row>
    <row r="837">
      <c r="H837" s="3" t="s">
        <v>114</v>
      </c>
    </row>
    <row r="838">
      <c r="H838" s="3" t="s">
        <v>114</v>
      </c>
    </row>
    <row r="839">
      <c r="H839" s="3" t="s">
        <v>114</v>
      </c>
    </row>
    <row r="840">
      <c r="H840" s="3" t="s">
        <v>114</v>
      </c>
    </row>
    <row r="841">
      <c r="H841" s="3" t="s">
        <v>114</v>
      </c>
    </row>
    <row r="842">
      <c r="H842" s="3" t="s">
        <v>114</v>
      </c>
    </row>
    <row r="843">
      <c r="H843" s="3" t="s">
        <v>114</v>
      </c>
    </row>
    <row r="844">
      <c r="H844" s="3" t="s">
        <v>114</v>
      </c>
    </row>
    <row r="845">
      <c r="H845" s="3" t="s">
        <v>114</v>
      </c>
    </row>
    <row r="846">
      <c r="H846" s="3" t="s">
        <v>114</v>
      </c>
    </row>
    <row r="847">
      <c r="H847" s="3" t="s">
        <v>114</v>
      </c>
    </row>
    <row r="848">
      <c r="H848" s="3" t="s">
        <v>114</v>
      </c>
    </row>
    <row r="849">
      <c r="H849" s="3" t="s">
        <v>114</v>
      </c>
    </row>
    <row r="850">
      <c r="H850" s="3" t="s">
        <v>114</v>
      </c>
    </row>
    <row r="851">
      <c r="H851" s="3" t="s">
        <v>114</v>
      </c>
    </row>
    <row r="852">
      <c r="H852" s="3" t="s">
        <v>114</v>
      </c>
    </row>
    <row r="853">
      <c r="H853" s="3" t="s">
        <v>114</v>
      </c>
    </row>
    <row r="854">
      <c r="H854" s="3" t="s">
        <v>114</v>
      </c>
    </row>
    <row r="855">
      <c r="H855" s="3" t="s">
        <v>114</v>
      </c>
    </row>
    <row r="856">
      <c r="H856" s="3" t="s">
        <v>114</v>
      </c>
    </row>
    <row r="857">
      <c r="H857" s="3" t="s">
        <v>114</v>
      </c>
    </row>
    <row r="858">
      <c r="H858" s="3" t="s">
        <v>114</v>
      </c>
    </row>
    <row r="859">
      <c r="H859" s="3" t="s">
        <v>114</v>
      </c>
    </row>
    <row r="860">
      <c r="H860" s="3" t="s">
        <v>114</v>
      </c>
    </row>
    <row r="861">
      <c r="H861" s="3" t="s">
        <v>114</v>
      </c>
    </row>
    <row r="862">
      <c r="H862" s="3" t="s">
        <v>114</v>
      </c>
    </row>
    <row r="863">
      <c r="H863" s="3" t="s">
        <v>114</v>
      </c>
    </row>
    <row r="864">
      <c r="H864" s="3" t="s">
        <v>114</v>
      </c>
    </row>
    <row r="865">
      <c r="H865" s="3" t="s">
        <v>114</v>
      </c>
    </row>
    <row r="866">
      <c r="H866" s="3" t="s">
        <v>114</v>
      </c>
    </row>
    <row r="867">
      <c r="H867" s="3" t="s">
        <v>114</v>
      </c>
    </row>
    <row r="868">
      <c r="H868" s="3" t="s">
        <v>114</v>
      </c>
    </row>
    <row r="869">
      <c r="H869" s="3" t="s">
        <v>114</v>
      </c>
    </row>
    <row r="870">
      <c r="H870" s="3" t="s">
        <v>114</v>
      </c>
    </row>
    <row r="871">
      <c r="H871" s="3" t="s">
        <v>114</v>
      </c>
    </row>
    <row r="872">
      <c r="H872" s="3" t="s">
        <v>114</v>
      </c>
    </row>
    <row r="873">
      <c r="H873" s="3" t="s">
        <v>114</v>
      </c>
    </row>
    <row r="874">
      <c r="H874" s="3" t="s">
        <v>114</v>
      </c>
    </row>
    <row r="875">
      <c r="H875" s="3" t="s">
        <v>114</v>
      </c>
    </row>
    <row r="876">
      <c r="H876" s="3" t="s">
        <v>114</v>
      </c>
    </row>
    <row r="877">
      <c r="H877" s="3" t="s">
        <v>114</v>
      </c>
    </row>
    <row r="878">
      <c r="H878" s="3" t="s">
        <v>114</v>
      </c>
    </row>
    <row r="879">
      <c r="H879" s="3" t="s">
        <v>114</v>
      </c>
    </row>
    <row r="880">
      <c r="H880" s="3" t="s">
        <v>114</v>
      </c>
    </row>
    <row r="881">
      <c r="H881" s="3" t="s">
        <v>114</v>
      </c>
    </row>
    <row r="882">
      <c r="H882" s="3" t="s">
        <v>114</v>
      </c>
    </row>
    <row r="883">
      <c r="H883" s="3" t="s">
        <v>114</v>
      </c>
    </row>
    <row r="884">
      <c r="H884" s="3" t="s">
        <v>114</v>
      </c>
    </row>
    <row r="885">
      <c r="H885" s="3" t="s">
        <v>114</v>
      </c>
    </row>
    <row r="886">
      <c r="H886" s="3" t="s">
        <v>114</v>
      </c>
    </row>
    <row r="887">
      <c r="H887" s="3" t="s">
        <v>114</v>
      </c>
    </row>
    <row r="888">
      <c r="H888" s="3" t="s">
        <v>114</v>
      </c>
    </row>
    <row r="889">
      <c r="H889" s="3" t="s">
        <v>114</v>
      </c>
    </row>
    <row r="890">
      <c r="H890" s="3" t="s">
        <v>114</v>
      </c>
    </row>
    <row r="891">
      <c r="H891" s="3" t="s">
        <v>114</v>
      </c>
    </row>
    <row r="892">
      <c r="H892" s="3" t="s">
        <v>114</v>
      </c>
    </row>
    <row r="893">
      <c r="H893" s="3" t="s">
        <v>114</v>
      </c>
    </row>
    <row r="894">
      <c r="H894" s="3" t="s">
        <v>114</v>
      </c>
    </row>
    <row r="895">
      <c r="H895" s="3" t="s">
        <v>114</v>
      </c>
    </row>
    <row r="896">
      <c r="H896" s="3" t="s">
        <v>114</v>
      </c>
    </row>
    <row r="897">
      <c r="H897" s="3" t="s">
        <v>114</v>
      </c>
    </row>
    <row r="898">
      <c r="H898" s="3" t="s">
        <v>114</v>
      </c>
    </row>
    <row r="899">
      <c r="H899" s="3" t="s">
        <v>114</v>
      </c>
    </row>
    <row r="900">
      <c r="H900" s="3" t="s">
        <v>114</v>
      </c>
    </row>
    <row r="901">
      <c r="H901" s="3" t="s">
        <v>114</v>
      </c>
    </row>
    <row r="902">
      <c r="H902" s="3" t="s">
        <v>114</v>
      </c>
    </row>
    <row r="903">
      <c r="H903" s="3" t="s">
        <v>114</v>
      </c>
    </row>
    <row r="904">
      <c r="H904" s="3" t="s">
        <v>114</v>
      </c>
    </row>
    <row r="905">
      <c r="H905" s="3" t="s">
        <v>114</v>
      </c>
    </row>
    <row r="906">
      <c r="H906" s="3" t="s">
        <v>114</v>
      </c>
    </row>
    <row r="907">
      <c r="H907" s="3" t="s">
        <v>114</v>
      </c>
    </row>
    <row r="908">
      <c r="H908" s="3" t="s">
        <v>114</v>
      </c>
    </row>
    <row r="909">
      <c r="H909" s="3" t="s">
        <v>114</v>
      </c>
    </row>
    <row r="910">
      <c r="H910" s="3" t="s">
        <v>114</v>
      </c>
    </row>
    <row r="911">
      <c r="H911" s="3" t="s">
        <v>114</v>
      </c>
    </row>
    <row r="912">
      <c r="H912" s="3" t="s">
        <v>114</v>
      </c>
    </row>
    <row r="913">
      <c r="H913" s="3" t="s">
        <v>114</v>
      </c>
    </row>
    <row r="914">
      <c r="H914" s="3" t="s">
        <v>114</v>
      </c>
    </row>
    <row r="915">
      <c r="H915" s="3" t="s">
        <v>114</v>
      </c>
    </row>
    <row r="916">
      <c r="H916" s="3" t="s">
        <v>114</v>
      </c>
    </row>
    <row r="917">
      <c r="H917" s="3" t="s">
        <v>114</v>
      </c>
    </row>
    <row r="918">
      <c r="H918" s="3" t="s">
        <v>114</v>
      </c>
    </row>
    <row r="919">
      <c r="H919" s="3" t="s">
        <v>114</v>
      </c>
    </row>
    <row r="920">
      <c r="H920" s="3" t="s">
        <v>114</v>
      </c>
    </row>
    <row r="921">
      <c r="H921" s="3" t="s">
        <v>114</v>
      </c>
    </row>
    <row r="922">
      <c r="H922" s="3" t="s">
        <v>114</v>
      </c>
    </row>
    <row r="923">
      <c r="H923" s="3" t="s">
        <v>114</v>
      </c>
    </row>
    <row r="924">
      <c r="H924" s="3" t="s">
        <v>114</v>
      </c>
    </row>
    <row r="925">
      <c r="H925" s="3" t="s">
        <v>114</v>
      </c>
    </row>
    <row r="926">
      <c r="H926" s="3" t="s">
        <v>114</v>
      </c>
    </row>
    <row r="927">
      <c r="H927" s="3" t="s">
        <v>114</v>
      </c>
    </row>
    <row r="928">
      <c r="H928" s="3" t="s">
        <v>114</v>
      </c>
    </row>
    <row r="929">
      <c r="H929" s="3" t="s">
        <v>114</v>
      </c>
    </row>
    <row r="930">
      <c r="H930" s="3" t="s">
        <v>114</v>
      </c>
    </row>
    <row r="931">
      <c r="H931" s="3" t="s">
        <v>114</v>
      </c>
    </row>
    <row r="932">
      <c r="H932" s="3" t="s">
        <v>114</v>
      </c>
    </row>
    <row r="933">
      <c r="H933" s="3" t="s">
        <v>114</v>
      </c>
    </row>
    <row r="934">
      <c r="H934" s="3" t="s">
        <v>114</v>
      </c>
    </row>
    <row r="935">
      <c r="H935" s="3" t="s">
        <v>114</v>
      </c>
    </row>
    <row r="936">
      <c r="H936" s="3" t="s">
        <v>114</v>
      </c>
    </row>
    <row r="937">
      <c r="H937" s="3" t="s">
        <v>114</v>
      </c>
    </row>
    <row r="938">
      <c r="H938" s="3" t="s">
        <v>114</v>
      </c>
    </row>
    <row r="939">
      <c r="H939" s="3" t="s">
        <v>114</v>
      </c>
    </row>
    <row r="940">
      <c r="H940" s="3" t="s">
        <v>114</v>
      </c>
    </row>
    <row r="941">
      <c r="H941" s="3" t="s">
        <v>114</v>
      </c>
    </row>
    <row r="942">
      <c r="H942" s="3" t="s">
        <v>114</v>
      </c>
    </row>
    <row r="943">
      <c r="H943" s="3" t="s">
        <v>114</v>
      </c>
    </row>
    <row r="944">
      <c r="H944" s="3" t="s">
        <v>114</v>
      </c>
    </row>
    <row r="945">
      <c r="H945" s="3" t="s">
        <v>114</v>
      </c>
    </row>
    <row r="946">
      <c r="H946" s="3" t="s">
        <v>114</v>
      </c>
    </row>
    <row r="947">
      <c r="H947" s="3" t="s">
        <v>114</v>
      </c>
    </row>
    <row r="948">
      <c r="H948" s="3" t="s">
        <v>114</v>
      </c>
    </row>
    <row r="949">
      <c r="H949" s="3" t="s">
        <v>114</v>
      </c>
    </row>
    <row r="950">
      <c r="H950" s="3" t="s">
        <v>114</v>
      </c>
    </row>
    <row r="951">
      <c r="H951" s="3" t="s">
        <v>114</v>
      </c>
    </row>
    <row r="952">
      <c r="H952" s="3" t="s">
        <v>114</v>
      </c>
    </row>
    <row r="953">
      <c r="H953" s="3" t="s">
        <v>114</v>
      </c>
    </row>
    <row r="954">
      <c r="H954" s="3" t="s">
        <v>114</v>
      </c>
    </row>
    <row r="955">
      <c r="H955" s="3" t="s">
        <v>114</v>
      </c>
    </row>
    <row r="956">
      <c r="H956" s="3" t="s">
        <v>114</v>
      </c>
    </row>
    <row r="957">
      <c r="H957" s="3" t="s">
        <v>114</v>
      </c>
    </row>
    <row r="958">
      <c r="H958" s="3" t="s">
        <v>114</v>
      </c>
    </row>
    <row r="959">
      <c r="H959" s="3" t="s">
        <v>114</v>
      </c>
    </row>
    <row r="960">
      <c r="H960" s="3" t="s">
        <v>114</v>
      </c>
    </row>
    <row r="961">
      <c r="H961" s="3" t="s">
        <v>114</v>
      </c>
    </row>
    <row r="962">
      <c r="H962" s="3" t="s">
        <v>114</v>
      </c>
    </row>
    <row r="963">
      <c r="H963" s="3" t="s">
        <v>114</v>
      </c>
    </row>
    <row r="964">
      <c r="H964" s="3" t="s">
        <v>114</v>
      </c>
    </row>
    <row r="965">
      <c r="H965" s="3" t="s">
        <v>114</v>
      </c>
    </row>
    <row r="966">
      <c r="H966" s="3" t="s">
        <v>114</v>
      </c>
    </row>
    <row r="967">
      <c r="H967" s="3" t="s">
        <v>114</v>
      </c>
    </row>
    <row r="968">
      <c r="H968" s="3" t="s">
        <v>114</v>
      </c>
    </row>
    <row r="969">
      <c r="H969" s="3" t="s">
        <v>114</v>
      </c>
    </row>
    <row r="970">
      <c r="H970" s="3" t="s">
        <v>114</v>
      </c>
    </row>
    <row r="971">
      <c r="H971" s="3" t="s">
        <v>114</v>
      </c>
    </row>
    <row r="972">
      <c r="H972" s="3" t="s">
        <v>114</v>
      </c>
    </row>
    <row r="973">
      <c r="H973" s="3" t="s">
        <v>114</v>
      </c>
    </row>
    <row r="974">
      <c r="H974" s="3" t="s">
        <v>114</v>
      </c>
    </row>
    <row r="975">
      <c r="H975" s="3" t="s">
        <v>114</v>
      </c>
    </row>
    <row r="976">
      <c r="H976" s="3" t="s">
        <v>114</v>
      </c>
    </row>
    <row r="977">
      <c r="H977" s="3" t="s">
        <v>114</v>
      </c>
    </row>
    <row r="978">
      <c r="H978" s="3" t="s">
        <v>114</v>
      </c>
    </row>
    <row r="979">
      <c r="H979" s="3" t="s">
        <v>114</v>
      </c>
    </row>
    <row r="980">
      <c r="H980" s="3" t="s">
        <v>114</v>
      </c>
    </row>
    <row r="981">
      <c r="H981" s="3" t="s">
        <v>114</v>
      </c>
    </row>
    <row r="982">
      <c r="H982" s="3" t="s">
        <v>114</v>
      </c>
    </row>
    <row r="983">
      <c r="H983" s="3" t="s">
        <v>114</v>
      </c>
    </row>
    <row r="984">
      <c r="H984" s="3" t="s">
        <v>114</v>
      </c>
    </row>
    <row r="985">
      <c r="H985" s="3" t="s">
        <v>114</v>
      </c>
    </row>
    <row r="986">
      <c r="H986" s="3" t="s">
        <v>114</v>
      </c>
    </row>
    <row r="987">
      <c r="H987" s="3" t="s">
        <v>114</v>
      </c>
    </row>
    <row r="988">
      <c r="H988" s="3" t="s">
        <v>114</v>
      </c>
    </row>
    <row r="989">
      <c r="H989" s="3" t="s">
        <v>114</v>
      </c>
    </row>
    <row r="990">
      <c r="H990" s="3" t="s">
        <v>114</v>
      </c>
    </row>
    <row r="991">
      <c r="H991" s="3" t="s">
        <v>114</v>
      </c>
    </row>
    <row r="992">
      <c r="H992" s="3" t="s">
        <v>114</v>
      </c>
    </row>
    <row r="993">
      <c r="H993" s="3" t="s">
        <v>114</v>
      </c>
    </row>
    <row r="994">
      <c r="H994" s="3" t="s">
        <v>114</v>
      </c>
    </row>
    <row r="995">
      <c r="H995" s="3" t="s">
        <v>114</v>
      </c>
    </row>
    <row r="996">
      <c r="H996" s="3" t="s">
        <v>114</v>
      </c>
    </row>
    <row r="997">
      <c r="H997" s="3" t="s">
        <v>114</v>
      </c>
    </row>
    <row r="998">
      <c r="H998" s="3" t="s">
        <v>114</v>
      </c>
    </row>
    <row r="999">
      <c r="H999" s="3" t="s">
        <v>114</v>
      </c>
    </row>
    <row r="1000">
      <c r="H1000" s="3" t="s">
        <v>114</v>
      </c>
    </row>
    <row r="1001">
      <c r="H1001" s="3" t="s">
        <v>114</v>
      </c>
    </row>
    <row r="1002">
      <c r="H1002" s="3" t="s">
        <v>114</v>
      </c>
    </row>
    <row r="1003">
      <c r="H1003" s="3" t="s">
        <v>114</v>
      </c>
    </row>
    <row r="1004">
      <c r="H1004" s="3" t="s">
        <v>114</v>
      </c>
    </row>
    <row r="1005">
      <c r="H1005" s="3" t="s">
        <v>114</v>
      </c>
    </row>
    <row r="1006">
      <c r="H1006" s="3" t="s">
        <v>114</v>
      </c>
    </row>
    <row r="1007">
      <c r="H1007" s="3" t="s">
        <v>114</v>
      </c>
    </row>
    <row r="1008">
      <c r="H1008" s="3" t="s">
        <v>114</v>
      </c>
    </row>
    <row r="1009">
      <c r="H1009" s="3" t="s">
        <v>114</v>
      </c>
    </row>
    <row r="1010">
      <c r="H1010" s="3" t="s">
        <v>114</v>
      </c>
    </row>
    <row r="1011">
      <c r="H1011" s="3" t="s">
        <v>114</v>
      </c>
    </row>
    <row r="1012">
      <c r="H1012" s="3" t="s">
        <v>114</v>
      </c>
    </row>
    <row r="1013">
      <c r="H1013" s="3" t="s">
        <v>114</v>
      </c>
    </row>
    <row r="1014">
      <c r="H1014" s="3" t="s">
        <v>114</v>
      </c>
    </row>
    <row r="1015">
      <c r="H1015" s="3" t="s">
        <v>114</v>
      </c>
    </row>
    <row r="1016">
      <c r="H1016" s="3" t="s">
        <v>114</v>
      </c>
    </row>
    <row r="1017">
      <c r="H1017" s="3" t="s">
        <v>114</v>
      </c>
    </row>
    <row r="1018">
      <c r="H1018" s="3" t="s">
        <v>114</v>
      </c>
    </row>
    <row r="1019">
      <c r="H1019" s="3" t="s">
        <v>114</v>
      </c>
    </row>
    <row r="1020">
      <c r="H1020" s="3" t="s">
        <v>114</v>
      </c>
    </row>
    <row r="1021">
      <c r="H1021" s="3" t="s">
        <v>114</v>
      </c>
    </row>
    <row r="1022">
      <c r="H1022" s="3" t="s">
        <v>114</v>
      </c>
    </row>
    <row r="1023">
      <c r="H1023" s="3" t="s">
        <v>114</v>
      </c>
    </row>
    <row r="1024">
      <c r="H1024" s="3" t="s">
        <v>114</v>
      </c>
    </row>
    <row r="1025">
      <c r="H1025" s="3" t="s">
        <v>114</v>
      </c>
    </row>
    <row r="1026">
      <c r="H1026" s="3" t="s">
        <v>114</v>
      </c>
    </row>
    <row r="1027">
      <c r="H1027" s="3" t="s">
        <v>114</v>
      </c>
    </row>
    <row r="1028">
      <c r="H1028" s="3" t="s">
        <v>114</v>
      </c>
    </row>
    <row r="1029">
      <c r="H1029" s="3" t="s">
        <v>114</v>
      </c>
    </row>
    <row r="1030">
      <c r="H1030" s="3" t="s">
        <v>114</v>
      </c>
    </row>
    <row r="1031">
      <c r="H1031" s="3" t="s">
        <v>114</v>
      </c>
    </row>
    <row r="1032">
      <c r="H1032" s="3" t="s">
        <v>114</v>
      </c>
    </row>
    <row r="1033">
      <c r="H1033" s="3" t="s">
        <v>114</v>
      </c>
    </row>
    <row r="1034">
      <c r="H1034" s="3" t="s">
        <v>114</v>
      </c>
    </row>
    <row r="1035">
      <c r="H1035" s="3" t="s">
        <v>114</v>
      </c>
    </row>
    <row r="1036">
      <c r="H1036" s="3" t="s">
        <v>114</v>
      </c>
    </row>
    <row r="1037">
      <c r="H1037" s="3" t="s">
        <v>114</v>
      </c>
    </row>
    <row r="1038">
      <c r="H1038" s="3" t="s">
        <v>114</v>
      </c>
    </row>
    <row r="1039">
      <c r="H1039" s="3" t="s">
        <v>114</v>
      </c>
    </row>
    <row r="1040">
      <c r="H1040" s="3" t="s">
        <v>114</v>
      </c>
    </row>
    <row r="1041">
      <c r="H1041" s="3" t="s">
        <v>114</v>
      </c>
    </row>
    <row r="1042">
      <c r="H1042" s="3" t="s">
        <v>114</v>
      </c>
    </row>
    <row r="1043">
      <c r="H1043" s="3" t="s">
        <v>114</v>
      </c>
    </row>
    <row r="1044">
      <c r="H1044" s="3" t="s">
        <v>114</v>
      </c>
    </row>
    <row r="1045">
      <c r="H1045" s="3" t="s">
        <v>114</v>
      </c>
    </row>
    <row r="1046">
      <c r="H1046" s="3" t="s">
        <v>114</v>
      </c>
    </row>
    <row r="1047">
      <c r="H1047" s="3" t="s">
        <v>114</v>
      </c>
    </row>
    <row r="1048">
      <c r="H1048" s="3" t="s">
        <v>114</v>
      </c>
    </row>
    <row r="1049">
      <c r="H1049" s="3" t="s">
        <v>114</v>
      </c>
    </row>
    <row r="1050">
      <c r="H1050" s="3" t="s">
        <v>114</v>
      </c>
    </row>
    <row r="1051">
      <c r="H1051" s="3" t="s">
        <v>114</v>
      </c>
    </row>
    <row r="1052">
      <c r="H1052" s="3" t="s">
        <v>114</v>
      </c>
    </row>
    <row r="1053">
      <c r="H1053" s="3" t="s">
        <v>114</v>
      </c>
    </row>
    <row r="1054">
      <c r="H1054" s="3" t="s">
        <v>114</v>
      </c>
    </row>
    <row r="1055">
      <c r="H1055" s="3" t="s">
        <v>114</v>
      </c>
    </row>
    <row r="1056">
      <c r="H1056" s="3" t="s">
        <v>114</v>
      </c>
    </row>
    <row r="1057">
      <c r="H1057" s="3" t="s">
        <v>114</v>
      </c>
    </row>
    <row r="1058">
      <c r="H1058" s="3" t="s">
        <v>114</v>
      </c>
    </row>
    <row r="1059">
      <c r="H1059" s="3" t="s">
        <v>114</v>
      </c>
    </row>
    <row r="1060">
      <c r="H1060" s="3" t="s">
        <v>114</v>
      </c>
    </row>
    <row r="1061">
      <c r="H1061" s="3" t="s">
        <v>114</v>
      </c>
    </row>
    <row r="1062">
      <c r="H1062" s="3" t="s">
        <v>114</v>
      </c>
    </row>
    <row r="1063">
      <c r="H1063" s="3" t="s">
        <v>114</v>
      </c>
    </row>
    <row r="1064">
      <c r="H1064" s="3" t="s">
        <v>114</v>
      </c>
    </row>
    <row r="1065">
      <c r="H1065" s="3" t="s">
        <v>114</v>
      </c>
    </row>
    <row r="1066">
      <c r="H1066" s="3" t="s">
        <v>114</v>
      </c>
    </row>
    <row r="1067">
      <c r="H1067" s="3" t="s">
        <v>114</v>
      </c>
    </row>
    <row r="1068">
      <c r="H1068" s="3" t="s">
        <v>114</v>
      </c>
    </row>
    <row r="1069">
      <c r="H1069" s="3" t="s">
        <v>114</v>
      </c>
    </row>
    <row r="1070">
      <c r="H1070" s="3" t="s">
        <v>114</v>
      </c>
    </row>
    <row r="1071">
      <c r="H1071" s="3" t="s">
        <v>114</v>
      </c>
    </row>
    <row r="1072">
      <c r="H1072" s="3" t="s">
        <v>114</v>
      </c>
    </row>
    <row r="1073">
      <c r="H1073" s="3" t="s">
        <v>114</v>
      </c>
    </row>
    <row r="1074">
      <c r="H1074" s="3" t="s">
        <v>114</v>
      </c>
    </row>
    <row r="1075">
      <c r="H1075" s="3" t="s">
        <v>114</v>
      </c>
    </row>
    <row r="1076">
      <c r="H1076" s="3" t="s">
        <v>114</v>
      </c>
    </row>
    <row r="1077">
      <c r="H1077" s="3" t="s">
        <v>114</v>
      </c>
    </row>
    <row r="1078">
      <c r="H1078" s="3" t="s">
        <v>114</v>
      </c>
    </row>
    <row r="1079">
      <c r="H1079" s="3" t="s">
        <v>114</v>
      </c>
    </row>
    <row r="1080">
      <c r="H1080" s="3" t="s">
        <v>114</v>
      </c>
    </row>
    <row r="1081">
      <c r="H1081" s="3" t="s">
        <v>114</v>
      </c>
    </row>
    <row r="1082">
      <c r="H1082" s="3" t="s">
        <v>114</v>
      </c>
    </row>
    <row r="1083">
      <c r="H1083" s="3" t="s">
        <v>114</v>
      </c>
    </row>
    <row r="1084">
      <c r="H1084" s="3" t="s">
        <v>114</v>
      </c>
    </row>
    <row r="1085">
      <c r="H1085" s="3" t="s">
        <v>114</v>
      </c>
    </row>
    <row r="1086">
      <c r="H1086" s="3" t="s">
        <v>114</v>
      </c>
    </row>
    <row r="1087">
      <c r="H1087" s="3" t="s">
        <v>114</v>
      </c>
    </row>
    <row r="1088">
      <c r="H1088" s="3" t="s">
        <v>114</v>
      </c>
    </row>
    <row r="1089">
      <c r="H1089" s="3" t="s">
        <v>114</v>
      </c>
    </row>
    <row r="1090">
      <c r="H1090" s="3" t="s">
        <v>114</v>
      </c>
    </row>
    <row r="1091">
      <c r="H1091" s="3" t="s">
        <v>114</v>
      </c>
    </row>
    <row r="1092">
      <c r="H1092" s="3" t="s">
        <v>114</v>
      </c>
    </row>
    <row r="1093">
      <c r="H1093" s="3" t="s">
        <v>114</v>
      </c>
    </row>
    <row r="1094">
      <c r="H1094" s="3" t="s">
        <v>114</v>
      </c>
    </row>
    <row r="1095">
      <c r="H1095" s="3" t="s">
        <v>114</v>
      </c>
    </row>
    <row r="1096">
      <c r="H1096" s="3" t="s">
        <v>114</v>
      </c>
    </row>
    <row r="1097">
      <c r="H1097" s="3" t="s">
        <v>114</v>
      </c>
    </row>
    <row r="1098">
      <c r="H1098" s="3" t="s">
        <v>114</v>
      </c>
    </row>
    <row r="1099">
      <c r="H1099" s="3" t="s">
        <v>114</v>
      </c>
    </row>
    <row r="1100">
      <c r="H1100" s="3" t="s">
        <v>114</v>
      </c>
    </row>
    <row r="1101">
      <c r="H1101" s="3" t="s">
        <v>114</v>
      </c>
    </row>
    <row r="1102">
      <c r="H1102" s="3" t="s">
        <v>114</v>
      </c>
    </row>
    <row r="1103">
      <c r="H1103" s="3" t="s">
        <v>114</v>
      </c>
    </row>
    <row r="1104">
      <c r="H1104" s="3" t="s">
        <v>114</v>
      </c>
    </row>
    <row r="1105">
      <c r="H1105" s="3" t="s">
        <v>114</v>
      </c>
    </row>
    <row r="1106">
      <c r="H1106" s="3" t="s">
        <v>114</v>
      </c>
    </row>
    <row r="1107">
      <c r="H1107" s="3" t="s">
        <v>114</v>
      </c>
    </row>
    <row r="1108">
      <c r="H1108" s="3" t="s">
        <v>114</v>
      </c>
    </row>
    <row r="1109">
      <c r="H1109" s="3" t="s">
        <v>114</v>
      </c>
    </row>
    <row r="1110">
      <c r="H1110" s="3" t="s">
        <v>114</v>
      </c>
    </row>
    <row r="1111">
      <c r="H1111" s="3" t="s">
        <v>114</v>
      </c>
    </row>
    <row r="1112">
      <c r="H1112" s="3" t="s">
        <v>114</v>
      </c>
    </row>
    <row r="1113">
      <c r="H1113" s="3" t="s">
        <v>114</v>
      </c>
    </row>
    <row r="1114">
      <c r="H1114" s="3" t="s">
        <v>114</v>
      </c>
    </row>
    <row r="1115">
      <c r="H1115" s="3" t="s">
        <v>114</v>
      </c>
    </row>
    <row r="1116">
      <c r="H1116" s="3" t="s">
        <v>114</v>
      </c>
    </row>
    <row r="1117">
      <c r="H1117" s="3" t="s">
        <v>114</v>
      </c>
    </row>
    <row r="1118">
      <c r="H1118" s="3" t="s">
        <v>114</v>
      </c>
    </row>
    <row r="1119">
      <c r="H1119" s="3" t="s">
        <v>114</v>
      </c>
    </row>
    <row r="1120">
      <c r="H1120" s="3" t="s">
        <v>114</v>
      </c>
    </row>
    <row r="1121">
      <c r="H1121" s="3" t="s">
        <v>114</v>
      </c>
    </row>
    <row r="1122">
      <c r="H1122" s="3" t="s">
        <v>114</v>
      </c>
    </row>
    <row r="1123">
      <c r="H1123" s="3" t="s">
        <v>114</v>
      </c>
    </row>
    <row r="1124">
      <c r="H1124" s="3" t="s">
        <v>114</v>
      </c>
    </row>
    <row r="1125">
      <c r="H1125" s="3" t="s">
        <v>114</v>
      </c>
    </row>
    <row r="1126">
      <c r="H1126" s="3" t="s">
        <v>114</v>
      </c>
    </row>
    <row r="1127">
      <c r="H1127" s="3" t="s">
        <v>114</v>
      </c>
    </row>
    <row r="1128">
      <c r="H1128" s="3" t="s">
        <v>114</v>
      </c>
    </row>
    <row r="1129">
      <c r="H1129" s="3" t="s">
        <v>114</v>
      </c>
    </row>
    <row r="1130">
      <c r="H1130" s="3" t="s">
        <v>114</v>
      </c>
    </row>
    <row r="1131">
      <c r="H1131" s="3" t="s">
        <v>114</v>
      </c>
    </row>
    <row r="1132">
      <c r="H1132" s="3" t="s">
        <v>114</v>
      </c>
    </row>
    <row r="1133">
      <c r="H1133" s="3" t="s">
        <v>114</v>
      </c>
    </row>
    <row r="1134">
      <c r="H1134" s="3" t="s">
        <v>114</v>
      </c>
    </row>
    <row r="1135">
      <c r="H1135" s="3" t="s">
        <v>114</v>
      </c>
    </row>
    <row r="1136">
      <c r="H1136" s="3" t="s">
        <v>114</v>
      </c>
    </row>
    <row r="1137">
      <c r="H1137" s="3" t="s">
        <v>114</v>
      </c>
    </row>
    <row r="1138">
      <c r="H1138" s="3" t="s">
        <v>114</v>
      </c>
    </row>
    <row r="1139">
      <c r="H1139" s="3" t="s">
        <v>114</v>
      </c>
    </row>
    <row r="1140">
      <c r="H1140" s="3" t="s">
        <v>114</v>
      </c>
    </row>
    <row r="1141">
      <c r="H1141" s="3" t="s">
        <v>114</v>
      </c>
    </row>
    <row r="1142">
      <c r="H1142" s="3" t="s">
        <v>114</v>
      </c>
    </row>
    <row r="1143">
      <c r="H1143" s="3" t="s">
        <v>114</v>
      </c>
    </row>
    <row r="1144">
      <c r="H1144" s="3" t="s">
        <v>114</v>
      </c>
    </row>
    <row r="1145">
      <c r="H1145" s="3" t="s">
        <v>114</v>
      </c>
    </row>
    <row r="1146">
      <c r="H1146" s="3" t="s">
        <v>114</v>
      </c>
    </row>
    <row r="1147">
      <c r="H1147" s="3" t="s">
        <v>114</v>
      </c>
    </row>
    <row r="1148">
      <c r="H1148" s="3" t="s">
        <v>114</v>
      </c>
    </row>
    <row r="1149">
      <c r="H1149" s="3" t="s">
        <v>114</v>
      </c>
    </row>
    <row r="1150">
      <c r="H1150" s="3" t="s">
        <v>114</v>
      </c>
    </row>
    <row r="1151">
      <c r="H1151" s="3" t="s">
        <v>114</v>
      </c>
    </row>
    <row r="1152">
      <c r="H1152" s="3" t="s">
        <v>114</v>
      </c>
    </row>
    <row r="1153">
      <c r="H1153" s="3" t="s">
        <v>114</v>
      </c>
    </row>
    <row r="1154">
      <c r="H1154" s="3" t="s">
        <v>114</v>
      </c>
    </row>
    <row r="1155">
      <c r="H1155" s="3" t="s">
        <v>114</v>
      </c>
    </row>
    <row r="1156">
      <c r="H1156" s="3" t="s">
        <v>114</v>
      </c>
    </row>
    <row r="1157">
      <c r="H1157" s="3" t="s">
        <v>114</v>
      </c>
    </row>
    <row r="1158">
      <c r="H1158" s="3" t="s">
        <v>114</v>
      </c>
    </row>
    <row r="1159">
      <c r="H1159" s="3" t="s">
        <v>114</v>
      </c>
    </row>
    <row r="1160">
      <c r="H1160" s="3" t="s">
        <v>114</v>
      </c>
    </row>
    <row r="1161">
      <c r="H1161" s="3" t="s">
        <v>114</v>
      </c>
    </row>
    <row r="1162">
      <c r="H1162" s="3" t="s">
        <v>114</v>
      </c>
    </row>
    <row r="1163">
      <c r="H1163" s="3" t="s">
        <v>114</v>
      </c>
    </row>
    <row r="1164">
      <c r="H1164" s="3" t="s">
        <v>114</v>
      </c>
    </row>
    <row r="1165">
      <c r="H1165" s="3" t="s">
        <v>114</v>
      </c>
    </row>
    <row r="1166">
      <c r="H1166" s="3" t="s">
        <v>114</v>
      </c>
    </row>
    <row r="1167">
      <c r="H1167" s="3" t="s">
        <v>114</v>
      </c>
    </row>
  </sheetData>
  <drawing r:id="rId2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CC3E"/>
    <outlinePr summaryBelow="0" summaryRight="0"/>
  </sheetPr>
  <sheetViews>
    <sheetView workbookViewId="0"/>
  </sheetViews>
  <sheetFormatPr customHeight="1" defaultColWidth="14.43" defaultRowHeight="15.75"/>
  <sheetData>
    <row r="1">
      <c r="A1" s="6" t="s">
        <v>157</v>
      </c>
      <c r="B1" s="6" t="s">
        <v>158</v>
      </c>
      <c r="C1" s="6" t="s">
        <v>159</v>
      </c>
      <c r="D1" s="6" t="s">
        <v>160</v>
      </c>
      <c r="E1" s="6" t="s">
        <v>161</v>
      </c>
      <c r="F1" s="6" t="s">
        <v>162</v>
      </c>
      <c r="G1" s="6" t="s">
        <v>163</v>
      </c>
      <c r="H1" s="6" t="s">
        <v>164</v>
      </c>
      <c r="I1" s="6" t="s">
        <v>165</v>
      </c>
      <c r="J1" s="6" t="s">
        <v>166</v>
      </c>
      <c r="K1" s="6" t="s">
        <v>167</v>
      </c>
    </row>
    <row r="2">
      <c r="A2" s="4" t="s">
        <v>168</v>
      </c>
      <c r="B2" s="4" t="s">
        <v>7</v>
      </c>
      <c r="C2" s="108">
        <v>43926.06538194444</v>
      </c>
      <c r="D2" s="108">
        <v>88.0</v>
      </c>
      <c r="F2" s="108">
        <v>4.0</v>
      </c>
      <c r="H2" s="108">
        <v>222.0</v>
      </c>
      <c r="I2" s="108">
        <v>1.84</v>
      </c>
      <c r="J2" s="108">
        <v>339.10000610352</v>
      </c>
      <c r="K2" s="4" t="s">
        <v>169</v>
      </c>
    </row>
    <row r="3">
      <c r="A3" s="4" t="s">
        <v>170</v>
      </c>
      <c r="B3" s="4" t="s">
        <v>7</v>
      </c>
      <c r="C3" s="108">
        <v>43925.65892361111</v>
      </c>
      <c r="D3" s="108">
        <v>88.0</v>
      </c>
      <c r="F3" s="108">
        <v>4.0</v>
      </c>
      <c r="H3" s="108">
        <v>222.0</v>
      </c>
      <c r="I3" s="108">
        <v>1.59</v>
      </c>
      <c r="J3" s="108">
        <v>343.70001220703</v>
      </c>
      <c r="K3" s="4" t="s">
        <v>171</v>
      </c>
    </row>
    <row r="4">
      <c r="A4" s="4" t="s">
        <v>172</v>
      </c>
      <c r="B4" s="4" t="s">
        <v>7</v>
      </c>
      <c r="C4" s="108">
        <v>43925.64255787037</v>
      </c>
      <c r="D4" s="108">
        <v>88.0</v>
      </c>
      <c r="F4" s="108">
        <v>3.0</v>
      </c>
      <c r="H4" s="108">
        <v>245.0</v>
      </c>
      <c r="I4" s="108">
        <v>1.45</v>
      </c>
      <c r="J4" s="108">
        <v>342.29998779297</v>
      </c>
      <c r="K4" s="4" t="s">
        <v>173</v>
      </c>
    </row>
  </sheetData>
  <drawing r:id="rId1"/>
</worksheet>
</file>