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C9071578-CA36-4131-95B0-422A089C1960}" xr6:coauthVersionLast="46" xr6:coauthVersionMax="46" xr10:uidLastSave="{00000000-0000-0000-0000-000000000000}"/>
  <bookViews>
    <workbookView xWindow="-120" yWindow="-120" windowWidth="29040" windowHeight="15840" activeTab="2" xr2:uid="{EF627D34-B3C1-4C69-93C1-3362B4C646B4}"/>
  </bookViews>
  <sheets>
    <sheet name="Problem 1(b) Scratch" sheetId="6" r:id="rId1"/>
    <sheet name="Linearity Report 1" sheetId="10" r:id="rId2"/>
    <sheet name="Problem 1 LP" sheetId="9" r:id="rId3"/>
    <sheet name="Problem 3" sheetId="4" r:id="rId4"/>
    <sheet name="Problem 4" sheetId="2" r:id="rId5"/>
    <sheet name="Sheet1" sheetId="7" r:id="rId6"/>
    <sheet name="Sheet2" sheetId="8" r:id="rId7"/>
    <sheet name="P4 Scratch" sheetId="3" state="hidden" r:id="rId8"/>
    <sheet name="P3 Scratch" sheetId="5" state="hidden" r:id="rId9"/>
    <sheet name="P4 V1" sheetId="1" state="hidden" r:id="rId10"/>
  </sheets>
  <definedNames>
    <definedName name="OpenSolver_ChosenSolver" localSheetId="2" hidden="1">CBC</definedName>
    <definedName name="OpenSolver_DualsNewSheet" localSheetId="2" hidden="1">0</definedName>
    <definedName name="OpenSolver_LinearityCheck" localSheetId="2" hidden="1">1</definedName>
    <definedName name="OpenSolver_UpdateSensitivity" localSheetId="2" hidden="1">1</definedName>
    <definedName name="solver_adj" localSheetId="2" hidden="1">'Problem 1 LP'!$L$6:$M$8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'Problem 1 LP'!$L$6:$L$7</definedName>
    <definedName name="solver_lhs2" localSheetId="2" hidden="1">'Problem 1 LP'!$M$7</definedName>
    <definedName name="solver_lhs3" localSheetId="2" hidden="1">'Problem 1 LP'!$M$8</definedName>
    <definedName name="solver_lhs4" localSheetId="2" hidden="1">'Problem 1 LP'!$P$6:$P$8</definedName>
    <definedName name="solver_lhs5" localSheetId="2" hidden="1">'Problem 1 LP'!$AB$11:$AB$14</definedName>
    <definedName name="solver_lhs6" localSheetId="2" hidden="1">'Problem 1 LP'!$AB$6:$AB$8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'Problem 1 LP'!$AD$3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1</definedName>
    <definedName name="solver_rel5" localSheetId="2" hidden="1">2</definedName>
    <definedName name="solver_rel6" localSheetId="2" hidden="1">3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hs4" localSheetId="2" hidden="1">'Problem 1 LP'!$U$6:$U$8</definedName>
    <definedName name="solver_rhs5" localSheetId="2" hidden="1">'Problem 1 LP'!$AD$11:$AD$14</definedName>
    <definedName name="solver_rhs6" localSheetId="2" hidden="1">'Problem 1 LP'!$AD$6:$AD$8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0.05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9" l="1"/>
  <c r="O33" i="9"/>
  <c r="O32" i="9"/>
  <c r="O31" i="9"/>
  <c r="M33" i="9"/>
  <c r="Q33" i="9"/>
  <c r="Q32" i="9"/>
  <c r="R33" i="9"/>
  <c r="R32" i="9"/>
  <c r="R31" i="9"/>
  <c r="L9" i="9"/>
  <c r="M9" i="9"/>
  <c r="L11" i="9"/>
  <c r="L34" i="9"/>
  <c r="M34" i="9"/>
  <c r="L36" i="9"/>
  <c r="M27" i="9"/>
  <c r="L27" i="9"/>
  <c r="Z6" i="9"/>
  <c r="AA6" i="9"/>
  <c r="AB6" i="9"/>
  <c r="Z7" i="9"/>
  <c r="AA7" i="9"/>
  <c r="AB7" i="9"/>
  <c r="Z8" i="9"/>
  <c r="AA8" i="9"/>
  <c r="AB8" i="9"/>
  <c r="AH8" i="9"/>
  <c r="AG8" i="9"/>
  <c r="AH7" i="9"/>
  <c r="AG7" i="9"/>
  <c r="AH6" i="9"/>
  <c r="AG6" i="9"/>
  <c r="AI8" i="9"/>
  <c r="AI7" i="9"/>
  <c r="AI6" i="9"/>
  <c r="W7" i="9"/>
  <c r="W8" i="9"/>
  <c r="W6" i="9"/>
  <c r="P8" i="9"/>
  <c r="X8" i="9"/>
  <c r="P7" i="9"/>
  <c r="X7" i="9"/>
  <c r="P6" i="9"/>
  <c r="X6" i="9"/>
  <c r="Y6" i="9"/>
  <c r="C8" i="9"/>
  <c r="AD11" i="9"/>
  <c r="AB12" i="9"/>
  <c r="AB14" i="9"/>
  <c r="AD14" i="9"/>
  <c r="AD13" i="9"/>
  <c r="AB13" i="9"/>
  <c r="U8" i="9"/>
  <c r="U7" i="9"/>
  <c r="U6" i="9"/>
  <c r="P9" i="9"/>
  <c r="X9" i="9"/>
  <c r="AD3" i="9"/>
  <c r="AB11" i="9"/>
  <c r="L2" i="9"/>
  <c r="M2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<sst xmlns="http://schemas.openxmlformats.org/spreadsheetml/2006/main" count="705" uniqueCount="324">
  <si>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</si>
  <si>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</si>
  <si>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</si>
  <si>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</si>
  <si>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</si>
  <si>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</si>
  <si>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</si>
  <si>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</si>
  <si>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</si>
  <si>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</si>
  <si>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</si>
  <si>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</si>
  <si>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</si>
  <si>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</si>
  <si>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</si>
  <si>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</si>
  <si>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</si>
  <si>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</si>
  <si>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</si>
  <si>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</si>
  <si>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</si>
  <si>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</si>
  <si>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</si>
  <si>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</si>
  <si>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</si>
  <si>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</si>
  <si>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</si>
  <si>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</si>
  <si>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</si>
  <si>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</si>
  <si>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</si>
  <si>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</si>
  <si>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</si>
  <si>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</si>
  <si>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</si>
  <si>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</si>
  <si>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</si>
  <si>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</si>
  <si>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</si>
  <si>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</si>
  <si>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</si>
  <si>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</si>
  <si>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</si>
  <si>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</si>
  <si>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</si>
  <si>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</si>
  <si>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</si>
  <si>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</si>
  <si>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</si>
  <si>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</si>
  <si>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</si>
  <si>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</si>
  <si>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</si>
  <si>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</si>
  <si>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</si>
  <si>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</si>
  <si>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</si>
  <si>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</si>
  <si>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</si>
  <si>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</si>
  <si>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</si>
  <si>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</si>
  <si>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</si>
  <si>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</si>
  <si>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</si>
  <si>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</si>
  <si>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</si>
  <si>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</si>
  <si>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</si>
  <si>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</si>
  <si>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</si>
  <si>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</si>
  <si>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</si>
  <si>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</si>
  <si>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</si>
  <si>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</si>
  <si>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</si>
  <si>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</si>
  <si>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</si>
  <si>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</si>
  <si>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</si>
  <si>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</si>
  <si>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</si>
  <si>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</si>
  <si>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</si>
  <si>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</si>
  <si>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</si>
  <si>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</si>
  <si>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</si>
  <si>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</si>
  <si>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</si>
  <si>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</si>
  <si>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</si>
  <si>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</si>
  <si>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</si>
  <si>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</si>
  <si>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</si>
  <si>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</si>
  <si>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</si>
  <si>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</si>
  <si>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</si>
  <si>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</si>
  <si>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</si>
  <si>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</si>
  <si>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</si>
  <si>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</si>
  <si>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</si>
  <si>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</si>
  <si>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</si>
  <si>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</si>
  <si>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</si>
  <si>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</si>
  <si>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</si>
  <si>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</si>
  <si>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</si>
  <si>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</si>
  <si>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</si>
  <si>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</si>
  <si>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</si>
  <si>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</si>
  <si>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</si>
  <si>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</si>
  <si>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</si>
  <si>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</si>
  <si>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</si>
  <si>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</si>
  <si>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</si>
  <si>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</si>
  <si>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</si>
  <si>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</si>
  <si>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</si>
  <si>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</si>
  <si>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</si>
  <si>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</si>
  <si>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</si>
  <si>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</si>
  <si>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</si>
  <si>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</si>
  <si>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</si>
  <si>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</si>
  <si>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</si>
  <si>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</si>
  <si>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</si>
  <si>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</si>
  <si>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</si>
  <si>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</si>
  <si>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</si>
  <si>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</si>
  <si>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</si>
  <si>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</si>
  <si>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</si>
  <si>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</si>
  <si>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</si>
  <si>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</si>
  <si>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</si>
  <si>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</si>
  <si>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</si>
  <si>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</si>
  <si>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</si>
  <si>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</si>
  <si>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</si>
  <si>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</si>
  <si>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</si>
  <si>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</si>
  <si>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</si>
  <si>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</si>
  <si>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</si>
  <si>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</si>
  <si>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</si>
  <si>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</si>
  <si>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</si>
  <si>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</si>
  <si>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</si>
  <si>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</si>
  <si>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</si>
  <si>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</si>
  <si>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</si>
  <si>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</si>
  <si>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</si>
  <si>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</si>
  <si>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</si>
  <si>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</si>
  <si>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</si>
  <si>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</si>
  <si>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</si>
  <si>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</si>
  <si>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</si>
  <si>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</si>
  <si>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</si>
  <si>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</si>
  <si>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</si>
  <si>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</si>
  <si>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</si>
  <si>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</si>
  <si>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</si>
  <si>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</si>
  <si>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</si>
  <si>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</si>
  <si>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</si>
  <si>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</si>
  <si>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</si>
  <si>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</si>
  <si>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</si>
  <si>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</si>
  <si>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</si>
  <si>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</si>
  <si>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</si>
  <si>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</si>
  <si>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</si>
  <si>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</si>
  <si>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</si>
  <si>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</si>
  <si>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</si>
  <si>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</si>
  <si>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</si>
  <si>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</si>
  <si>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</si>
  <si>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</si>
  <si>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</si>
  <si>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</si>
  <si>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</si>
  <si>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</si>
  <si>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</si>
  <si>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</si>
  <si>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</si>
  <si>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</si>
  <si>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</si>
  <si>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</si>
  <si>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</si>
  <si>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</si>
  <si>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</si>
  <si>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</si>
  <si>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</si>
  <si>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</si>
  <si>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</si>
  <si>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</si>
  <si>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</si>
  <si>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</si>
  <si>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</si>
  <si>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</si>
  <si>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</si>
  <si>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>Grade A Points</t>
  </si>
  <si>
    <t>Grade B Points</t>
  </si>
  <si>
    <t>Total Weighted Points</t>
  </si>
  <si>
    <t>==</t>
  </si>
  <si>
    <t>Limit</t>
  </si>
  <si>
    <t>Net Profit / Unit</t>
  </si>
  <si>
    <t>Contribution / Unit</t>
  </si>
  <si>
    <t>Total Profit</t>
  </si>
  <si>
    <t>Pounds/Product</t>
  </si>
  <si>
    <t>Product Limit</t>
  </si>
  <si>
    <t>Upper Limit</t>
  </si>
  <si>
    <t>Grade A Total</t>
  </si>
  <si>
    <t>Grade B Total</t>
  </si>
  <si>
    <t>Jelly Grade A 0</t>
  </si>
  <si>
    <t>Total Grade Lim</t>
  </si>
  <si>
    <t>x</t>
  </si>
  <si>
    <r>
      <t>produce</t>
    </r>
    <r>
      <rPr>
        <vertAlign val="subscript"/>
        <sz val="11"/>
        <color theme="1"/>
        <rFont val="Calibri"/>
        <family val="2"/>
        <scheme val="minor"/>
      </rPr>
      <t xml:space="preserve">f=1,p </t>
    </r>
    <r>
      <rPr>
        <sz val="11"/>
        <color theme="1"/>
        <rFont val="Calibri"/>
        <family val="2"/>
        <scheme val="minor"/>
      </rPr>
      <t xml:space="preserve"> / sum(produce</t>
    </r>
    <r>
      <rPr>
        <vertAlign val="subscript"/>
        <sz val="11"/>
        <color theme="1"/>
        <rFont val="Calibri"/>
        <family val="2"/>
        <scheme val="minor"/>
      </rPr>
      <t>f,p</t>
    </r>
    <r>
      <rPr>
        <sz val="11"/>
        <color theme="1"/>
        <rFont val="Calibri"/>
        <family val="2"/>
        <scheme val="minor"/>
      </rPr>
      <t>) * avgGradeOfFruit</t>
    </r>
    <r>
      <rPr>
        <vertAlign val="subscript"/>
        <sz val="11"/>
        <color theme="1"/>
        <rFont val="Calibri"/>
        <family val="2"/>
        <scheme val="minor"/>
      </rPr>
      <t>f</t>
    </r>
  </si>
  <si>
    <r>
      <t>produce</t>
    </r>
    <r>
      <rPr>
        <vertAlign val="subscript"/>
        <sz val="11"/>
        <color theme="1"/>
        <rFont val="Calibri"/>
        <family val="2"/>
        <scheme val="minor"/>
      </rPr>
      <t xml:space="preserve">f=2,p </t>
    </r>
    <r>
      <rPr>
        <sz val="11"/>
        <color theme="1"/>
        <rFont val="Calibri"/>
        <family val="2"/>
        <scheme val="minor"/>
      </rPr>
      <t xml:space="preserve"> / sum(produce</t>
    </r>
    <r>
      <rPr>
        <vertAlign val="subscript"/>
        <sz val="11"/>
        <color theme="1"/>
        <rFont val="Calibri"/>
        <family val="2"/>
        <scheme val="minor"/>
      </rPr>
      <t>f,p</t>
    </r>
    <r>
      <rPr>
        <sz val="11"/>
        <color theme="1"/>
        <rFont val="Calibri"/>
        <family val="2"/>
        <scheme val="minor"/>
      </rPr>
      <t>) * avgGradeOfFruit</t>
    </r>
    <r>
      <rPr>
        <vertAlign val="subscript"/>
        <sz val="11"/>
        <color theme="1"/>
        <rFont val="Calibri"/>
        <family val="2"/>
        <scheme val="minor"/>
      </rPr>
      <t>f</t>
    </r>
  </si>
  <si>
    <t>+</t>
  </si>
  <si>
    <r>
      <t>avgGradeOfFruit</t>
    </r>
    <r>
      <rPr>
        <vertAlign val="subscript"/>
        <sz val="11"/>
        <color theme="1"/>
        <rFont val="Calibri"/>
        <family val="2"/>
        <scheme val="minor"/>
      </rPr>
      <t>f</t>
    </r>
  </si>
  <si>
    <t>Microsoft Excel 16.0 Linearity Report</t>
  </si>
  <si>
    <t>Worksheet: [Network Flow Graphs.xlsx]Problem 1 LP</t>
  </si>
  <si>
    <t>Report Created: 2/22/2022 3:19:56 PM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</si>
  <si>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</si>
  <si>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</si>
  <si>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</si>
  <si>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</si>
  <si>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</si>
  <si>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</si>
  <si>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</si>
  <si>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</si>
  <si>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Constraints</t>
  </si>
  <si>
    <t>Cell Value</t>
  </si>
  <si>
    <t>Formula</t>
  </si>
  <si>
    <t>$AA$3</t>
  </si>
  <si>
    <t>Yes</t>
  </si>
  <si>
    <t>$L$6</t>
  </si>
  <si>
    <t>Raisin Grade A</t>
  </si>
  <si>
    <t>No</t>
  </si>
  <si>
    <t>$M$6</t>
  </si>
  <si>
    <t>Raisin Grade B</t>
  </si>
  <si>
    <t>$L$7</t>
  </si>
  <si>
    <t>Juice Grade A</t>
  </si>
  <si>
    <t>$M$7</t>
  </si>
  <si>
    <t>Juice Grade B</t>
  </si>
  <si>
    <t>$L$8</t>
  </si>
  <si>
    <t>Jelly Grade A</t>
  </si>
  <si>
    <t>$M$8</t>
  </si>
  <si>
    <t>Jelly Grade B</t>
  </si>
  <si>
    <t>$N$6</t>
  </si>
  <si>
    <t>Raisin Total</t>
  </si>
  <si>
    <t>$N$6&lt;=$R$6</t>
  </si>
  <si>
    <t>$N$7</t>
  </si>
  <si>
    <t>Juice Total</t>
  </si>
  <si>
    <t>$N$7&lt;=$R$7</t>
  </si>
  <si>
    <t>$N$8</t>
  </si>
  <si>
    <t>Jelly Total</t>
  </si>
  <si>
    <t>$N$8&lt;=$R$8</t>
  </si>
  <si>
    <t>$Y$11</t>
  </si>
  <si>
    <t>Total Grade Lim Total Weighted Points</t>
  </si>
  <si>
    <t>$Y$11=$AA$11</t>
  </si>
  <si>
    <t>$Y$12</t>
  </si>
  <si>
    <t>Jelly Grade A 0 Total Weighted Points</t>
  </si>
  <si>
    <t>$Y$12=$AA$12</t>
  </si>
  <si>
    <t>$Y$13</t>
  </si>
  <si>
    <t>Grade A Total Total Weighted Points</t>
  </si>
  <si>
    <t>$Y$13=$AA$13</t>
  </si>
  <si>
    <t>$Y$14</t>
  </si>
  <si>
    <t>Grade B Total Total Weighted Points</t>
  </si>
  <si>
    <t>$Y$14=$AA$14</t>
  </si>
  <si>
    <t>$Y$6</t>
  </si>
  <si>
    <t>&lt;= Total Weighted Points</t>
  </si>
  <si>
    <t>$Y$6&gt;=$AA$6</t>
  </si>
  <si>
    <t>$Y$7</t>
  </si>
  <si>
    <t>$Y$7&gt;=$AA$7</t>
  </si>
  <si>
    <t>$Y$8</t>
  </si>
  <si>
    <t>$Y$8&gt;=$AA$8</t>
  </si>
  <si>
    <t xml:space="preserve">&gt;= </t>
  </si>
  <si>
    <t>LHS</t>
  </si>
  <si>
    <t>RHS</t>
  </si>
  <si>
    <r>
      <t>SUM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(produce</t>
    </r>
    <r>
      <rPr>
        <vertAlign val="subscript"/>
        <sz val="11"/>
        <color theme="1"/>
        <rFont val="Calibri"/>
        <family val="2"/>
        <scheme val="minor"/>
      </rPr>
      <t xml:space="preserve">f,p </t>
    </r>
    <r>
      <rPr>
        <sz val="11"/>
        <color theme="1"/>
        <rFont val="Calibri"/>
        <family val="2"/>
        <scheme val="minor"/>
      </rPr>
      <t>* avgGradeOfFruit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&gt;= productGradeLimit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* SUM</t>
    </r>
    <r>
      <rPr>
        <vertAlign val="subscript"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>(produce</t>
    </r>
    <r>
      <rPr>
        <vertAlign val="subscript"/>
        <sz val="11"/>
        <color theme="1"/>
        <rFont val="Calibri"/>
        <family val="2"/>
        <scheme val="minor"/>
      </rPr>
      <t>f,p</t>
    </r>
    <r>
      <rPr>
        <sz val="11"/>
        <color theme="1"/>
        <rFont val="Calibri"/>
        <family val="2"/>
        <scheme val="minor"/>
      </rPr>
      <t>), for all p in PRODUCTS</t>
    </r>
  </si>
  <si>
    <t>Product Grade Limit</t>
  </si>
  <si>
    <t>Avg Grade of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</si>
</sst>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70" formatCode="0.E+00"/>
    <numFmt numFmtId="183" formatCode="_(* #,##0.000000000000000_);_(* \(#,##0.000000000000000\);_(* &quot;-&quot;??_);_(@_)"/>
    <numFmt numFmtId="198" formatCode="0.0000000000000000"/>
  </numFmts>
  <fonts count="4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theme="4" tint="0.399914548173467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0" fontId="35" fillId="15" borderId="51" xfId="0" applyFont="1" applyFill="1" applyBorder="1"/>
    <xf numFmtId="41" fontId="35" fillId="15" borderId="51" xfId="4" applyNumberFormat="1" applyFont="1" applyFill="1" applyBorder="1"/>
    <xf numFmtId="0" fontId="36" fillId="3" borderId="0" xfId="0" applyFont="1" applyFill="1" applyBorder="1" applyAlignment="1"/>
    <xf numFmtId="41" fontId="36" fillId="3" borderId="0" xfId="0" applyNumberFormat="1" applyFont="1" applyFill="1" applyBorder="1" applyAlignment="1"/>
    <xf numFmtId="169" fontId="0" fillId="0" borderId="0" xfId="1" applyNumberFormat="1" applyFont="1" applyBorder="1"/>
    <xf numFmtId="41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41" fontId="34" fillId="11" borderId="53" xfId="3" applyNumberFormat="1" applyFill="1" applyBorder="1"/>
    <xf numFmtId="41" fontId="34" fillId="11" borderId="42" xfId="3" applyNumberFormat="1" applyFill="1"/>
    <xf numFmtId="41" fontId="34" fillId="11" borderId="52" xfId="3" applyNumberFormat="1" applyFill="1" applyBorder="1"/>
    <xf numFmtId="41" fontId="34" fillId="11" borderId="54" xfId="3" applyNumberFormat="1" applyFill="1" applyBorder="1"/>
    <xf numFmtId="41" fontId="34" fillId="11" borderId="55" xfId="3" applyNumberFormat="1" applyFill="1" applyBorder="1"/>
    <xf numFmtId="41" fontId="34" fillId="11" borderId="56" xfId="3" applyNumberFormat="1" applyFill="1" applyBorder="1"/>
    <xf numFmtId="41" fontId="0" fillId="0" borderId="4" xfId="0" applyNumberFormat="1" applyBorder="1"/>
    <xf numFmtId="170" fontId="0" fillId="0" borderId="4" xfId="0" applyNumberFormat="1" applyBorder="1"/>
    <xf numFmtId="170" fontId="0" fillId="4" borderId="5" xfId="0" applyNumberFormat="1" applyFill="1" applyBorder="1"/>
    <xf numFmtId="41" fontId="0" fillId="0" borderId="10" xfId="0" applyNumberFormat="1" applyBorder="1"/>
    <xf numFmtId="41" fontId="0" fillId="4" borderId="11" xfId="0" applyNumberFormat="1" applyFill="1" applyBorder="1"/>
    <xf numFmtId="41" fontId="0" fillId="0" borderId="7" xfId="0" applyNumberFormat="1" applyBorder="1"/>
    <xf numFmtId="41" fontId="0" fillId="4" borderId="8" xfId="0" applyNumberFormat="1" applyFill="1" applyBorder="1"/>
    <xf numFmtId="169" fontId="28" fillId="4" borderId="37" xfId="1" applyNumberFormat="1" applyFont="1" applyFill="1" applyBorder="1" applyAlignment="1">
      <alignment horizontal="center"/>
    </xf>
    <xf numFmtId="169" fontId="28" fillId="4" borderId="38" xfId="1" applyNumberFormat="1" applyFont="1" applyFill="1" applyBorder="1" applyAlignment="1">
      <alignment horizontal="center"/>
    </xf>
    <xf numFmtId="169" fontId="28" fillId="4" borderId="39" xfId="1" applyNumberFormat="1" applyFont="1" applyFill="1" applyBorder="1" applyAlignment="1">
      <alignment horizontal="center"/>
    </xf>
    <xf numFmtId="41" fontId="0" fillId="4" borderId="46" xfId="0" applyNumberFormat="1" applyFill="1" applyBorder="1"/>
    <xf numFmtId="41" fontId="0" fillId="4" borderId="57" xfId="0" applyNumberFormat="1" applyFill="1" applyBorder="1"/>
    <xf numFmtId="41" fontId="0" fillId="4" borderId="47" xfId="0" applyNumberFormat="1" applyFill="1" applyBorder="1"/>
    <xf numFmtId="0" fontId="36" fillId="16" borderId="0" xfId="0" applyFont="1" applyFill="1" applyBorder="1" applyAlignment="1">
      <alignment horizontal="center" wrapText="1"/>
    </xf>
    <xf numFmtId="43" fontId="0" fillId="4" borderId="5" xfId="1" applyFont="1" applyFill="1" applyBorder="1"/>
    <xf numFmtId="43" fontId="0" fillId="4" borderId="11" xfId="1" applyFont="1" applyFill="1" applyBorder="1"/>
    <xf numFmtId="43" fontId="0" fillId="4" borderId="8" xfId="1" applyFont="1" applyFill="1" applyBorder="1"/>
    <xf numFmtId="165" fontId="35" fillId="13" borderId="43" xfId="4" applyNumberFormat="1"/>
    <xf numFmtId="165" fontId="36" fillId="3" borderId="44" xfId="0" applyNumberFormat="1" applyFont="1" applyFill="1" applyBorder="1" applyAlignment="1"/>
    <xf numFmtId="183" fontId="0" fillId="0" borderId="0" xfId="1" applyNumberFormat="1" applyFont="1"/>
    <xf numFmtId="198" fontId="0" fillId="0" borderId="0" xfId="1" applyNumberFormat="1" applyFont="1"/>
    <xf numFmtId="169" fontId="0" fillId="0" borderId="0" xfId="0" applyNumberFormat="1"/>
    <xf numFmtId="0" fontId="0" fillId="0" borderId="59" xfId="0" applyFill="1" applyBorder="1" applyAlignment="1"/>
    <xf numFmtId="0" fontId="40" fillId="0" borderId="58" xfId="0" applyFont="1" applyFill="1" applyBorder="1" applyAlignment="1">
      <alignment horizontal="center"/>
    </xf>
    <xf numFmtId="0" fontId="0" fillId="0" borderId="60" xfId="0" applyFill="1" applyBorder="1" applyAlignment="1"/>
    <xf numFmtId="165" fontId="0" fillId="0" borderId="59" xfId="0" applyNumberFormat="1" applyFill="1" applyBorder="1" applyAlignment="1"/>
    <xf numFmtId="41" fontId="0" fillId="0" borderId="60" xfId="0" applyNumberFormat="1" applyFill="1" applyBorder="1" applyAlignment="1"/>
    <xf numFmtId="0" fontId="28" fillId="0" borderId="60" xfId="0" applyFont="1" applyFill="1" applyBorder="1" applyAlignment="1"/>
    <xf numFmtId="41" fontId="0" fillId="0" borderId="59" xfId="0" applyNumberFormat="1" applyFill="1" applyBorder="1" applyAlignment="1"/>
    <xf numFmtId="0" fontId="28" fillId="0" borderId="59" xfId="0" applyFont="1" applyFill="1" applyBorder="1" applyAlignment="1"/>
    <xf numFmtId="0" fontId="0" fillId="0" borderId="60" xfId="0" applyNumberFormat="1" applyFill="1" applyBorder="1" applyAlignment="1"/>
    <xf numFmtId="43" fontId="0" fillId="0" borderId="60" xfId="0" applyNumberFormat="1" applyFill="1" applyBorder="1" applyAlignment="1"/>
    <xf numFmtId="43" fontId="0" fillId="0" borderId="59" xfId="0" applyNumberFormat="1" applyFill="1" applyBorder="1" applyAlignment="1"/>
    <xf numFmtId="41" fontId="35" fillId="13" borderId="43" xfId="4" applyNumberFormat="1"/>
    <xf numFmtId="41" fontId="0" fillId="4" borderId="61" xfId="0" applyNumberFormat="1" applyFill="1" applyBorder="1"/>
    <xf numFmtId="41" fontId="0" fillId="4" borderId="62" xfId="0" applyNumberFormat="1" applyFill="1" applyBorder="1"/>
    <xf numFmtId="41" fontId="0" fillId="4" borderId="63" xfId="0" applyNumberFormat="1" applyFill="1" applyBorder="1"/>
    <xf numFmtId="41" fontId="0" fillId="0" borderId="0" xfId="0" applyNumberFormat="1" applyAlignment="1">
      <alignment horizontal="center"/>
    </xf>
    <xf numFmtId="0" fontId="34" fillId="12" borderId="42" xfId="3" applyNumberFormat="1" applyAlignment="1">
      <alignment horizontal="center"/>
    </xf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880241</xdr:colOff>
      <xdr:row>8</xdr:row>
      <xdr:rowOff>39414</xdr:rowOff>
    </xdr:from>
    <xdr:to>
      <xdr:col>12</xdr:col>
      <xdr:colOff>735724</xdr:colOff>
      <xdr:row>11</xdr:row>
      <xdr:rowOff>39414</xdr:rowOff>
    </xdr:to>
    <xdr:sp macro="" textlink="">
      <xdr:nvSpPr>
        <xdr:cNvPr id="90" name="OpenSolver1">
          <a:extLst>
            <a:ext uri="{FF2B5EF4-FFF2-40B4-BE49-F238E27FC236}">
              <a16:creationId xmlns:a16="http://schemas.microsoft.com/office/drawing/2014/main" id="{204390B4-F56D-4DB0-B2D3-A76AC4A8B0B0}"/>
            </a:ext>
          </a:extLst>
        </xdr:cNvPr>
        <xdr:cNvSpPr/>
      </xdr:nvSpPr>
      <xdr:spPr>
        <a:xfrm>
          <a:off x="5721569" y="1944414"/>
          <a:ext cx="1694793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30</xdr:col>
      <xdr:colOff>0</xdr:colOff>
      <xdr:row>3</xdr:row>
      <xdr:rowOff>0</xdr:rowOff>
    </xdr:to>
    <xdr:sp macro="" textlink="">
      <xdr:nvSpPr>
        <xdr:cNvPr id="91" name="OpenSolver2">
          <a:extLst>
            <a:ext uri="{FF2B5EF4-FFF2-40B4-BE49-F238E27FC236}">
              <a16:creationId xmlns:a16="http://schemas.microsoft.com/office/drawing/2014/main" id="{43E889B1-D082-419A-8C33-C26CE8361F4A}"/>
            </a:ext>
          </a:extLst>
        </xdr:cNvPr>
        <xdr:cNvSpPr/>
      </xdr:nvSpPr>
      <xdr:spPr>
        <a:xfrm>
          <a:off x="15325725" y="381000"/>
          <a:ext cx="98107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28</xdr:col>
      <xdr:colOff>285750</xdr:colOff>
      <xdr:row>1</xdr:row>
      <xdr:rowOff>114300</xdr:rowOff>
    </xdr:from>
    <xdr:to>
      <xdr:col>29</xdr:col>
      <xdr:colOff>239710</xdr:colOff>
      <xdr:row>2</xdr:row>
      <xdr:rowOff>50800</xdr:rowOff>
    </xdr:to>
    <xdr:sp macro="" textlink="">
      <xdr:nvSpPr>
        <xdr:cNvPr id="92" name="OpenSolver3">
          <a:extLst>
            <a:ext uri="{FF2B5EF4-FFF2-40B4-BE49-F238E27FC236}">
              <a16:creationId xmlns:a16="http://schemas.microsoft.com/office/drawing/2014/main" id="{F355AF3C-874B-4296-A0D5-9D3FC26F01C2}"/>
            </a:ext>
          </a:extLst>
        </xdr:cNvPr>
        <xdr:cNvSpPr/>
      </xdr:nvSpPr>
      <xdr:spPr>
        <a:xfrm>
          <a:off x="15316200" y="30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93" name="OpenSolverL6:L7">
          <a:extLst>
            <a:ext uri="{FF2B5EF4-FFF2-40B4-BE49-F238E27FC236}">
              <a16:creationId xmlns:a16="http://schemas.microsoft.com/office/drawing/2014/main" id="{BAFC943A-76D4-4CF6-9FDB-021D62F3ACCC}"/>
            </a:ext>
          </a:extLst>
        </xdr:cNvPr>
        <xdr:cNvSpPr/>
      </xdr:nvSpPr>
      <xdr:spPr>
        <a:xfrm>
          <a:off x="5819775" y="1333500"/>
          <a:ext cx="847725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94" name="OpenSolverM7">
          <a:extLst>
            <a:ext uri="{FF2B5EF4-FFF2-40B4-BE49-F238E27FC236}">
              <a16:creationId xmlns:a16="http://schemas.microsoft.com/office/drawing/2014/main" id="{9CE71728-F7B0-47C6-8EAB-29FEFA17BC05}"/>
            </a:ext>
          </a:extLst>
        </xdr:cNvPr>
        <xdr:cNvSpPr/>
      </xdr:nvSpPr>
      <xdr:spPr>
        <a:xfrm>
          <a:off x="6667500" y="1524000"/>
          <a:ext cx="847725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5" name="OpenSolverM8">
          <a:extLst>
            <a:ext uri="{FF2B5EF4-FFF2-40B4-BE49-F238E27FC236}">
              <a16:creationId xmlns:a16="http://schemas.microsoft.com/office/drawing/2014/main" id="{4235D59F-5432-4DC2-A534-109D9CF88FA3}"/>
            </a:ext>
          </a:extLst>
        </xdr:cNvPr>
        <xdr:cNvSpPr/>
      </xdr:nvSpPr>
      <xdr:spPr>
        <a:xfrm>
          <a:off x="6667500" y="1714500"/>
          <a:ext cx="84772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96" name="OpenSolver7">
          <a:extLst>
            <a:ext uri="{FF2B5EF4-FFF2-40B4-BE49-F238E27FC236}">
              <a16:creationId xmlns:a16="http://schemas.microsoft.com/office/drawing/2014/main" id="{63A1AE25-58EC-4765-8E49-E6C3CA4DA89F}"/>
            </a:ext>
          </a:extLst>
        </xdr:cNvPr>
        <xdr:cNvSpPr/>
      </xdr:nvSpPr>
      <xdr:spPr>
        <a:xfrm>
          <a:off x="7515225" y="1333500"/>
          <a:ext cx="847725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97" name="OpenSolver8">
          <a:extLst>
            <a:ext uri="{FF2B5EF4-FFF2-40B4-BE49-F238E27FC236}">
              <a16:creationId xmlns:a16="http://schemas.microsoft.com/office/drawing/2014/main" id="{A26DAEB9-95AB-41B1-9FFB-BBC216533784}"/>
            </a:ext>
          </a:extLst>
        </xdr:cNvPr>
        <xdr:cNvSpPr/>
      </xdr:nvSpPr>
      <xdr:spPr>
        <a:xfrm>
          <a:off x="8658225" y="1333500"/>
          <a:ext cx="781050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17</xdr:col>
      <xdr:colOff>0</xdr:colOff>
      <xdr:row>6</xdr:row>
      <xdr:rowOff>95250</xdr:rowOff>
    </xdr:from>
    <xdr:to>
      <xdr:col>18</xdr:col>
      <xdr:colOff>0</xdr:colOff>
      <xdr:row>6</xdr:row>
      <xdr:rowOff>95250</xdr:rowOff>
    </xdr:to>
    <xdr:cxnSp macro="">
      <xdr:nvCxnSpPr>
        <xdr:cNvPr id="98" name="OpenSolver9">
          <a:extLst>
            <a:ext uri="{FF2B5EF4-FFF2-40B4-BE49-F238E27FC236}">
              <a16:creationId xmlns:a16="http://schemas.microsoft.com/office/drawing/2014/main" id="{B2C3FCC0-4CEA-4D1E-818D-9DF52EF735F2}"/>
            </a:ext>
          </a:extLst>
        </xdr:cNvPr>
        <xdr:cNvCxnSpPr>
          <a:stCxn id="96" idx="3"/>
          <a:endCxn id="97" idx="1"/>
        </xdr:cNvCxnSpPr>
      </xdr:nvCxnSpPr>
      <xdr:spPr>
        <a:xfrm>
          <a:off x="8362950" y="1619250"/>
          <a:ext cx="295275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804863</xdr:colOff>
      <xdr:row>5</xdr:row>
      <xdr:rowOff>178457</xdr:rowOff>
    </xdr:from>
    <xdr:to>
      <xdr:col>20</xdr:col>
      <xdr:colOff>42863</xdr:colOff>
      <xdr:row>7</xdr:row>
      <xdr:rowOff>51457</xdr:rowOff>
    </xdr:to>
    <xdr:sp macro="" textlink="">
      <xdr:nvSpPr>
        <xdr:cNvPr id="99" name="OpenSolver10">
          <a:extLst>
            <a:ext uri="{FF2B5EF4-FFF2-40B4-BE49-F238E27FC236}">
              <a16:creationId xmlns:a16="http://schemas.microsoft.com/office/drawing/2014/main" id="{77F40F5D-8232-4760-A4BD-005EB81A95E8}"/>
            </a:ext>
          </a:extLst>
        </xdr:cNvPr>
        <xdr:cNvSpPr/>
      </xdr:nvSpPr>
      <xdr:spPr>
        <a:xfrm>
          <a:off x="8332897" y="1511957"/>
          <a:ext cx="1944414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10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100" name="OpenSolver11">
          <a:extLst>
            <a:ext uri="{FF2B5EF4-FFF2-40B4-BE49-F238E27FC236}">
              <a16:creationId xmlns:a16="http://schemas.microsoft.com/office/drawing/2014/main" id="{973590FB-51F2-44FC-AE9B-4529A6A8D7FE}"/>
            </a:ext>
          </a:extLst>
        </xdr:cNvPr>
        <xdr:cNvSpPr/>
      </xdr:nvSpPr>
      <xdr:spPr>
        <a:xfrm>
          <a:off x="14182725" y="2286000"/>
          <a:ext cx="84772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30</xdr:col>
      <xdr:colOff>0</xdr:colOff>
      <xdr:row>14</xdr:row>
      <xdr:rowOff>0</xdr:rowOff>
    </xdr:to>
    <xdr:sp macro="" textlink="">
      <xdr:nvSpPr>
        <xdr:cNvPr id="101" name="OpenSolver12">
          <a:extLst>
            <a:ext uri="{FF2B5EF4-FFF2-40B4-BE49-F238E27FC236}">
              <a16:creationId xmlns:a16="http://schemas.microsoft.com/office/drawing/2014/main" id="{CD19B822-F191-4779-A251-C3E2629F3FFE}"/>
            </a:ext>
          </a:extLst>
        </xdr:cNvPr>
        <xdr:cNvSpPr/>
      </xdr:nvSpPr>
      <xdr:spPr>
        <a:xfrm>
          <a:off x="15325725" y="2286000"/>
          <a:ext cx="98107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=</a:t>
          </a: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29</xdr:col>
      <xdr:colOff>0</xdr:colOff>
      <xdr:row>12</xdr:row>
      <xdr:rowOff>0</xdr:rowOff>
    </xdr:to>
    <xdr:cxnSp macro="">
      <xdr:nvCxnSpPr>
        <xdr:cNvPr id="102" name="OpenSolver13">
          <a:extLst>
            <a:ext uri="{FF2B5EF4-FFF2-40B4-BE49-F238E27FC236}">
              <a16:creationId xmlns:a16="http://schemas.microsoft.com/office/drawing/2014/main" id="{EE4568E2-E527-467D-A91C-8E5458A738FD}"/>
            </a:ext>
          </a:extLst>
        </xdr:cNvPr>
        <xdr:cNvCxnSpPr>
          <a:stCxn id="100" idx="3"/>
          <a:endCxn id="101" idx="1"/>
        </xdr:cNvCxnSpPr>
      </xdr:nvCxnSpPr>
      <xdr:spPr>
        <a:xfrm>
          <a:off x="15030450" y="2667000"/>
          <a:ext cx="295275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778587</xdr:colOff>
      <xdr:row>13</xdr:row>
      <xdr:rowOff>102915</xdr:rowOff>
    </xdr:from>
    <xdr:to>
      <xdr:col>29</xdr:col>
      <xdr:colOff>16587</xdr:colOff>
      <xdr:row>14</xdr:row>
      <xdr:rowOff>166415</xdr:rowOff>
    </xdr:to>
    <xdr:sp macro="" textlink="">
      <xdr:nvSpPr>
        <xdr:cNvPr id="103" name="OpenSolver14">
          <a:extLst>
            <a:ext uri="{FF2B5EF4-FFF2-40B4-BE49-F238E27FC236}">
              <a16:creationId xmlns:a16="http://schemas.microsoft.com/office/drawing/2014/main" id="{1DB9A4E7-58D3-4647-A9A8-34FEA2A7E96E}"/>
            </a:ext>
          </a:extLst>
        </xdr:cNvPr>
        <xdr:cNvSpPr/>
      </xdr:nvSpPr>
      <xdr:spPr>
        <a:xfrm>
          <a:off x="15144915" y="296041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04" name="OpenSolver15">
          <a:extLst>
            <a:ext uri="{FF2B5EF4-FFF2-40B4-BE49-F238E27FC236}">
              <a16:creationId xmlns:a16="http://schemas.microsoft.com/office/drawing/2014/main" id="{8749C426-8914-4505-A2FB-B2BCDCAF2C60}"/>
            </a:ext>
          </a:extLst>
        </xdr:cNvPr>
        <xdr:cNvSpPr/>
      </xdr:nvSpPr>
      <xdr:spPr>
        <a:xfrm>
          <a:off x="14182725" y="1333500"/>
          <a:ext cx="847725" cy="571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05" name="OpenSolver16">
          <a:extLst>
            <a:ext uri="{FF2B5EF4-FFF2-40B4-BE49-F238E27FC236}">
              <a16:creationId xmlns:a16="http://schemas.microsoft.com/office/drawing/2014/main" id="{BE92B641-2C6F-446D-B4FF-B2D4628B79E1}"/>
            </a:ext>
          </a:extLst>
        </xdr:cNvPr>
        <xdr:cNvSpPr/>
      </xdr:nvSpPr>
      <xdr:spPr>
        <a:xfrm>
          <a:off x="15325725" y="1333500"/>
          <a:ext cx="981075" cy="571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28</xdr:col>
      <xdr:colOff>0</xdr:colOff>
      <xdr:row>6</xdr:row>
      <xdr:rowOff>95250</xdr:rowOff>
    </xdr:from>
    <xdr:to>
      <xdr:col>29</xdr:col>
      <xdr:colOff>0</xdr:colOff>
      <xdr:row>6</xdr:row>
      <xdr:rowOff>95250</xdr:rowOff>
    </xdr:to>
    <xdr:cxnSp macro="">
      <xdr:nvCxnSpPr>
        <xdr:cNvPr id="106" name="OpenSolver17">
          <a:extLst>
            <a:ext uri="{FF2B5EF4-FFF2-40B4-BE49-F238E27FC236}">
              <a16:creationId xmlns:a16="http://schemas.microsoft.com/office/drawing/2014/main" id="{BC8ACD58-DE02-4EF1-A5F9-39D7C8253667}"/>
            </a:ext>
          </a:extLst>
        </xdr:cNvPr>
        <xdr:cNvCxnSpPr>
          <a:stCxn id="104" idx="3"/>
          <a:endCxn id="105" idx="1"/>
        </xdr:cNvCxnSpPr>
      </xdr:nvCxnSpPr>
      <xdr:spPr>
        <a:xfrm>
          <a:off x="15030450" y="1619250"/>
          <a:ext cx="295275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804863</xdr:colOff>
      <xdr:row>5</xdr:row>
      <xdr:rowOff>158750</xdr:rowOff>
    </xdr:from>
    <xdr:to>
      <xdr:col>29</xdr:col>
      <xdr:colOff>42863</xdr:colOff>
      <xdr:row>7</xdr:row>
      <xdr:rowOff>31750</xdr:rowOff>
    </xdr:to>
    <xdr:sp macro="" textlink="">
      <xdr:nvSpPr>
        <xdr:cNvPr id="107" name="OpenSolver18">
          <a:extLst>
            <a:ext uri="{FF2B5EF4-FFF2-40B4-BE49-F238E27FC236}">
              <a16:creationId xmlns:a16="http://schemas.microsoft.com/office/drawing/2014/main" id="{5A56F3D2-A3FE-4E71-A2E3-4759D2A9FFD3}"/>
            </a:ext>
          </a:extLst>
        </xdr:cNvPr>
        <xdr:cNvSpPr/>
      </xdr:nvSpPr>
      <xdr:spPr>
        <a:xfrm>
          <a:off x="14987588" y="1492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58F1-C95B-4B19-8C20-C0E3EDCB23F5}">
  <dimension ref="A1:F32"/>
  <sheetViews>
    <sheetView showGridLines="0" workbookViewId="0"/>
  </sheetViews>
  <sheetFormatPr defaultRowHeight="15" x14ac:dyDescent="0.25"/>
  <cols>
    <col min="1" max="1" width="2.28515625" customWidth="1"/>
    <col min="2" max="2" width="6.5703125" bestFit="1" customWidth="1"/>
    <col min="3" max="3" width="35.5703125" bestFit="1" customWidth="1"/>
    <col min="4" max="5" width="13.7109375" bestFit="1" customWidth="1"/>
    <col min="6" max="6" width="14.7109375" bestFit="1" customWidth="1"/>
  </cols>
  <sheetData>
    <row r="1" spans="1:6" x14ac:dyDescent="0.25">
      <c r="A1" s="123" t="s">
        <v>261</v>
      </c>
    </row>
    <row r="2" spans="1:6" x14ac:dyDescent="0.25">
      <c r="A2" s="123" t="s">
        <v>262</v>
      </c>
    </row>
    <row r="3" spans="1:6" x14ac:dyDescent="0.25">
      <c r="A3" s="123" t="s">
        <v>263</v>
      </c>
    </row>
    <row r="6" spans="1:6" ht="15.75" thickBot="1" x14ac:dyDescent="0.3">
      <c r="A6" t="s">
        <v>264</v>
      </c>
    </row>
    <row r="7" spans="1:6" ht="15.75" thickBot="1" x14ac:dyDescent="0.3">
      <c r="B7" s="225" t="s">
        <v>265</v>
      </c>
      <c r="C7" s="225" t="s">
        <v>266</v>
      </c>
      <c r="D7" s="225" t="s">
        <v>267</v>
      </c>
      <c r="E7" s="225" t="s">
        <v>268</v>
      </c>
      <c r="F7" s="225" t="s">
        <v>269</v>
      </c>
    </row>
    <row r="8" spans="1:6" ht="15.75" thickBot="1" x14ac:dyDescent="0.3">
      <c r="B8" s="224" t="s">
        <v>275</v>
      </c>
      <c r="C8" s="224" t="s">
        <v>248</v>
      </c>
      <c r="D8" s="227">
        <v>314.64616555977096</v>
      </c>
      <c r="E8" s="227">
        <v>314.64616555977096</v>
      </c>
      <c r="F8" s="224" t="s">
        <v>276</v>
      </c>
    </row>
    <row r="11" spans="1:6" ht="15.75" thickBot="1" x14ac:dyDescent="0.3">
      <c r="A11" t="s">
        <v>270</v>
      </c>
    </row>
    <row r="12" spans="1:6" ht="15.75" thickBot="1" x14ac:dyDescent="0.3">
      <c r="B12" s="225" t="s">
        <v>265</v>
      </c>
      <c r="C12" s="225" t="s">
        <v>266</v>
      </c>
      <c r="D12" s="225" t="s">
        <v>267</v>
      </c>
      <c r="E12" s="225" t="s">
        <v>268</v>
      </c>
      <c r="F12" s="225" t="s">
        <v>271</v>
      </c>
    </row>
    <row r="13" spans="1:6" x14ac:dyDescent="0.25">
      <c r="B13" s="226" t="s">
        <v>277</v>
      </c>
      <c r="C13" s="226" t="s">
        <v>278</v>
      </c>
      <c r="D13" s="228">
        <v>399665.97246145637</v>
      </c>
      <c r="E13" s="228">
        <v>399665.97246145637</v>
      </c>
      <c r="F13" s="229" t="s">
        <v>279</v>
      </c>
    </row>
    <row r="14" spans="1:6" x14ac:dyDescent="0.25">
      <c r="B14" s="226" t="s">
        <v>280</v>
      </c>
      <c r="C14" s="226" t="s">
        <v>281</v>
      </c>
      <c r="D14" s="228">
        <v>0</v>
      </c>
      <c r="E14" s="228">
        <v>0</v>
      </c>
      <c r="F14" s="229" t="s">
        <v>279</v>
      </c>
    </row>
    <row r="15" spans="1:6" x14ac:dyDescent="0.25">
      <c r="B15" s="226" t="s">
        <v>282</v>
      </c>
      <c r="C15" s="226" t="s">
        <v>283</v>
      </c>
      <c r="D15" s="228">
        <v>530334.02753854357</v>
      </c>
      <c r="E15" s="228">
        <v>530334.02753854357</v>
      </c>
      <c r="F15" s="229" t="s">
        <v>279</v>
      </c>
    </row>
    <row r="16" spans="1:6" x14ac:dyDescent="0.25">
      <c r="B16" s="226" t="s">
        <v>284</v>
      </c>
      <c r="C16" s="226" t="s">
        <v>285</v>
      </c>
      <c r="D16" s="228">
        <v>1591002.2185220558</v>
      </c>
      <c r="E16" s="228">
        <v>1591002.2185220558</v>
      </c>
      <c r="F16" s="229" t="s">
        <v>279</v>
      </c>
    </row>
    <row r="17" spans="1:6" x14ac:dyDescent="0.25">
      <c r="B17" s="226" t="s">
        <v>286</v>
      </c>
      <c r="C17" s="226" t="s">
        <v>287</v>
      </c>
      <c r="D17" s="228">
        <v>0</v>
      </c>
      <c r="E17" s="228">
        <v>0</v>
      </c>
      <c r="F17" s="229" t="s">
        <v>279</v>
      </c>
    </row>
    <row r="18" spans="1:6" ht="15.75" thickBot="1" x14ac:dyDescent="0.3">
      <c r="B18" s="224" t="s">
        <v>288</v>
      </c>
      <c r="C18" s="224" t="s">
        <v>289</v>
      </c>
      <c r="D18" s="230">
        <v>3678997.781477944</v>
      </c>
      <c r="E18" s="230">
        <v>3678997.781477944</v>
      </c>
      <c r="F18" s="231" t="s">
        <v>279</v>
      </c>
    </row>
    <row r="21" spans="1:6" ht="15.75" thickBot="1" x14ac:dyDescent="0.3">
      <c r="A21" t="s">
        <v>272</v>
      </c>
    </row>
    <row r="22" spans="1:6" ht="15.75" thickBot="1" x14ac:dyDescent="0.3">
      <c r="B22" s="225" t="s">
        <v>265</v>
      </c>
      <c r="C22" s="225" t="s">
        <v>266</v>
      </c>
      <c r="D22" s="225" t="s">
        <v>273</v>
      </c>
      <c r="E22" s="225" t="s">
        <v>274</v>
      </c>
      <c r="F22" s="225" t="s">
        <v>269</v>
      </c>
    </row>
    <row r="23" spans="1:6" x14ac:dyDescent="0.25">
      <c r="B23" s="226" t="s">
        <v>290</v>
      </c>
      <c r="C23" s="226" t="s">
        <v>291</v>
      </c>
      <c r="D23" s="228">
        <v>399665.97246145637</v>
      </c>
      <c r="E23" s="226" t="s">
        <v>292</v>
      </c>
      <c r="F23" s="226" t="s">
        <v>276</v>
      </c>
    </row>
    <row r="24" spans="1:6" x14ac:dyDescent="0.25">
      <c r="B24" s="226" t="s">
        <v>293</v>
      </c>
      <c r="C24" s="226" t="s">
        <v>294</v>
      </c>
      <c r="D24" s="228">
        <v>2121336.2460605996</v>
      </c>
      <c r="E24" s="226" t="s">
        <v>295</v>
      </c>
      <c r="F24" s="226" t="s">
        <v>276</v>
      </c>
    </row>
    <row r="25" spans="1:6" x14ac:dyDescent="0.25">
      <c r="B25" s="226" t="s">
        <v>296</v>
      </c>
      <c r="C25" s="226" t="s">
        <v>297</v>
      </c>
      <c r="D25" s="228">
        <v>3678997.781477944</v>
      </c>
      <c r="E25" s="226" t="s">
        <v>298</v>
      </c>
      <c r="F25" s="226" t="s">
        <v>276</v>
      </c>
    </row>
    <row r="26" spans="1:6" x14ac:dyDescent="0.25">
      <c r="B26" s="226" t="s">
        <v>299</v>
      </c>
      <c r="C26" s="226" t="s">
        <v>300</v>
      </c>
      <c r="D26" s="228">
        <v>6200000</v>
      </c>
      <c r="E26" s="226" t="s">
        <v>301</v>
      </c>
      <c r="F26" s="226" t="s">
        <v>276</v>
      </c>
    </row>
    <row r="27" spans="1:6" x14ac:dyDescent="0.25">
      <c r="B27" s="226" t="s">
        <v>302</v>
      </c>
      <c r="C27" s="226" t="s">
        <v>303</v>
      </c>
      <c r="D27" s="232">
        <v>0</v>
      </c>
      <c r="E27" s="226" t="s">
        <v>304</v>
      </c>
      <c r="F27" s="226" t="s">
        <v>276</v>
      </c>
    </row>
    <row r="28" spans="1:6" x14ac:dyDescent="0.25">
      <c r="B28" s="226" t="s">
        <v>305</v>
      </c>
      <c r="C28" s="226" t="s">
        <v>306</v>
      </c>
      <c r="D28" s="228">
        <v>930000</v>
      </c>
      <c r="E28" s="226" t="s">
        <v>307</v>
      </c>
      <c r="F28" s="226" t="s">
        <v>276</v>
      </c>
    </row>
    <row r="29" spans="1:6" x14ac:dyDescent="0.25">
      <c r="B29" s="226" t="s">
        <v>308</v>
      </c>
      <c r="C29" s="226" t="s">
        <v>309</v>
      </c>
      <c r="D29" s="228">
        <v>5270000</v>
      </c>
      <c r="E29" s="226" t="s">
        <v>310</v>
      </c>
      <c r="F29" s="226" t="s">
        <v>276</v>
      </c>
    </row>
    <row r="30" spans="1:6" x14ac:dyDescent="0.25">
      <c r="B30" s="226" t="s">
        <v>311</v>
      </c>
      <c r="C30" s="226" t="s">
        <v>312</v>
      </c>
      <c r="D30" s="233">
        <v>1</v>
      </c>
      <c r="E30" s="226" t="s">
        <v>313</v>
      </c>
      <c r="F30" s="229" t="s">
        <v>279</v>
      </c>
    </row>
    <row r="31" spans="1:6" x14ac:dyDescent="0.25">
      <c r="B31" s="226" t="s">
        <v>314</v>
      </c>
      <c r="C31" s="226" t="s">
        <v>312</v>
      </c>
      <c r="D31" s="233">
        <v>5.9999999359335767</v>
      </c>
      <c r="E31" s="226" t="s">
        <v>315</v>
      </c>
      <c r="F31" s="229" t="s">
        <v>279</v>
      </c>
    </row>
    <row r="32" spans="1:6" ht="15.75" thickBot="1" x14ac:dyDescent="0.3">
      <c r="B32" s="224" t="s">
        <v>316</v>
      </c>
      <c r="C32" s="224" t="s">
        <v>312</v>
      </c>
      <c r="D32" s="234">
        <v>5</v>
      </c>
      <c r="E32" s="224" t="s">
        <v>317</v>
      </c>
      <c r="F32" s="23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K36"/>
  <sheetViews>
    <sheetView tabSelected="1" topLeftCell="J19" zoomScale="145" zoomScaleNormal="145" workbookViewId="0">
      <selection activeCell="O35" sqref="O35"/>
    </sheetView>
  </sheetViews>
  <sheetFormatPr defaultRowHeight="15" outlineLevelCol="1" x14ac:dyDescent="0.25"/>
  <cols>
    <col min="1" max="1" width="2.7109375" hidden="1" customWidth="1" outlineLevel="1"/>
    <col min="2" max="2" width="8" hidden="1" customWidth="1" outlineLevel="1"/>
    <col min="3" max="4" width="12.7109375" hidden="1" customWidth="1" outlineLevel="1"/>
    <col min="5" max="6" width="2.7109375" hidden="1" customWidth="1" outlineLevel="1"/>
    <col min="7" max="8" width="12.7109375" hidden="1" customWidth="1" outlineLevel="1"/>
    <col min="9" max="9" width="2.7109375" hidden="1" customWidth="1" outlineLevel="1"/>
    <col min="10" max="10" width="2.7109375" customWidth="1" collapsed="1"/>
    <col min="11" max="11" width="14.85546875" bestFit="1" customWidth="1"/>
    <col min="12" max="17" width="12.7109375" customWidth="1"/>
    <col min="18" max="18" width="12.7109375" style="185" customWidth="1"/>
    <col min="19" max="20" width="11.7109375" customWidth="1" outlineLevel="1"/>
    <col min="21" max="21" width="11.7109375" customWidth="1"/>
    <col min="22" max="22" width="12.7109375" customWidth="1"/>
    <col min="23" max="23" width="20.7109375" bestFit="1" customWidth="1"/>
    <col min="24" max="24" width="14.7109375" customWidth="1"/>
    <col min="25" max="25" width="11.7109375" bestFit="1" customWidth="1"/>
    <col min="26" max="26" width="12.7109375" style="96" customWidth="1"/>
    <col min="27" max="28" width="12.7109375" customWidth="1"/>
    <col min="29" max="29" width="4.42578125" style="185" bestFit="1" customWidth="1"/>
    <col min="30" max="30" width="14.7109375" customWidth="1"/>
    <col min="31" max="31" width="4.7109375" customWidth="1"/>
    <col min="34" max="35" width="12.7109375" customWidth="1"/>
  </cols>
  <sheetData>
    <row r="2" spans="2:37" x14ac:dyDescent="0.25">
      <c r="L2" s="185" t="str">
        <f t="shared" ref="L2:M2" si="0">L5</f>
        <v>Grade A</v>
      </c>
      <c r="M2" s="185" t="str">
        <f t="shared" si="0"/>
        <v>Grade B</v>
      </c>
    </row>
    <row r="3" spans="2:37" x14ac:dyDescent="0.25">
      <c r="C3" s="147"/>
      <c r="D3" s="147"/>
      <c r="G3" s="156"/>
      <c r="H3" s="156"/>
      <c r="K3" t="s">
        <v>199</v>
      </c>
      <c r="L3" s="186">
        <v>9</v>
      </c>
      <c r="M3" s="186">
        <v>5</v>
      </c>
      <c r="R3" s="184"/>
      <c r="AC3" s="184" t="s">
        <v>248</v>
      </c>
      <c r="AD3" s="219">
        <f>X9</f>
        <v>274469.17692512448</v>
      </c>
    </row>
    <row r="4" spans="2:37" x14ac:dyDescent="0.25">
      <c r="P4" s="185" t="s">
        <v>256</v>
      </c>
      <c r="Q4" s="185"/>
      <c r="R4" s="185" t="s">
        <v>256</v>
      </c>
      <c r="S4" s="185" t="s">
        <v>256</v>
      </c>
      <c r="T4" s="185" t="s">
        <v>256</v>
      </c>
      <c r="U4" s="185" t="s">
        <v>256</v>
      </c>
    </row>
    <row r="5" spans="2:37" ht="45" x14ac:dyDescent="0.25">
      <c r="B5" s="149" t="s">
        <v>208</v>
      </c>
      <c r="C5" s="149" t="s">
        <v>195</v>
      </c>
      <c r="D5" s="149" t="s">
        <v>199</v>
      </c>
      <c r="G5" s="149" t="s">
        <v>194</v>
      </c>
      <c r="H5" s="149" t="s">
        <v>200</v>
      </c>
      <c r="K5" s="149" t="s">
        <v>194</v>
      </c>
      <c r="L5" s="149" t="s">
        <v>197</v>
      </c>
      <c r="M5" s="149" t="s">
        <v>196</v>
      </c>
      <c r="P5" s="215" t="s">
        <v>174</v>
      </c>
      <c r="Q5" s="215"/>
      <c r="R5" s="215"/>
      <c r="S5" s="215" t="s">
        <v>249</v>
      </c>
      <c r="T5" s="215" t="s">
        <v>250</v>
      </c>
      <c r="U5" s="215" t="s">
        <v>251</v>
      </c>
      <c r="V5" s="149" t="s">
        <v>247</v>
      </c>
      <c r="W5" s="149" t="s">
        <v>246</v>
      </c>
      <c r="X5" s="149" t="s">
        <v>248</v>
      </c>
      <c r="Z5" s="155" t="s">
        <v>241</v>
      </c>
      <c r="AA5" s="155" t="s">
        <v>242</v>
      </c>
      <c r="AB5" s="215" t="s">
        <v>243</v>
      </c>
      <c r="AC5" s="215"/>
      <c r="AD5" s="215" t="s">
        <v>245</v>
      </c>
    </row>
    <row r="6" spans="2:37" x14ac:dyDescent="0.25">
      <c r="B6" t="s">
        <v>197</v>
      </c>
      <c r="C6" s="150">
        <v>930000</v>
      </c>
      <c r="D6">
        <v>9</v>
      </c>
      <c r="G6" t="s">
        <v>201</v>
      </c>
      <c r="H6">
        <v>8</v>
      </c>
      <c r="K6" t="s">
        <v>201</v>
      </c>
      <c r="L6" s="196">
        <v>1</v>
      </c>
      <c r="M6" s="199">
        <v>5269997.9999999991</v>
      </c>
      <c r="P6" s="212">
        <f>SUM(L6:M6)</f>
        <v>5269998.9999999991</v>
      </c>
      <c r="Q6" s="236"/>
      <c r="R6" s="209" t="s">
        <v>161</v>
      </c>
      <c r="S6" s="202">
        <v>6.5</v>
      </c>
      <c r="T6" s="203">
        <v>9.9999999999999996E+27</v>
      </c>
      <c r="U6" s="204">
        <f>T6 * S6</f>
        <v>6.5000000000000001E+28</v>
      </c>
      <c r="V6" s="181">
        <v>1.4</v>
      </c>
      <c r="W6" s="221">
        <f>0.35 / S6</f>
        <v>5.3846153846153842E-2</v>
      </c>
      <c r="X6" s="150">
        <f>(W6) * P6</f>
        <v>283769.17692307686</v>
      </c>
      <c r="Y6" s="188">
        <f>W6 * 930000</f>
        <v>50076.923076923071</v>
      </c>
      <c r="Z6" s="193">
        <f>IFERROR(L6 / SUM($L6:$M6), 1)</f>
        <v>1.8975335668944153E-7</v>
      </c>
      <c r="AA6" s="193">
        <f>IFERROR(M6 / SUM($L6:$M6) * M$3, 1)</f>
        <v>4.9999990512332166</v>
      </c>
      <c r="AB6" s="216">
        <f>SUM(Z6:AA6)</f>
        <v>4.9999992409865737</v>
      </c>
      <c r="AC6" s="216" t="s">
        <v>158</v>
      </c>
      <c r="AD6" s="216">
        <v>9</v>
      </c>
      <c r="AG6" s="193">
        <f>IFERROR(L6 / SUM($L6:$M6), 1)</f>
        <v>1.8975335668944153E-7</v>
      </c>
      <c r="AH6" s="193">
        <f t="shared" ref="AH6:AH8" si="1">IFERROR(M6 / SUM($L6:$M6), 1)</f>
        <v>0.99999981024664331</v>
      </c>
      <c r="AI6" s="223">
        <f>SUM(AG6:AH6)</f>
        <v>1</v>
      </c>
      <c r="AJ6" t="s">
        <v>158</v>
      </c>
      <c r="AK6">
        <v>1</v>
      </c>
    </row>
    <row r="7" spans="2:37" x14ac:dyDescent="0.25">
      <c r="B7" t="s">
        <v>196</v>
      </c>
      <c r="C7" s="150">
        <v>5270000</v>
      </c>
      <c r="D7">
        <v>5</v>
      </c>
      <c r="G7" t="s">
        <v>191</v>
      </c>
      <c r="H7">
        <v>6</v>
      </c>
      <c r="K7" t="s">
        <v>191</v>
      </c>
      <c r="L7" s="197">
        <v>929999</v>
      </c>
      <c r="M7" s="200">
        <v>1</v>
      </c>
      <c r="P7" s="213">
        <f t="shared" ref="P7:P8" si="2">SUM(L7:M7)</f>
        <v>930000</v>
      </c>
      <c r="Q7" s="237"/>
      <c r="R7" s="210" t="s">
        <v>161</v>
      </c>
      <c r="S7" s="205">
        <v>14</v>
      </c>
      <c r="T7" s="205">
        <v>190000</v>
      </c>
      <c r="U7" s="206">
        <f>T7 * S7</f>
        <v>2660000</v>
      </c>
      <c r="V7" s="181">
        <v>2.46</v>
      </c>
      <c r="W7" s="222">
        <f>-0.14 / S7</f>
        <v>-0.01</v>
      </c>
      <c r="X7" s="150">
        <f t="shared" ref="X7:X8" si="3">(W7) * P7</f>
        <v>-9300</v>
      </c>
      <c r="Z7" s="193">
        <f t="shared" ref="Z7:Z8" si="4">IFERROR(L7 / SUM($L7:$M7) * L$3, 1)</f>
        <v>8.9999903225806452</v>
      </c>
      <c r="AA7" s="193">
        <f t="shared" ref="AA6:AA8" si="5">IFERROR(M7 / SUM($L7:$M7) * M$3, 1)</f>
        <v>5.3763440860215059E-6</v>
      </c>
      <c r="AB7" s="217">
        <f t="shared" ref="AB7:AB8" si="6">SUM(Z7:AA7)</f>
        <v>8.9999956989247316</v>
      </c>
      <c r="AC7" s="217" t="s">
        <v>158</v>
      </c>
      <c r="AD7" s="217">
        <v>6</v>
      </c>
      <c r="AG7" s="193">
        <f t="shared" ref="AG7:AG8" si="7">IFERROR(L7 / SUM($L7:$M7), 1)</f>
        <v>0.99999892473118279</v>
      </c>
      <c r="AH7" s="193">
        <f t="shared" si="1"/>
        <v>1.0752688172043011E-6</v>
      </c>
      <c r="AI7" s="223">
        <f t="shared" ref="AI7:AI8" si="8">SUM(AG7:AH7)</f>
        <v>1</v>
      </c>
      <c r="AJ7" t="s">
        <v>158</v>
      </c>
      <c r="AK7">
        <v>1</v>
      </c>
    </row>
    <row r="8" spans="2:37" x14ac:dyDescent="0.25">
      <c r="B8" s="148" t="s">
        <v>174</v>
      </c>
      <c r="C8" s="152">
        <f>SUM(C6:C7)</f>
        <v>6200000</v>
      </c>
      <c r="D8" s="148"/>
      <c r="G8" s="156" t="s">
        <v>192</v>
      </c>
      <c r="H8" s="156">
        <v>0</v>
      </c>
      <c r="K8" s="156" t="s">
        <v>192</v>
      </c>
      <c r="L8" s="198">
        <v>0</v>
      </c>
      <c r="M8" s="201">
        <v>0.99999999953433871</v>
      </c>
      <c r="P8" s="214">
        <f t="shared" si="2"/>
        <v>0.99999999953433871</v>
      </c>
      <c r="Q8" s="238"/>
      <c r="R8" s="211" t="s">
        <v>161</v>
      </c>
      <c r="S8" s="207">
        <v>18</v>
      </c>
      <c r="T8" s="207">
        <v>210000</v>
      </c>
      <c r="U8" s="208">
        <f>T8 * S8</f>
        <v>3780000</v>
      </c>
      <c r="V8" s="181">
        <v>2.35</v>
      </c>
      <c r="W8" s="221">
        <f>0.43 / T8</f>
        <v>2.0476190476190475E-6</v>
      </c>
      <c r="X8" s="150">
        <f t="shared" si="3"/>
        <v>2.0476190466655506E-6</v>
      </c>
      <c r="Z8" s="193">
        <f t="shared" si="4"/>
        <v>0</v>
      </c>
      <c r="AA8" s="193">
        <f t="shared" si="5"/>
        <v>5</v>
      </c>
      <c r="AB8" s="218">
        <f t="shared" si="6"/>
        <v>5</v>
      </c>
      <c r="AC8" s="218" t="s">
        <v>158</v>
      </c>
      <c r="AD8" s="218">
        <v>0</v>
      </c>
      <c r="AG8" s="193">
        <f t="shared" si="7"/>
        <v>0</v>
      </c>
      <c r="AH8" s="193">
        <f t="shared" si="1"/>
        <v>1</v>
      </c>
      <c r="AI8" s="223">
        <f t="shared" si="8"/>
        <v>1</v>
      </c>
      <c r="AJ8" t="s">
        <v>158</v>
      </c>
      <c r="AK8">
        <v>1</v>
      </c>
    </row>
    <row r="9" spans="2:37" x14ac:dyDescent="0.25">
      <c r="K9" s="148" t="s">
        <v>240</v>
      </c>
      <c r="L9" s="152">
        <f>SUM(L6:L8)</f>
        <v>930000</v>
      </c>
      <c r="M9" s="152">
        <f>SUM(M6:M8)</f>
        <v>5269999.9999999981</v>
      </c>
      <c r="P9" s="192">
        <f>SUM(P6:P8)</f>
        <v>6199999.9999999981</v>
      </c>
      <c r="Q9" s="192"/>
      <c r="R9" s="191"/>
      <c r="S9" s="192"/>
      <c r="T9" s="192"/>
      <c r="U9" s="192"/>
      <c r="V9" s="148"/>
      <c r="W9" s="148"/>
      <c r="X9" s="220">
        <f>SUM(X6:X8)</f>
        <v>274469.17692512448</v>
      </c>
    </row>
    <row r="10" spans="2:37" x14ac:dyDescent="0.25">
      <c r="G10" s="156"/>
      <c r="H10" s="156"/>
    </row>
    <row r="11" spans="2:37" x14ac:dyDescent="0.25">
      <c r="K11" s="189" t="s">
        <v>174</v>
      </c>
      <c r="L11" s="190">
        <f>SUM(L9:M9)</f>
        <v>6199999.9999999981</v>
      </c>
      <c r="M11" s="150"/>
      <c r="R11" s="194"/>
      <c r="Z11" s="96" t="s">
        <v>256</v>
      </c>
      <c r="AA11" s="184" t="s">
        <v>255</v>
      </c>
      <c r="AB11" s="150">
        <f>L11</f>
        <v>6199999.9999999981</v>
      </c>
      <c r="AC11" s="194" t="s">
        <v>244</v>
      </c>
      <c r="AD11" s="150">
        <f>C8</f>
        <v>6200000</v>
      </c>
    </row>
    <row r="12" spans="2:37" x14ac:dyDescent="0.25">
      <c r="Z12" s="96" t="s">
        <v>256</v>
      </c>
      <c r="AA12" t="s">
        <v>254</v>
      </c>
      <c r="AB12" s="180">
        <f>L8</f>
        <v>0</v>
      </c>
      <c r="AC12" s="195" t="s">
        <v>244</v>
      </c>
      <c r="AD12">
        <v>0</v>
      </c>
    </row>
    <row r="13" spans="2:37" x14ac:dyDescent="0.25">
      <c r="R13" s="195"/>
      <c r="Z13" s="96" t="s">
        <v>256</v>
      </c>
      <c r="AA13" t="s">
        <v>252</v>
      </c>
      <c r="AB13" s="150">
        <f>L9</f>
        <v>930000</v>
      </c>
      <c r="AC13" s="195" t="s">
        <v>244</v>
      </c>
      <c r="AD13" s="150">
        <f>C6</f>
        <v>930000</v>
      </c>
    </row>
    <row r="14" spans="2:37" x14ac:dyDescent="0.25">
      <c r="Z14" s="96" t="s">
        <v>256</v>
      </c>
      <c r="AA14" t="s">
        <v>253</v>
      </c>
      <c r="AB14" s="150">
        <f>M9</f>
        <v>5269999.9999999981</v>
      </c>
      <c r="AC14" s="195" t="s">
        <v>244</v>
      </c>
      <c r="AD14" s="150">
        <f>C7</f>
        <v>5270000</v>
      </c>
    </row>
    <row r="20" spans="11:37" ht="18" x14ac:dyDescent="0.35">
      <c r="AA20" t="s">
        <v>257</v>
      </c>
      <c r="AE20" t="s">
        <v>259</v>
      </c>
      <c r="AF20" t="s">
        <v>258</v>
      </c>
      <c r="AJ20" t="s">
        <v>158</v>
      </c>
      <c r="AK20" t="s">
        <v>260</v>
      </c>
    </row>
    <row r="27" spans="11:37" x14ac:dyDescent="0.25">
      <c r="L27" s="185" t="str">
        <f t="shared" ref="L27:M27" si="9">L30</f>
        <v>Grade A</v>
      </c>
      <c r="M27" s="185" t="str">
        <f t="shared" si="9"/>
        <v>Grade B</v>
      </c>
    </row>
    <row r="28" spans="11:37" x14ac:dyDescent="0.25">
      <c r="K28" s="184" t="s">
        <v>323</v>
      </c>
      <c r="L28" s="186">
        <v>9</v>
      </c>
      <c r="M28" s="186">
        <v>5</v>
      </c>
    </row>
    <row r="30" spans="11:37" ht="30" x14ac:dyDescent="0.25">
      <c r="K30" s="149" t="s">
        <v>194</v>
      </c>
      <c r="L30" s="149" t="s">
        <v>197</v>
      </c>
      <c r="M30" s="149" t="s">
        <v>196</v>
      </c>
      <c r="O30" s="155" t="s">
        <v>319</v>
      </c>
      <c r="P30" s="149"/>
      <c r="Q30" s="155" t="s">
        <v>320</v>
      </c>
      <c r="S30" s="155" t="s">
        <v>322</v>
      </c>
    </row>
    <row r="31" spans="11:37" x14ac:dyDescent="0.25">
      <c r="K31" t="s">
        <v>201</v>
      </c>
      <c r="L31" s="196">
        <v>800000</v>
      </c>
      <c r="M31" s="199">
        <v>100000</v>
      </c>
      <c r="O31" s="150">
        <f>SUMPRODUCT(L31:M31, $L$28:$M$28)</f>
        <v>7700000</v>
      </c>
      <c r="P31" s="150" t="s">
        <v>318</v>
      </c>
      <c r="Q31" s="239">
        <f>$S31 * SUM($L31,$M31)</f>
        <v>7200000</v>
      </c>
      <c r="R31" s="185" t="b">
        <f>O31 &gt;= Q31</f>
        <v>1</v>
      </c>
      <c r="S31" s="240">
        <v>8</v>
      </c>
    </row>
    <row r="32" spans="11:37" x14ac:dyDescent="0.25">
      <c r="K32" t="s">
        <v>191</v>
      </c>
      <c r="L32" s="197">
        <v>130000</v>
      </c>
      <c r="M32" s="200">
        <v>300000</v>
      </c>
      <c r="O32" s="150">
        <f t="shared" ref="O32:O33" si="10">SUMPRODUCT(L32:M32, $L$28:$M$28)</f>
        <v>2670000</v>
      </c>
      <c r="P32" s="150" t="s">
        <v>318</v>
      </c>
      <c r="Q32" s="239">
        <f>$S32 * SUM($L32,$M32)</f>
        <v>2580000</v>
      </c>
      <c r="R32" s="185" t="b">
        <f>O32 &gt;= Q32</f>
        <v>1</v>
      </c>
      <c r="S32" s="240">
        <v>6</v>
      </c>
    </row>
    <row r="33" spans="11:19" x14ac:dyDescent="0.25">
      <c r="K33" s="156" t="s">
        <v>192</v>
      </c>
      <c r="L33" s="198">
        <v>0</v>
      </c>
      <c r="M33" s="201">
        <f>L11 - SUM(L31:L33, M31:M32)</f>
        <v>4869999.9999999981</v>
      </c>
      <c r="O33" s="150">
        <f t="shared" si="10"/>
        <v>24349999.999999993</v>
      </c>
      <c r="P33" s="150" t="s">
        <v>318</v>
      </c>
      <c r="Q33" s="239">
        <f>$S33 * SUM($L33,$M33)</f>
        <v>0</v>
      </c>
      <c r="R33" s="185" t="b">
        <f>O33 &gt;= Q33</f>
        <v>1</v>
      </c>
      <c r="S33" s="240">
        <v>0</v>
      </c>
    </row>
    <row r="34" spans="11:19" x14ac:dyDescent="0.25">
      <c r="K34" s="148" t="s">
        <v>240</v>
      </c>
      <c r="L34" s="152">
        <f>SUM(L31:L33)</f>
        <v>930000</v>
      </c>
      <c r="M34" s="152">
        <f>SUM(M31:M33)</f>
        <v>5269999.9999999981</v>
      </c>
      <c r="O34" s="150"/>
      <c r="P34" s="150"/>
      <c r="Q34" s="239"/>
    </row>
    <row r="36" spans="11:19" ht="18" x14ac:dyDescent="0.35">
      <c r="K36" t="s">
        <v>174</v>
      </c>
      <c r="L36" s="235">
        <f>SUM(L34:M34)</f>
        <v>6199999.9999999981</v>
      </c>
      <c r="O36" t="s">
        <v>321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Problem 1(b) Scratch</vt:lpstr>
      <vt:lpstr>Linearity Report 1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2022-02-22T22:16:55Z</dcterms:modified>
</cp:coreProperties>
</file>