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niel.carpenter\OneDrive - the Chickasaw Nation\Documents\GitHub\OU-DSA\Metaheuristics\03 - Homework\HW 02\"/>
    </mc:Choice>
  </mc:AlternateContent>
  <xr:revisionPtr revIDLastSave="0" documentId="13_ncr:1_{8A8363AD-80C3-46E3-92F2-35BF3276F3B8}" xr6:coauthVersionLast="46" xr6:coauthVersionMax="46" xr10:uidLastSave="{00000000-0000-0000-0000-000000000000}"/>
  <bookViews>
    <workbookView xWindow="-120" yWindow="-120" windowWidth="29040" windowHeight="15840" activeTab="1" xr2:uid="{EF627D34-B3C1-4C69-93C1-3362B4C646B4}"/>
  </bookViews>
  <sheets>
    <sheet name="Problem 1(b) Scratch" sheetId="6" r:id="rId1"/>
    <sheet name="Problem 1 LP" sheetId="9" r:id="rId2"/>
    <sheet name="Problem 3" sheetId="4" r:id="rId3"/>
    <sheet name="Problem 4" sheetId="2" r:id="rId4"/>
    <sheet name="Sheet1" sheetId="7" r:id="rId5"/>
    <sheet name="Sheet2" sheetId="8" r:id="rId6"/>
    <sheet name="P4 Scratch" sheetId="3" state="hidden" r:id="rId7"/>
    <sheet name="P3 Scratch" sheetId="5" state="hidden" r:id="rId8"/>
    <sheet name="P4 V1" sheetId="1" state="hidden" r:id="rId9"/>
  </sheets>
  <definedNames>
    <definedName name="OpenSolver_ChosenSolver" localSheetId="1" hidden="1">CBC</definedName>
    <definedName name="OpenSolver_DualsNewSheet" localSheetId="1" hidden="1">0</definedName>
    <definedName name="OpenSolver_LinearityCheck" localSheetId="1" hidden="1">1</definedName>
    <definedName name="OpenSolver_UpdateSensitivity" localSheetId="1" hidden="1">1</definedName>
    <definedName name="solver_adj" localSheetId="1" hidden="1">'Problem 1 LP'!#REF!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'Problem 1 LP'!#REF!</definedName>
    <definedName name="solver_lhs2" localSheetId="1" hidden="1">'Problem 1 LP'!#REF!</definedName>
    <definedName name="solver_lhs3" localSheetId="1" hidden="1">'Problem 1 LP'!#REF!</definedName>
    <definedName name="solver_lhs4" localSheetId="1" hidden="1">'Problem 1 LP'!#REF!</definedName>
    <definedName name="solver_lhs5" localSheetId="1" hidden="1">'Problem 1 LP'!#REF!</definedName>
    <definedName name="solver_lhs6" localSheetId="1" hidden="1">'Problem 1 LP'!#REF!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'Problem 1 LP'!#REF!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el4" localSheetId="1" hidden="1">1</definedName>
    <definedName name="solver_rel5" localSheetId="1" hidden="1">2</definedName>
    <definedName name="solver_rel6" localSheetId="1" hidden="1">3</definedName>
    <definedName name="solver_rhs1" localSheetId="1" hidden="1">1</definedName>
    <definedName name="solver_rhs2" localSheetId="1" hidden="1">1</definedName>
    <definedName name="solver_rhs3" localSheetId="1" hidden="1">1</definedName>
    <definedName name="solver_rhs4" localSheetId="1" hidden="1">'Problem 1 LP'!#REF!</definedName>
    <definedName name="solver_rhs5" localSheetId="1" hidden="1">'Problem 1 LP'!#REF!</definedName>
    <definedName name="solver_rhs6" localSheetId="1" hidden="1">'Problem 1 LP'!#REF!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0.05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9" l="1"/>
  <c r="M7" i="9"/>
  <c r="M6" i="9"/>
  <c r="L8" i="9"/>
  <c r="L7" i="9"/>
  <c r="L6" i="9"/>
  <c r="AD8" i="9"/>
  <c r="AD7" i="9"/>
  <c r="AD6" i="9"/>
  <c r="M9" i="9"/>
  <c r="L9" i="9"/>
  <c r="L11" i="9"/>
  <c r="L2" i="9"/>
  <c r="M2" i="9"/>
  <c r="AD9" i="9"/>
  <c r="X8" i="9"/>
  <c r="Y8" i="9"/>
  <c r="Z8" i="9"/>
  <c r="X7" i="9"/>
  <c r="Y7" i="9"/>
  <c r="Z7" i="9"/>
  <c r="X6" i="9"/>
  <c r="Y6" i="9"/>
  <c r="Z6" i="9"/>
  <c r="S6" i="9"/>
  <c r="Q8" i="9"/>
  <c r="Q7" i="9"/>
  <c r="Q6" i="9"/>
  <c r="S8" i="9"/>
  <c r="S7" i="9"/>
  <c r="T8" i="9"/>
  <c r="T7" i="9"/>
  <c r="T6" i="9"/>
  <c r="P4" i="6"/>
  <c r="P3" i="6"/>
  <c r="I19" i="7"/>
  <c r="I27" i="7"/>
  <c r="I15" i="7"/>
  <c r="K36" i="7" a="1"/>
  <c r="K36" i="7"/>
  <c r="K35" i="7" a="1"/>
  <c r="K35" i="7"/>
  <c r="K34" i="7" a="1"/>
  <c r="K34" i="7"/>
  <c r="J36" i="7"/>
  <c r="J35" i="7"/>
  <c r="J34" i="7"/>
  <c r="P13" i="7"/>
  <c r="C12" i="6"/>
  <c r="C13" i="6"/>
  <c r="C15" i="6"/>
  <c r="C16" i="6"/>
  <c r="B19" i="6"/>
  <c r="E34" i="6"/>
  <c r="E36" i="6"/>
  <c r="E37" i="6"/>
  <c r="D34" i="6"/>
  <c r="D36" i="6"/>
  <c r="D37" i="6"/>
  <c r="D13" i="6"/>
  <c r="C35" i="6"/>
  <c r="C34" i="6"/>
  <c r="C36" i="6"/>
  <c r="D12" i="6"/>
  <c r="C37" i="6"/>
  <c r="C5" i="6"/>
  <c r="AH8" i="4"/>
  <c r="AH7" i="4"/>
  <c r="AK9" i="4"/>
  <c r="AC25" i="4"/>
  <c r="AH6" i="4"/>
  <c r="AK8" i="4"/>
  <c r="T25" i="4"/>
  <c r="AK7" i="4"/>
  <c r="L25" i="4"/>
  <c r="AH9" i="4"/>
  <c r="AJ9" i="4"/>
  <c r="Y10" i="4"/>
  <c r="AJ8" i="4"/>
  <c r="Q10" i="4"/>
  <c r="AJ7" i="4"/>
  <c r="H10" i="4"/>
  <c r="AJ6" i="4"/>
  <c r="C10" i="4"/>
  <c r="F22" i="5"/>
  <c r="E22" i="5"/>
  <c r="F21" i="5"/>
  <c r="E21" i="5"/>
  <c r="F20" i="5"/>
  <c r="E20" i="5"/>
  <c r="I17" i="5"/>
  <c r="F17" i="5"/>
  <c r="C17" i="5"/>
  <c r="F18" i="5"/>
  <c r="I18" i="5"/>
  <c r="D15" i="5"/>
  <c r="E15" i="5"/>
  <c r="F15" i="5"/>
  <c r="C15" i="5"/>
  <c r="D14" i="5"/>
  <c r="E14" i="5"/>
  <c r="F14" i="5"/>
  <c r="C14" i="5"/>
  <c r="D13" i="5"/>
  <c r="E13" i="5"/>
  <c r="F13" i="5"/>
  <c r="C13" i="5"/>
  <c r="D12" i="5"/>
  <c r="E12" i="5"/>
  <c r="F12" i="5"/>
  <c r="C12" i="5"/>
  <c r="F20" i="3"/>
  <c r="F21" i="3"/>
  <c r="F22" i="3"/>
  <c r="F17" i="3"/>
  <c r="F18" i="3"/>
  <c r="I18" i="3"/>
  <c r="I17" i="3"/>
  <c r="X30" i="2"/>
  <c r="O33" i="2"/>
  <c r="C17" i="3"/>
  <c r="E22" i="3"/>
  <c r="E21" i="3"/>
  <c r="E20" i="3"/>
  <c r="E12" i="3"/>
  <c r="E13" i="3"/>
  <c r="E14" i="3"/>
  <c r="E15" i="3"/>
  <c r="C15" i="3"/>
  <c r="C14" i="3"/>
  <c r="C13" i="3"/>
  <c r="C12" i="3"/>
  <c r="F15" i="3"/>
  <c r="F14" i="3"/>
  <c r="F13" i="3"/>
  <c r="F12" i="3"/>
  <c r="D15" i="3"/>
  <c r="D14" i="3"/>
  <c r="D13" i="3"/>
  <c r="D12" i="3"/>
  <c r="AQ29" i="2"/>
  <c r="AQ32" i="2"/>
  <c r="AG6" i="2"/>
  <c r="AL33" i="2"/>
  <c r="AQ33" i="2"/>
  <c r="AG7" i="2"/>
  <c r="AL34" i="2"/>
  <c r="AQ34" i="2"/>
  <c r="AQ35" i="2"/>
  <c r="AQ36" i="2"/>
  <c r="AQ37" i="2"/>
  <c r="AQ38" i="2"/>
  <c r="AQ39" i="2"/>
  <c r="AQ40" i="2"/>
  <c r="AQ41" i="2"/>
  <c r="AQ42" i="2"/>
  <c r="AL43" i="2"/>
  <c r="AQ43" i="2"/>
  <c r="AL44" i="2"/>
  <c r="AQ44" i="2"/>
  <c r="AL45" i="2"/>
  <c r="AQ45" i="2"/>
  <c r="AQ46" i="2"/>
  <c r="AN13" i="2"/>
  <c r="AQ13" i="2"/>
  <c r="AL14" i="2"/>
  <c r="AN14" i="2"/>
  <c r="AQ14" i="2"/>
  <c r="AN15" i="2"/>
  <c r="AQ15" i="2"/>
  <c r="AE25" i="2"/>
  <c r="AL16" i="2"/>
  <c r="AD25" i="2"/>
  <c r="AN16" i="2"/>
  <c r="AQ16" i="2"/>
  <c r="AN17" i="2"/>
  <c r="AQ17" i="2"/>
  <c r="AE26" i="2"/>
  <c r="AL18" i="2"/>
  <c r="AD26" i="2"/>
  <c r="AN18" i="2"/>
  <c r="AQ18" i="2"/>
  <c r="AQ22" i="2"/>
  <c r="AL25" i="2"/>
  <c r="AQ25" i="2"/>
  <c r="AL28" i="2"/>
  <c r="AQ28" i="2"/>
  <c r="AG31" i="2"/>
  <c r="AH31" i="2"/>
  <c r="AG32" i="2"/>
  <c r="AH32" i="2"/>
  <c r="AG33" i="2"/>
  <c r="AH33" i="2"/>
  <c r="AH30" i="2"/>
  <c r="AG30" i="2"/>
  <c r="AB33" i="2"/>
  <c r="AB32" i="2"/>
  <c r="AB31" i="2"/>
  <c r="AF17" i="2"/>
  <c r="AG17" i="2"/>
  <c r="AH17" i="2"/>
  <c r="AE14" i="2"/>
  <c r="AE7" i="2"/>
  <c r="AE19" i="2"/>
  <c r="AH19" i="2"/>
  <c r="F21" i="2"/>
  <c r="AE13" i="2"/>
  <c r="AE6" i="2"/>
  <c r="AE18" i="2"/>
  <c r="AH18" i="2"/>
  <c r="H19" i="2"/>
  <c r="AD14" i="2"/>
  <c r="AD19" i="2"/>
  <c r="AG19" i="2"/>
  <c r="H16" i="2"/>
  <c r="AD13" i="2"/>
  <c r="AD18" i="2"/>
  <c r="AG18" i="2"/>
  <c r="H13" i="2"/>
  <c r="AC14" i="2"/>
  <c r="AC19" i="2"/>
  <c r="AF19" i="2"/>
  <c r="H11" i="2"/>
  <c r="AC13" i="2"/>
  <c r="AC18" i="2"/>
  <c r="AF18" i="2"/>
  <c r="F9" i="2"/>
  <c r="U35" i="1"/>
  <c r="Y27" i="1"/>
  <c r="AB27" i="1"/>
  <c r="AC27" i="1"/>
  <c r="W26" i="1"/>
  <c r="X26" i="1"/>
  <c r="Y26" i="1"/>
  <c r="Z26" i="1"/>
  <c r="AB26" i="1"/>
  <c r="AC26" i="1"/>
  <c r="W25" i="1"/>
  <c r="X25" i="1"/>
  <c r="Y25" i="1"/>
  <c r="Z25" i="1"/>
  <c r="AB25" i="1"/>
  <c r="AC25" i="1"/>
  <c r="W24" i="1"/>
  <c r="X24" i="1"/>
  <c r="Y24" i="1"/>
  <c r="Z24" i="1"/>
  <c r="AB24" i="1"/>
  <c r="AC24" i="1"/>
  <c r="W23" i="1"/>
  <c r="Y23" i="1"/>
  <c r="Z23" i="1"/>
  <c r="AB23" i="1"/>
  <c r="AC23" i="1"/>
  <c r="W22" i="1"/>
  <c r="Y22" i="1"/>
  <c r="Z22" i="1"/>
  <c r="AB22" i="1"/>
  <c r="AC22" i="1"/>
  <c r="W21" i="1"/>
  <c r="Y21" i="1"/>
  <c r="Z21" i="1"/>
  <c r="AB21" i="1"/>
  <c r="AC21" i="1"/>
  <c r="R25" i="1"/>
  <c r="R14" i="1"/>
  <c r="R20" i="1"/>
  <c r="R10" i="1"/>
  <c r="S18" i="1"/>
  <c r="R5" i="1"/>
  <c r="E24" i="1"/>
  <c r="E10" i="1"/>
  <c r="Y16" i="1"/>
  <c r="AB16" i="1"/>
  <c r="AC16" i="1"/>
  <c r="W15" i="1"/>
  <c r="Y15" i="1"/>
  <c r="Z15" i="1"/>
  <c r="AB15" i="1"/>
  <c r="AC15" i="1"/>
  <c r="Y14" i="1"/>
  <c r="AB14" i="1"/>
  <c r="AC14" i="1"/>
  <c r="F36" i="1"/>
  <c r="W13" i="1"/>
  <c r="X13" i="1"/>
  <c r="Y13" i="1"/>
  <c r="F35" i="1"/>
  <c r="Z13" i="1"/>
  <c r="AB13" i="1"/>
  <c r="AC13" i="1"/>
  <c r="W12" i="1"/>
  <c r="X12" i="1"/>
  <c r="Y12" i="1"/>
  <c r="Z12" i="1"/>
  <c r="AB12" i="1"/>
  <c r="AC12" i="1"/>
  <c r="W11" i="1"/>
  <c r="X11" i="1"/>
  <c r="Y11" i="1"/>
  <c r="Z11" i="1"/>
  <c r="AB11" i="1"/>
  <c r="AC11" i="1"/>
  <c r="W10" i="1"/>
  <c r="Y10" i="1"/>
  <c r="Z10" i="1"/>
  <c r="AB10" i="1"/>
  <c r="AC10" i="1"/>
  <c r="W9" i="1"/>
  <c r="Y9" i="1"/>
  <c r="Z9" i="1"/>
  <c r="AB9" i="1"/>
  <c r="AC9" i="1"/>
  <c r="W8" i="1"/>
  <c r="Y8" i="1"/>
  <c r="Z8" i="1"/>
  <c r="AB8" i="1"/>
  <c r="AC8" i="1"/>
  <c r="H23" i="1"/>
  <c r="J21" i="1"/>
  <c r="J15" i="1"/>
  <c r="J18" i="1"/>
  <c r="J13" i="1"/>
  <c r="H11" i="1"/>
  <c r="AL26" i="2" a="1"/>
  <c r="AL27" i="2"/>
  <c r="AQ27" i="2"/>
  <c r="AL26" i="2"/>
  <c r="AQ26" i="2"/>
  <c r="AL23" i="2" a="1"/>
  <c r="AL24" i="2"/>
  <c r="AQ24" i="2"/>
  <c r="AL23" i="2"/>
  <c r="AQ23" i="2"/>
  <c r="AL20" i="2" a="1"/>
  <c r="AL21" i="2"/>
  <c r="AQ21" i="2"/>
  <c r="AL20" i="2"/>
  <c r="AQ20" i="2"/>
  <c r="AL9" i="2" a="1"/>
  <c r="AL11" i="2"/>
  <c r="AQ11" i="2"/>
  <c r="AL10" i="2"/>
  <c r="AQ10" i="2"/>
  <c r="AL9" i="2"/>
  <c r="AQ9" i="2"/>
  <c r="AL6" i="2" a="1"/>
  <c r="AL8" i="2"/>
  <c r="AQ8" i="2"/>
  <c r="AL7" i="2"/>
  <c r="AQ7" i="2"/>
  <c r="AL6" i="2"/>
  <c r="AQ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<sst xmlns="http://schemas.openxmlformats.org/spreadsheetml/2006/main" count="587" uniqueCount="261">
  <si>
    <t>Labor Sources</t>
  </si>
  <si>
    <t>Plants</t>
  </si>
  <si>
    <t>Business Partners</t>
  </si>
  <si>
    <t>Arc: (Cost, Lower, Upper)</t>
  </si>
  <si>
    <t>Specialist</t>
  </si>
  <si>
    <t>Generalist</t>
  </si>
  <si>
    <t>Cost</t>
  </si>
  <si>
    <t>Unit Output</t>
  </si>
  <si>
    <t>Cost / Unit</t>
  </si>
  <si>
    <r>
      <t>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</si>
  <si>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t>u</t>
  </si>
  <si>
    <r>
      <t>upper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</si>
  <si>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lower bound of number of units sent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</si>
  <si>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cost of labor, transportation and manufacturing when sending one product from arc</t>
    </r>
    <r>
      <rPr>
        <vertAlign val="subscript"/>
        <sz val="14"/>
        <color theme="1"/>
        <rFont val="Calibri"/>
        <family val="2"/>
        <scheme val="minor"/>
      </rPr>
      <t>i, j</t>
    </r>
    <r>
      <rPr>
        <sz val="14"/>
        <color theme="1"/>
        <rFont val="Calibri"/>
        <family val="2"/>
        <scheme val="minor"/>
      </rPr>
      <t xml:space="preserve"> (from node i to node j)</t>
    </r>
  </si>
  <si>
    <r>
      <t>l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</si>
  <si>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flow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</si>
  <si>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u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</si>
  <si>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c</t>
    </r>
    <r>
      <rPr>
        <b/>
        <vertAlign val="subscript"/>
        <sz val="14"/>
        <color theme="1"/>
        <rFont val="Calibri"/>
        <family val="2"/>
        <scheme val="minor"/>
      </rPr>
      <t>i, j</t>
    </r>
  </si>
  <si>
    <r>
      <t>b</t>
    </r>
    <r>
      <rPr>
        <b/>
        <vertAlign val="subscript"/>
        <sz val="14"/>
        <color theme="1"/>
        <rFont val="Calibri"/>
        <family val="2"/>
        <scheme val="minor"/>
      </rPr>
      <t>i</t>
    </r>
  </si>
  <si>
    <t>Labor Avail</t>
  </si>
  <si>
    <t>Products avail</t>
  </si>
  <si>
    <t>Demand of products for i in Businesses</t>
  </si>
  <si>
    <r>
      <t>totalHours</t>
    </r>
    <r>
      <rPr>
        <b/>
        <vertAlign val="subscript"/>
        <sz val="14"/>
        <color theme="1"/>
        <rFont val="Calibri"/>
        <family val="2"/>
        <scheme val="minor"/>
      </rPr>
      <t>l</t>
    </r>
  </si>
  <si>
    <t>NODES</t>
  </si>
  <si>
    <t>ARCS</t>
  </si>
  <si>
    <t>Specialist, Generalist, Scranton, Utica, Stamford, Goggle, Faceblock</t>
  </si>
  <si>
    <t>Set of all nodes from node i to node j</t>
  </si>
  <si>
    <t>LABOR</t>
  </si>
  <si>
    <t>Specialist, Generalist</t>
  </si>
  <si>
    <r>
      <t>[</t>
    </r>
    <r>
      <rPr>
        <sz val="11"/>
        <color theme="1"/>
        <rFont val="Consolas"/>
        <family val="3"/>
      </rPr>
      <t>Specialist, Scranton ]</t>
    </r>
  </si>
  <si>
    <r>
      <t>[</t>
    </r>
    <r>
      <rPr>
        <sz val="11"/>
        <color theme="1"/>
        <rFont val="Consolas"/>
        <family val="3"/>
      </rPr>
      <t>Specialist, Utica    ]</t>
    </r>
  </si>
  <si>
    <r>
      <t>[</t>
    </r>
    <r>
      <rPr>
        <sz val="11"/>
        <color theme="1"/>
        <rFont val="Consolas"/>
        <family val="3"/>
      </rPr>
      <t>Specialist, Stamford ]</t>
    </r>
  </si>
  <si>
    <r>
      <t>[</t>
    </r>
    <r>
      <rPr>
        <sz val="11"/>
        <color theme="1"/>
        <rFont val="Consolas"/>
        <family val="3"/>
      </rPr>
      <t>Generalist, Scranton ]</t>
    </r>
  </si>
  <si>
    <r>
      <t>[</t>
    </r>
    <r>
      <rPr>
        <sz val="11"/>
        <color theme="1"/>
        <rFont val="Consolas"/>
        <family val="3"/>
      </rPr>
      <t>Generalist, Utica    ]</t>
    </r>
  </si>
  <si>
    <r>
      <t>[</t>
    </r>
    <r>
      <rPr>
        <sz val="11"/>
        <color theme="1"/>
        <rFont val="Consolas"/>
        <family val="3"/>
      </rPr>
      <t>Generalist, Stamford ]</t>
    </r>
  </si>
  <si>
    <r>
      <t>[</t>
    </r>
    <r>
      <rPr>
        <sz val="11"/>
        <color theme="1"/>
        <rFont val="Consolas"/>
        <family val="3"/>
      </rPr>
      <t>Scranton,   Faceblock]</t>
    </r>
  </si>
  <si>
    <r>
      <t>[</t>
    </r>
    <r>
      <rPr>
        <sz val="11"/>
        <color theme="1"/>
        <rFont val="Consolas"/>
        <family val="3"/>
      </rPr>
      <t>Scranton,   Goggle   ]</t>
    </r>
  </si>
  <si>
    <r>
      <t>[</t>
    </r>
    <r>
      <rPr>
        <sz val="11"/>
        <color theme="1"/>
        <rFont val="Consolas"/>
        <family val="3"/>
      </rPr>
      <t>Utica,      Faceblock]</t>
    </r>
  </si>
  <si>
    <t>c</t>
  </si>
  <si>
    <t>l</t>
  </si>
  <si>
    <t>.</t>
  </si>
  <si>
    <t>labor / prod</t>
  </si>
  <si>
    <t>trans</t>
  </si>
  <si>
    <t>Copy Paste</t>
  </si>
  <si>
    <r>
      <t>productionLimit</t>
    </r>
    <r>
      <rPr>
        <b/>
        <vertAlign val="subscript"/>
        <sz val="14"/>
        <color theme="1"/>
        <rFont val="Calibri"/>
        <family val="2"/>
        <scheme val="minor"/>
      </rPr>
      <t>p</t>
    </r>
  </si>
  <si>
    <t>The production limit for each Plant p in PLANTS</t>
  </si>
  <si>
    <t>the total hours available per month for l in LABOR</t>
  </si>
  <si>
    <t>PLANTS</t>
  </si>
  <si>
    <t>Scranton, Utica, Stamford</t>
  </si>
  <si>
    <t>Prod</t>
  </si>
  <si>
    <t>Scranton</t>
  </si>
  <si>
    <t>Utica</t>
  </si>
  <si>
    <t>Stamford</t>
  </si>
  <si>
    <t>(0,0,0)</t>
  </si>
  <si>
    <t>(1.5,0,100)</t>
  </si>
  <si>
    <t>Maybe reverse this so that there is a 1.5 or 1 route before it gets to the arc with the cost.</t>
  </si>
  <si>
    <t>466.7	100	.</t>
  </si>
  <si>
    <t>[Specialist, Scranton ] 466.7	100	.</t>
  </si>
  <si>
    <t>416.7	100	.</t>
  </si>
  <si>
    <t>[Specialist, Utica    ] 416.7	100	.</t>
  </si>
  <si>
    <t>441.7	100	.</t>
  </si>
  <si>
    <t>[Specialist, Stamford ] 441.7	100	.</t>
  </si>
  <si>
    <t>470	200	.</t>
  </si>
  <si>
    <t>[Generalist, Scranton ] 470	200	.</t>
  </si>
  <si>
    <t>420	200	.</t>
  </si>
  <si>
    <t>[Generalist, Utica    ] 420	200	.</t>
  </si>
  <si>
    <t>445	200	.</t>
  </si>
  <si>
    <t>[Generalist, Stamford ] 445	200	.</t>
  </si>
  <si>
    <t>98	505	.</t>
  </si>
  <si>
    <t>[Scranton,   Faceblock] 98	505	.</t>
  </si>
  <si>
    <t>105	505	.</t>
  </si>
  <si>
    <t>[Scranton,   Goggle   ] 105	505	.</t>
  </si>
  <si>
    <t>119	465	.</t>
  </si>
  <si>
    <t>[Utica,      Faceblock] 119	465	.</t>
  </si>
  <si>
    <r>
      <t>[</t>
    </r>
    <r>
      <rPr>
        <sz val="11"/>
        <color theme="1"/>
        <rFont val="Consolas"/>
        <family val="3"/>
      </rPr>
      <t>Utica,      Goggle   ]</t>
    </r>
  </si>
  <si>
    <t>123	465	.</t>
  </si>
  <si>
    <t>[Utica,      Goggle   ] 123	465	.</t>
  </si>
  <si>
    <r>
      <t>[</t>
    </r>
    <r>
      <rPr>
        <sz val="11"/>
        <color theme="1"/>
        <rFont val="Consolas"/>
        <family val="3"/>
      </rPr>
      <t>Stamford,   Faceblock]</t>
    </r>
  </si>
  <si>
    <t>139	570	.</t>
  </si>
  <si>
    <t>[Stamford,   Faceblock] 139	570	.</t>
  </si>
  <si>
    <r>
      <t>[</t>
    </r>
    <r>
      <rPr>
        <sz val="11"/>
        <color theme="1"/>
        <rFont val="Consolas"/>
        <family val="3"/>
      </rPr>
      <t>Stamford,   Goggle   ]</t>
    </r>
  </si>
  <si>
    <t>135	570	.</t>
  </si>
  <si>
    <t>[Stamford,   Goggle   ] 135	570	.</t>
  </si>
  <si>
    <t>Dummy will take in the extra supply at no cost</t>
  </si>
  <si>
    <t>Need to figure out how to multiply if used over full 1600 towards faceblock and goggle</t>
  </si>
  <si>
    <t>(1.5, 0, 100)</t>
  </si>
  <si>
    <r>
      <t xml:space="preserve">(1, 0 </t>
    </r>
    <r>
      <rPr>
        <sz val="14"/>
        <color theme="1"/>
        <rFont val="Calibri"/>
        <family val="2"/>
      </rPr>
      <t>505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</si>
  <si>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465</t>
    </r>
    <r>
      <rPr>
        <sz val="9.8000000000000007"/>
        <color theme="1"/>
        <rFont val="Calibri"/>
        <family val="2"/>
      </rPr>
      <t>)</t>
    </r>
  </si>
  <si>
    <r>
      <t xml:space="preserve">(1, 0 </t>
    </r>
    <r>
      <rPr>
        <sz val="14"/>
        <color theme="1"/>
        <rFont val="Calibri"/>
        <family val="2"/>
      </rPr>
      <t>570</t>
    </r>
    <r>
      <rPr>
        <sz val="9.8000000000000007"/>
        <color theme="1"/>
        <rFont val="Calibri"/>
        <family val="2"/>
      </rPr>
      <t>)</t>
    </r>
  </si>
  <si>
    <t>(139,0,∞)</t>
  </si>
  <si>
    <t>(135,0,∞)</t>
  </si>
  <si>
    <t>(98,0,∞)</t>
  </si>
  <si>
    <t>(105,0,∞)</t>
  </si>
  <si>
    <t>(119,0,∞)</t>
  </si>
  <si>
    <t>(123,0,∞)</t>
  </si>
  <si>
    <t>Nodes: Supply (Demand)</t>
  </si>
  <si>
    <t>Type</t>
  </si>
  <si>
    <t>Unit Output per Person</t>
  </si>
  <si>
    <t>Cost per Person</t>
  </si>
  <si>
    <t>Total Labor Avail</t>
  </si>
  <si>
    <t>TTL Product Supply</t>
  </si>
  <si>
    <t>Cost of Transportation</t>
  </si>
  <si>
    <t>Scranton, PA</t>
  </si>
  <si>
    <t>Utica, NY</t>
  </si>
  <si>
    <t>Stamford, CT</t>
  </si>
  <si>
    <t>Base</t>
  </si>
  <si>
    <r>
      <t xml:space="preserve">Per </t>
    </r>
    <r>
      <rPr>
        <u/>
        <sz val="14"/>
        <color theme="1"/>
        <rFont val="Calibri"/>
        <family val="2"/>
        <scheme val="minor"/>
      </rPr>
      <t>Person</t>
    </r>
  </si>
  <si>
    <r>
      <t xml:space="preserve">Per </t>
    </r>
    <r>
      <rPr>
        <u/>
        <sz val="14"/>
        <color theme="1"/>
        <rFont val="Calibri"/>
        <family val="2"/>
        <scheme val="minor"/>
      </rPr>
      <t>Unit of Product</t>
    </r>
    <r>
      <rPr>
        <sz val="14"/>
        <color theme="1"/>
        <rFont val="Calibri"/>
        <family val="2"/>
        <scheme val="minor"/>
      </rPr>
      <t xml:space="preserve"> (trans. Cost / unit output by type)</t>
    </r>
  </si>
  <si>
    <t>Labor (Cost per Unit Output and Total Supply Available)</t>
  </si>
  <si>
    <t>Plant Production Limits</t>
  </si>
  <si>
    <t>OT</t>
  </si>
  <si>
    <t>OT Mult</t>
  </si>
  <si>
    <t>Goggle</t>
  </si>
  <si>
    <t>Faceblock</t>
  </si>
  <si>
    <t>Manufacture</t>
  </si>
  <si>
    <t>Manufacturing and Transportation Costs</t>
  </si>
  <si>
    <t>Man. + Trans Cost</t>
  </si>
  <si>
    <t>Labor, Manufacturing, and Transportation Cost Calculations for Arcs</t>
  </si>
  <si>
    <t>[Scranton,   Faceblock]</t>
  </si>
  <si>
    <t>[Utica,      Faceblock]</t>
  </si>
  <si>
    <t>[Stamford,   Faceblock]</t>
  </si>
  <si>
    <t>[Specialist, ScranMult ]</t>
  </si>
  <si>
    <t>[Generalist, ScranMult ]</t>
  </si>
  <si>
    <t>[Specialist, StamMult ]</t>
  </si>
  <si>
    <t>[Generalist, StamMult ]</t>
  </si>
  <si>
    <t>ScranMult</t>
  </si>
  <si>
    <t>StamMult</t>
  </si>
  <si>
    <t>UticaMult</t>
  </si>
  <si>
    <t>[ScranMult, Scranton]</t>
  </si>
  <si>
    <t>[UticaMult, Utica]</t>
  </si>
  <si>
    <t>[StamMult, Stamford]</t>
  </si>
  <si>
    <t>[Scranton,   dummy  ]</t>
  </si>
  <si>
    <t>[Utica,      dummy   ]</t>
  </si>
  <si>
    <t>dummy</t>
  </si>
  <si>
    <t>[Stamford,   dummy   ]</t>
  </si>
  <si>
    <t>Concat</t>
  </si>
  <si>
    <t>[Scranton,   Goggle]</t>
  </si>
  <si>
    <t>[Utica,      Goggle]</t>
  </si>
  <si>
    <t>[Stamford,   Goggle]</t>
  </si>
  <si>
    <t>[Specialist, UticaMult]</t>
  </si>
  <si>
    <t>[Generalist, UticaMult]</t>
  </si>
  <si>
    <t>b</t>
  </si>
  <si>
    <t> </t>
  </si>
  <si>
    <t># 12 units * 100 labor hours</t>
  </si>
  <si>
    <t># 10 units * 200 labor hours</t>
  </si>
  <si>
    <t>;</t>
  </si>
  <si>
    <t>Comment</t>
  </si>
  <si>
    <t># Cost of Transportation + Labor per Unit of Output (see screenshot)</t>
  </si>
  <si>
    <t>*Cost of Transportation + Labor per Unit of Output*</t>
  </si>
  <si>
    <t># 1.5 multiplied if using overtime per plant</t>
  </si>
  <si>
    <t># Cost of manufacturing + transportation to businesses (See calcs in screenshot)</t>
  </si>
  <si>
    <t># Supply</t>
  </si>
  <si>
    <t># Demand</t>
  </si>
  <si>
    <t># Transshippment (Plants or OT Multiplier)</t>
  </si>
  <si>
    <t>Overtime Choice</t>
  </si>
  <si>
    <t>(0,0,∞)</t>
  </si>
  <si>
    <t># 1200 + 2000 - 0 - 600</t>
  </si>
  <si>
    <t xml:space="preserve">	body</t>
  </si>
  <si>
    <t>&gt;=</t>
  </si>
  <si>
    <t>cannot</t>
  </si>
  <si>
    <t>be</t>
  </si>
  <si>
    <t>&lt;=</t>
  </si>
  <si>
    <t>difference</t>
  </si>
  <si>
    <t>=</t>
  </si>
  <si>
    <t>presolve:</t>
  </si>
  <si>
    <t>constraint</t>
  </si>
  <si>
    <t>flow_balance['Goggle']</t>
  </si>
  <si>
    <t>hold:</t>
  </si>
  <si>
    <t>flow_balance['dummy']</t>
  </si>
  <si>
    <t>ampl:</t>
  </si>
  <si>
    <t>flow_balance['Generalist']</t>
  </si>
  <si>
    <t>Special</t>
  </si>
  <si>
    <t>General</t>
  </si>
  <si>
    <t xml:space="preserve">Plant </t>
  </si>
  <si>
    <t>Total</t>
  </si>
  <si>
    <t>-&gt; *Mult includes *Mult1x and *MultOT for simiplicity in graph</t>
  </si>
  <si>
    <t>Day 1</t>
  </si>
  <si>
    <t>Day 2</t>
  </si>
  <si>
    <t>Day 3</t>
  </si>
  <si>
    <t xml:space="preserve">Day 4 </t>
  </si>
  <si>
    <t>(1, 0, 320)</t>
  </si>
  <si>
    <t>(1, 0, 240)</t>
  </si>
  <si>
    <t>(1, 0, 400)</t>
  </si>
  <si>
    <t>Day</t>
  </si>
  <si>
    <t>Determine Supply and Dummy Allocation</t>
  </si>
  <si>
    <r>
      <t xml:space="preserve">Dummy Allocation </t>
    </r>
    <r>
      <rPr>
        <i/>
        <sz val="14"/>
        <rFont val="Calibri"/>
        <family val="2"/>
        <scheme val="minor"/>
      </rPr>
      <t>d</t>
    </r>
    <r>
      <rPr>
        <i/>
        <vertAlign val="subscript"/>
        <sz val="14"/>
        <rFont val="Calibri"/>
        <family val="2"/>
        <scheme val="minor"/>
      </rPr>
      <t>day-1</t>
    </r>
    <r>
      <rPr>
        <i/>
        <sz val="14"/>
        <rFont val="Calibri"/>
        <family val="2"/>
        <scheme val="minor"/>
      </rPr>
      <t xml:space="preserve"> + d</t>
    </r>
    <r>
      <rPr>
        <i/>
        <vertAlign val="subscript"/>
        <sz val="14"/>
        <rFont val="Calibri"/>
        <family val="2"/>
        <scheme val="minor"/>
      </rPr>
      <t>day-2</t>
    </r>
  </si>
  <si>
    <r>
      <t xml:space="preserve">Potential Supply 
</t>
    </r>
    <r>
      <rPr>
        <i/>
        <sz val="14"/>
        <rFont val="Calibri"/>
        <family val="2"/>
        <scheme val="minor"/>
      </rPr>
      <t>in*d</t>
    </r>
  </si>
  <si>
    <r>
      <t xml:space="preserve">Incoming Arcs </t>
    </r>
    <r>
      <rPr>
        <sz val="14"/>
        <rFont val="Calibri"/>
        <family val="2"/>
        <scheme val="minor"/>
      </rPr>
      <t>(in)</t>
    </r>
  </si>
  <si>
    <r>
      <t xml:space="preserve">Demand </t>
    </r>
    <r>
      <rPr>
        <sz val="14"/>
        <rFont val="Calibri"/>
        <family val="2"/>
        <scheme val="minor"/>
      </rPr>
      <t>(d)</t>
    </r>
  </si>
  <si>
    <t>A</t>
  </si>
  <si>
    <t>Raisins</t>
  </si>
  <si>
    <t>Juice</t>
  </si>
  <si>
    <t>Jelly</t>
  </si>
  <si>
    <t>Pounds per Product</t>
  </si>
  <si>
    <t>Product</t>
  </si>
  <si>
    <t>Tons of Product</t>
  </si>
  <si>
    <t>Grade B</t>
  </si>
  <si>
    <t>Grade A</t>
  </si>
  <si>
    <t>% Contribution</t>
  </si>
  <si>
    <t>Avg Points</t>
  </si>
  <si>
    <t>Min Points</t>
  </si>
  <si>
    <t>Raisin</t>
  </si>
  <si>
    <t>Total Grade B Available</t>
  </si>
  <si>
    <t>Total Raisins Calculated</t>
  </si>
  <si>
    <t>% Grade B Used Towards Raisins, i.e. tier 8</t>
  </si>
  <si>
    <t>Weighted Avg Cost per Pound</t>
  </si>
  <si>
    <t>Weighted Avg. Cost per Pound</t>
  </si>
  <si>
    <t>% Breakdown of Grades</t>
  </si>
  <si>
    <t>Grade</t>
  </si>
  <si>
    <t>Cost per Pound</t>
  </si>
  <si>
    <t>Fruit Cost (Pounds * Wt. Avg. Cost)</t>
  </si>
  <si>
    <t>For raisins, this implies that 25% of the raisin production will stem from Grade B (and 75% towards A)</t>
  </si>
  <si>
    <t>For juice, this implies that 75% of the juice production will stem from Grade B (and 25% towards A)</t>
  </si>
  <si>
    <t>Note 100% Grade B used for Jelly.</t>
  </si>
  <si>
    <t>&lt;- this is from the aboves assumptions text</t>
  </si>
  <si>
    <t>&lt;- Noted in Table 2 footer</t>
  </si>
  <si>
    <t>&lt;- noted in table 3 bullet 4</t>
  </si>
  <si>
    <t>&lt;- 1 minus above</t>
  </si>
  <si>
    <t>&lt;- this is how they determine the fruit cost in Table 3</t>
  </si>
  <si>
    <t>Interpretation and Assumptions:</t>
  </si>
  <si>
    <t>Problem 1 (a): Calculating the Upper Bound for the Raisin Product</t>
  </si>
  <si>
    <t>Problem 1(b): Calculate the Fruit Cost seen in Table 3</t>
  </si>
  <si>
    <t>&lt;- note this is the % towards A</t>
  </si>
  <si>
    <t>&lt;- "" B</t>
  </si>
  <si>
    <t>Less Raisin Dedicated Portion to Grade A</t>
  </si>
  <si>
    <t>Grade B Portion Implied*</t>
  </si>
  <si>
    <t>Supply</t>
  </si>
  <si>
    <t>Decision Variables</t>
  </si>
  <si>
    <t>(1, 0, Inf)</t>
  </si>
  <si>
    <t>Profit</t>
  </si>
  <si>
    <t>Net Profit</t>
  </si>
  <si>
    <t>Inf</t>
  </si>
  <si>
    <t>Units Upper</t>
  </si>
  <si>
    <t>Determine Upper Limit</t>
  </si>
  <si>
    <t>Upper Bound</t>
  </si>
  <si>
    <t>Lower Bound</t>
  </si>
  <si>
    <t>Arc</t>
  </si>
  <si>
    <t>upper 310,000</t>
  </si>
  <si>
    <t>(c, 0, 0)</t>
  </si>
  <si>
    <t>upper 930,000</t>
  </si>
  <si>
    <t>Total per Grade</t>
  </si>
  <si>
    <t xml:space="preserve">&gt;= </t>
  </si>
  <si>
    <t>LHS</t>
  </si>
  <si>
    <t>RHS</t>
  </si>
  <si>
    <t>Product Grade Limit</t>
  </si>
  <si>
    <t>Avg Grade of Fruit</t>
  </si>
  <si>
    <t>Weight A</t>
  </si>
  <si>
    <t>Weight B</t>
  </si>
  <si>
    <t>Weighted Avg Limit</t>
  </si>
  <si>
    <t>Total Lbs</t>
  </si>
  <si>
    <t>inequality Holds?</t>
  </si>
  <si>
    <t>Equation using the produce var</t>
  </si>
  <si>
    <t>Calculated Weighted Avg Points by Product</t>
  </si>
  <si>
    <t>Calculated Net Profit</t>
  </si>
  <si>
    <t>Equation:</t>
  </si>
  <si>
    <r>
      <t>SUM</t>
    </r>
    <r>
      <rPr>
        <i/>
        <vertAlign val="subscript"/>
        <sz val="11"/>
        <color theme="1"/>
        <rFont val="Calibri"/>
        <family val="2"/>
        <scheme val="minor"/>
      </rPr>
      <t xml:space="preserve">f </t>
    </r>
    <r>
      <rPr>
        <i/>
        <sz val="11"/>
        <color theme="1"/>
        <rFont val="Calibri"/>
        <family val="2"/>
        <scheme val="minor"/>
      </rPr>
      <t>(produce</t>
    </r>
    <r>
      <rPr>
        <i/>
        <vertAlign val="subscript"/>
        <sz val="11"/>
        <color theme="1"/>
        <rFont val="Calibri"/>
        <family val="2"/>
        <scheme val="minor"/>
      </rPr>
      <t xml:space="preserve">f,p </t>
    </r>
    <r>
      <rPr>
        <i/>
        <sz val="11"/>
        <color theme="1"/>
        <rFont val="Calibri"/>
        <family val="2"/>
        <scheme val="minor"/>
      </rPr>
      <t>* avgGradeOfFruit</t>
    </r>
    <r>
      <rPr>
        <i/>
        <vertAlign val="subscript"/>
        <sz val="11"/>
        <color theme="1"/>
        <rFont val="Calibri"/>
        <family val="2"/>
        <scheme val="minor"/>
      </rPr>
      <t>f</t>
    </r>
    <r>
      <rPr>
        <i/>
        <sz val="11"/>
        <color theme="1"/>
        <rFont val="Calibri"/>
        <family val="2"/>
        <scheme val="minor"/>
      </rPr>
      <t>) &gt;= productGradeLimit</t>
    </r>
    <r>
      <rPr>
        <i/>
        <vertAlign val="subscript"/>
        <sz val="11"/>
        <color theme="1"/>
        <rFont val="Calibri"/>
        <family val="2"/>
        <scheme val="minor"/>
      </rPr>
      <t>p</t>
    </r>
    <r>
      <rPr>
        <i/>
        <sz val="11"/>
        <color theme="1"/>
        <rFont val="Calibri"/>
        <family val="2"/>
        <scheme val="minor"/>
      </rPr>
      <t xml:space="preserve"> * SUM</t>
    </r>
    <r>
      <rPr>
        <i/>
        <vertAlign val="subscript"/>
        <sz val="11"/>
        <color theme="1"/>
        <rFont val="Calibri"/>
        <family val="2"/>
        <scheme val="minor"/>
      </rPr>
      <t xml:space="preserve">f </t>
    </r>
    <r>
      <rPr>
        <i/>
        <sz val="11"/>
        <color theme="1"/>
        <rFont val="Calibri"/>
        <family val="2"/>
        <scheme val="minor"/>
      </rPr>
      <t>(produce</t>
    </r>
    <r>
      <rPr>
        <i/>
        <vertAlign val="subscript"/>
        <sz val="11"/>
        <color theme="1"/>
        <rFont val="Calibri"/>
        <family val="2"/>
        <scheme val="minor"/>
      </rPr>
      <t>f,p</t>
    </r>
    <r>
      <rPr>
        <i/>
        <sz val="11"/>
        <color theme="1"/>
        <rFont val="Calibri"/>
        <family val="2"/>
        <scheme val="minor"/>
      </rPr>
      <t>), for all p in PRODUCTS</t>
    </r>
  </si>
  <si>
    <t>gradeA</t>
  </si>
  <si>
    <t>raisins</t>
  </si>
  <si>
    <t>juice</t>
  </si>
  <si>
    <t>jelly</t>
  </si>
  <si>
    <t>gradeB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</si>
</sst>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[$$-409]* #,##0_);_([$$-409]* \(#,##0\);_([$$-409]* &quot;-&quot;??_);_(@_)"/>
    <numFmt numFmtId="166" formatCode="&quot;(&quot;0&quot;)&quot;"/>
    <numFmt numFmtId="167" formatCode="&quot;(&quot;0&quot;,0,∞)&quot;"/>
    <numFmt numFmtId="168" formatCode="0.0%"/>
    <numFmt numFmtId="169" formatCode="_(* #,##0.0_);_(* \(#,##0.0\);_(* &quot;-&quot;??_);_(@_)"/>
    <numFmt numFmtId="170" formatCode="_(* #,##0.0000_);_(* \(#,##0.0000\);_(* &quot;-&quot;??_);_(@_)"/>
  </numFmts>
  <fonts count="4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sz val="14"/>
      <color theme="1" tint="0.59999389629810485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9.8000000000000007"/>
      <color theme="1"/>
      <name val="Calibri"/>
      <family val="2"/>
    </font>
    <font>
      <sz val="14"/>
      <color theme="2" tint="-0.499984740745262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sz val="16"/>
      <color theme="3"/>
      <name val="Calibri"/>
      <family val="2"/>
      <scheme val="minor"/>
    </font>
    <font>
      <b/>
      <sz val="14"/>
      <color theme="1" tint="0.79998168889431442"/>
      <name val="Calibri"/>
      <family val="2"/>
      <scheme val="minor"/>
    </font>
    <font>
      <i/>
      <sz val="11"/>
      <color rgb="FF5F6672"/>
      <name val="Consolas"/>
      <family val="3"/>
    </font>
    <font>
      <sz val="14"/>
      <color theme="0" tint="-0.499984740745262"/>
      <name val="Calibri"/>
      <family val="2"/>
      <scheme val="minor"/>
    </font>
    <font>
      <sz val="14"/>
      <color theme="2"/>
      <name val="Calibri"/>
      <family val="2"/>
      <scheme val="minor"/>
    </font>
    <font>
      <sz val="8"/>
      <name val="Calibri"/>
      <family val="2"/>
      <scheme val="minor"/>
    </font>
    <font>
      <sz val="14"/>
      <color theme="5" tint="-0.499984740745262"/>
      <name val="Calibri"/>
      <family val="2"/>
      <scheme val="minor"/>
    </font>
    <font>
      <sz val="14"/>
      <color theme="6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sz val="14"/>
      <color theme="2" tint="-0.749992370372631"/>
      <name val="Calibri"/>
      <family val="2"/>
      <scheme val="minor"/>
    </font>
    <font>
      <i/>
      <sz val="14"/>
      <name val="Calibri"/>
      <family val="2"/>
      <scheme val="minor"/>
    </font>
    <font>
      <i/>
      <vertAlign val="subscript"/>
      <sz val="14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9.9978637043366805E-2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theme="1" tint="0.39994506668294322"/>
      </bottom>
      <diagonal/>
    </border>
    <border>
      <left/>
      <right/>
      <top/>
      <bottom style="thin">
        <color theme="4" tint="0.399914548173467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3743705557422"/>
      </bottom>
      <diagonal/>
    </border>
    <border>
      <left/>
      <right/>
      <top/>
      <bottom style="thin">
        <color theme="5" tint="-0.49998474074526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/>
      <bottom style="thin">
        <color theme="3" tint="0.59996337778862885"/>
      </bottom>
      <diagonal/>
    </border>
    <border>
      <left style="thin">
        <color theme="0" tint="-0.149906918546098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/>
      <right/>
      <top/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3743705557422"/>
      </left>
      <right/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0691854609822"/>
      </bottom>
      <diagonal/>
    </border>
    <border>
      <left/>
      <right style="thin">
        <color theme="0" tint="-0.14993743705557422"/>
      </right>
      <top style="thin">
        <color theme="4" tint="0.399914548173467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14548173467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4" tint="0.399914548173467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4" tint="0.39991454817346722"/>
      </top>
      <bottom style="thin">
        <color theme="0" tint="-0.1499069185460982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5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4" fillId="12" borderId="42" applyNumberFormat="0" applyAlignment="0" applyProtection="0"/>
    <xf numFmtId="0" fontId="35" fillId="13" borderId="43" applyNumberFormat="0" applyAlignment="0" applyProtection="0"/>
  </cellStyleXfs>
  <cellXfs count="2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" fillId="0" borderId="0" xfId="0" applyFont="1"/>
    <xf numFmtId="0" fontId="6" fillId="0" borderId="1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1" fillId="0" borderId="0" xfId="0" applyFont="1" applyAlignment="1">
      <alignment horizontal="centerContinuous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centerContinuous"/>
    </xf>
    <xf numFmtId="0" fontId="15" fillId="2" borderId="0" xfId="0" applyFont="1" applyFill="1" applyAlignment="1">
      <alignment horizontal="centerContinuous" wrapText="1"/>
    </xf>
    <xf numFmtId="0" fontId="16" fillId="3" borderId="2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5" fontId="1" fillId="0" borderId="7" xfId="0" applyNumberFormat="1" applyFont="1" applyBorder="1"/>
    <xf numFmtId="43" fontId="1" fillId="0" borderId="0" xfId="1" applyFont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3" xfId="0" applyFont="1" applyBorder="1" applyAlignment="1"/>
    <xf numFmtId="164" fontId="4" fillId="4" borderId="4" xfId="0" applyNumberFormat="1" applyFont="1" applyFill="1" applyBorder="1" applyAlignment="1">
      <alignment horizontal="center"/>
    </xf>
    <xf numFmtId="41" fontId="4" fillId="4" borderId="5" xfId="0" applyNumberFormat="1" applyFont="1" applyFill="1" applyBorder="1" applyAlignment="1">
      <alignment horizontal="center"/>
    </xf>
    <xf numFmtId="164" fontId="4" fillId="4" borderId="10" xfId="1" applyNumberFormat="1" applyFont="1" applyFill="1" applyBorder="1" applyAlignment="1">
      <alignment horizontal="center"/>
    </xf>
    <xf numFmtId="164" fontId="4" fillId="4" borderId="11" xfId="1" applyNumberFormat="1" applyFont="1" applyFill="1" applyBorder="1" applyAlignment="1">
      <alignment horizontal="center"/>
    </xf>
    <xf numFmtId="164" fontId="4" fillId="4" borderId="7" xfId="1" applyNumberFormat="1" applyFont="1" applyFill="1" applyBorder="1" applyAlignment="1">
      <alignment horizontal="center"/>
    </xf>
    <xf numFmtId="164" fontId="4" fillId="4" borderId="8" xfId="1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164" fontId="1" fillId="0" borderId="13" xfId="1" applyNumberFormat="1" applyFont="1" applyFill="1" applyBorder="1" applyAlignment="1">
      <alignment horizontal="center"/>
    </xf>
    <xf numFmtId="164" fontId="1" fillId="0" borderId="14" xfId="1" applyNumberFormat="1" applyFont="1" applyFill="1" applyBorder="1" applyAlignment="1">
      <alignment horizontal="center"/>
    </xf>
    <xf numFmtId="164" fontId="1" fillId="0" borderId="7" xfId="1" applyNumberFormat="1" applyFont="1" applyFill="1" applyBorder="1" applyAlignment="1">
      <alignment horizontal="center"/>
    </xf>
    <xf numFmtId="164" fontId="1" fillId="0" borderId="8" xfId="1" applyNumberFormat="1" applyFont="1" applyFill="1" applyBorder="1" applyAlignment="1">
      <alignment horizontal="center"/>
    </xf>
    <xf numFmtId="0" fontId="15" fillId="6" borderId="0" xfId="0" applyFont="1" applyFill="1" applyAlignment="1">
      <alignment horizontal="centerContinuous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6" fillId="5" borderId="15" xfId="0" applyFont="1" applyFill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1" fillId="0" borderId="13" xfId="0" applyNumberFormat="1" applyFont="1" applyBorder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0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5" fontId="1" fillId="0" borderId="8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Continuous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6" fillId="0" borderId="0" xfId="0" applyFont="1" applyBorder="1" applyAlignment="1"/>
    <xf numFmtId="0" fontId="1" fillId="0" borderId="0" xfId="0" applyFont="1" applyAlignment="1">
      <alignment wrapText="1"/>
    </xf>
    <xf numFmtId="0" fontId="21" fillId="7" borderId="2" xfId="0" applyFont="1" applyFill="1" applyBorder="1" applyAlignment="1">
      <alignment horizontal="center" wrapText="1"/>
    </xf>
    <xf numFmtId="43" fontId="1" fillId="0" borderId="0" xfId="1" applyFont="1" applyAlignment="1">
      <alignment horizontal="center" wrapText="1"/>
    </xf>
    <xf numFmtId="41" fontId="1" fillId="0" borderId="0" xfId="0" applyNumberFormat="1" applyFont="1" applyAlignment="1">
      <alignment horizontal="center"/>
    </xf>
    <xf numFmtId="0" fontId="22" fillId="0" borderId="0" xfId="0" applyFont="1" applyAlignment="1">
      <alignment vertical="center"/>
    </xf>
    <xf numFmtId="0" fontId="6" fillId="0" borderId="0" xfId="0" applyFont="1" applyBorder="1" applyAlignment="1">
      <alignment horizontal="left"/>
    </xf>
    <xf numFmtId="0" fontId="15" fillId="8" borderId="0" xfId="0" applyFont="1" applyFill="1" applyAlignment="1">
      <alignment horizontal="centerContinuous" wrapText="1"/>
    </xf>
    <xf numFmtId="0" fontId="16" fillId="9" borderId="16" xfId="0" applyFont="1" applyFill="1" applyBorder="1" applyAlignment="1">
      <alignment horizontal="center"/>
    </xf>
    <xf numFmtId="0" fontId="15" fillId="7" borderId="0" xfId="0" applyFont="1" applyFill="1" applyAlignment="1">
      <alignment horizontal="centerContinuous" wrapText="1"/>
    </xf>
    <xf numFmtId="165" fontId="1" fillId="0" borderId="13" xfId="0" applyNumberFormat="1" applyFont="1" applyBorder="1"/>
    <xf numFmtId="164" fontId="4" fillId="4" borderId="13" xfId="0" applyNumberFormat="1" applyFont="1" applyFill="1" applyBorder="1" applyAlignment="1">
      <alignment horizontal="center"/>
    </xf>
    <xf numFmtId="41" fontId="4" fillId="4" borderId="14" xfId="0" applyNumberFormat="1" applyFont="1" applyFill="1" applyBorder="1" applyAlignment="1">
      <alignment horizontal="center"/>
    </xf>
    <xf numFmtId="0" fontId="1" fillId="0" borderId="18" xfId="0" applyFont="1" applyBorder="1" applyAlignment="1"/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6" fillId="10" borderId="17" xfId="0" applyFont="1" applyFill="1" applyBorder="1" applyAlignment="1">
      <alignment horizontal="center" wrapText="1"/>
    </xf>
    <xf numFmtId="0" fontId="16" fillId="10" borderId="17" xfId="0" applyFont="1" applyFill="1" applyBorder="1" applyAlignment="1">
      <alignment horizontal="center"/>
    </xf>
    <xf numFmtId="0" fontId="16" fillId="3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0" fillId="0" borderId="0" xfId="0" applyBorder="1"/>
    <xf numFmtId="0" fontId="0" fillId="0" borderId="27" xfId="0" applyBorder="1"/>
    <xf numFmtId="0" fontId="0" fillId="0" borderId="28" xfId="0" applyBorder="1"/>
    <xf numFmtId="0" fontId="0" fillId="4" borderId="24" xfId="0" applyFill="1" applyBorder="1"/>
    <xf numFmtId="0" fontId="0" fillId="4" borderId="26" xfId="0" applyFill="1" applyBorder="1"/>
    <xf numFmtId="0" fontId="0" fillId="4" borderId="29" xfId="0" applyFill="1" applyBorder="1"/>
    <xf numFmtId="0" fontId="0" fillId="4" borderId="0" xfId="0" applyFill="1" applyBorder="1"/>
    <xf numFmtId="0" fontId="0" fillId="11" borderId="0" xfId="0" applyFill="1"/>
    <xf numFmtId="0" fontId="18" fillId="11" borderId="30" xfId="0" applyFont="1" applyFill="1" applyBorder="1" applyAlignment="1">
      <alignment horizontal="centerContinuous" vertical="center"/>
    </xf>
    <xf numFmtId="0" fontId="1" fillId="11" borderId="30" xfId="0" applyFont="1" applyFill="1" applyBorder="1" applyAlignment="1">
      <alignment horizontal="centerContinuous" vertical="center"/>
    </xf>
    <xf numFmtId="0" fontId="1" fillId="11" borderId="31" xfId="0" applyFont="1" applyFill="1" applyBorder="1" applyAlignment="1">
      <alignment horizontal="centerContinuous" vertical="center"/>
    </xf>
    <xf numFmtId="0" fontId="18" fillId="11" borderId="32" xfId="0" applyFont="1" applyFill="1" applyBorder="1" applyAlignment="1">
      <alignment horizontal="centerContinuous" vertical="center"/>
    </xf>
    <xf numFmtId="0" fontId="1" fillId="11" borderId="32" xfId="0" applyFont="1" applyFill="1" applyBorder="1" applyAlignment="1">
      <alignment horizontal="centerContinuous" vertical="center"/>
    </xf>
    <xf numFmtId="0" fontId="1" fillId="11" borderId="33" xfId="0" applyFont="1" applyFill="1" applyBorder="1" applyAlignment="1">
      <alignment horizontal="centerContinuous" vertical="center"/>
    </xf>
    <xf numFmtId="0" fontId="23" fillId="0" borderId="0" xfId="0" quotePrefix="1" applyFont="1" applyAlignment="1"/>
    <xf numFmtId="0" fontId="24" fillId="0" borderId="0" xfId="0" applyFont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7" fontId="12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left"/>
    </xf>
    <xf numFmtId="167" fontId="1" fillId="0" borderId="0" xfId="0" applyNumberFormat="1" applyFont="1"/>
    <xf numFmtId="167" fontId="1" fillId="0" borderId="0" xfId="0" applyNumberFormat="1" applyFont="1" applyAlignment="1">
      <alignment horizontal="centerContinuous"/>
    </xf>
    <xf numFmtId="167" fontId="27" fillId="0" borderId="0" xfId="0" applyNumberFormat="1" applyFont="1" applyAlignment="1">
      <alignment horizontal="left"/>
    </xf>
    <xf numFmtId="167" fontId="27" fillId="0" borderId="0" xfId="0" applyNumberFormat="1" applyFont="1" applyAlignment="1">
      <alignment horizontal="centerContinuous"/>
    </xf>
    <xf numFmtId="0" fontId="26" fillId="0" borderId="0" xfId="0" applyFont="1"/>
    <xf numFmtId="0" fontId="27" fillId="0" borderId="0" xfId="0" applyFont="1"/>
    <xf numFmtId="0" fontId="27" fillId="0" borderId="0" xfId="0" applyFont="1" applyAlignment="1">
      <alignment horizontal="centerContinuous"/>
    </xf>
    <xf numFmtId="0" fontId="28" fillId="0" borderId="0" xfId="0" applyFont="1"/>
    <xf numFmtId="0" fontId="1" fillId="0" borderId="0" xfId="0" applyNumberFormat="1" applyFont="1" applyAlignment="1">
      <alignment horizontal="right"/>
    </xf>
    <xf numFmtId="0" fontId="29" fillId="0" borderId="0" xfId="0" applyFont="1" applyAlignment="1">
      <alignment horizontal="centerContinuous"/>
    </xf>
    <xf numFmtId="0" fontId="29" fillId="0" borderId="0" xfId="0" applyFont="1" applyAlignment="1">
      <alignment horizontal="left"/>
    </xf>
    <xf numFmtId="0" fontId="29" fillId="0" borderId="0" xfId="0" applyNumberFormat="1" applyFont="1" applyAlignment="1">
      <alignment horizontal="centerContinuous"/>
    </xf>
    <xf numFmtId="0" fontId="30" fillId="0" borderId="0" xfId="0" applyNumberFormat="1" applyFont="1" applyAlignment="1">
      <alignment horizontal="right"/>
    </xf>
    <xf numFmtId="0" fontId="16" fillId="3" borderId="0" xfId="0" applyFont="1" applyFill="1" applyBorder="1" applyAlignment="1">
      <alignment horizontal="center" wrapText="1"/>
    </xf>
    <xf numFmtId="166" fontId="16" fillId="3" borderId="0" xfId="0" applyNumberFormat="1" applyFont="1" applyFill="1" applyBorder="1" applyAlignment="1">
      <alignment horizontal="center" wrapText="1"/>
    </xf>
    <xf numFmtId="0" fontId="1" fillId="0" borderId="3" xfId="0" applyFont="1" applyBorder="1"/>
    <xf numFmtId="0" fontId="1" fillId="0" borderId="5" xfId="0" applyNumberFormat="1" applyFont="1" applyBorder="1" applyAlignment="1">
      <alignment horizontal="right"/>
    </xf>
    <xf numFmtId="0" fontId="1" fillId="0" borderId="9" xfId="0" applyFont="1" applyBorder="1"/>
    <xf numFmtId="0" fontId="1" fillId="0" borderId="11" xfId="0" applyNumberFormat="1" applyFont="1" applyBorder="1" applyAlignment="1">
      <alignment horizontal="right"/>
    </xf>
    <xf numFmtId="0" fontId="1" fillId="0" borderId="6" xfId="0" applyFont="1" applyBorder="1"/>
    <xf numFmtId="0" fontId="1" fillId="0" borderId="8" xfId="0" applyNumberFormat="1" applyFont="1" applyBorder="1" applyAlignment="1">
      <alignment horizontal="right"/>
    </xf>
    <xf numFmtId="0" fontId="1" fillId="0" borderId="34" xfId="0" applyNumberFormat="1" applyFont="1" applyBorder="1" applyAlignment="1">
      <alignment horizontal="right"/>
    </xf>
    <xf numFmtId="0" fontId="1" fillId="0" borderId="35" xfId="0" applyNumberFormat="1" applyFont="1" applyBorder="1" applyAlignment="1">
      <alignment horizontal="right"/>
    </xf>
    <xf numFmtId="0" fontId="1" fillId="0" borderId="36" xfId="0" applyNumberFormat="1" applyFont="1" applyBorder="1" applyAlignment="1">
      <alignment horizontal="right"/>
    </xf>
    <xf numFmtId="0" fontId="1" fillId="0" borderId="37" xfId="0" applyFont="1" applyFill="1" applyBorder="1"/>
    <xf numFmtId="0" fontId="1" fillId="0" borderId="38" xfId="0" applyFont="1" applyFill="1" applyBorder="1"/>
    <xf numFmtId="0" fontId="1" fillId="0" borderId="39" xfId="0" applyFont="1" applyFill="1" applyBorder="1"/>
    <xf numFmtId="0" fontId="33" fillId="0" borderId="1" xfId="0" applyFont="1" applyBorder="1" applyAlignment="1">
      <alignment horizontal="centerContinuous"/>
    </xf>
    <xf numFmtId="0" fontId="33" fillId="0" borderId="0" xfId="0" applyFont="1"/>
    <xf numFmtId="0" fontId="18" fillId="11" borderId="40" xfId="0" applyFont="1" applyFill="1" applyBorder="1" applyAlignment="1">
      <alignment horizontal="centerContinuous" vertical="center"/>
    </xf>
    <xf numFmtId="0" fontId="18" fillId="11" borderId="41" xfId="0" applyFont="1" applyFill="1" applyBorder="1" applyAlignment="1">
      <alignment horizontal="centerContinuous" vertical="center"/>
    </xf>
    <xf numFmtId="164" fontId="0" fillId="0" borderId="0" xfId="0" applyNumberFormat="1"/>
    <xf numFmtId="0" fontId="36" fillId="3" borderId="44" xfId="0" applyFont="1" applyFill="1" applyBorder="1" applyAlignment="1"/>
    <xf numFmtId="0" fontId="36" fillId="3" borderId="2" xfId="0" applyFont="1" applyFill="1" applyBorder="1" applyAlignment="1">
      <alignment horizontal="center" wrapText="1"/>
    </xf>
    <xf numFmtId="41" fontId="0" fillId="0" borderId="0" xfId="0" applyNumberFormat="1"/>
    <xf numFmtId="9" fontId="0" fillId="0" borderId="0" xfId="2" applyFont="1"/>
    <xf numFmtId="41" fontId="36" fillId="3" borderId="44" xfId="0" applyNumberFormat="1" applyFont="1" applyFill="1" applyBorder="1" applyAlignment="1"/>
    <xf numFmtId="9" fontId="0" fillId="0" borderId="0" xfId="0" applyNumberFormat="1"/>
    <xf numFmtId="9" fontId="36" fillId="3" borderId="44" xfId="2" applyFont="1" applyFill="1" applyBorder="1" applyAlignment="1"/>
    <xf numFmtId="0" fontId="36" fillId="3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168" fontId="0" fillId="0" borderId="0" xfId="2" applyNumberFormat="1" applyFont="1"/>
    <xf numFmtId="41" fontId="34" fillId="12" borderId="42" xfId="3" applyNumberFormat="1" applyAlignment="1"/>
    <xf numFmtId="0" fontId="0" fillId="0" borderId="32" xfId="0" applyBorder="1"/>
    <xf numFmtId="164" fontId="35" fillId="13" borderId="43" xfId="4" applyNumberFormat="1"/>
    <xf numFmtId="0" fontId="28" fillId="0" borderId="32" xfId="0" applyFont="1" applyBorder="1"/>
    <xf numFmtId="0" fontId="28" fillId="0" borderId="32" xfId="0" applyFont="1" applyBorder="1" applyAlignment="1">
      <alignment horizontal="centerContinuous"/>
    </xf>
    <xf numFmtId="164" fontId="0" fillId="11" borderId="0" xfId="0" applyNumberFormat="1" applyFill="1"/>
    <xf numFmtId="0" fontId="37" fillId="0" borderId="0" xfId="0" applyFont="1"/>
    <xf numFmtId="41" fontId="0" fillId="0" borderId="46" xfId="0" applyNumberFormat="1" applyBorder="1" applyAlignment="1"/>
    <xf numFmtId="41" fontId="0" fillId="0" borderId="47" xfId="0" applyNumberFormat="1" applyBorder="1" applyAlignment="1"/>
    <xf numFmtId="10" fontId="0" fillId="0" borderId="45" xfId="2" applyNumberFormat="1" applyFont="1" applyBorder="1" applyAlignment="1"/>
    <xf numFmtId="0" fontId="0" fillId="0" borderId="48" xfId="0" applyBorder="1"/>
    <xf numFmtId="169" fontId="0" fillId="0" borderId="49" xfId="1" applyNumberFormat="1" applyFont="1" applyBorder="1"/>
    <xf numFmtId="169" fontId="0" fillId="0" borderId="50" xfId="1" applyNumberFormat="1" applyFont="1" applyBorder="1"/>
    <xf numFmtId="0" fontId="0" fillId="0" borderId="3" xfId="0" applyBorder="1"/>
    <xf numFmtId="164" fontId="0" fillId="0" borderId="5" xfId="0" applyNumberFormat="1" applyBorder="1"/>
    <xf numFmtId="0" fontId="0" fillId="0" borderId="6" xfId="0" applyBorder="1"/>
    <xf numFmtId="164" fontId="0" fillId="0" borderId="8" xfId="0" applyNumberFormat="1" applyBorder="1"/>
    <xf numFmtId="0" fontId="38" fillId="0" borderId="0" xfId="0" applyFont="1" applyFill="1" applyBorder="1" applyAlignment="1"/>
    <xf numFmtId="0" fontId="0" fillId="0" borderId="0" xfId="0" applyAlignment="1">
      <alignment horizontal="centerContinuous"/>
    </xf>
    <xf numFmtId="0" fontId="0" fillId="0" borderId="32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0" xfId="0" applyNumberFormat="1"/>
    <xf numFmtId="43" fontId="0" fillId="0" borderId="0" xfId="1" applyFont="1"/>
    <xf numFmtId="0" fontId="36" fillId="14" borderId="2" xfId="0" applyFont="1" applyFill="1" applyBorder="1" applyAlignment="1">
      <alignment horizontal="center" wrapText="1"/>
    </xf>
    <xf numFmtId="41" fontId="36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4" fillId="12" borderId="42" xfId="3"/>
    <xf numFmtId="41" fontId="34" fillId="12" borderId="42" xfId="3" applyNumberFormat="1"/>
    <xf numFmtId="43" fontId="0" fillId="0" borderId="0" xfId="0" applyNumberFormat="1"/>
    <xf numFmtId="41" fontId="36" fillId="3" borderId="0" xfId="0" applyNumberFormat="1" applyFont="1" applyFill="1" applyBorder="1" applyAlignment="1"/>
    <xf numFmtId="41" fontId="34" fillId="11" borderId="42" xfId="3" applyNumberFormat="1" applyFill="1"/>
    <xf numFmtId="41" fontId="35" fillId="13" borderId="43" xfId="4" applyNumberFormat="1"/>
    <xf numFmtId="41" fontId="0" fillId="0" borderId="0" xfId="0" applyNumberFormat="1" applyAlignment="1">
      <alignment horizontal="center"/>
    </xf>
    <xf numFmtId="0" fontId="34" fillId="12" borderId="42" xfId="3" applyNumberFormat="1" applyAlignment="1">
      <alignment horizontal="center"/>
    </xf>
    <xf numFmtId="0" fontId="28" fillId="15" borderId="0" xfId="0" applyFont="1" applyFill="1" applyAlignment="1">
      <alignment horizontal="center"/>
    </xf>
    <xf numFmtId="9" fontId="0" fillId="0" borderId="51" xfId="2" applyFont="1" applyBorder="1"/>
    <xf numFmtId="43" fontId="0" fillId="0" borderId="11" xfId="1" applyFont="1" applyBorder="1"/>
    <xf numFmtId="43" fontId="0" fillId="0" borderId="52" xfId="1" applyFont="1" applyBorder="1"/>
    <xf numFmtId="164" fontId="36" fillId="3" borderId="44" xfId="1" applyNumberFormat="1" applyFont="1" applyFill="1" applyBorder="1" applyAlignment="1"/>
    <xf numFmtId="0" fontId="36" fillId="4" borderId="0" xfId="0" applyFont="1" applyFill="1" applyBorder="1" applyAlignment="1">
      <alignment horizontal="center" wrapText="1"/>
    </xf>
    <xf numFmtId="0" fontId="36" fillId="4" borderId="2" xfId="0" applyFont="1" applyFill="1" applyBorder="1" applyAlignment="1">
      <alignment horizontal="center" wrapText="1"/>
    </xf>
    <xf numFmtId="43" fontId="0" fillId="0" borderId="14" xfId="1" applyFont="1" applyBorder="1"/>
    <xf numFmtId="0" fontId="39" fillId="8" borderId="44" xfId="0" applyFont="1" applyFill="1" applyBorder="1" applyAlignment="1">
      <alignment horizontal="centerContinuous" wrapText="1"/>
    </xf>
    <xf numFmtId="0" fontId="39" fillId="2" borderId="0" xfId="0" applyFont="1" applyFill="1" applyBorder="1" applyAlignment="1">
      <alignment horizontal="centerContinuous" wrapText="1"/>
    </xf>
    <xf numFmtId="0" fontId="39" fillId="2" borderId="0" xfId="0" applyFont="1" applyFill="1" applyAlignment="1">
      <alignment horizontal="centerContinuous" wrapText="1"/>
    </xf>
    <xf numFmtId="0" fontId="40" fillId="0" borderId="0" xfId="0" applyFont="1" applyAlignment="1">
      <alignment horizontal="right"/>
    </xf>
    <xf numFmtId="0" fontId="40" fillId="0" borderId="0" xfId="0" applyFont="1"/>
    <xf numFmtId="43" fontId="0" fillId="0" borderId="53" xfId="1" applyFont="1" applyBorder="1"/>
    <xf numFmtId="43" fontId="0" fillId="0" borderId="38" xfId="1" applyFont="1" applyBorder="1"/>
    <xf numFmtId="43" fontId="0" fillId="0" borderId="39" xfId="1" applyFont="1" applyBorder="1"/>
    <xf numFmtId="0" fontId="36" fillId="3" borderId="0" xfId="0" applyFont="1" applyFill="1" applyBorder="1" applyAlignment="1"/>
    <xf numFmtId="0" fontId="0" fillId="0" borderId="46" xfId="0" applyBorder="1"/>
    <xf numFmtId="0" fontId="0" fillId="0" borderId="54" xfId="0" applyBorder="1"/>
    <xf numFmtId="0" fontId="0" fillId="0" borderId="47" xfId="0" applyBorder="1" applyAlignment="1">
      <alignment wrapText="1"/>
    </xf>
    <xf numFmtId="170" fontId="0" fillId="9" borderId="51" xfId="1" applyNumberFormat="1" applyFont="1" applyFill="1" applyBorder="1"/>
    <xf numFmtId="169" fontId="0" fillId="0" borderId="13" xfId="1" applyNumberFormat="1" applyFont="1" applyBorder="1"/>
    <xf numFmtId="169" fontId="0" fillId="0" borderId="10" xfId="1" applyNumberFormat="1" applyFont="1" applyBorder="1"/>
    <xf numFmtId="169" fontId="0" fillId="0" borderId="7" xfId="1" applyNumberFormat="1" applyFont="1" applyBorder="1"/>
  </cellXfs>
  <cellStyles count="5">
    <cellStyle name="Comma" xfId="1" builtinId="3"/>
    <cellStyle name="Input" xfId="3" builtinId="20"/>
    <cellStyle name="Normal" xfId="0" builtinId="0"/>
    <cellStyle name="Output" xfId="4" builtinId="2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310402</xdr:colOff>
      <xdr:row>8</xdr:row>
      <xdr:rowOff>98051</xdr:rowOff>
    </xdr:from>
    <xdr:to>
      <xdr:col>5</xdr:col>
      <xdr:colOff>381386</xdr:colOff>
      <xdr:row>24</xdr:row>
      <xdr:rowOff>15105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8F888FAE-3B8D-4718-A102-55E95CA6B8D6}"/>
            </a:ext>
          </a:extLst>
        </xdr:cNvPr>
        <xdr:cNvGrpSpPr/>
      </xdr:nvGrpSpPr>
      <xdr:grpSpPr>
        <a:xfrm>
          <a:off x="2125755" y="2854698"/>
          <a:ext cx="1281219" cy="3682231"/>
          <a:chOff x="3321050" y="1548093"/>
          <a:chExt cx="1281219" cy="3682230"/>
        </a:xfrm>
      </xdr:grpSpPr>
      <xdr:sp macro="" textlink="">
        <xdr:nvSpPr>
          <xdr:cNvPr id="71" name="Oval 70">
            <a:extLst>
              <a:ext uri="{FF2B5EF4-FFF2-40B4-BE49-F238E27FC236}">
                <a16:creationId xmlns:a16="http://schemas.microsoft.com/office/drawing/2014/main" id="{EBCB9279-2C4B-4EAC-936A-2F311F998D72}"/>
              </a:ext>
            </a:extLst>
          </xdr:cNvPr>
          <xdr:cNvSpPr>
            <a:spLocks/>
          </xdr:cNvSpPr>
        </xdr:nvSpPr>
        <xdr:spPr>
          <a:xfrm>
            <a:off x="3321050" y="1548093"/>
            <a:ext cx="1270013" cy="1288654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Purchase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p1</a:t>
            </a:r>
          </a:p>
        </xdr:txBody>
      </xdr:sp>
      <xdr:sp macro="" textlink="">
        <xdr:nvSpPr>
          <xdr:cNvPr id="74" name="Oval 73">
            <a:extLst>
              <a:ext uri="{FF2B5EF4-FFF2-40B4-BE49-F238E27FC236}">
                <a16:creationId xmlns:a16="http://schemas.microsoft.com/office/drawing/2014/main" id="{0527E548-4D1E-4B99-A909-4CA4B0BE8242}"/>
              </a:ext>
            </a:extLst>
          </xdr:cNvPr>
          <xdr:cNvSpPr>
            <a:spLocks/>
          </xdr:cNvSpPr>
        </xdr:nvSpPr>
        <xdr:spPr>
          <a:xfrm>
            <a:off x="3332256" y="3941669"/>
            <a:ext cx="1270013" cy="1288654"/>
          </a:xfrm>
          <a:prstGeom prst="ellipse">
            <a:avLst/>
          </a:prstGeom>
          <a:ln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300">
                <a:solidFill>
                  <a:schemeClr val="tx1"/>
                </a:solidFill>
              </a:rPr>
              <a:t>Demand</a:t>
            </a:r>
          </a:p>
          <a:p>
            <a:pPr algn="ctr"/>
            <a:r>
              <a:rPr lang="en-US" sz="1300">
                <a:solidFill>
                  <a:schemeClr val="tx1"/>
                </a:solidFill>
              </a:rPr>
              <a:t>d1</a:t>
            </a:r>
          </a:p>
        </xdr:txBody>
      </xdr:sp>
    </xdr:grpSp>
    <xdr:clientData/>
  </xdr:twoCellAnchor>
  <xdr:twoCellAnchor>
    <xdr:from>
      <xdr:col>4</xdr:col>
      <xdr:colOff>340292</xdr:colOff>
      <xdr:row>13</xdr:row>
      <xdr:rowOff>210087</xdr:rowOff>
    </xdr:from>
    <xdr:to>
      <xdr:col>4</xdr:col>
      <xdr:colOff>351498</xdr:colOff>
      <xdr:row>18</xdr:row>
      <xdr:rowOff>138392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68528D74-4829-4888-8A8A-73AE571BC295}"/>
            </a:ext>
          </a:extLst>
        </xdr:cNvPr>
        <xdr:cNvCxnSpPr>
          <a:stCxn id="71" idx="4"/>
          <a:endCxn id="74" idx="0"/>
        </xdr:cNvCxnSpPr>
      </xdr:nvCxnSpPr>
      <xdr:spPr>
        <a:xfrm>
          <a:off x="3365880" y="3538234"/>
          <a:ext cx="11206" cy="11049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172196</xdr:colOff>
      <xdr:row>8</xdr:row>
      <xdr:rowOff>98051</xdr:rowOff>
    </xdr:from>
    <xdr:to>
      <xdr:col>12</xdr:col>
      <xdr:colOff>227116</xdr:colOff>
      <xdr:row>23</xdr:row>
      <xdr:rowOff>228018</xdr:rowOff>
    </xdr:to>
    <xdr:grpSp>
      <xdr:nvGrpSpPr>
        <xdr:cNvPr id="98" name="Group 97">
          <a:extLst>
            <a:ext uri="{FF2B5EF4-FFF2-40B4-BE49-F238E27FC236}">
              <a16:creationId xmlns:a16="http://schemas.microsoft.com/office/drawing/2014/main" id="{04CF009F-5878-4767-82B9-0BD9620D7D7A}"/>
            </a:ext>
          </a:extLst>
        </xdr:cNvPr>
        <xdr:cNvGrpSpPr/>
      </xdr:nvGrpSpPr>
      <xdr:grpSpPr>
        <a:xfrm>
          <a:off x="5013137" y="2854698"/>
          <a:ext cx="2475391" cy="3659820"/>
          <a:chOff x="5013137" y="1543610"/>
          <a:chExt cx="2475391" cy="3659820"/>
        </a:xfrm>
      </xdr:grpSpPr>
      <xdr:grpSp>
        <xdr:nvGrpSpPr>
          <xdr:cNvPr id="59" name="Group 58">
            <a:extLst>
              <a:ext uri="{FF2B5EF4-FFF2-40B4-BE49-F238E27FC236}">
                <a16:creationId xmlns:a16="http://schemas.microsoft.com/office/drawing/2014/main" id="{B757C4EC-D770-46E9-9B6E-37209AE5237D}"/>
              </a:ext>
            </a:extLst>
          </xdr:cNvPr>
          <xdr:cNvGrpSpPr/>
        </xdr:nvGrpSpPr>
        <xdr:grpSpPr>
          <a:xfrm>
            <a:off x="5013137" y="1543610"/>
            <a:ext cx="2475391" cy="3659820"/>
            <a:chOff x="3164167" y="4293533"/>
            <a:chExt cx="2475393" cy="3659820"/>
          </a:xfrm>
        </xdr:grpSpPr>
        <xdr:sp macro="" textlink="">
          <xdr:nvSpPr>
            <xdr:cNvPr id="39" name="Oval 38">
              <a:extLst>
                <a:ext uri="{FF2B5EF4-FFF2-40B4-BE49-F238E27FC236}">
                  <a16:creationId xmlns:a16="http://schemas.microsoft.com/office/drawing/2014/main" id="{2F0C16C3-21A7-48C8-8464-6A3B49EE288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p2</a:t>
              </a:r>
            </a:p>
          </xdr:txBody>
        </xdr:sp>
        <xdr:sp macro="" textlink="">
          <xdr:nvSpPr>
            <xdr:cNvPr id="40" name="Oval 39">
              <a:extLst>
                <a:ext uri="{FF2B5EF4-FFF2-40B4-BE49-F238E27FC236}">
                  <a16:creationId xmlns:a16="http://schemas.microsoft.com/office/drawing/2014/main" id="{24006DA4-73EF-461D-A47F-2473FF0BD169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q2</a:t>
              </a:r>
            </a:p>
          </xdr:txBody>
        </xdr:sp>
        <xdr:sp macro="" textlink="">
          <xdr:nvSpPr>
            <xdr:cNvPr id="58" name="Oval 57">
              <a:extLst>
                <a:ext uri="{FF2B5EF4-FFF2-40B4-BE49-F238E27FC236}">
                  <a16:creationId xmlns:a16="http://schemas.microsoft.com/office/drawing/2014/main" id="{12C2F2CC-2F48-483B-AD89-2C2DA67F2331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d2</a:t>
              </a:r>
            </a:p>
          </xdr:txBody>
        </xdr:sp>
      </xdr:grpSp>
      <xdr:cxnSp macro="">
        <xdr:nvCxnSpPr>
          <xdr:cNvPr id="85" name="Straight Arrow Connector 84">
            <a:extLst>
              <a:ext uri="{FF2B5EF4-FFF2-40B4-BE49-F238E27FC236}">
                <a16:creationId xmlns:a16="http://schemas.microsoft.com/office/drawing/2014/main" id="{83E551A6-58C8-447C-8EA9-387C15112471}"/>
              </a:ext>
            </a:extLst>
          </xdr:cNvPr>
          <xdr:cNvCxnSpPr>
            <a:stCxn id="39" idx="4"/>
            <a:endCxn id="58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8" name="Straight Arrow Connector 87">
            <a:extLst>
              <a:ext uri="{FF2B5EF4-FFF2-40B4-BE49-F238E27FC236}">
                <a16:creationId xmlns:a16="http://schemas.microsoft.com/office/drawing/2014/main" id="{DF352F27-5D97-42FA-AF6C-090CC7209B46}"/>
              </a:ext>
            </a:extLst>
          </xdr:cNvPr>
          <xdr:cNvCxnSpPr>
            <a:stCxn id="40" idx="3"/>
            <a:endCxn id="58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430306</xdr:colOff>
      <xdr:row>8</xdr:row>
      <xdr:rowOff>98051</xdr:rowOff>
    </xdr:from>
    <xdr:to>
      <xdr:col>20</xdr:col>
      <xdr:colOff>480369</xdr:colOff>
      <xdr:row>23</xdr:row>
      <xdr:rowOff>228018</xdr:rowOff>
    </xdr:to>
    <xdr:grpSp>
      <xdr:nvGrpSpPr>
        <xdr:cNvPr id="99" name="Group 98">
          <a:extLst>
            <a:ext uri="{FF2B5EF4-FFF2-40B4-BE49-F238E27FC236}">
              <a16:creationId xmlns:a16="http://schemas.microsoft.com/office/drawing/2014/main" id="{5FF12EF9-4C34-49E4-962A-2F22091A5D06}"/>
            </a:ext>
          </a:extLst>
        </xdr:cNvPr>
        <xdr:cNvGrpSpPr/>
      </xdr:nvGrpSpPr>
      <xdr:grpSpPr>
        <a:xfrm>
          <a:off x="8901953" y="2854698"/>
          <a:ext cx="3680769" cy="3659820"/>
          <a:chOff x="3807759" y="1543610"/>
          <a:chExt cx="3680769" cy="3659820"/>
        </a:xfrm>
      </xdr:grpSpPr>
      <xdr:grpSp>
        <xdr:nvGrpSpPr>
          <xdr:cNvPr id="100" name="Group 99">
            <a:extLst>
              <a:ext uri="{FF2B5EF4-FFF2-40B4-BE49-F238E27FC236}">
                <a16:creationId xmlns:a16="http://schemas.microsoft.com/office/drawing/2014/main" id="{E03B23B4-CEFE-48BD-84D6-F2C3FFA72A24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04" name="Oval 103">
              <a:extLst>
                <a:ext uri="{FF2B5EF4-FFF2-40B4-BE49-F238E27FC236}">
                  <a16:creationId xmlns:a16="http://schemas.microsoft.com/office/drawing/2014/main" id="{4F4F4DD8-1F7D-4E61-8286-119281E4A145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p3</a:t>
              </a:r>
            </a:p>
          </xdr:txBody>
        </xdr:sp>
        <xdr:sp macro="" textlink="">
          <xdr:nvSpPr>
            <xdr:cNvPr id="105" name="Oval 104">
              <a:extLst>
                <a:ext uri="{FF2B5EF4-FFF2-40B4-BE49-F238E27FC236}">
                  <a16:creationId xmlns:a16="http://schemas.microsoft.com/office/drawing/2014/main" id="{1A0C3B06-6F7F-4CFE-B956-E166DDB59B8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q3</a:t>
              </a:r>
            </a:p>
          </xdr:txBody>
        </xdr:sp>
        <xdr:sp macro="" textlink="">
          <xdr:nvSpPr>
            <xdr:cNvPr id="106" name="Oval 105">
              <a:extLst>
                <a:ext uri="{FF2B5EF4-FFF2-40B4-BE49-F238E27FC236}">
                  <a16:creationId xmlns:a16="http://schemas.microsoft.com/office/drawing/2014/main" id="{6893BE2E-80DA-4C03-BD1A-A8045DA50C0B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n3</a:t>
              </a:r>
            </a:p>
          </xdr:txBody>
        </xdr:sp>
        <xdr:sp macro="" textlink="">
          <xdr:nvSpPr>
            <xdr:cNvPr id="107" name="Oval 106">
              <a:extLst>
                <a:ext uri="{FF2B5EF4-FFF2-40B4-BE49-F238E27FC236}">
                  <a16:creationId xmlns:a16="http://schemas.microsoft.com/office/drawing/2014/main" id="{96DD4EB9-BB36-4A99-B421-8565B7E3F320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d3</a:t>
              </a:r>
            </a:p>
          </xdr:txBody>
        </xdr:sp>
      </xdr:grpSp>
      <xdr:cxnSp macro="">
        <xdr:nvCxnSpPr>
          <xdr:cNvPr id="101" name="Straight Arrow Connector 100">
            <a:extLst>
              <a:ext uri="{FF2B5EF4-FFF2-40B4-BE49-F238E27FC236}">
                <a16:creationId xmlns:a16="http://schemas.microsoft.com/office/drawing/2014/main" id="{FD5DD8EC-6D68-458C-B1D5-1C00742680AC}"/>
              </a:ext>
            </a:extLst>
          </xdr:cNvPr>
          <xdr:cNvCxnSpPr>
            <a:stCxn id="106" idx="5"/>
            <a:endCxn id="107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685A9C26-0F1F-45D8-BBBF-EF96760EBA73}"/>
              </a:ext>
            </a:extLst>
          </xdr:cNvPr>
          <xdr:cNvCxnSpPr>
            <a:stCxn id="104" idx="4"/>
            <a:endCxn id="107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03" name="Straight Arrow Connector 102">
            <a:extLst>
              <a:ext uri="{FF2B5EF4-FFF2-40B4-BE49-F238E27FC236}">
                <a16:creationId xmlns:a16="http://schemas.microsoft.com/office/drawing/2014/main" id="{259A64D1-4680-451E-BA4F-91355294B12F}"/>
              </a:ext>
            </a:extLst>
          </xdr:cNvPr>
          <xdr:cNvCxnSpPr>
            <a:stCxn id="105" idx="3"/>
            <a:endCxn id="107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340291</xdr:colOff>
      <xdr:row>8</xdr:row>
      <xdr:rowOff>98051</xdr:rowOff>
    </xdr:from>
    <xdr:to>
      <xdr:col>15</xdr:col>
      <xdr:colOff>460193</xdr:colOff>
      <xdr:row>11</xdr:row>
      <xdr:rowOff>204882</xdr:rowOff>
    </xdr:to>
    <xdr:cxnSp macro="">
      <xdr:nvCxnSpPr>
        <xdr:cNvPr id="115" name="Connector: Elbow 114">
          <a:extLst>
            <a:ext uri="{FF2B5EF4-FFF2-40B4-BE49-F238E27FC236}">
              <a16:creationId xmlns:a16="http://schemas.microsoft.com/office/drawing/2014/main" id="{59C78A00-C7AC-484F-9A3A-AA25ECD674DA}"/>
            </a:ext>
          </a:extLst>
        </xdr:cNvPr>
        <xdr:cNvCxnSpPr>
          <a:stCxn id="71" idx="0"/>
          <a:endCxn id="106" idx="0"/>
        </xdr:cNvCxnSpPr>
      </xdr:nvCxnSpPr>
      <xdr:spPr>
        <a:xfrm rot="16200000" flipH="1">
          <a:off x="3927106" y="-832970"/>
          <a:ext cx="812801" cy="5565961"/>
        </a:xfrm>
        <a:prstGeom prst="bentConnector3">
          <a:avLst>
            <a:gd name="adj1" fmla="val -152206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8</xdr:row>
      <xdr:rowOff>98051</xdr:rowOff>
    </xdr:from>
    <xdr:to>
      <xdr:col>29</xdr:col>
      <xdr:colOff>184533</xdr:colOff>
      <xdr:row>23</xdr:row>
      <xdr:rowOff>228018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2C20B4CA-8196-40B1-A1B9-6B7046E3256B}"/>
            </a:ext>
          </a:extLst>
        </xdr:cNvPr>
        <xdr:cNvGrpSpPr/>
      </xdr:nvGrpSpPr>
      <xdr:grpSpPr>
        <a:xfrm>
          <a:off x="14085794" y="2854698"/>
          <a:ext cx="3714386" cy="3659820"/>
          <a:chOff x="3807759" y="1543610"/>
          <a:chExt cx="3680769" cy="3659820"/>
        </a:xfrm>
      </xdr:grpSpPr>
      <xdr:grpSp>
        <xdr:nvGrpSpPr>
          <xdr:cNvPr id="117" name="Group 116">
            <a:extLst>
              <a:ext uri="{FF2B5EF4-FFF2-40B4-BE49-F238E27FC236}">
                <a16:creationId xmlns:a16="http://schemas.microsoft.com/office/drawing/2014/main" id="{54F2608A-A428-4791-8E51-2780F0D676C5}"/>
              </a:ext>
            </a:extLst>
          </xdr:cNvPr>
          <xdr:cNvGrpSpPr/>
        </xdr:nvGrpSpPr>
        <xdr:grpSpPr>
          <a:xfrm>
            <a:off x="3807759" y="1543610"/>
            <a:ext cx="3680769" cy="3659820"/>
            <a:chOff x="1958788" y="4293533"/>
            <a:chExt cx="3680772" cy="3659820"/>
          </a:xfrm>
        </xdr:grpSpPr>
        <xdr:sp macro="" textlink="">
          <xdr:nvSpPr>
            <xdr:cNvPr id="121" name="Oval 120">
              <a:extLst>
                <a:ext uri="{FF2B5EF4-FFF2-40B4-BE49-F238E27FC236}">
                  <a16:creationId xmlns:a16="http://schemas.microsoft.com/office/drawing/2014/main" id="{89DBDC49-4C3A-4F54-AEA5-39112676F4FE}"/>
                </a:ext>
              </a:extLst>
            </xdr:cNvPr>
            <xdr:cNvSpPr>
              <a:spLocks/>
            </xdr:cNvSpPr>
          </xdr:nvSpPr>
          <xdr:spPr>
            <a:xfrm>
              <a:off x="3164167" y="4293533"/>
              <a:ext cx="1270013" cy="1288654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Purchase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p4</a:t>
              </a:r>
            </a:p>
          </xdr:txBody>
        </xdr:sp>
        <xdr:sp macro="" textlink="">
          <xdr:nvSpPr>
            <xdr:cNvPr id="122" name="Oval 121">
              <a:extLst>
                <a:ext uri="{FF2B5EF4-FFF2-40B4-BE49-F238E27FC236}">
                  <a16:creationId xmlns:a16="http://schemas.microsoft.com/office/drawing/2014/main" id="{74603DFA-FF1F-43BE-897E-48D9BC3C1DA6}"/>
                </a:ext>
              </a:extLst>
            </xdr:cNvPr>
            <xdr:cNvSpPr>
              <a:spLocks/>
            </xdr:cNvSpPr>
          </xdr:nvSpPr>
          <xdr:spPr>
            <a:xfrm>
              <a:off x="4369547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Quick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q4</a:t>
              </a:r>
            </a:p>
          </xdr:txBody>
        </xdr:sp>
        <xdr:sp macro="" textlink="">
          <xdr:nvSpPr>
            <xdr:cNvPr id="123" name="Oval 122">
              <a:extLst>
                <a:ext uri="{FF2B5EF4-FFF2-40B4-BE49-F238E27FC236}">
                  <a16:creationId xmlns:a16="http://schemas.microsoft.com/office/drawing/2014/main" id="{E5D4124A-917D-404B-8738-2EDF004DF703}"/>
                </a:ext>
              </a:extLst>
            </xdr:cNvPr>
            <xdr:cNvSpPr>
              <a:spLocks/>
            </xdr:cNvSpPr>
          </xdr:nvSpPr>
          <xdr:spPr>
            <a:xfrm>
              <a:off x="1958788" y="5106334"/>
              <a:ext cx="1270013" cy="1288654"/>
            </a:xfrm>
            <a:prstGeom prst="ellipse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Normal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n4</a:t>
              </a:r>
            </a:p>
          </xdr:txBody>
        </xdr:sp>
        <xdr:sp macro="" textlink="">
          <xdr:nvSpPr>
            <xdr:cNvPr id="124" name="Oval 123">
              <a:extLst>
                <a:ext uri="{FF2B5EF4-FFF2-40B4-BE49-F238E27FC236}">
                  <a16:creationId xmlns:a16="http://schemas.microsoft.com/office/drawing/2014/main" id="{1372DE10-8E25-44E8-B5B4-5AB04493AE32}"/>
                </a:ext>
              </a:extLst>
            </xdr:cNvPr>
            <xdr:cNvSpPr>
              <a:spLocks/>
            </xdr:cNvSpPr>
          </xdr:nvSpPr>
          <xdr:spPr>
            <a:xfrm>
              <a:off x="3186579" y="6664699"/>
              <a:ext cx="1270013" cy="1288654"/>
            </a:xfrm>
            <a:prstGeom prst="ellipse">
              <a:avLst/>
            </a:prstGeom>
            <a:ln/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300">
                  <a:solidFill>
                    <a:schemeClr val="tx1"/>
                  </a:solidFill>
                </a:rPr>
                <a:t>Demand</a:t>
              </a:r>
            </a:p>
            <a:p>
              <a:pPr algn="ctr"/>
              <a:r>
                <a:rPr lang="en-US" sz="1300">
                  <a:solidFill>
                    <a:schemeClr val="tx1"/>
                  </a:solidFill>
                </a:rPr>
                <a:t>d4</a:t>
              </a:r>
            </a:p>
          </xdr:txBody>
        </xdr:sp>
      </xdr:grpSp>
      <xdr:cxnSp macro="">
        <xdr:nvCxnSpPr>
          <xdr:cNvPr id="118" name="Straight Arrow Connector 117">
            <a:extLst>
              <a:ext uri="{FF2B5EF4-FFF2-40B4-BE49-F238E27FC236}">
                <a16:creationId xmlns:a16="http://schemas.microsoft.com/office/drawing/2014/main" id="{612CA65C-658F-4763-8838-0FFA06D3ABDC}"/>
              </a:ext>
            </a:extLst>
          </xdr:cNvPr>
          <xdr:cNvCxnSpPr>
            <a:stCxn id="123" idx="5"/>
            <a:endCxn id="124" idx="1"/>
          </xdr:cNvCxnSpPr>
        </xdr:nvCxnSpPr>
        <xdr:spPr>
          <a:xfrm>
            <a:off x="4891782" y="3456346"/>
            <a:ext cx="329756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9" name="Straight Arrow Connector 118">
            <a:extLst>
              <a:ext uri="{FF2B5EF4-FFF2-40B4-BE49-F238E27FC236}">
                <a16:creationId xmlns:a16="http://schemas.microsoft.com/office/drawing/2014/main" id="{B1C8E8AB-B8F1-417F-94A4-317D25F9F5DC}"/>
              </a:ext>
            </a:extLst>
          </xdr:cNvPr>
          <xdr:cNvCxnSpPr>
            <a:stCxn id="121" idx="4"/>
            <a:endCxn id="124" idx="0"/>
          </xdr:cNvCxnSpPr>
        </xdr:nvCxnSpPr>
        <xdr:spPr>
          <a:xfrm>
            <a:off x="5648143" y="2832264"/>
            <a:ext cx="22412" cy="108251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Straight Arrow Connector 119">
            <a:extLst>
              <a:ext uri="{FF2B5EF4-FFF2-40B4-BE49-F238E27FC236}">
                <a16:creationId xmlns:a16="http://schemas.microsoft.com/office/drawing/2014/main" id="{40577100-BD57-4341-9050-A19DB3CD6F39}"/>
              </a:ext>
            </a:extLst>
          </xdr:cNvPr>
          <xdr:cNvCxnSpPr>
            <a:stCxn id="122" idx="3"/>
            <a:endCxn id="124" idx="7"/>
          </xdr:cNvCxnSpPr>
        </xdr:nvCxnSpPr>
        <xdr:spPr>
          <a:xfrm flipH="1">
            <a:off x="6119572" y="3456346"/>
            <a:ext cx="284933" cy="6471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202084</xdr:colOff>
      <xdr:row>8</xdr:row>
      <xdr:rowOff>98050</xdr:rowOff>
    </xdr:from>
    <xdr:to>
      <xdr:col>24</xdr:col>
      <xdr:colOff>164359</xdr:colOff>
      <xdr:row>11</xdr:row>
      <xdr:rowOff>204881</xdr:rowOff>
    </xdr:to>
    <xdr:cxnSp macro="">
      <xdr:nvCxnSpPr>
        <xdr:cNvPr id="125" name="Connector: Elbow 124">
          <a:extLst>
            <a:ext uri="{FF2B5EF4-FFF2-40B4-BE49-F238E27FC236}">
              <a16:creationId xmlns:a16="http://schemas.microsoft.com/office/drawing/2014/main" id="{E6E64652-9F60-4126-B6E2-F4370E609372}"/>
            </a:ext>
          </a:extLst>
        </xdr:cNvPr>
        <xdr:cNvCxnSpPr>
          <a:stCxn id="39" idx="0"/>
          <a:endCxn id="123" idx="0"/>
        </xdr:cNvCxnSpPr>
      </xdr:nvCxnSpPr>
      <xdr:spPr>
        <a:xfrm rot="16200000" flipH="1">
          <a:off x="7340791" y="-1964392"/>
          <a:ext cx="812801" cy="7828804"/>
        </a:xfrm>
        <a:prstGeom prst="bentConnector3">
          <a:avLst>
            <a:gd name="adj1" fmla="val -114981"/>
          </a:avLst>
        </a:prstGeom>
        <a:ln w="9525" cap="flat" cmpd="sng" algn="ctr">
          <a:solidFill>
            <a:schemeClr val="accent3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184190</xdr:colOff>
      <xdr:row>9</xdr:row>
      <xdr:rowOff>51447</xdr:rowOff>
    </xdr:from>
    <xdr:to>
      <xdr:col>11</xdr:col>
      <xdr:colOff>197227</xdr:colOff>
      <xdr:row>11</xdr:row>
      <xdr:rowOff>204882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B930956C-2C11-41C5-9617-6A1F36DAE537}"/>
            </a:ext>
          </a:extLst>
        </xdr:cNvPr>
        <xdr:cNvCxnSpPr>
          <a:stCxn id="71" idx="7"/>
          <a:endCxn id="40" idx="0"/>
        </xdr:cNvCxnSpPr>
      </xdr:nvCxnSpPr>
      <xdr:spPr>
        <a:xfrm rot="16200000" flipH="1">
          <a:off x="5022168" y="1231028"/>
          <a:ext cx="624082" cy="3038625"/>
        </a:xfrm>
        <a:prstGeom prst="bentConnector3">
          <a:avLst>
            <a:gd name="adj1" fmla="val -138692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45984</xdr:colOff>
      <xdr:row>9</xdr:row>
      <xdr:rowOff>51446</xdr:rowOff>
    </xdr:from>
    <xdr:to>
      <xdr:col>19</xdr:col>
      <xdr:colOff>450480</xdr:colOff>
      <xdr:row>11</xdr:row>
      <xdr:rowOff>204881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2BFA05CF-2066-4058-A9B0-46EEA3B5ACB5}"/>
            </a:ext>
          </a:extLst>
        </xdr:cNvPr>
        <xdr:cNvCxnSpPr>
          <a:stCxn id="39" idx="7"/>
          <a:endCxn id="105" idx="0"/>
        </xdr:cNvCxnSpPr>
      </xdr:nvCxnSpPr>
      <xdr:spPr>
        <a:xfrm rot="16200000" flipH="1">
          <a:off x="8407838" y="127621"/>
          <a:ext cx="624082" cy="5245438"/>
        </a:xfrm>
        <a:prstGeom prst="bentConnector3">
          <a:avLst>
            <a:gd name="adj1" fmla="val -93803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299235</xdr:colOff>
      <xdr:row>9</xdr:row>
      <xdr:rowOff>51447</xdr:rowOff>
    </xdr:from>
    <xdr:to>
      <xdr:col>28</xdr:col>
      <xdr:colOff>148844</xdr:colOff>
      <xdr:row>11</xdr:row>
      <xdr:rowOff>204882</xdr:rowOff>
    </xdr:to>
    <xdr:cxnSp macro="">
      <xdr:nvCxnSpPr>
        <xdr:cNvPr id="142" name="Connector: Elbow 141">
          <a:extLst>
            <a:ext uri="{FF2B5EF4-FFF2-40B4-BE49-F238E27FC236}">
              <a16:creationId xmlns:a16="http://schemas.microsoft.com/office/drawing/2014/main" id="{D9890AF3-34AF-423F-A31C-D84B1BEDE905}"/>
            </a:ext>
          </a:extLst>
        </xdr:cNvPr>
        <xdr:cNvCxnSpPr>
          <a:stCxn id="104" idx="7"/>
          <a:endCxn id="122" idx="0"/>
        </xdr:cNvCxnSpPr>
      </xdr:nvCxnSpPr>
      <xdr:spPr>
        <a:xfrm rot="16200000" flipH="1">
          <a:off x="12955646" y="68889"/>
          <a:ext cx="624082" cy="5362903"/>
        </a:xfrm>
        <a:prstGeom prst="bentConnector3">
          <a:avLst>
            <a:gd name="adj1" fmla="val -52504"/>
          </a:avLst>
        </a:prstGeom>
        <a:ln w="9525" cap="flat" cmpd="sng" algn="ctr">
          <a:solidFill>
            <a:schemeClr val="accent2">
              <a:lumMod val="50000"/>
            </a:schemeClr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504265</xdr:colOff>
      <xdr:row>19</xdr:row>
      <xdr:rowOff>158016</xdr:rowOff>
    </xdr:from>
    <xdr:to>
      <xdr:col>12</xdr:col>
      <xdr:colOff>130548</xdr:colOff>
      <xdr:row>23</xdr:row>
      <xdr:rowOff>53241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5B5A9C89-DDF5-4DB4-8AED-69F87CA7C3BB}"/>
            </a:ext>
          </a:extLst>
        </xdr:cNvPr>
        <xdr:cNvSpPr>
          <a:spLocks noChangeAspect="1"/>
        </xdr:cNvSpPr>
      </xdr:nvSpPr>
      <xdr:spPr>
        <a:xfrm>
          <a:off x="6555441" y="4898104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dum2</a:t>
          </a:r>
        </a:p>
      </xdr:txBody>
    </xdr:sp>
    <xdr:clientData/>
  </xdr:twoCellAnchor>
  <xdr:twoCellAnchor>
    <xdr:from>
      <xdr:col>10</xdr:col>
      <xdr:colOff>231973</xdr:colOff>
      <xdr:row>11</xdr:row>
      <xdr:rowOff>36407</xdr:rowOff>
    </xdr:from>
    <xdr:to>
      <xdr:col>12</xdr:col>
      <xdr:colOff>130548</xdr:colOff>
      <xdr:row>21</xdr:row>
      <xdr:rowOff>105629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46323D9D-C132-4477-8EDF-A15ABBDCC661}"/>
            </a:ext>
          </a:extLst>
        </xdr:cNvPr>
        <xdr:cNvCxnSpPr>
          <a:stCxn id="39" idx="6"/>
          <a:endCxn id="42" idx="6"/>
        </xdr:cNvCxnSpPr>
      </xdr:nvCxnSpPr>
      <xdr:spPr>
        <a:xfrm>
          <a:off x="6283149" y="2893907"/>
          <a:ext cx="1108811" cy="2422457"/>
        </a:xfrm>
        <a:prstGeom prst="bentConnector3">
          <a:avLst>
            <a:gd name="adj1" fmla="val 13476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130548</xdr:colOff>
      <xdr:row>14</xdr:row>
      <xdr:rowOff>143237</xdr:rowOff>
    </xdr:from>
    <xdr:to>
      <xdr:col>12</xdr:col>
      <xdr:colOff>227116</xdr:colOff>
      <xdr:row>21</xdr:row>
      <xdr:rowOff>105629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EDF4B600-2F8C-4AC4-98BC-BBA6C9C9B442}"/>
            </a:ext>
          </a:extLst>
        </xdr:cNvPr>
        <xdr:cNvCxnSpPr>
          <a:stCxn id="40" idx="6"/>
          <a:endCxn id="42" idx="6"/>
        </xdr:cNvCxnSpPr>
      </xdr:nvCxnSpPr>
      <xdr:spPr>
        <a:xfrm flipH="1">
          <a:off x="7391960" y="3706708"/>
          <a:ext cx="96568" cy="1609656"/>
        </a:xfrm>
        <a:prstGeom prst="bentConnector3">
          <a:avLst>
            <a:gd name="adj1" fmla="val -155496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107576</xdr:colOff>
      <xdr:row>19</xdr:row>
      <xdr:rowOff>220769</xdr:rowOff>
    </xdr:from>
    <xdr:to>
      <xdr:col>20</xdr:col>
      <xdr:colOff>338978</xdr:colOff>
      <xdr:row>23</xdr:row>
      <xdr:rowOff>115994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5775086D-3E47-4B69-82EF-C844D38CD0BB}"/>
            </a:ext>
          </a:extLst>
        </xdr:cNvPr>
        <xdr:cNvSpPr>
          <a:spLocks noChangeAspect="1"/>
        </xdr:cNvSpPr>
      </xdr:nvSpPr>
      <xdr:spPr>
        <a:xfrm>
          <a:off x="10999694" y="4960857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dum3</a:t>
          </a:r>
        </a:p>
      </xdr:txBody>
    </xdr:sp>
    <xdr:clientData/>
  </xdr:twoCellAnchor>
  <xdr:twoCellAnchor>
    <xdr:from>
      <xdr:col>18</xdr:col>
      <xdr:colOff>485225</xdr:colOff>
      <xdr:row>11</xdr:row>
      <xdr:rowOff>36407</xdr:rowOff>
    </xdr:from>
    <xdr:to>
      <xdr:col>20</xdr:col>
      <xdr:colOff>338978</xdr:colOff>
      <xdr:row>21</xdr:row>
      <xdr:rowOff>168382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CEE410C0-B51B-46BC-B76B-F6BB175D2DAB}"/>
            </a:ext>
          </a:extLst>
        </xdr:cNvPr>
        <xdr:cNvCxnSpPr>
          <a:stCxn id="104" idx="6"/>
          <a:endCxn id="63" idx="6"/>
        </xdr:cNvCxnSpPr>
      </xdr:nvCxnSpPr>
      <xdr:spPr>
        <a:xfrm>
          <a:off x="10772225" y="2893907"/>
          <a:ext cx="1063988" cy="2485210"/>
        </a:xfrm>
        <a:prstGeom prst="bentConnector3">
          <a:avLst>
            <a:gd name="adj1" fmla="val 13517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338978</xdr:colOff>
      <xdr:row>14</xdr:row>
      <xdr:rowOff>143237</xdr:rowOff>
    </xdr:from>
    <xdr:to>
      <xdr:col>20</xdr:col>
      <xdr:colOff>480369</xdr:colOff>
      <xdr:row>21</xdr:row>
      <xdr:rowOff>168382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D287F842-31DF-4DF1-9099-8DAB055794BE}"/>
            </a:ext>
          </a:extLst>
        </xdr:cNvPr>
        <xdr:cNvCxnSpPr>
          <a:stCxn id="105" idx="6"/>
          <a:endCxn id="63" idx="6"/>
        </xdr:cNvCxnSpPr>
      </xdr:nvCxnSpPr>
      <xdr:spPr>
        <a:xfrm flipH="1">
          <a:off x="11836213" y="3706708"/>
          <a:ext cx="141391" cy="1672409"/>
        </a:xfrm>
        <a:prstGeom prst="bentConnector3">
          <a:avLst>
            <a:gd name="adj1" fmla="val -312262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11177</xdr:colOff>
      <xdr:row>16</xdr:row>
      <xdr:rowOff>128197</xdr:rowOff>
    </xdr:from>
    <xdr:to>
      <xdr:col>20</xdr:col>
      <xdr:colOff>338978</xdr:colOff>
      <xdr:row>21</xdr:row>
      <xdr:rowOff>168381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44643188-A863-4140-8928-E1D55197C3B4}"/>
            </a:ext>
          </a:extLst>
        </xdr:cNvPr>
        <xdr:cNvCxnSpPr>
          <a:stCxn id="106" idx="3"/>
          <a:endCxn id="63" idx="6"/>
        </xdr:cNvCxnSpPr>
      </xdr:nvCxnSpPr>
      <xdr:spPr>
        <a:xfrm rot="16200000" flipH="1">
          <a:off x="9551118" y="3094021"/>
          <a:ext cx="1216801" cy="3353389"/>
        </a:xfrm>
        <a:prstGeom prst="bentConnector4">
          <a:avLst>
            <a:gd name="adj1" fmla="val 174249"/>
            <a:gd name="adj2" fmla="val 106817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416860</xdr:colOff>
      <xdr:row>20</xdr:row>
      <xdr:rowOff>14580</xdr:rowOff>
    </xdr:from>
    <xdr:to>
      <xdr:col>29</xdr:col>
      <xdr:colOff>43143</xdr:colOff>
      <xdr:row>23</xdr:row>
      <xdr:rowOff>145129</xdr:rowOff>
    </xdr:to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7A176DD0-FBB7-4B60-9684-55DA782428FF}"/>
            </a:ext>
          </a:extLst>
        </xdr:cNvPr>
        <xdr:cNvSpPr>
          <a:spLocks noChangeAspect="1"/>
        </xdr:cNvSpPr>
      </xdr:nvSpPr>
      <xdr:spPr>
        <a:xfrm>
          <a:off x="15612036" y="4989992"/>
          <a:ext cx="836519" cy="83651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dum4</a:t>
          </a:r>
        </a:p>
      </xdr:txBody>
    </xdr:sp>
    <xdr:clientData/>
  </xdr:twoCellAnchor>
  <xdr:twoCellAnchor>
    <xdr:from>
      <xdr:col>27</xdr:col>
      <xdr:colOff>178381</xdr:colOff>
      <xdr:row>11</xdr:row>
      <xdr:rowOff>36407</xdr:rowOff>
    </xdr:from>
    <xdr:to>
      <xdr:col>29</xdr:col>
      <xdr:colOff>43143</xdr:colOff>
      <xdr:row>21</xdr:row>
      <xdr:rowOff>197517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7A44506F-5531-48A3-BB01-433FB1F48603}"/>
            </a:ext>
          </a:extLst>
        </xdr:cNvPr>
        <xdr:cNvCxnSpPr>
          <a:stCxn id="121" idx="6"/>
          <a:endCxn id="82" idx="6"/>
        </xdr:cNvCxnSpPr>
      </xdr:nvCxnSpPr>
      <xdr:spPr>
        <a:xfrm>
          <a:off x="15373557" y="2893907"/>
          <a:ext cx="1074998" cy="2514345"/>
        </a:xfrm>
        <a:prstGeom prst="bentConnector3">
          <a:avLst>
            <a:gd name="adj1" fmla="val 121265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43143</xdr:colOff>
      <xdr:row>14</xdr:row>
      <xdr:rowOff>143237</xdr:rowOff>
    </xdr:from>
    <xdr:to>
      <xdr:col>29</xdr:col>
      <xdr:colOff>184533</xdr:colOff>
      <xdr:row>21</xdr:row>
      <xdr:rowOff>197517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A37A0A97-0D26-47FA-A389-E84AE100A6ED}"/>
            </a:ext>
          </a:extLst>
        </xdr:cNvPr>
        <xdr:cNvCxnSpPr>
          <a:stCxn id="122" idx="6"/>
          <a:endCxn id="82" idx="6"/>
        </xdr:cNvCxnSpPr>
      </xdr:nvCxnSpPr>
      <xdr:spPr>
        <a:xfrm flipH="1">
          <a:off x="16448555" y="3706708"/>
          <a:ext cx="141390" cy="1701544"/>
        </a:xfrm>
        <a:prstGeom prst="bentConnector3">
          <a:avLst>
            <a:gd name="adj1" fmla="val -161680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322157</xdr:colOff>
      <xdr:row>16</xdr:row>
      <xdr:rowOff>128198</xdr:rowOff>
    </xdr:from>
    <xdr:to>
      <xdr:col>29</xdr:col>
      <xdr:colOff>43142</xdr:colOff>
      <xdr:row>21</xdr:row>
      <xdr:rowOff>197517</xdr:rowOff>
    </xdr:to>
    <xdr:cxnSp macro="">
      <xdr:nvCxnSpPr>
        <xdr:cNvPr id="86" name="Connector: Elbow 85">
          <a:extLst>
            <a:ext uri="{FF2B5EF4-FFF2-40B4-BE49-F238E27FC236}">
              <a16:creationId xmlns:a16="http://schemas.microsoft.com/office/drawing/2014/main" id="{85C74E3B-6B17-4EF8-AE9D-AA2998C8137A}"/>
            </a:ext>
          </a:extLst>
        </xdr:cNvPr>
        <xdr:cNvCxnSpPr>
          <a:stCxn id="123" idx="3"/>
          <a:endCxn id="82" idx="6"/>
        </xdr:cNvCxnSpPr>
      </xdr:nvCxnSpPr>
      <xdr:spPr>
        <a:xfrm rot="16200000" flipH="1">
          <a:off x="14132932" y="3092629"/>
          <a:ext cx="1245936" cy="3385309"/>
        </a:xfrm>
        <a:prstGeom prst="bentConnector4">
          <a:avLst>
            <a:gd name="adj1" fmla="val 168646"/>
            <a:gd name="adj2" fmla="val 106753"/>
          </a:avLst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331301</xdr:colOff>
      <xdr:row>8</xdr:row>
      <xdr:rowOff>57978</xdr:rowOff>
    </xdr:from>
    <xdr:to>
      <xdr:col>24</xdr:col>
      <xdr:colOff>385635</xdr:colOff>
      <xdr:row>13</xdr:row>
      <xdr:rowOff>137159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AC7BA0E-5D64-42BB-BC26-12F2576BEE08}"/>
            </a:ext>
          </a:extLst>
        </xdr:cNvPr>
        <xdr:cNvSpPr>
          <a:spLocks noChangeAspect="1"/>
        </xdr:cNvSpPr>
      </xdr:nvSpPr>
      <xdr:spPr>
        <a:xfrm>
          <a:off x="10694501" y="2467803"/>
          <a:ext cx="1273534" cy="126980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22</xdr:col>
      <xdr:colOff>331301</xdr:colOff>
      <xdr:row>15</xdr:row>
      <xdr:rowOff>132521</xdr:rowOff>
    </xdr:from>
    <xdr:to>
      <xdr:col>24</xdr:col>
      <xdr:colOff>385635</xdr:colOff>
      <xdr:row>20</xdr:row>
      <xdr:rowOff>211703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C63E1C0-93A3-44C5-9BFA-96BD74BBFCB0}"/>
            </a:ext>
          </a:extLst>
        </xdr:cNvPr>
        <xdr:cNvSpPr>
          <a:spLocks noChangeAspect="1"/>
        </xdr:cNvSpPr>
      </xdr:nvSpPr>
      <xdr:spPr>
        <a:xfrm>
          <a:off x="10694501" y="4209221"/>
          <a:ext cx="1273534" cy="1269807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13</xdr:col>
      <xdr:colOff>197127</xdr:colOff>
      <xdr:row>5</xdr:row>
      <xdr:rowOff>30406</xdr:rowOff>
    </xdr:from>
    <xdr:to>
      <xdr:col>15</xdr:col>
      <xdr:colOff>313083</xdr:colOff>
      <xdr:row>9</xdr:row>
      <xdr:rowOff>129684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7C1A5EEF-2584-4212-8E83-1BF51E2292C7}"/>
            </a:ext>
          </a:extLst>
        </xdr:cNvPr>
        <xdr:cNvSpPr/>
      </xdr:nvSpPr>
      <xdr:spPr>
        <a:xfrm>
          <a:off x="7721877" y="1540799"/>
          <a:ext cx="1340599" cy="10789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</a:t>
          </a:r>
        </a:p>
      </xdr:txBody>
    </xdr:sp>
    <xdr:clientData/>
  </xdr:twoCellAnchor>
  <xdr:twoCellAnchor>
    <xdr:from>
      <xdr:col>13</xdr:col>
      <xdr:colOff>197127</xdr:colOff>
      <xdr:row>11</xdr:row>
      <xdr:rowOff>224223</xdr:rowOff>
    </xdr:from>
    <xdr:to>
      <xdr:col>15</xdr:col>
      <xdr:colOff>313083</xdr:colOff>
      <xdr:row>16</xdr:row>
      <xdr:rowOff>78687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EC7386C1-EF28-4960-8E6D-6A17E6201A29}"/>
            </a:ext>
          </a:extLst>
        </xdr:cNvPr>
        <xdr:cNvSpPr/>
      </xdr:nvSpPr>
      <xdr:spPr>
        <a:xfrm>
          <a:off x="9381948" y="2972866"/>
          <a:ext cx="1340599" cy="1079107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</a:t>
          </a:r>
        </a:p>
      </xdr:txBody>
    </xdr:sp>
    <xdr:clientData/>
  </xdr:twoCellAnchor>
  <xdr:twoCellAnchor>
    <xdr:from>
      <xdr:col>13</xdr:col>
      <xdr:colOff>197127</xdr:colOff>
      <xdr:row>18</xdr:row>
      <xdr:rowOff>227535</xdr:rowOff>
    </xdr:from>
    <xdr:to>
      <xdr:col>15</xdr:col>
      <xdr:colOff>313083</xdr:colOff>
      <xdr:row>23</xdr:row>
      <xdr:rowOff>81998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B310DA7E-4989-4EFC-8604-72D652F5171F}"/>
            </a:ext>
          </a:extLst>
        </xdr:cNvPr>
        <xdr:cNvSpPr/>
      </xdr:nvSpPr>
      <xdr:spPr>
        <a:xfrm>
          <a:off x="9381948" y="4690678"/>
          <a:ext cx="1340599" cy="1079106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</a:t>
          </a:r>
        </a:p>
      </xdr:txBody>
    </xdr:sp>
    <xdr:clientData/>
  </xdr:twoCellAnchor>
  <xdr:twoCellAnchor>
    <xdr:from>
      <xdr:col>1</xdr:col>
      <xdr:colOff>314737</xdr:colOff>
      <xdr:row>8</xdr:row>
      <xdr:rowOff>57977</xdr:rowOff>
    </xdr:from>
    <xdr:to>
      <xdr:col>3</xdr:col>
      <xdr:colOff>369071</xdr:colOff>
      <xdr:row>13</xdr:row>
      <xdr:rowOff>137158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1BE1EC5-3261-4456-B22C-579C1BD18FDE}"/>
            </a:ext>
          </a:extLst>
        </xdr:cNvPr>
        <xdr:cNvSpPr>
          <a:spLocks/>
        </xdr:cNvSpPr>
      </xdr:nvSpPr>
      <xdr:spPr>
        <a:xfrm>
          <a:off x="2143537" y="2467802"/>
          <a:ext cx="1273534" cy="126980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1</xdr:col>
      <xdr:colOff>306453</xdr:colOff>
      <xdr:row>15</xdr:row>
      <xdr:rowOff>132520</xdr:rowOff>
    </xdr:from>
    <xdr:to>
      <xdr:col>3</xdr:col>
      <xdr:colOff>360787</xdr:colOff>
      <xdr:row>20</xdr:row>
      <xdr:rowOff>211702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AD5EC65F-D482-4140-9438-7D6E01FBED4B}"/>
            </a:ext>
          </a:extLst>
        </xdr:cNvPr>
        <xdr:cNvSpPr>
          <a:spLocks/>
        </xdr:cNvSpPr>
      </xdr:nvSpPr>
      <xdr:spPr>
        <a:xfrm>
          <a:off x="2135253" y="4209220"/>
          <a:ext cx="1273534" cy="126980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10</xdr:row>
      <xdr:rowOff>220033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213EA1F-991A-4568-8434-D3751C7C3682}"/>
            </a:ext>
          </a:extLst>
        </xdr:cNvPr>
        <xdr:cNvCxnSpPr>
          <a:cxnSpLocks/>
          <a:stCxn id="4" idx="4"/>
          <a:endCxn id="2" idx="2"/>
        </xdr:cNvCxnSpPr>
      </xdr:nvCxnSpPr>
      <xdr:spPr>
        <a:xfrm>
          <a:off x="9062476" y="2080295"/>
          <a:ext cx="4304468" cy="8747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14</xdr:row>
      <xdr:rowOff>28991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310DEE0-42B8-411D-B08E-65278288876E}"/>
            </a:ext>
          </a:extLst>
        </xdr:cNvPr>
        <xdr:cNvCxnSpPr>
          <a:cxnSpLocks/>
          <a:stCxn id="5" idx="4"/>
          <a:endCxn id="2" idx="2"/>
        </xdr:cNvCxnSpPr>
      </xdr:nvCxnSpPr>
      <xdr:spPr>
        <a:xfrm flipV="1">
          <a:off x="10722547" y="2723747"/>
          <a:ext cx="3079825" cy="7886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10</xdr:row>
      <xdr:rowOff>220033</xdr:rowOff>
    </xdr:from>
    <xdr:to>
      <xdr:col>22</xdr:col>
      <xdr:colOff>331301</xdr:colOff>
      <xdr:row>21</xdr:row>
      <xdr:rowOff>32302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B6E6004-509E-415F-AC72-A5352C6BFED4}"/>
            </a:ext>
          </a:extLst>
        </xdr:cNvPr>
        <xdr:cNvCxnSpPr>
          <a:cxnSpLocks/>
          <a:stCxn id="6" idx="4"/>
          <a:endCxn id="2" idx="2"/>
        </xdr:cNvCxnSpPr>
      </xdr:nvCxnSpPr>
      <xdr:spPr>
        <a:xfrm flipV="1">
          <a:off x="10722547" y="2723747"/>
          <a:ext cx="3079825" cy="25064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18</xdr:row>
      <xdr:rowOff>49648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37DE1F5-960A-4786-8C92-8A0083F0CDCF}"/>
            </a:ext>
          </a:extLst>
        </xdr:cNvPr>
        <xdr:cNvCxnSpPr>
          <a:stCxn id="4" idx="4"/>
          <a:endCxn id="3" idx="2"/>
        </xdr:cNvCxnSpPr>
      </xdr:nvCxnSpPr>
      <xdr:spPr>
        <a:xfrm>
          <a:off x="9062476" y="2080295"/>
          <a:ext cx="4304468" cy="26638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18</xdr:row>
      <xdr:rowOff>49648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EE7595B-C938-4DE7-9FA3-D6BA0EC32C1E}"/>
            </a:ext>
          </a:extLst>
        </xdr:cNvPr>
        <xdr:cNvCxnSpPr>
          <a:stCxn id="5" idx="4"/>
          <a:endCxn id="3" idx="2"/>
        </xdr:cNvCxnSpPr>
      </xdr:nvCxnSpPr>
      <xdr:spPr>
        <a:xfrm>
          <a:off x="10722547" y="3512420"/>
          <a:ext cx="3079825" cy="1000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18</xdr:row>
      <xdr:rowOff>49648</xdr:rowOff>
    </xdr:from>
    <xdr:to>
      <xdr:col>22</xdr:col>
      <xdr:colOff>331301</xdr:colOff>
      <xdr:row>21</xdr:row>
      <xdr:rowOff>32302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771B0F98-01DF-496B-BB72-7BFA75966F3D}"/>
            </a:ext>
          </a:extLst>
        </xdr:cNvPr>
        <xdr:cNvCxnSpPr>
          <a:stCxn id="6" idx="4"/>
          <a:endCxn id="3" idx="2"/>
        </xdr:cNvCxnSpPr>
      </xdr:nvCxnSpPr>
      <xdr:spPr>
        <a:xfrm flipV="1">
          <a:off x="10722547" y="4512791"/>
          <a:ext cx="3079825" cy="7174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7</xdr:row>
      <xdr:rowOff>80045</xdr:rowOff>
    </xdr:from>
    <xdr:to>
      <xdr:col>8</xdr:col>
      <xdr:colOff>210734</xdr:colOff>
      <xdr:row>10</xdr:row>
      <xdr:rowOff>220032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DB5B552-5764-48AD-8F83-DB90F62695AB}"/>
            </a:ext>
          </a:extLst>
        </xdr:cNvPr>
        <xdr:cNvCxnSpPr>
          <a:stCxn id="7" idx="6"/>
          <a:endCxn id="31" idx="2"/>
        </xdr:cNvCxnSpPr>
      </xdr:nvCxnSpPr>
      <xdr:spPr>
        <a:xfrm flipV="1">
          <a:off x="1770607" y="2080295"/>
          <a:ext cx="2903270" cy="8747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14</xdr:row>
      <xdr:rowOff>28991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64DCBBE-7AF9-4BEF-B457-84498926DE3C}"/>
            </a:ext>
          </a:extLst>
        </xdr:cNvPr>
        <xdr:cNvCxnSpPr>
          <a:stCxn id="7" idx="6"/>
          <a:endCxn id="32" idx="2"/>
        </xdr:cNvCxnSpPr>
      </xdr:nvCxnSpPr>
      <xdr:spPr>
        <a:xfrm>
          <a:off x="3430678" y="2723746"/>
          <a:ext cx="2903270" cy="7886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369071</xdr:colOff>
      <xdr:row>10</xdr:row>
      <xdr:rowOff>220032</xdr:rowOff>
    </xdr:from>
    <xdr:to>
      <xdr:col>8</xdr:col>
      <xdr:colOff>210734</xdr:colOff>
      <xdr:row>21</xdr:row>
      <xdr:rowOff>32302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C5C4806-C96F-421B-80F6-AD754855B2D3}"/>
            </a:ext>
          </a:extLst>
        </xdr:cNvPr>
        <xdr:cNvCxnSpPr>
          <a:stCxn id="7" idx="6"/>
          <a:endCxn id="33" idx="2"/>
        </xdr:cNvCxnSpPr>
      </xdr:nvCxnSpPr>
      <xdr:spPr>
        <a:xfrm>
          <a:off x="3430678" y="2723746"/>
          <a:ext cx="2903270" cy="25064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7</xdr:row>
      <xdr:rowOff>80045</xdr:rowOff>
    </xdr:from>
    <xdr:to>
      <xdr:col>8</xdr:col>
      <xdr:colOff>210734</xdr:colOff>
      <xdr:row>18</xdr:row>
      <xdr:rowOff>49647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B4B126-CDF1-4A79-B052-9A5C2A12DFEB}"/>
            </a:ext>
          </a:extLst>
        </xdr:cNvPr>
        <xdr:cNvCxnSpPr>
          <a:stCxn id="8" idx="6"/>
          <a:endCxn id="31" idx="2"/>
        </xdr:cNvCxnSpPr>
      </xdr:nvCxnSpPr>
      <xdr:spPr>
        <a:xfrm flipV="1">
          <a:off x="1762323" y="2080295"/>
          <a:ext cx="2911554" cy="26638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14</xdr:row>
      <xdr:rowOff>28991</xdr:rowOff>
    </xdr:from>
    <xdr:to>
      <xdr:col>8</xdr:col>
      <xdr:colOff>210734</xdr:colOff>
      <xdr:row>18</xdr:row>
      <xdr:rowOff>49647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1EF1FB62-FC7A-453B-A282-710C0EB2C7C0}"/>
            </a:ext>
          </a:extLst>
        </xdr:cNvPr>
        <xdr:cNvCxnSpPr>
          <a:stCxn id="8" idx="6"/>
          <a:endCxn id="32" idx="2"/>
        </xdr:cNvCxnSpPr>
      </xdr:nvCxnSpPr>
      <xdr:spPr>
        <a:xfrm flipV="1">
          <a:off x="3422394" y="3512420"/>
          <a:ext cx="2911554" cy="10003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360787</xdr:colOff>
      <xdr:row>18</xdr:row>
      <xdr:rowOff>49647</xdr:rowOff>
    </xdr:from>
    <xdr:to>
      <xdr:col>8</xdr:col>
      <xdr:colOff>210734</xdr:colOff>
      <xdr:row>21</xdr:row>
      <xdr:rowOff>32302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EF3C3D9-9060-4424-A290-396E2A923840}"/>
            </a:ext>
          </a:extLst>
        </xdr:cNvPr>
        <xdr:cNvCxnSpPr>
          <a:stCxn id="8" idx="6"/>
          <a:endCxn id="33" idx="2"/>
        </xdr:cNvCxnSpPr>
      </xdr:nvCxnSpPr>
      <xdr:spPr>
        <a:xfrm>
          <a:off x="3422394" y="4512790"/>
          <a:ext cx="2911554" cy="7174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331301</xdr:colOff>
      <xdr:row>23</xdr:row>
      <xdr:rowOff>116258</xdr:rowOff>
    </xdr:from>
    <xdr:to>
      <xdr:col>24</xdr:col>
      <xdr:colOff>447258</xdr:colOff>
      <xdr:row>28</xdr:row>
      <xdr:rowOff>218595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24D211C-8323-4CD4-B89B-A605849F8FA8}"/>
            </a:ext>
          </a:extLst>
        </xdr:cNvPr>
        <xdr:cNvSpPr>
          <a:spLocks noChangeAspect="1"/>
        </xdr:cNvSpPr>
      </xdr:nvSpPr>
      <xdr:spPr>
        <a:xfrm>
          <a:off x="13802372" y="5804044"/>
          <a:ext cx="1340600" cy="1326980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dumBus</a:t>
          </a:r>
        </a:p>
      </xdr:txBody>
    </xdr:sp>
    <xdr:clientData/>
  </xdr:twoCellAnchor>
  <xdr:twoCellAnchor>
    <xdr:from>
      <xdr:col>15</xdr:col>
      <xdr:colOff>313083</xdr:colOff>
      <xdr:row>7</xdr:row>
      <xdr:rowOff>80045</xdr:rowOff>
    </xdr:from>
    <xdr:to>
      <xdr:col>22</xdr:col>
      <xdr:colOff>331301</xdr:colOff>
      <xdr:row>26</xdr:row>
      <xdr:rowOff>44962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83951A9-DA82-4BC5-B198-6C5CC10AF681}"/>
            </a:ext>
          </a:extLst>
        </xdr:cNvPr>
        <xdr:cNvCxnSpPr>
          <a:cxnSpLocks/>
          <a:stCxn id="4" idx="4"/>
          <a:endCxn id="21" idx="2"/>
        </xdr:cNvCxnSpPr>
      </xdr:nvCxnSpPr>
      <xdr:spPr>
        <a:xfrm>
          <a:off x="9062476" y="2080295"/>
          <a:ext cx="4304468" cy="4618560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14</xdr:row>
      <xdr:rowOff>28991</xdr:rowOff>
    </xdr:from>
    <xdr:to>
      <xdr:col>22</xdr:col>
      <xdr:colOff>331301</xdr:colOff>
      <xdr:row>26</xdr:row>
      <xdr:rowOff>44963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BB89215-AF91-4390-ADC0-772BC2DA9B92}"/>
            </a:ext>
          </a:extLst>
        </xdr:cNvPr>
        <xdr:cNvCxnSpPr>
          <a:cxnSpLocks/>
          <a:stCxn id="5" idx="4"/>
          <a:endCxn id="21" idx="2"/>
        </xdr:cNvCxnSpPr>
      </xdr:nvCxnSpPr>
      <xdr:spPr>
        <a:xfrm>
          <a:off x="10722547" y="3512420"/>
          <a:ext cx="3079825" cy="2955114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313083</xdr:colOff>
      <xdr:row>21</xdr:row>
      <xdr:rowOff>32302</xdr:rowOff>
    </xdr:from>
    <xdr:to>
      <xdr:col>22</xdr:col>
      <xdr:colOff>331301</xdr:colOff>
      <xdr:row>26</xdr:row>
      <xdr:rowOff>44963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28CF5748-1E8B-4AEB-B9D9-D395B6FB2330}"/>
            </a:ext>
          </a:extLst>
        </xdr:cNvPr>
        <xdr:cNvCxnSpPr>
          <a:cxnSpLocks/>
          <a:stCxn id="6" idx="4"/>
          <a:endCxn id="21" idx="2"/>
        </xdr:cNvCxnSpPr>
      </xdr:nvCxnSpPr>
      <xdr:spPr>
        <a:xfrm>
          <a:off x="10722547" y="5230231"/>
          <a:ext cx="3079825" cy="123730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210734</xdr:colOff>
      <xdr:row>5</xdr:row>
      <xdr:rowOff>30406</xdr:rowOff>
    </xdr:from>
    <xdr:to>
      <xdr:col>10</xdr:col>
      <xdr:colOff>326690</xdr:colOff>
      <xdr:row>9</xdr:row>
      <xdr:rowOff>129684</xdr:rowOff>
    </xdr:to>
    <xdr:sp macro="" textlink="">
      <xdr:nvSpPr>
        <xdr:cNvPr id="31" name="Flowchart: Magnetic Disk 30">
          <a:extLst>
            <a:ext uri="{FF2B5EF4-FFF2-40B4-BE49-F238E27FC236}">
              <a16:creationId xmlns:a16="http://schemas.microsoft.com/office/drawing/2014/main" id="{53800C1A-6F62-4A08-AD52-74186E07E307}"/>
            </a:ext>
          </a:extLst>
        </xdr:cNvPr>
        <xdr:cNvSpPr/>
      </xdr:nvSpPr>
      <xdr:spPr>
        <a:xfrm>
          <a:off x="4673877" y="1540799"/>
          <a:ext cx="1340599" cy="1078992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ScranMult</a:t>
          </a:r>
        </a:p>
      </xdr:txBody>
    </xdr:sp>
    <xdr:clientData/>
  </xdr:twoCellAnchor>
  <xdr:twoCellAnchor>
    <xdr:from>
      <xdr:col>8</xdr:col>
      <xdr:colOff>210734</xdr:colOff>
      <xdr:row>11</xdr:row>
      <xdr:rowOff>224223</xdr:rowOff>
    </xdr:from>
    <xdr:to>
      <xdr:col>10</xdr:col>
      <xdr:colOff>326690</xdr:colOff>
      <xdr:row>16</xdr:row>
      <xdr:rowOff>78687</xdr:rowOff>
    </xdr:to>
    <xdr:sp macro="" textlink="">
      <xdr:nvSpPr>
        <xdr:cNvPr id="32" name="Flowchart: Magnetic Disk 31">
          <a:extLst>
            <a:ext uri="{FF2B5EF4-FFF2-40B4-BE49-F238E27FC236}">
              <a16:creationId xmlns:a16="http://schemas.microsoft.com/office/drawing/2014/main" id="{E6C85A37-03B0-45BA-B5C4-DA0C4775A1DA}"/>
            </a:ext>
          </a:extLst>
        </xdr:cNvPr>
        <xdr:cNvSpPr/>
      </xdr:nvSpPr>
      <xdr:spPr>
        <a:xfrm>
          <a:off x="6333948" y="2972866"/>
          <a:ext cx="1340599" cy="1079107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UticaMult</a:t>
          </a:r>
        </a:p>
      </xdr:txBody>
    </xdr:sp>
    <xdr:clientData/>
  </xdr:twoCellAnchor>
  <xdr:twoCellAnchor>
    <xdr:from>
      <xdr:col>8</xdr:col>
      <xdr:colOff>210734</xdr:colOff>
      <xdr:row>18</xdr:row>
      <xdr:rowOff>227535</xdr:rowOff>
    </xdr:from>
    <xdr:to>
      <xdr:col>10</xdr:col>
      <xdr:colOff>326690</xdr:colOff>
      <xdr:row>23</xdr:row>
      <xdr:rowOff>81998</xdr:rowOff>
    </xdr:to>
    <xdr:sp macro="" textlink="">
      <xdr:nvSpPr>
        <xdr:cNvPr id="33" name="Flowchart: Magnetic Disk 32">
          <a:extLst>
            <a:ext uri="{FF2B5EF4-FFF2-40B4-BE49-F238E27FC236}">
              <a16:creationId xmlns:a16="http://schemas.microsoft.com/office/drawing/2014/main" id="{D52BCD9C-AA9D-49C5-B60C-C8951D80C55D}"/>
            </a:ext>
          </a:extLst>
        </xdr:cNvPr>
        <xdr:cNvSpPr/>
      </xdr:nvSpPr>
      <xdr:spPr>
        <a:xfrm>
          <a:off x="6333948" y="4690678"/>
          <a:ext cx="1340599" cy="1079106"/>
        </a:xfrm>
        <a:prstGeom prst="flowChartMagneticDisk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StamMult</a:t>
          </a:r>
        </a:p>
      </xdr:txBody>
    </xdr:sp>
    <xdr:clientData/>
  </xdr:twoCellAnchor>
  <xdr:twoCellAnchor>
    <xdr:from>
      <xdr:col>10</xdr:col>
      <xdr:colOff>353786</xdr:colOff>
      <xdr:row>6</xdr:row>
      <xdr:rowOff>54429</xdr:rowOff>
    </xdr:from>
    <xdr:to>
      <xdr:col>13</xdr:col>
      <xdr:colOff>176893</xdr:colOff>
      <xdr:row>6</xdr:row>
      <xdr:rowOff>54429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DB3F63F-5926-44B6-9005-B26AB75E2DB0}"/>
            </a:ext>
          </a:extLst>
        </xdr:cNvPr>
        <xdr:cNvCxnSpPr/>
      </xdr:nvCxnSpPr>
      <xdr:spPr>
        <a:xfrm>
          <a:off x="7701643" y="1578429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356507</xdr:colOff>
      <xdr:row>8</xdr:row>
      <xdr:rowOff>43544</xdr:rowOff>
    </xdr:from>
    <xdr:to>
      <xdr:col>13</xdr:col>
      <xdr:colOff>179614</xdr:colOff>
      <xdr:row>8</xdr:row>
      <xdr:rowOff>43544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E4D198-34F5-4E8E-9EE4-84C70D4D64D1}"/>
            </a:ext>
          </a:extLst>
        </xdr:cNvPr>
        <xdr:cNvCxnSpPr/>
      </xdr:nvCxnSpPr>
      <xdr:spPr>
        <a:xfrm>
          <a:off x="7704364" y="2057401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13</xdr:row>
      <xdr:rowOff>97972</xdr:rowOff>
    </xdr:from>
    <xdr:to>
      <xdr:col>13</xdr:col>
      <xdr:colOff>166008</xdr:colOff>
      <xdr:row>13</xdr:row>
      <xdr:rowOff>97972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82EACBC3-0A92-4C31-A96E-669EF12ECCA1}"/>
            </a:ext>
          </a:extLst>
        </xdr:cNvPr>
        <xdr:cNvCxnSpPr/>
      </xdr:nvCxnSpPr>
      <xdr:spPr>
        <a:xfrm>
          <a:off x="7690758" y="333647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345622</xdr:colOff>
      <xdr:row>15</xdr:row>
      <xdr:rowOff>87087</xdr:rowOff>
    </xdr:from>
    <xdr:to>
      <xdr:col>13</xdr:col>
      <xdr:colOff>168729</xdr:colOff>
      <xdr:row>15</xdr:row>
      <xdr:rowOff>87087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FEE1B07-B41E-4511-9E1E-8FED135FD04B}"/>
            </a:ext>
          </a:extLst>
        </xdr:cNvPr>
        <xdr:cNvCxnSpPr/>
      </xdr:nvCxnSpPr>
      <xdr:spPr>
        <a:xfrm>
          <a:off x="7693479" y="3815444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359230</xdr:colOff>
      <xdr:row>20</xdr:row>
      <xdr:rowOff>73480</xdr:rowOff>
    </xdr:from>
    <xdr:to>
      <xdr:col>13</xdr:col>
      <xdr:colOff>182337</xdr:colOff>
      <xdr:row>20</xdr:row>
      <xdr:rowOff>73480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6509CEAE-9BCC-4A94-831C-64FA0269373C}"/>
            </a:ext>
          </a:extLst>
        </xdr:cNvPr>
        <xdr:cNvCxnSpPr/>
      </xdr:nvCxnSpPr>
      <xdr:spPr>
        <a:xfrm>
          <a:off x="7707087" y="5026480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361951</xdr:colOff>
      <xdr:row>22</xdr:row>
      <xdr:rowOff>62595</xdr:rowOff>
    </xdr:from>
    <xdr:to>
      <xdr:col>13</xdr:col>
      <xdr:colOff>185058</xdr:colOff>
      <xdr:row>22</xdr:row>
      <xdr:rowOff>62595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1CC4514-DC95-4E25-8867-F6440911C74F}"/>
            </a:ext>
          </a:extLst>
        </xdr:cNvPr>
        <xdr:cNvCxnSpPr/>
      </xdr:nvCxnSpPr>
      <xdr:spPr>
        <a:xfrm>
          <a:off x="7709808" y="5505452"/>
          <a:ext cx="16600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142402</xdr:colOff>
      <xdr:row>26</xdr:row>
      <xdr:rowOff>178692</xdr:rowOff>
    </xdr:from>
    <xdr:to>
      <xdr:col>15</xdr:col>
      <xdr:colOff>258359</xdr:colOff>
      <xdr:row>32</xdr:row>
      <xdr:rowOff>12088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9BE48C62-35DD-404F-83D6-283AFA6D22CC}"/>
            </a:ext>
          </a:extLst>
        </xdr:cNvPr>
        <xdr:cNvSpPr>
          <a:spLocks noChangeAspect="1"/>
        </xdr:cNvSpPr>
      </xdr:nvSpPr>
      <xdr:spPr>
        <a:xfrm>
          <a:off x="7583108" y="6610868"/>
          <a:ext cx="1326192" cy="1278955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dumPlant</a:t>
          </a:r>
        </a:p>
      </xdr:txBody>
    </xdr:sp>
    <xdr:clientData/>
  </xdr:twoCellAnchor>
  <xdr:twoCellAnchor>
    <xdr:from>
      <xdr:col>10</xdr:col>
      <xdr:colOff>326690</xdr:colOff>
      <xdr:row>7</xdr:row>
      <xdr:rowOff>80045</xdr:rowOff>
    </xdr:from>
    <xdr:to>
      <xdr:col>13</xdr:col>
      <xdr:colOff>142402</xdr:colOff>
      <xdr:row>29</xdr:row>
      <xdr:rowOff>112199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F1385F60-1487-4202-9771-5C953E41A56C}"/>
            </a:ext>
          </a:extLst>
        </xdr:cNvPr>
        <xdr:cNvCxnSpPr>
          <a:cxnSpLocks/>
          <a:stCxn id="31" idx="4"/>
          <a:endCxn id="34" idx="2"/>
        </xdr:cNvCxnSpPr>
      </xdr:nvCxnSpPr>
      <xdr:spPr>
        <a:xfrm>
          <a:off x="5952043" y="2041074"/>
          <a:ext cx="1631065" cy="520927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14</xdr:row>
      <xdr:rowOff>33794</xdr:rowOff>
    </xdr:from>
    <xdr:to>
      <xdr:col>13</xdr:col>
      <xdr:colOff>142402</xdr:colOff>
      <xdr:row>29</xdr:row>
      <xdr:rowOff>112199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6F75DB0-D9A8-471C-A0B7-5B9113A96189}"/>
            </a:ext>
          </a:extLst>
        </xdr:cNvPr>
        <xdr:cNvCxnSpPr>
          <a:cxnSpLocks/>
          <a:stCxn id="32" idx="4"/>
          <a:endCxn id="34" idx="2"/>
        </xdr:cNvCxnSpPr>
      </xdr:nvCxnSpPr>
      <xdr:spPr>
        <a:xfrm>
          <a:off x="5952043" y="3642088"/>
          <a:ext cx="1631065" cy="3608258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326690</xdr:colOff>
      <xdr:row>21</xdr:row>
      <xdr:rowOff>37105</xdr:rowOff>
    </xdr:from>
    <xdr:to>
      <xdr:col>13</xdr:col>
      <xdr:colOff>142402</xdr:colOff>
      <xdr:row>29</xdr:row>
      <xdr:rowOff>112199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7477583-2885-4AB2-8D73-107E15AE2DB3}"/>
            </a:ext>
          </a:extLst>
        </xdr:cNvPr>
        <xdr:cNvCxnSpPr>
          <a:cxnSpLocks/>
          <a:stCxn id="33" idx="4"/>
          <a:endCxn id="34" idx="2"/>
        </xdr:cNvCxnSpPr>
      </xdr:nvCxnSpPr>
      <xdr:spPr>
        <a:xfrm>
          <a:off x="5952043" y="5292664"/>
          <a:ext cx="1631065" cy="1957682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8</xdr:row>
      <xdr:rowOff>104775</xdr:rowOff>
    </xdr:from>
    <xdr:to>
      <xdr:col>4</xdr:col>
      <xdr:colOff>174638</xdr:colOff>
      <xdr:row>15</xdr:row>
      <xdr:rowOff>59929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1AF31B8-E53C-4296-8DCC-9DF99905B89C}"/>
            </a:ext>
          </a:extLst>
        </xdr:cNvPr>
        <xdr:cNvSpPr>
          <a:spLocks/>
        </xdr:cNvSpPr>
      </xdr:nvSpPr>
      <xdr:spPr>
        <a:xfrm>
          <a:off x="1343025" y="1247775"/>
          <a:ext cx="1365263" cy="12886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Grade</a:t>
          </a:r>
          <a:r>
            <a:rPr lang="en-US" sz="1300" baseline="0">
              <a:solidFill>
                <a:schemeClr val="tx1"/>
              </a:solidFill>
            </a:rPr>
            <a:t> A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104775</xdr:colOff>
      <xdr:row>18</xdr:row>
      <xdr:rowOff>133350</xdr:rowOff>
    </xdr:from>
    <xdr:to>
      <xdr:col>4</xdr:col>
      <xdr:colOff>155588</xdr:colOff>
      <xdr:row>25</xdr:row>
      <xdr:rowOff>88504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A34ED98-61D9-49E3-BA22-9899730B7BBC}"/>
            </a:ext>
          </a:extLst>
        </xdr:cNvPr>
        <xdr:cNvSpPr>
          <a:spLocks/>
        </xdr:cNvSpPr>
      </xdr:nvSpPr>
      <xdr:spPr>
        <a:xfrm>
          <a:off x="1323975" y="2228850"/>
          <a:ext cx="1270013" cy="128865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Grade</a:t>
          </a:r>
          <a:r>
            <a:rPr lang="en-US" sz="1300" baseline="0">
              <a:solidFill>
                <a:schemeClr val="tx1"/>
              </a:solidFill>
            </a:rPr>
            <a:t> B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66675</xdr:colOff>
      <xdr:row>4</xdr:row>
      <xdr:rowOff>0</xdr:rowOff>
    </xdr:from>
    <xdr:to>
      <xdr:col>11</xdr:col>
      <xdr:colOff>212738</xdr:colOff>
      <xdr:row>10</xdr:row>
      <xdr:rowOff>145654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41A28D7-36A3-4E82-AE9D-E0E736E6576D}"/>
            </a:ext>
          </a:extLst>
        </xdr:cNvPr>
        <xdr:cNvSpPr>
          <a:spLocks/>
        </xdr:cNvSpPr>
      </xdr:nvSpPr>
      <xdr:spPr>
        <a:xfrm>
          <a:off x="4429125" y="381000"/>
          <a:ext cx="1365263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Raisin</a:t>
          </a:r>
        </a:p>
      </xdr:txBody>
    </xdr:sp>
    <xdr:clientData/>
  </xdr:twoCellAnchor>
  <xdr:twoCellAnchor>
    <xdr:from>
      <xdr:col>9</xdr:col>
      <xdr:colOff>76200</xdr:colOff>
      <xdr:row>13</xdr:row>
      <xdr:rowOff>47625</xdr:rowOff>
    </xdr:from>
    <xdr:to>
      <xdr:col>11</xdr:col>
      <xdr:colOff>222263</xdr:colOff>
      <xdr:row>20</xdr:row>
      <xdr:rowOff>2779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6395674-38FF-48EB-865F-3C8D4F51B168}"/>
            </a:ext>
          </a:extLst>
        </xdr:cNvPr>
        <xdr:cNvSpPr>
          <a:spLocks/>
        </xdr:cNvSpPr>
      </xdr:nvSpPr>
      <xdr:spPr>
        <a:xfrm>
          <a:off x="4438650" y="2143125"/>
          <a:ext cx="1365263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Juice</a:t>
          </a:r>
        </a:p>
      </xdr:txBody>
    </xdr:sp>
    <xdr:clientData/>
  </xdr:twoCellAnchor>
  <xdr:twoCellAnchor>
    <xdr:from>
      <xdr:col>9</xdr:col>
      <xdr:colOff>76200</xdr:colOff>
      <xdr:row>23</xdr:row>
      <xdr:rowOff>57150</xdr:rowOff>
    </xdr:from>
    <xdr:to>
      <xdr:col>11</xdr:col>
      <xdr:colOff>222263</xdr:colOff>
      <xdr:row>30</xdr:row>
      <xdr:rowOff>12304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E664123-3725-4625-9F25-BDDE922AAAB8}"/>
            </a:ext>
          </a:extLst>
        </xdr:cNvPr>
        <xdr:cNvSpPr>
          <a:spLocks/>
        </xdr:cNvSpPr>
      </xdr:nvSpPr>
      <xdr:spPr>
        <a:xfrm>
          <a:off x="4412876" y="4438650"/>
          <a:ext cx="1356299" cy="128865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Jelly</a:t>
          </a:r>
        </a:p>
      </xdr:txBody>
    </xdr:sp>
    <xdr:clientData/>
  </xdr:twoCellAnchor>
  <xdr:twoCellAnchor>
    <xdr:from>
      <xdr:col>14</xdr:col>
      <xdr:colOff>356907</xdr:colOff>
      <xdr:row>13</xdr:row>
      <xdr:rowOff>93569</xdr:rowOff>
    </xdr:from>
    <xdr:to>
      <xdr:col>16</xdr:col>
      <xdr:colOff>508574</xdr:colOff>
      <xdr:row>20</xdr:row>
      <xdr:rowOff>48723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199A62D-1304-4DA9-B651-BBFA4831055D}"/>
            </a:ext>
          </a:extLst>
        </xdr:cNvPr>
        <xdr:cNvSpPr>
          <a:spLocks/>
        </xdr:cNvSpPr>
      </xdr:nvSpPr>
      <xdr:spPr>
        <a:xfrm>
          <a:off x="7719172" y="2570069"/>
          <a:ext cx="1361902" cy="1288654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Dummy Balance Node</a:t>
          </a:r>
          <a:r>
            <a:rPr lang="en-US" sz="1300" baseline="0">
              <a:solidFill>
                <a:schemeClr val="tx1"/>
              </a:solidFill>
            </a:rPr>
            <a:t> (Demand)</a:t>
          </a:r>
          <a:endParaRPr lang="en-US" sz="13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174638</xdr:colOff>
      <xdr:row>7</xdr:row>
      <xdr:rowOff>72827</xdr:rowOff>
    </xdr:from>
    <xdr:to>
      <xdr:col>9</xdr:col>
      <xdr:colOff>66675</xdr:colOff>
      <xdr:row>11</xdr:row>
      <xdr:rowOff>177602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9572513-E018-4D54-99B3-5606C03E9FCA}"/>
            </a:ext>
          </a:extLst>
        </xdr:cNvPr>
        <xdr:cNvCxnSpPr>
          <a:stCxn id="2" idx="6"/>
          <a:endCxn id="4" idx="2"/>
        </xdr:cNvCxnSpPr>
      </xdr:nvCxnSpPr>
      <xdr:spPr>
        <a:xfrm flipV="1">
          <a:off x="2695962" y="1406327"/>
          <a:ext cx="1707389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174638</xdr:colOff>
      <xdr:row>11</xdr:row>
      <xdr:rowOff>177602</xdr:rowOff>
    </xdr:from>
    <xdr:to>
      <xdr:col>9</xdr:col>
      <xdr:colOff>76200</xdr:colOff>
      <xdr:row>16</xdr:row>
      <xdr:rowOff>120452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70401B8-AA6E-4311-A97A-E410D8ADA509}"/>
            </a:ext>
          </a:extLst>
        </xdr:cNvPr>
        <xdr:cNvCxnSpPr>
          <a:stCxn id="2" idx="6"/>
          <a:endCxn id="5" idx="2"/>
        </xdr:cNvCxnSpPr>
      </xdr:nvCxnSpPr>
      <xdr:spPr>
        <a:xfrm>
          <a:off x="2695962" y="2273102"/>
          <a:ext cx="1716914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174638</xdr:colOff>
      <xdr:row>11</xdr:row>
      <xdr:rowOff>177602</xdr:rowOff>
    </xdr:from>
    <xdr:to>
      <xdr:col>9</xdr:col>
      <xdr:colOff>76200</xdr:colOff>
      <xdr:row>26</xdr:row>
      <xdr:rowOff>129977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CD559B9-0B56-47D8-9A89-049FF50BFB96}"/>
            </a:ext>
          </a:extLst>
        </xdr:cNvPr>
        <xdr:cNvCxnSpPr>
          <a:stCxn id="2" idx="6"/>
          <a:endCxn id="6" idx="2"/>
        </xdr:cNvCxnSpPr>
      </xdr:nvCxnSpPr>
      <xdr:spPr>
        <a:xfrm>
          <a:off x="2695962" y="2273102"/>
          <a:ext cx="1716914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7</xdr:row>
      <xdr:rowOff>72827</xdr:rowOff>
    </xdr:from>
    <xdr:to>
      <xdr:col>9</xdr:col>
      <xdr:colOff>66675</xdr:colOff>
      <xdr:row>22</xdr:row>
      <xdr:rowOff>15677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8FC6F73-D343-4EDD-8AAF-613FBE99092D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2676912" y="1406327"/>
          <a:ext cx="1726439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16</xdr:row>
      <xdr:rowOff>120452</xdr:rowOff>
    </xdr:from>
    <xdr:to>
      <xdr:col>9</xdr:col>
      <xdr:colOff>76200</xdr:colOff>
      <xdr:row>22</xdr:row>
      <xdr:rowOff>15677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779B918-3FF9-487B-8993-9AFEACA19D54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2676912" y="3168452"/>
          <a:ext cx="1735964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155588</xdr:colOff>
      <xdr:row>22</xdr:row>
      <xdr:rowOff>15677</xdr:rowOff>
    </xdr:from>
    <xdr:to>
      <xdr:col>9</xdr:col>
      <xdr:colOff>76200</xdr:colOff>
      <xdr:row>26</xdr:row>
      <xdr:rowOff>129977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D9AA0E7-5F48-43E2-9632-246BB93704F2}"/>
            </a:ext>
          </a:extLst>
        </xdr:cNvPr>
        <xdr:cNvCxnSpPr>
          <a:stCxn id="3" idx="6"/>
          <a:endCxn id="6" idx="2"/>
        </xdr:cNvCxnSpPr>
      </xdr:nvCxnSpPr>
      <xdr:spPr>
        <a:xfrm>
          <a:off x="2676912" y="4206677"/>
          <a:ext cx="1735964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212738</xdr:colOff>
      <xdr:row>7</xdr:row>
      <xdr:rowOff>72827</xdr:rowOff>
    </xdr:from>
    <xdr:to>
      <xdr:col>14</xdr:col>
      <xdr:colOff>356907</xdr:colOff>
      <xdr:row>16</xdr:row>
      <xdr:rowOff>166396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7C0988D-01A5-41C3-BCE7-E268D217E0A9}"/>
            </a:ext>
          </a:extLst>
        </xdr:cNvPr>
        <xdr:cNvCxnSpPr>
          <a:stCxn id="4" idx="6"/>
          <a:endCxn id="7" idx="2"/>
        </xdr:cNvCxnSpPr>
      </xdr:nvCxnSpPr>
      <xdr:spPr>
        <a:xfrm>
          <a:off x="5759650" y="1406327"/>
          <a:ext cx="1959522" cy="18080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222263</xdr:colOff>
      <xdr:row>16</xdr:row>
      <xdr:rowOff>120452</xdr:rowOff>
    </xdr:from>
    <xdr:to>
      <xdr:col>14</xdr:col>
      <xdr:colOff>356907</xdr:colOff>
      <xdr:row>16</xdr:row>
      <xdr:rowOff>166396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63A8B45-9BB9-4E93-B4EF-46666C84C87F}"/>
            </a:ext>
          </a:extLst>
        </xdr:cNvPr>
        <xdr:cNvCxnSpPr>
          <a:stCxn id="5" idx="6"/>
          <a:endCxn id="7" idx="2"/>
        </xdr:cNvCxnSpPr>
      </xdr:nvCxnSpPr>
      <xdr:spPr>
        <a:xfrm>
          <a:off x="5769175" y="3168452"/>
          <a:ext cx="1949997" cy="459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222263</xdr:colOff>
      <xdr:row>16</xdr:row>
      <xdr:rowOff>166396</xdr:rowOff>
    </xdr:from>
    <xdr:to>
      <xdr:col>14</xdr:col>
      <xdr:colOff>356907</xdr:colOff>
      <xdr:row>26</xdr:row>
      <xdr:rowOff>129977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E4AF514-4288-4B54-8FCD-28A6AC85459A}"/>
            </a:ext>
          </a:extLst>
        </xdr:cNvPr>
        <xdr:cNvCxnSpPr>
          <a:stCxn id="6" idx="6"/>
          <a:endCxn id="7" idx="2"/>
        </xdr:cNvCxnSpPr>
      </xdr:nvCxnSpPr>
      <xdr:spPr>
        <a:xfrm flipV="1">
          <a:off x="5769175" y="3214396"/>
          <a:ext cx="1949997" cy="18685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420947</xdr:colOff>
      <xdr:row>6</xdr:row>
      <xdr:rowOff>114971</xdr:rowOff>
    </xdr:from>
    <xdr:to>
      <xdr:col>35</xdr:col>
      <xdr:colOff>475281</xdr:colOff>
      <xdr:row>11</xdr:row>
      <xdr:rowOff>194153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E01D935-CCD1-49E7-8AAD-0DF93ED999C3}"/>
            </a:ext>
          </a:extLst>
        </xdr:cNvPr>
        <xdr:cNvSpPr>
          <a:spLocks noChangeAspect="1"/>
        </xdr:cNvSpPr>
      </xdr:nvSpPr>
      <xdr:spPr>
        <a:xfrm>
          <a:off x="14943771" y="1560530"/>
          <a:ext cx="1264569" cy="1255799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Goggle</a:t>
          </a:r>
        </a:p>
      </xdr:txBody>
    </xdr:sp>
    <xdr:clientData/>
  </xdr:twoCellAnchor>
  <xdr:twoCellAnchor>
    <xdr:from>
      <xdr:col>33</xdr:col>
      <xdr:colOff>357568</xdr:colOff>
      <xdr:row>18</xdr:row>
      <xdr:rowOff>207108</xdr:rowOff>
    </xdr:from>
    <xdr:to>
      <xdr:col>35</xdr:col>
      <xdr:colOff>411901</xdr:colOff>
      <xdr:row>24</xdr:row>
      <xdr:rowOff>50725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437D29B-7894-4E52-947A-9F56F23A7956}"/>
            </a:ext>
          </a:extLst>
        </xdr:cNvPr>
        <xdr:cNvSpPr>
          <a:spLocks noChangeAspect="1"/>
        </xdr:cNvSpPr>
      </xdr:nvSpPr>
      <xdr:spPr>
        <a:xfrm>
          <a:off x="13670156" y="4476549"/>
          <a:ext cx="1264569" cy="1255558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chemeClr val="tx1"/>
              </a:solidFill>
            </a:rPr>
            <a:t>Faceblock</a:t>
          </a:r>
        </a:p>
      </xdr:txBody>
    </xdr:sp>
    <xdr:clientData/>
  </xdr:twoCellAnchor>
  <xdr:twoCellAnchor>
    <xdr:from>
      <xdr:col>10</xdr:col>
      <xdr:colOff>197127</xdr:colOff>
      <xdr:row>7</xdr:row>
      <xdr:rowOff>33131</xdr:rowOff>
    </xdr:from>
    <xdr:to>
      <xdr:col>12</xdr:col>
      <xdr:colOff>313083</xdr:colOff>
      <xdr:row>11</xdr:row>
      <xdr:rowOff>132522</xdr:rowOff>
    </xdr:to>
    <xdr:sp macro="" textlink="">
      <xdr:nvSpPr>
        <xdr:cNvPr id="4" name="Flowchart: Magnetic Disk 3">
          <a:extLst>
            <a:ext uri="{FF2B5EF4-FFF2-40B4-BE49-F238E27FC236}">
              <a16:creationId xmlns:a16="http://schemas.microsoft.com/office/drawing/2014/main" id="{D216334F-904B-47B0-AB74-AFA9F2BB401E}"/>
            </a:ext>
          </a:extLst>
        </xdr:cNvPr>
        <xdr:cNvSpPr/>
      </xdr:nvSpPr>
      <xdr:spPr>
        <a:xfrm>
          <a:off x="6293127" y="1014206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Scranton,</a:t>
          </a:r>
          <a:r>
            <a:rPr lang="en-US" sz="1400" baseline="0">
              <a:solidFill>
                <a:schemeClr val="tx1"/>
              </a:solidFill>
              <a:latin typeface="+mn-lt"/>
              <a:ea typeface="+mn-ea"/>
              <a:cs typeface="+mn-cs"/>
            </a:rPr>
            <a:t> PA</a:t>
          </a:r>
          <a:endParaRPr lang="en-US" sz="14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197127</xdr:colOff>
      <xdr:row>14</xdr:row>
      <xdr:rowOff>36444</xdr:rowOff>
    </xdr:from>
    <xdr:to>
      <xdr:col>12</xdr:col>
      <xdr:colOff>313083</xdr:colOff>
      <xdr:row>18</xdr:row>
      <xdr:rowOff>135836</xdr:rowOff>
    </xdr:to>
    <xdr:sp macro="" textlink="">
      <xdr:nvSpPr>
        <xdr:cNvPr id="5" name="Flowchart: Magnetic Disk 4">
          <a:extLst>
            <a:ext uri="{FF2B5EF4-FFF2-40B4-BE49-F238E27FC236}">
              <a16:creationId xmlns:a16="http://schemas.microsoft.com/office/drawing/2014/main" id="{8F910CD9-F2E8-424A-838D-19F2B8102717}"/>
            </a:ext>
          </a:extLst>
        </xdr:cNvPr>
        <xdr:cNvSpPr/>
      </xdr:nvSpPr>
      <xdr:spPr>
        <a:xfrm>
          <a:off x="6293127" y="2684394"/>
          <a:ext cx="1335156" cy="1051892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Utica, NY</a:t>
          </a:r>
        </a:p>
      </xdr:txBody>
    </xdr:sp>
    <xdr:clientData/>
  </xdr:twoCellAnchor>
  <xdr:twoCellAnchor>
    <xdr:from>
      <xdr:col>10</xdr:col>
      <xdr:colOff>197127</xdr:colOff>
      <xdr:row>21</xdr:row>
      <xdr:rowOff>39757</xdr:rowOff>
    </xdr:from>
    <xdr:to>
      <xdr:col>12</xdr:col>
      <xdr:colOff>313083</xdr:colOff>
      <xdr:row>25</xdr:row>
      <xdr:rowOff>139148</xdr:rowOff>
    </xdr:to>
    <xdr:sp macro="" textlink="">
      <xdr:nvSpPr>
        <xdr:cNvPr id="6" name="Flowchart: Magnetic Disk 5">
          <a:extLst>
            <a:ext uri="{FF2B5EF4-FFF2-40B4-BE49-F238E27FC236}">
              <a16:creationId xmlns:a16="http://schemas.microsoft.com/office/drawing/2014/main" id="{71A8CBEF-BFCA-4468-8230-AD8C8AC58BE6}"/>
            </a:ext>
          </a:extLst>
        </xdr:cNvPr>
        <xdr:cNvSpPr/>
      </xdr:nvSpPr>
      <xdr:spPr>
        <a:xfrm>
          <a:off x="6293127" y="4354582"/>
          <a:ext cx="1335156" cy="1051891"/>
        </a:xfrm>
        <a:prstGeom prst="flowChartMagneticDisk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Stamford, CT</a:t>
          </a:r>
        </a:p>
      </xdr:txBody>
    </xdr:sp>
    <xdr:clientData/>
  </xdr:twoCellAnchor>
  <xdr:twoCellAnchor>
    <xdr:from>
      <xdr:col>3</xdr:col>
      <xdr:colOff>314737</xdr:colOff>
      <xdr:row>10</xdr:row>
      <xdr:rowOff>57977</xdr:rowOff>
    </xdr:from>
    <xdr:to>
      <xdr:col>5</xdr:col>
      <xdr:colOff>369071</xdr:colOff>
      <xdr:row>15</xdr:row>
      <xdr:rowOff>137158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CFCF296-D8BB-45AE-916E-72F019F0CBC8}"/>
            </a:ext>
          </a:extLst>
        </xdr:cNvPr>
        <xdr:cNvSpPr>
          <a:spLocks/>
        </xdr:cNvSpPr>
      </xdr:nvSpPr>
      <xdr:spPr>
        <a:xfrm>
          <a:off x="8282607" y="1739347"/>
          <a:ext cx="1280160" cy="1280159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solidFill>
                <a:schemeClr val="tx1"/>
              </a:solidFill>
            </a:rPr>
            <a:t>Specialist</a:t>
          </a:r>
        </a:p>
      </xdr:txBody>
    </xdr:sp>
    <xdr:clientData/>
  </xdr:twoCellAnchor>
  <xdr:twoCellAnchor>
    <xdr:from>
      <xdr:col>3</xdr:col>
      <xdr:colOff>306453</xdr:colOff>
      <xdr:row>17</xdr:row>
      <xdr:rowOff>132520</xdr:rowOff>
    </xdr:from>
    <xdr:to>
      <xdr:col>5</xdr:col>
      <xdr:colOff>360787</xdr:colOff>
      <xdr:row>22</xdr:row>
      <xdr:rowOff>211702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FEE17A6-CAA5-4389-8BFF-2B6F44EE29C9}"/>
            </a:ext>
          </a:extLst>
        </xdr:cNvPr>
        <xdr:cNvSpPr>
          <a:spLocks/>
        </xdr:cNvSpPr>
      </xdr:nvSpPr>
      <xdr:spPr>
        <a:xfrm>
          <a:off x="8274323" y="3495259"/>
          <a:ext cx="1280160" cy="12801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300">
              <a:solidFill>
                <a:schemeClr val="tx1"/>
              </a:solidFill>
              <a:latin typeface="+mn-lt"/>
              <a:ea typeface="+mn-ea"/>
              <a:cs typeface="+mn-cs"/>
            </a:rPr>
            <a:t>Generalist</a:t>
          </a:r>
        </a:p>
      </xdr:txBody>
    </xdr:sp>
    <xdr:clientData/>
  </xdr:twoCellAnchor>
  <xdr:twoCellAnchor>
    <xdr:from>
      <xdr:col>12</xdr:col>
      <xdr:colOff>313083</xdr:colOff>
      <xdr:row>4</xdr:row>
      <xdr:rowOff>67639</xdr:rowOff>
    </xdr:from>
    <xdr:to>
      <xdr:col>18</xdr:col>
      <xdr:colOff>599614</xdr:colOff>
      <xdr:row>9</xdr:row>
      <xdr:rowOff>82827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6495EFF-24AA-4621-8241-5281ABE546D6}"/>
            </a:ext>
          </a:extLst>
        </xdr:cNvPr>
        <xdr:cNvCxnSpPr>
          <a:stCxn id="4" idx="4"/>
          <a:endCxn id="168" idx="2"/>
        </xdr:cNvCxnSpPr>
      </xdr:nvCxnSpPr>
      <xdr:spPr>
        <a:xfrm flipV="1">
          <a:off x="7574495" y="1042551"/>
          <a:ext cx="3917237" cy="1191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8</xdr:row>
      <xdr:rowOff>130392</xdr:rowOff>
    </xdr:from>
    <xdr:to>
      <xdr:col>18</xdr:col>
      <xdr:colOff>599614</xdr:colOff>
      <xdr:row>16</xdr:row>
      <xdr:rowOff>86140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816F7017-9898-4379-9972-E521D468F1B4}"/>
            </a:ext>
          </a:extLst>
        </xdr:cNvPr>
        <xdr:cNvCxnSpPr>
          <a:stCxn id="5" idx="4"/>
          <a:endCxn id="170" idx="2"/>
        </xdr:cNvCxnSpPr>
      </xdr:nvCxnSpPr>
      <xdr:spPr>
        <a:xfrm flipV="1">
          <a:off x="7574495" y="2046598"/>
          <a:ext cx="3917237" cy="1838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12</xdr:row>
      <xdr:rowOff>193145</xdr:rowOff>
    </xdr:from>
    <xdr:to>
      <xdr:col>18</xdr:col>
      <xdr:colOff>599614</xdr:colOff>
      <xdr:row>23</xdr:row>
      <xdr:rowOff>89453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85D481EA-55E4-406A-8340-8448367CB84A}"/>
            </a:ext>
          </a:extLst>
        </xdr:cNvPr>
        <xdr:cNvCxnSpPr>
          <a:stCxn id="6" idx="4"/>
          <a:endCxn id="171" idx="2"/>
        </xdr:cNvCxnSpPr>
      </xdr:nvCxnSpPr>
      <xdr:spPr>
        <a:xfrm flipV="1">
          <a:off x="7574495" y="3050645"/>
          <a:ext cx="3917237" cy="24848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599614</xdr:colOff>
      <xdr:row>17</xdr:row>
      <xdr:rowOff>20574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853F05B-EDD9-41C9-BC36-0B5817A85805}"/>
            </a:ext>
          </a:extLst>
        </xdr:cNvPr>
        <xdr:cNvCxnSpPr>
          <a:stCxn id="4" idx="4"/>
          <a:endCxn id="172" idx="2"/>
        </xdr:cNvCxnSpPr>
      </xdr:nvCxnSpPr>
      <xdr:spPr>
        <a:xfrm>
          <a:off x="7574495" y="2234356"/>
          <a:ext cx="3917237" cy="18203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599614</xdr:colOff>
      <xdr:row>21</xdr:row>
      <xdr:rowOff>83327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477F522D-0427-4463-A5CE-66047A147668}"/>
            </a:ext>
          </a:extLst>
        </xdr:cNvPr>
        <xdr:cNvCxnSpPr>
          <a:stCxn id="5" idx="4"/>
          <a:endCxn id="174" idx="2"/>
        </xdr:cNvCxnSpPr>
      </xdr:nvCxnSpPr>
      <xdr:spPr>
        <a:xfrm>
          <a:off x="7574495" y="3884934"/>
          <a:ext cx="3917237" cy="11738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599614</xdr:colOff>
      <xdr:row>25</xdr:row>
      <xdr:rowOff>146079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C2088FD-9CD0-4EE9-A2B1-0B89F1F0AF9B}"/>
            </a:ext>
          </a:extLst>
        </xdr:cNvPr>
        <xdr:cNvCxnSpPr>
          <a:stCxn id="6" idx="4"/>
          <a:endCxn id="175" idx="2"/>
        </xdr:cNvCxnSpPr>
      </xdr:nvCxnSpPr>
      <xdr:spPr>
        <a:xfrm>
          <a:off x="7574495" y="5535512"/>
          <a:ext cx="3917237" cy="5272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9</xdr:row>
      <xdr:rowOff>82827</xdr:rowOff>
    </xdr:from>
    <xdr:to>
      <xdr:col>10</xdr:col>
      <xdr:colOff>197127</xdr:colOff>
      <xdr:row>12</xdr:row>
      <xdr:rowOff>216630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28360B97-F948-4875-9A62-B13BB48E4E62}"/>
            </a:ext>
          </a:extLst>
        </xdr:cNvPr>
        <xdr:cNvCxnSpPr>
          <a:stCxn id="13" idx="6"/>
          <a:endCxn id="4" idx="2"/>
        </xdr:cNvCxnSpPr>
      </xdr:nvCxnSpPr>
      <xdr:spPr>
        <a:xfrm flipV="1">
          <a:off x="3417071" y="1540152"/>
          <a:ext cx="2876056" cy="8481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16</xdr:row>
      <xdr:rowOff>86140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62B2A8A7-A8ED-49E8-B658-EC343A62F8CD}"/>
            </a:ext>
          </a:extLst>
        </xdr:cNvPr>
        <xdr:cNvCxnSpPr>
          <a:stCxn id="13" idx="6"/>
          <a:endCxn id="5" idx="2"/>
        </xdr:cNvCxnSpPr>
      </xdr:nvCxnSpPr>
      <xdr:spPr>
        <a:xfrm>
          <a:off x="3417071" y="2388330"/>
          <a:ext cx="2876056" cy="822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369071</xdr:colOff>
      <xdr:row>12</xdr:row>
      <xdr:rowOff>216630</xdr:rowOff>
    </xdr:from>
    <xdr:to>
      <xdr:col>10</xdr:col>
      <xdr:colOff>197127</xdr:colOff>
      <xdr:row>23</xdr:row>
      <xdr:rowOff>89453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300E05AD-4162-428B-B99E-C6CC07C086F8}"/>
            </a:ext>
          </a:extLst>
        </xdr:cNvPr>
        <xdr:cNvCxnSpPr>
          <a:stCxn id="13" idx="6"/>
          <a:endCxn id="6" idx="2"/>
        </xdr:cNvCxnSpPr>
      </xdr:nvCxnSpPr>
      <xdr:spPr>
        <a:xfrm>
          <a:off x="3417071" y="2388330"/>
          <a:ext cx="2876056" cy="24921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9</xdr:row>
      <xdr:rowOff>82827</xdr:rowOff>
    </xdr:from>
    <xdr:to>
      <xdr:col>10</xdr:col>
      <xdr:colOff>197127</xdr:colOff>
      <xdr:row>20</xdr:row>
      <xdr:rowOff>53049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413CEF1-F1DB-454F-83BF-7D13F1FE1C8D}"/>
            </a:ext>
          </a:extLst>
        </xdr:cNvPr>
        <xdr:cNvCxnSpPr>
          <a:stCxn id="14" idx="6"/>
          <a:endCxn id="4" idx="2"/>
        </xdr:cNvCxnSpPr>
      </xdr:nvCxnSpPr>
      <xdr:spPr>
        <a:xfrm flipV="1">
          <a:off x="3408787" y="1540152"/>
          <a:ext cx="2884340" cy="25895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16</xdr:row>
      <xdr:rowOff>86140</xdr:rowOff>
    </xdr:from>
    <xdr:to>
      <xdr:col>10</xdr:col>
      <xdr:colOff>197127</xdr:colOff>
      <xdr:row>20</xdr:row>
      <xdr:rowOff>53049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C82DC522-0A4E-46B3-A3AA-D7BF66C717EC}"/>
            </a:ext>
          </a:extLst>
        </xdr:cNvPr>
        <xdr:cNvCxnSpPr>
          <a:stCxn id="14" idx="6"/>
          <a:endCxn id="5" idx="2"/>
        </xdr:cNvCxnSpPr>
      </xdr:nvCxnSpPr>
      <xdr:spPr>
        <a:xfrm flipV="1">
          <a:off x="3408787" y="3210340"/>
          <a:ext cx="2884340" cy="919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360787</xdr:colOff>
      <xdr:row>20</xdr:row>
      <xdr:rowOff>53049</xdr:rowOff>
    </xdr:from>
    <xdr:to>
      <xdr:col>10</xdr:col>
      <xdr:colOff>197127</xdr:colOff>
      <xdr:row>23</xdr:row>
      <xdr:rowOff>89453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22AD952C-1A2E-4774-87C7-C3EC1D1D2CEC}"/>
            </a:ext>
          </a:extLst>
        </xdr:cNvPr>
        <xdr:cNvCxnSpPr>
          <a:stCxn id="14" idx="6"/>
          <a:endCxn id="6" idx="2"/>
        </xdr:cNvCxnSpPr>
      </xdr:nvCxnSpPr>
      <xdr:spPr>
        <a:xfrm>
          <a:off x="3408787" y="4129749"/>
          <a:ext cx="2884340" cy="7507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581685</xdr:colOff>
      <xdr:row>29</xdr:row>
      <xdr:rowOff>56372</xdr:rowOff>
    </xdr:from>
    <xdr:to>
      <xdr:col>30</xdr:col>
      <xdr:colOff>92524</xdr:colOff>
      <xdr:row>33</xdr:row>
      <xdr:rowOff>393791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9DD7BEC7-6424-4CC9-BDA7-62BB93A0EF90}"/>
            </a:ext>
          </a:extLst>
        </xdr:cNvPr>
        <xdr:cNvSpPr>
          <a:spLocks noChangeAspect="1"/>
        </xdr:cNvSpPr>
      </xdr:nvSpPr>
      <xdr:spPr>
        <a:xfrm>
          <a:off x="11473803" y="6914372"/>
          <a:ext cx="1326192" cy="1278713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400">
              <a:solidFill>
                <a:schemeClr val="tx1"/>
              </a:solidFill>
              <a:latin typeface="+mn-lt"/>
              <a:ea typeface="+mn-ea"/>
              <a:cs typeface="+mn-cs"/>
            </a:rPr>
            <a:t>dummy</a:t>
          </a:r>
        </a:p>
      </xdr:txBody>
    </xdr:sp>
    <xdr:clientData/>
  </xdr:twoCellAnchor>
  <xdr:twoCellAnchor>
    <xdr:from>
      <xdr:col>12</xdr:col>
      <xdr:colOff>313083</xdr:colOff>
      <xdr:row>9</xdr:row>
      <xdr:rowOff>82827</xdr:rowOff>
    </xdr:from>
    <xdr:to>
      <xdr:col>18</xdr:col>
      <xdr:colOff>581685</xdr:colOff>
      <xdr:row>31</xdr:row>
      <xdr:rowOff>225082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263AA394-6315-4191-91E7-381ABE9739BD}"/>
            </a:ext>
          </a:extLst>
        </xdr:cNvPr>
        <xdr:cNvCxnSpPr>
          <a:cxnSpLocks/>
          <a:stCxn id="4" idx="4"/>
          <a:endCxn id="52" idx="2"/>
        </xdr:cNvCxnSpPr>
      </xdr:nvCxnSpPr>
      <xdr:spPr>
        <a:xfrm>
          <a:off x="7574495" y="2234356"/>
          <a:ext cx="3899308" cy="5319373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16</xdr:row>
      <xdr:rowOff>86140</xdr:rowOff>
    </xdr:from>
    <xdr:to>
      <xdr:col>18</xdr:col>
      <xdr:colOff>581685</xdr:colOff>
      <xdr:row>31</xdr:row>
      <xdr:rowOff>225082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695D93D8-ED00-4B1F-8EB2-3EAEB62F6B3E}"/>
            </a:ext>
          </a:extLst>
        </xdr:cNvPr>
        <xdr:cNvCxnSpPr>
          <a:cxnSpLocks/>
          <a:stCxn id="5" idx="4"/>
          <a:endCxn id="52" idx="2"/>
        </xdr:cNvCxnSpPr>
      </xdr:nvCxnSpPr>
      <xdr:spPr>
        <a:xfrm>
          <a:off x="7574495" y="3884934"/>
          <a:ext cx="3899308" cy="3668795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313083</xdr:colOff>
      <xdr:row>23</xdr:row>
      <xdr:rowOff>89453</xdr:rowOff>
    </xdr:from>
    <xdr:to>
      <xdr:col>18</xdr:col>
      <xdr:colOff>581685</xdr:colOff>
      <xdr:row>31</xdr:row>
      <xdr:rowOff>225082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F2A15FC7-48A4-44E3-8DA8-E6DFDB055E86}"/>
            </a:ext>
          </a:extLst>
        </xdr:cNvPr>
        <xdr:cNvCxnSpPr>
          <a:cxnSpLocks/>
          <a:stCxn id="6" idx="4"/>
          <a:endCxn id="52" idx="2"/>
        </xdr:cNvCxnSpPr>
      </xdr:nvCxnSpPr>
      <xdr:spPr>
        <a:xfrm>
          <a:off x="7574495" y="5535512"/>
          <a:ext cx="3899308" cy="2018217"/>
        </a:xfrm>
        <a:prstGeom prst="straightConnector1">
          <a:avLst/>
        </a:prstGeom>
        <a:ln>
          <a:solidFill>
            <a:schemeClr val="tx2">
              <a:lumMod val="40000"/>
              <a:lumOff val="60000"/>
            </a:schemeClr>
          </a:solidFill>
          <a:prstDash val="lg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599614</xdr:colOff>
      <xdr:row>2</xdr:row>
      <xdr:rowOff>141536</xdr:rowOff>
    </xdr:from>
    <xdr:to>
      <xdr:col>20</xdr:col>
      <xdr:colOff>212339</xdr:colOff>
      <xdr:row>5</xdr:row>
      <xdr:rowOff>229065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B2FB5F21-E1D3-489F-AEA7-4BBA4B822CE6}"/>
            </a:ext>
          </a:extLst>
        </xdr:cNvPr>
        <xdr:cNvSpPr>
          <a:spLocks noChangeAspect="1"/>
        </xdr:cNvSpPr>
      </xdr:nvSpPr>
      <xdr:spPr>
        <a:xfrm>
          <a:off x="11491732" y="645801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6</xdr:row>
      <xdr:rowOff>204289</xdr:rowOff>
    </xdr:from>
    <xdr:to>
      <xdr:col>20</xdr:col>
      <xdr:colOff>212339</xdr:colOff>
      <xdr:row>10</xdr:row>
      <xdr:rowOff>56494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346A07BB-6B2F-4225-AC83-6EF50B77B6AB}"/>
            </a:ext>
          </a:extLst>
        </xdr:cNvPr>
        <xdr:cNvSpPr>
          <a:spLocks noChangeAspect="1"/>
        </xdr:cNvSpPr>
      </xdr:nvSpPr>
      <xdr:spPr>
        <a:xfrm>
          <a:off x="11491732" y="1649848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11</xdr:row>
      <xdr:rowOff>31719</xdr:rowOff>
    </xdr:from>
    <xdr:to>
      <xdr:col>20</xdr:col>
      <xdr:colOff>212339</xdr:colOff>
      <xdr:row>14</xdr:row>
      <xdr:rowOff>119247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F054D7E4-E6A0-4E31-8FAB-A2DBBE882C0F}"/>
            </a:ext>
          </a:extLst>
        </xdr:cNvPr>
        <xdr:cNvSpPr>
          <a:spLocks noChangeAspect="1"/>
        </xdr:cNvSpPr>
      </xdr:nvSpPr>
      <xdr:spPr>
        <a:xfrm>
          <a:off x="11491732" y="265389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dumScGog</a:t>
          </a:r>
        </a:p>
      </xdr:txBody>
    </xdr:sp>
    <xdr:clientData/>
  </xdr:twoCellAnchor>
  <xdr:twoCellAnchor>
    <xdr:from>
      <xdr:col>18</xdr:col>
      <xdr:colOff>599614</xdr:colOff>
      <xdr:row>15</xdr:row>
      <xdr:rowOff>94471</xdr:rowOff>
    </xdr:from>
    <xdr:to>
      <xdr:col>20</xdr:col>
      <xdr:colOff>212339</xdr:colOff>
      <xdr:row>18</xdr:row>
      <xdr:rowOff>182000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0021BF88-CFC9-4FFB-AF0C-455D495C6E0B}"/>
            </a:ext>
          </a:extLst>
        </xdr:cNvPr>
        <xdr:cNvSpPr>
          <a:spLocks noChangeAspect="1"/>
        </xdr:cNvSpPr>
      </xdr:nvSpPr>
      <xdr:spPr>
        <a:xfrm>
          <a:off x="11491732" y="3657942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19</xdr:row>
      <xdr:rowOff>157224</xdr:rowOff>
    </xdr:from>
    <xdr:to>
      <xdr:col>20</xdr:col>
      <xdr:colOff>212339</xdr:colOff>
      <xdr:row>23</xdr:row>
      <xdr:rowOff>9429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8D75C645-70A3-4A43-B464-503BFCABB226}"/>
            </a:ext>
          </a:extLst>
        </xdr:cNvPr>
        <xdr:cNvSpPr>
          <a:spLocks noChangeAspect="1"/>
        </xdr:cNvSpPr>
      </xdr:nvSpPr>
      <xdr:spPr>
        <a:xfrm>
          <a:off x="11491732" y="4661989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18</xdr:col>
      <xdr:colOff>599614</xdr:colOff>
      <xdr:row>23</xdr:row>
      <xdr:rowOff>219976</xdr:rowOff>
    </xdr:from>
    <xdr:to>
      <xdr:col>20</xdr:col>
      <xdr:colOff>212339</xdr:colOff>
      <xdr:row>27</xdr:row>
      <xdr:rowOff>72181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1EFC248B-F5AA-4057-9071-824703F2BD2A}"/>
            </a:ext>
          </a:extLst>
        </xdr:cNvPr>
        <xdr:cNvSpPr>
          <a:spLocks noChangeAspect="1"/>
        </xdr:cNvSpPr>
      </xdr:nvSpPr>
      <xdr:spPr>
        <a:xfrm>
          <a:off x="11491732" y="5666035"/>
          <a:ext cx="822960" cy="793499"/>
        </a:xfrm>
        <a:prstGeom prst="ellipse">
          <a:avLst/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700">
              <a:solidFill>
                <a:schemeClr val="tx1"/>
              </a:solidFill>
              <a:latin typeface="+mn-lt"/>
              <a:ea typeface="+mn-ea"/>
              <a:cs typeface="+mn-cs"/>
            </a:rPr>
            <a:t>dumScFac</a:t>
          </a:r>
        </a:p>
      </xdr:txBody>
    </xdr: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11</xdr:row>
      <xdr:rowOff>10245</xdr:rowOff>
    </xdr:to>
    <xdr:cxnSp macro="">
      <xdr:nvCxnSpPr>
        <xdr:cNvPr id="185" name="Straight Arrow Connector 184">
          <a:extLst>
            <a:ext uri="{FF2B5EF4-FFF2-40B4-BE49-F238E27FC236}">
              <a16:creationId xmlns:a16="http://schemas.microsoft.com/office/drawing/2014/main" id="{1B55DF57-108B-4722-A37C-F4F0D986F65C}"/>
            </a:ext>
          </a:extLst>
        </xdr:cNvPr>
        <xdr:cNvCxnSpPr>
          <a:stCxn id="168" idx="6"/>
          <a:endCxn id="2" idx="3"/>
        </xdr:cNvCxnSpPr>
      </xdr:nvCxnSpPr>
      <xdr:spPr>
        <a:xfrm>
          <a:off x="12314692" y="1042551"/>
          <a:ext cx="2814271" cy="158987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4</xdr:row>
      <xdr:rowOff>67639</xdr:rowOff>
    </xdr:from>
    <xdr:to>
      <xdr:col>34</xdr:col>
      <xdr:colOff>1022</xdr:colOff>
      <xdr:row>7</xdr:row>
      <xdr:rowOff>63556</xdr:rowOff>
    </xdr:to>
    <xdr:cxnSp macro="">
      <xdr:nvCxnSpPr>
        <xdr:cNvPr id="189" name="Straight Arrow Connector 188">
          <a:extLst>
            <a:ext uri="{FF2B5EF4-FFF2-40B4-BE49-F238E27FC236}">
              <a16:creationId xmlns:a16="http://schemas.microsoft.com/office/drawing/2014/main" id="{D2F59020-0547-4395-919D-66F145920B93}"/>
            </a:ext>
          </a:extLst>
        </xdr:cNvPr>
        <xdr:cNvCxnSpPr>
          <a:stCxn id="168" idx="6"/>
          <a:endCxn id="2" idx="1"/>
        </xdr:cNvCxnSpPr>
      </xdr:nvCxnSpPr>
      <xdr:spPr>
        <a:xfrm>
          <a:off x="12314692" y="1042551"/>
          <a:ext cx="2814271" cy="7018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8</xdr:row>
      <xdr:rowOff>130392</xdr:rowOff>
    </xdr:to>
    <xdr:cxnSp macro="">
      <xdr:nvCxnSpPr>
        <xdr:cNvPr id="192" name="Straight Arrow Connector 191">
          <a:extLst>
            <a:ext uri="{FF2B5EF4-FFF2-40B4-BE49-F238E27FC236}">
              <a16:creationId xmlns:a16="http://schemas.microsoft.com/office/drawing/2014/main" id="{C0EBA085-24F3-456E-94C1-CCA89F577A8F}"/>
            </a:ext>
          </a:extLst>
        </xdr:cNvPr>
        <xdr:cNvCxnSpPr>
          <a:stCxn id="170" idx="6"/>
          <a:endCxn id="2" idx="1"/>
        </xdr:cNvCxnSpPr>
      </xdr:nvCxnSpPr>
      <xdr:spPr>
        <a:xfrm flipV="1">
          <a:off x="12314692" y="1744438"/>
          <a:ext cx="2814271" cy="302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8</xdr:row>
      <xdr:rowOff>130392</xdr:rowOff>
    </xdr:from>
    <xdr:to>
      <xdr:col>34</xdr:col>
      <xdr:colOff>1022</xdr:colOff>
      <xdr:row>11</xdr:row>
      <xdr:rowOff>10245</xdr:rowOff>
    </xdr:to>
    <xdr:cxnSp macro="">
      <xdr:nvCxnSpPr>
        <xdr:cNvPr id="196" name="Straight Arrow Connector 195">
          <a:extLst>
            <a:ext uri="{FF2B5EF4-FFF2-40B4-BE49-F238E27FC236}">
              <a16:creationId xmlns:a16="http://schemas.microsoft.com/office/drawing/2014/main" id="{AB801B1A-E3DA-4D54-AB7B-1C2244B4146E}"/>
            </a:ext>
          </a:extLst>
        </xdr:cNvPr>
        <xdr:cNvCxnSpPr>
          <a:stCxn id="170" idx="6"/>
          <a:endCxn id="2" idx="3"/>
        </xdr:cNvCxnSpPr>
      </xdr:nvCxnSpPr>
      <xdr:spPr>
        <a:xfrm>
          <a:off x="12314692" y="2046598"/>
          <a:ext cx="2814271" cy="585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7</xdr:row>
      <xdr:rowOff>63556</xdr:rowOff>
    </xdr:from>
    <xdr:to>
      <xdr:col>34</xdr:col>
      <xdr:colOff>1022</xdr:colOff>
      <xdr:row>12</xdr:row>
      <xdr:rowOff>193145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0EBDDFA4-F2E2-494C-95AD-F4DC26A5109C}"/>
            </a:ext>
          </a:extLst>
        </xdr:cNvPr>
        <xdr:cNvCxnSpPr>
          <a:stCxn id="171" idx="6"/>
          <a:endCxn id="2" idx="1"/>
        </xdr:cNvCxnSpPr>
      </xdr:nvCxnSpPr>
      <xdr:spPr>
        <a:xfrm flipV="1">
          <a:off x="12314692" y="1744438"/>
          <a:ext cx="2814271" cy="13062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11</xdr:row>
      <xdr:rowOff>10245</xdr:rowOff>
    </xdr:from>
    <xdr:to>
      <xdr:col>34</xdr:col>
      <xdr:colOff>1022</xdr:colOff>
      <xdr:row>12</xdr:row>
      <xdr:rowOff>193145</xdr:rowOff>
    </xdr:to>
    <xdr:cxnSp macro="">
      <xdr:nvCxnSpPr>
        <xdr:cNvPr id="202" name="Straight Arrow Connector 201">
          <a:extLst>
            <a:ext uri="{FF2B5EF4-FFF2-40B4-BE49-F238E27FC236}">
              <a16:creationId xmlns:a16="http://schemas.microsoft.com/office/drawing/2014/main" id="{5A0CE358-C20E-4954-AD94-339E26E3E994}"/>
            </a:ext>
          </a:extLst>
        </xdr:cNvPr>
        <xdr:cNvCxnSpPr>
          <a:stCxn id="171" idx="6"/>
          <a:endCxn id="2" idx="3"/>
        </xdr:cNvCxnSpPr>
      </xdr:nvCxnSpPr>
      <xdr:spPr>
        <a:xfrm flipV="1">
          <a:off x="12314692" y="2632421"/>
          <a:ext cx="2814271" cy="4182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19</xdr:row>
      <xdr:rowOff>155656</xdr:rowOff>
    </xdr:to>
    <xdr:cxnSp macro="">
      <xdr:nvCxnSpPr>
        <xdr:cNvPr id="205" name="Straight Arrow Connector 204">
          <a:extLst>
            <a:ext uri="{FF2B5EF4-FFF2-40B4-BE49-F238E27FC236}">
              <a16:creationId xmlns:a16="http://schemas.microsoft.com/office/drawing/2014/main" id="{50169F97-5CE1-484F-B8D7-F25EE41A3791}"/>
            </a:ext>
          </a:extLst>
        </xdr:cNvPr>
        <xdr:cNvCxnSpPr>
          <a:stCxn id="172" idx="6"/>
          <a:endCxn id="3" idx="1"/>
        </xdr:cNvCxnSpPr>
      </xdr:nvCxnSpPr>
      <xdr:spPr>
        <a:xfrm>
          <a:off x="12314692" y="4054692"/>
          <a:ext cx="2750892" cy="6057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17</xdr:row>
      <xdr:rowOff>20574</xdr:rowOff>
    </xdr:from>
    <xdr:to>
      <xdr:col>33</xdr:col>
      <xdr:colOff>542760</xdr:colOff>
      <xdr:row>23</xdr:row>
      <xdr:rowOff>102176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22C894A1-CE69-446A-9C01-17493352D1D4}"/>
            </a:ext>
          </a:extLst>
        </xdr:cNvPr>
        <xdr:cNvCxnSpPr>
          <a:stCxn id="172" idx="6"/>
          <a:endCxn id="3" idx="3"/>
        </xdr:cNvCxnSpPr>
      </xdr:nvCxnSpPr>
      <xdr:spPr>
        <a:xfrm>
          <a:off x="12314692" y="4054692"/>
          <a:ext cx="2750892" cy="14935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21</xdr:row>
      <xdr:rowOff>83327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A2CD5D82-3DA9-44F7-A288-0A6CF7F506BD}"/>
            </a:ext>
          </a:extLst>
        </xdr:cNvPr>
        <xdr:cNvCxnSpPr>
          <a:stCxn id="174" idx="6"/>
          <a:endCxn id="3" idx="1"/>
        </xdr:cNvCxnSpPr>
      </xdr:nvCxnSpPr>
      <xdr:spPr>
        <a:xfrm flipV="1">
          <a:off x="12314692" y="4660421"/>
          <a:ext cx="2750892" cy="398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21</xdr:row>
      <xdr:rowOff>83327</xdr:rowOff>
    </xdr:from>
    <xdr:to>
      <xdr:col>33</xdr:col>
      <xdr:colOff>542760</xdr:colOff>
      <xdr:row>23</xdr:row>
      <xdr:rowOff>102176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A10B2508-1CD2-4DC8-8555-0DF92D2D4787}"/>
            </a:ext>
          </a:extLst>
        </xdr:cNvPr>
        <xdr:cNvCxnSpPr>
          <a:stCxn id="174" idx="6"/>
          <a:endCxn id="3" idx="3"/>
        </xdr:cNvCxnSpPr>
      </xdr:nvCxnSpPr>
      <xdr:spPr>
        <a:xfrm>
          <a:off x="12314692" y="5058739"/>
          <a:ext cx="2750892" cy="4894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19</xdr:row>
      <xdr:rowOff>155656</xdr:rowOff>
    </xdr:from>
    <xdr:to>
      <xdr:col>33</xdr:col>
      <xdr:colOff>542760</xdr:colOff>
      <xdr:row>25</xdr:row>
      <xdr:rowOff>146079</xdr:rowOff>
    </xdr:to>
    <xdr:cxnSp macro="">
      <xdr:nvCxnSpPr>
        <xdr:cNvPr id="217" name="Straight Arrow Connector 216">
          <a:extLst>
            <a:ext uri="{FF2B5EF4-FFF2-40B4-BE49-F238E27FC236}">
              <a16:creationId xmlns:a16="http://schemas.microsoft.com/office/drawing/2014/main" id="{D2CC10AE-23A1-4D88-963F-A58A535B574E}"/>
            </a:ext>
          </a:extLst>
        </xdr:cNvPr>
        <xdr:cNvCxnSpPr>
          <a:stCxn id="175" idx="6"/>
          <a:endCxn id="3" idx="1"/>
        </xdr:cNvCxnSpPr>
      </xdr:nvCxnSpPr>
      <xdr:spPr>
        <a:xfrm flipV="1">
          <a:off x="12314692" y="4660421"/>
          <a:ext cx="2750892" cy="14023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212339</xdr:colOff>
      <xdr:row>23</xdr:row>
      <xdr:rowOff>102176</xdr:rowOff>
    </xdr:from>
    <xdr:to>
      <xdr:col>33</xdr:col>
      <xdr:colOff>542760</xdr:colOff>
      <xdr:row>25</xdr:row>
      <xdr:rowOff>146079</xdr:rowOff>
    </xdr:to>
    <xdr:cxnSp macro="">
      <xdr:nvCxnSpPr>
        <xdr:cNvPr id="220" name="Straight Arrow Connector 219">
          <a:extLst>
            <a:ext uri="{FF2B5EF4-FFF2-40B4-BE49-F238E27FC236}">
              <a16:creationId xmlns:a16="http://schemas.microsoft.com/office/drawing/2014/main" id="{948448EE-968B-4E07-85A3-A37D903BED50}"/>
            </a:ext>
          </a:extLst>
        </xdr:cNvPr>
        <xdr:cNvCxnSpPr>
          <a:stCxn id="175" idx="6"/>
          <a:endCxn id="3" idx="3"/>
        </xdr:cNvCxnSpPr>
      </xdr:nvCxnSpPr>
      <xdr:spPr>
        <a:xfrm flipV="1">
          <a:off x="12314692" y="5548235"/>
          <a:ext cx="2750892" cy="514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PA Analytical Theme">
  <a:themeElements>
    <a:clrScheme name="Custom 13">
      <a:dk1>
        <a:srgbClr val="363636"/>
      </a:dk1>
      <a:lt1>
        <a:sysClr val="window" lastClr="FFFFFF"/>
      </a:lt1>
      <a:dk2>
        <a:srgbClr val="363636"/>
      </a:dk2>
      <a:lt2>
        <a:srgbClr val="FAFAFA"/>
      </a:lt2>
      <a:accent1>
        <a:srgbClr val="A8D3DE"/>
      </a:accent1>
      <a:accent2>
        <a:srgbClr val="F2A896"/>
      </a:accent2>
      <a:accent3>
        <a:srgbClr val="C2DCD1"/>
      </a:accent3>
      <a:accent4>
        <a:srgbClr val="C7BBDB"/>
      </a:accent4>
      <a:accent5>
        <a:srgbClr val="F7D2B4"/>
      </a:accent5>
      <a:accent6>
        <a:srgbClr val="FEE6BA"/>
      </a:accent6>
      <a:hlink>
        <a:srgbClr val="A2ACB7"/>
      </a:hlink>
      <a:folHlink>
        <a:srgbClr val="D0C3C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PA Analytical Theme" id="{C3791AA3-2BCE-4DE3-A11E-8EEFB3DF1A0D}" vid="{6D5C3EE0-D954-490F-883D-FAFEFEB86FF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DFB5-E849-45FA-89DB-4B62F157871F}">
  <dimension ref="B1:Q50"/>
  <sheetViews>
    <sheetView showGridLines="0" topLeftCell="A4" zoomScale="85" zoomScaleNormal="85" workbookViewId="0">
      <selection activeCell="D36" sqref="D36"/>
    </sheetView>
  </sheetViews>
  <sheetFormatPr defaultRowHeight="15" outlineLevelRow="1" x14ac:dyDescent="0.25"/>
  <cols>
    <col min="1" max="1" width="2.7109375" customWidth="1"/>
    <col min="2" max="2" width="40.7109375" customWidth="1"/>
    <col min="3" max="7" width="12.7109375" customWidth="1"/>
    <col min="8" max="9" width="12.7109375" style="156" customWidth="1"/>
    <col min="10" max="12" width="12.7109375" customWidth="1"/>
    <col min="13" max="13" width="12" bestFit="1" customWidth="1"/>
    <col min="14" max="14" width="11" customWidth="1"/>
    <col min="16" max="16" width="11" bestFit="1" customWidth="1"/>
    <col min="17" max="17" width="12" bestFit="1" customWidth="1"/>
  </cols>
  <sheetData>
    <row r="1" spans="2:17" outlineLevel="1" x14ac:dyDescent="0.25">
      <c r="C1" s="147"/>
      <c r="D1" s="147"/>
      <c r="E1" s="147"/>
      <c r="L1" t="s">
        <v>199</v>
      </c>
      <c r="M1" s="186">
        <v>9</v>
      </c>
      <c r="N1" s="186">
        <v>5</v>
      </c>
    </row>
    <row r="2" spans="2:17" ht="45" outlineLevel="1" x14ac:dyDescent="0.25">
      <c r="B2" s="149" t="s">
        <v>208</v>
      </c>
      <c r="C2" s="149" t="s">
        <v>195</v>
      </c>
      <c r="D2" s="149" t="s">
        <v>199</v>
      </c>
      <c r="E2" s="149" t="s">
        <v>198</v>
      </c>
      <c r="H2" s="149" t="s">
        <v>194</v>
      </c>
      <c r="I2" s="149" t="s">
        <v>200</v>
      </c>
      <c r="J2" s="155" t="s">
        <v>205</v>
      </c>
      <c r="M2" s="155" t="s">
        <v>197</v>
      </c>
      <c r="N2" s="155" t="s">
        <v>196</v>
      </c>
    </row>
    <row r="3" spans="2:17" outlineLevel="1" x14ac:dyDescent="0.25">
      <c r="B3" t="s">
        <v>197</v>
      </c>
      <c r="C3" s="150">
        <v>930000</v>
      </c>
      <c r="D3">
        <v>9</v>
      </c>
      <c r="E3" s="151">
        <v>0.15</v>
      </c>
      <c r="H3" t="s">
        <v>201</v>
      </c>
      <c r="I3">
        <v>8</v>
      </c>
      <c r="L3" t="s">
        <v>201</v>
      </c>
      <c r="M3" s="187">
        <v>500000</v>
      </c>
      <c r="N3" s="187">
        <v>400000</v>
      </c>
      <c r="P3" s="188">
        <f>M3 / SUM($M3:$N3) * M$1</f>
        <v>5</v>
      </c>
      <c r="Q3" s="188"/>
    </row>
    <row r="4" spans="2:17" outlineLevel="1" x14ac:dyDescent="0.25">
      <c r="B4" t="s">
        <v>196</v>
      </c>
      <c r="C4" s="150">
        <v>5270000</v>
      </c>
      <c r="D4">
        <v>5</v>
      </c>
      <c r="E4" s="153">
        <v>0.85</v>
      </c>
      <c r="H4" t="s">
        <v>191</v>
      </c>
      <c r="I4">
        <v>6</v>
      </c>
      <c r="L4" t="s">
        <v>191</v>
      </c>
      <c r="M4" s="187">
        <v>3000000</v>
      </c>
      <c r="N4" s="187">
        <v>1000000</v>
      </c>
      <c r="P4" s="188">
        <f t="shared" ref="P4" si="0">M4 / SUM($M4:$N4) * M$1</f>
        <v>6.75</v>
      </c>
      <c r="Q4" s="188"/>
    </row>
    <row r="5" spans="2:17" outlineLevel="1" x14ac:dyDescent="0.25">
      <c r="B5" s="148" t="s">
        <v>174</v>
      </c>
      <c r="C5" s="152">
        <f>SUM(C3:C4)</f>
        <v>6200000</v>
      </c>
      <c r="D5" s="148"/>
      <c r="E5" s="154">
        <v>1</v>
      </c>
      <c r="H5" s="156" t="s">
        <v>192</v>
      </c>
      <c r="I5" s="156">
        <v>0</v>
      </c>
      <c r="L5" s="156" t="s">
        <v>192</v>
      </c>
      <c r="M5" s="187"/>
      <c r="N5" s="187"/>
      <c r="O5" s="184"/>
      <c r="P5" s="188"/>
      <c r="Q5" s="188"/>
    </row>
    <row r="6" spans="2:17" outlineLevel="1" x14ac:dyDescent="0.25">
      <c r="H6" s="148"/>
      <c r="I6" s="148"/>
    </row>
    <row r="7" spans="2:17" outlineLevel="1" x14ac:dyDescent="0.25"/>
    <row r="9" spans="2:17" x14ac:dyDescent="0.25">
      <c r="B9" s="162" t="s">
        <v>220</v>
      </c>
      <c r="C9" s="160"/>
      <c r="D9" s="160"/>
      <c r="E9" s="160"/>
      <c r="F9" s="160"/>
      <c r="G9" s="160"/>
    </row>
    <row r="11" spans="2:17" x14ac:dyDescent="0.25">
      <c r="B11" s="157" t="s">
        <v>203</v>
      </c>
      <c r="C11" s="159">
        <v>1240000</v>
      </c>
    </row>
    <row r="12" spans="2:17" x14ac:dyDescent="0.25">
      <c r="B12" s="157" t="s">
        <v>224</v>
      </c>
      <c r="C12" s="166">
        <f>-C3</f>
        <v>-930000</v>
      </c>
      <c r="D12" s="151">
        <f>-C12 / $C$11</f>
        <v>0.75</v>
      </c>
      <c r="E12" t="s">
        <v>222</v>
      </c>
    </row>
    <row r="13" spans="2:17" x14ac:dyDescent="0.25">
      <c r="B13" s="157" t="s">
        <v>225</v>
      </c>
      <c r="C13" s="167">
        <f>C11 + C12</f>
        <v>310000</v>
      </c>
      <c r="D13" s="151">
        <f>C13 / $C$11</f>
        <v>0.25</v>
      </c>
      <c r="E13" t="s">
        <v>223</v>
      </c>
    </row>
    <row r="14" spans="2:17" x14ac:dyDescent="0.25">
      <c r="B14" s="157"/>
    </row>
    <row r="15" spans="2:17" x14ac:dyDescent="0.25">
      <c r="B15" s="157" t="s">
        <v>202</v>
      </c>
      <c r="C15" s="167">
        <f>C4</f>
        <v>5270000</v>
      </c>
    </row>
    <row r="16" spans="2:17" x14ac:dyDescent="0.25">
      <c r="B16" s="157" t="s">
        <v>204</v>
      </c>
      <c r="C16" s="168">
        <f>C13 / C15</f>
        <v>5.8823529411764705E-2</v>
      </c>
    </row>
    <row r="17" spans="2:11" x14ac:dyDescent="0.25">
      <c r="B17" s="157"/>
      <c r="F17" s="157"/>
    </row>
    <row r="18" spans="2:11" x14ac:dyDescent="0.25">
      <c r="B18" s="176" t="s">
        <v>219</v>
      </c>
      <c r="F18" s="157"/>
    </row>
    <row r="19" spans="2:11" x14ac:dyDescent="0.25">
      <c r="B19" s="157" t="str">
        <f>"*There must be " &amp; TEXT(C16, "0.00%") &amp; " (Total of "&amp; TEXT(C13, "#,###")&amp; ") of grade B's total supply that are on tier 8, which raisins are able to use since it satisfies the minimum points."</f>
        <v>*There must be 5.88% (Total of 310,000) of grade B's total supply that are on tier 8, which raisins are able to use since it satisfies the minimum points.</v>
      </c>
      <c r="F19" s="157"/>
    </row>
    <row r="20" spans="2:11" x14ac:dyDescent="0.25">
      <c r="B20" s="157" t="s">
        <v>211</v>
      </c>
    </row>
    <row r="21" spans="2:11" x14ac:dyDescent="0.25">
      <c r="B21" s="157" t="s">
        <v>212</v>
      </c>
    </row>
    <row r="22" spans="2:11" x14ac:dyDescent="0.25">
      <c r="B22" s="157" t="s">
        <v>213</v>
      </c>
    </row>
    <row r="23" spans="2:11" x14ac:dyDescent="0.25">
      <c r="B23" s="157"/>
    </row>
    <row r="24" spans="2:11" x14ac:dyDescent="0.25">
      <c r="B24" s="162" t="s">
        <v>221</v>
      </c>
      <c r="C24" s="160"/>
      <c r="D24" s="160"/>
      <c r="E24" s="160"/>
    </row>
    <row r="26" spans="2:11" ht="30" x14ac:dyDescent="0.25">
      <c r="B26" s="155" t="s">
        <v>208</v>
      </c>
      <c r="C26" s="155" t="s">
        <v>209</v>
      </c>
    </row>
    <row r="27" spans="2:11" x14ac:dyDescent="0.25">
      <c r="B27" s="172" t="s">
        <v>197</v>
      </c>
      <c r="C27" s="173">
        <v>0.45</v>
      </c>
      <c r="D27" t="s">
        <v>216</v>
      </c>
    </row>
    <row r="28" spans="2:11" x14ac:dyDescent="0.25">
      <c r="B28" s="174" t="s">
        <v>196</v>
      </c>
      <c r="C28" s="175">
        <v>0.25</v>
      </c>
    </row>
    <row r="30" spans="2:11" x14ac:dyDescent="0.25">
      <c r="B30" s="155"/>
      <c r="C30" s="155" t="s">
        <v>190</v>
      </c>
      <c r="D30" s="155" t="s">
        <v>191</v>
      </c>
      <c r="E30" s="155" t="s">
        <v>192</v>
      </c>
      <c r="H30"/>
      <c r="I30"/>
      <c r="J30" s="156"/>
      <c r="K30" s="156"/>
    </row>
    <row r="31" spans="2:11" x14ac:dyDescent="0.25">
      <c r="B31" s="169" t="s">
        <v>193</v>
      </c>
      <c r="C31" s="170">
        <v>6.5</v>
      </c>
      <c r="D31" s="170">
        <v>14</v>
      </c>
      <c r="E31" s="171">
        <v>18</v>
      </c>
      <c r="F31" t="s">
        <v>215</v>
      </c>
      <c r="H31"/>
      <c r="I31"/>
      <c r="J31" s="156"/>
      <c r="K31" s="156"/>
    </row>
    <row r="32" spans="2:11" x14ac:dyDescent="0.25">
      <c r="H32"/>
      <c r="I32"/>
      <c r="J32" s="156"/>
      <c r="K32" s="156"/>
    </row>
    <row r="33" spans="2:11" x14ac:dyDescent="0.25">
      <c r="B33" s="163" t="s">
        <v>207</v>
      </c>
      <c r="C33" s="163"/>
      <c r="D33" s="163"/>
      <c r="E33" s="163"/>
      <c r="H33"/>
      <c r="I33"/>
      <c r="J33" s="156"/>
      <c r="K33" s="156"/>
    </row>
    <row r="34" spans="2:11" x14ac:dyDescent="0.25">
      <c r="B34" t="s">
        <v>197</v>
      </c>
      <c r="C34" s="158">
        <f>1 - C35</f>
        <v>0.75</v>
      </c>
      <c r="D34" s="158">
        <f t="shared" ref="D34:E34" si="1">1 - D35</f>
        <v>0.24999999999999978</v>
      </c>
      <c r="E34" s="158">
        <f t="shared" si="1"/>
        <v>0</v>
      </c>
      <c r="F34" t="s">
        <v>214</v>
      </c>
      <c r="H34"/>
      <c r="I34"/>
      <c r="J34" s="156"/>
      <c r="K34" s="156"/>
    </row>
    <row r="35" spans="2:11" x14ac:dyDescent="0.25">
      <c r="B35" t="s">
        <v>196</v>
      </c>
      <c r="C35" s="158">
        <f>D13</f>
        <v>0.25</v>
      </c>
      <c r="D35" s="158">
        <v>0.75000000000000022</v>
      </c>
      <c r="E35" s="158">
        <v>1</v>
      </c>
      <c r="F35" t="s">
        <v>217</v>
      </c>
      <c r="H35"/>
      <c r="I35"/>
      <c r="J35" s="156"/>
      <c r="K35" s="156"/>
    </row>
    <row r="36" spans="2:11" x14ac:dyDescent="0.25">
      <c r="B36" t="s">
        <v>206</v>
      </c>
      <c r="C36" s="161">
        <f>(C35 * $C$28) + (C34 * $C$27)</f>
        <v>0.4</v>
      </c>
      <c r="D36" s="161">
        <f t="shared" ref="D36:E36" si="2">(D35 * $C$28) + (D34 * $C$27)</f>
        <v>0.29999999999999993</v>
      </c>
      <c r="E36" s="161">
        <f t="shared" si="2"/>
        <v>0.25</v>
      </c>
      <c r="H36"/>
      <c r="I36"/>
      <c r="J36" s="156"/>
      <c r="K36" s="156"/>
    </row>
    <row r="37" spans="2:11" x14ac:dyDescent="0.25">
      <c r="B37" s="103" t="s">
        <v>210</v>
      </c>
      <c r="C37" s="164">
        <f>C31 * $C$36</f>
        <v>2.6</v>
      </c>
      <c r="D37" s="164">
        <f>D36 * D31</f>
        <v>4.1999999999999993</v>
      </c>
      <c r="E37" s="164">
        <f>E36 * E31</f>
        <v>4.5</v>
      </c>
      <c r="F37" s="165" t="s">
        <v>218</v>
      </c>
      <c r="H37"/>
      <c r="I37"/>
      <c r="J37" s="156"/>
      <c r="K37" s="156"/>
    </row>
    <row r="38" spans="2:11" x14ac:dyDescent="0.25">
      <c r="H38"/>
      <c r="I38"/>
      <c r="J38" s="156"/>
      <c r="K38" s="156"/>
    </row>
    <row r="44" spans="2:11" x14ac:dyDescent="0.25">
      <c r="H44"/>
      <c r="I44"/>
      <c r="J44" s="156"/>
      <c r="K44" s="156"/>
    </row>
    <row r="45" spans="2:11" x14ac:dyDescent="0.25">
      <c r="H45"/>
      <c r="I45"/>
      <c r="J45" s="156"/>
      <c r="K45" s="156"/>
    </row>
    <row r="46" spans="2:11" x14ac:dyDescent="0.25">
      <c r="H46"/>
      <c r="I46"/>
      <c r="J46" s="156"/>
      <c r="K46" s="156"/>
    </row>
    <row r="47" spans="2:11" x14ac:dyDescent="0.25">
      <c r="H47"/>
      <c r="I47"/>
      <c r="J47" s="156"/>
      <c r="K47" s="156"/>
    </row>
    <row r="48" spans="2:11" hidden="1" outlineLevel="1" x14ac:dyDescent="0.25">
      <c r="H48"/>
      <c r="I48"/>
      <c r="J48" s="156"/>
      <c r="K48" s="156"/>
    </row>
    <row r="49" spans="8:11" collapsed="1" x14ac:dyDescent="0.25">
      <c r="H49"/>
      <c r="I49"/>
      <c r="J49" s="156"/>
      <c r="K49" s="156"/>
    </row>
    <row r="50" spans="8:11" x14ac:dyDescent="0.25">
      <c r="H50"/>
      <c r="I50"/>
      <c r="J50" s="156"/>
      <c r="K50" s="15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DAB5-08C1-466A-BE0C-2503F8287B81}">
  <dimension ref="A2:AE31"/>
  <sheetViews>
    <sheetView showGridLines="0" tabSelected="1" topLeftCell="J1" zoomScale="115" zoomScaleNormal="115" workbookViewId="0">
      <selection activeCell="M6" sqref="M6"/>
    </sheetView>
  </sheetViews>
  <sheetFormatPr defaultRowHeight="15" outlineLevelCol="1" x14ac:dyDescent="0.25"/>
  <cols>
    <col min="1" max="1" width="2.7109375" hidden="1" customWidth="1" outlineLevel="1"/>
    <col min="2" max="2" width="8" hidden="1" customWidth="1" outlineLevel="1"/>
    <col min="3" max="4" width="12.7109375" hidden="1" customWidth="1" outlineLevel="1"/>
    <col min="5" max="6" width="2.7109375" hidden="1" customWidth="1" outlineLevel="1"/>
    <col min="7" max="8" width="12.7109375" hidden="1" customWidth="1" outlineLevel="1"/>
    <col min="9" max="9" width="2.7109375" hidden="1" customWidth="1" outlineLevel="1"/>
    <col min="10" max="10" width="2.7109375" customWidth="1" collapsed="1"/>
    <col min="11" max="11" width="14.85546875" bestFit="1" customWidth="1"/>
    <col min="12" max="13" width="12.7109375" customWidth="1"/>
    <col min="14" max="14" width="2.7109375" customWidth="1"/>
    <col min="15" max="15" width="12.7109375" customWidth="1"/>
    <col min="16" max="16" width="2.7109375" customWidth="1"/>
    <col min="17" max="17" width="12.7109375" customWidth="1"/>
    <col min="18" max="18" width="3.7109375" customWidth="1"/>
    <col min="19" max="19" width="12.7109375" customWidth="1"/>
    <col min="20" max="20" width="12.7109375" style="185" customWidth="1"/>
    <col min="21" max="21" width="2.7109375" customWidth="1"/>
    <col min="22" max="22" width="11.7109375" customWidth="1" outlineLevel="1"/>
    <col min="23" max="23" width="3.7109375" customWidth="1" outlineLevel="1"/>
    <col min="24" max="24" width="11.7109375" customWidth="1"/>
    <col min="25" max="25" width="12.7109375" customWidth="1"/>
    <col min="26" max="26" width="20.7109375" bestFit="1" customWidth="1"/>
    <col min="27" max="27" width="3.7109375" customWidth="1"/>
    <col min="28" max="28" width="14.85546875" hidden="1" customWidth="1" outlineLevel="1"/>
    <col min="29" max="29" width="12.7109375" style="96" customWidth="1" collapsed="1"/>
    <col min="30" max="30" width="13.5703125" bestFit="1" customWidth="1"/>
    <col min="31" max="31" width="4.42578125" style="185" bestFit="1" customWidth="1"/>
    <col min="32" max="32" width="14.7109375" customWidth="1"/>
    <col min="33" max="33" width="4.7109375" customWidth="1"/>
    <col min="36" max="37" width="12.7109375" customWidth="1"/>
  </cols>
  <sheetData>
    <row r="2" spans="11:30" x14ac:dyDescent="0.25">
      <c r="L2" s="185" t="str">
        <f t="shared" ref="L2:M2" si="0">L5</f>
        <v>Grade A</v>
      </c>
      <c r="M2" s="185" t="str">
        <f t="shared" si="0"/>
        <v>Grade B</v>
      </c>
    </row>
    <row r="3" spans="11:30" x14ac:dyDescent="0.25">
      <c r="K3" s="184" t="s">
        <v>245</v>
      </c>
      <c r="L3" s="186">
        <v>9</v>
      </c>
      <c r="M3" s="186">
        <v>5</v>
      </c>
      <c r="AB3" s="184"/>
    </row>
    <row r="4" spans="11:30" x14ac:dyDescent="0.25">
      <c r="Q4" s="163" t="s">
        <v>251</v>
      </c>
      <c r="R4" s="163"/>
      <c r="S4" s="163"/>
      <c r="T4" s="163"/>
      <c r="X4" s="202" t="s">
        <v>252</v>
      </c>
      <c r="Y4" s="202"/>
      <c r="Z4" s="202"/>
      <c r="AC4" s="203" t="s">
        <v>253</v>
      </c>
      <c r="AD4" s="204"/>
    </row>
    <row r="5" spans="11:30" ht="30" x14ac:dyDescent="0.25">
      <c r="K5" s="149" t="s">
        <v>194</v>
      </c>
      <c r="L5" s="149" t="s">
        <v>197</v>
      </c>
      <c r="M5" s="149" t="s">
        <v>196</v>
      </c>
      <c r="O5" s="149" t="s">
        <v>193</v>
      </c>
      <c r="Q5" s="199" t="s">
        <v>242</v>
      </c>
      <c r="R5" s="200"/>
      <c r="S5" s="199" t="s">
        <v>243</v>
      </c>
      <c r="T5" s="200" t="s">
        <v>250</v>
      </c>
      <c r="V5" s="155" t="s">
        <v>244</v>
      </c>
      <c r="X5" s="194" t="s">
        <v>246</v>
      </c>
      <c r="Y5" s="194" t="s">
        <v>247</v>
      </c>
      <c r="Z5" s="194" t="s">
        <v>248</v>
      </c>
      <c r="AB5" s="155" t="s">
        <v>194</v>
      </c>
      <c r="AC5" s="149" t="s">
        <v>230</v>
      </c>
      <c r="AD5" s="149" t="s">
        <v>229</v>
      </c>
    </row>
    <row r="6" spans="11:30" x14ac:dyDescent="0.25">
      <c r="K6" t="s">
        <v>201</v>
      </c>
      <c r="L6" s="190">
        <f t="shared" ref="L6:L8" si="1">N17</f>
        <v>40769</v>
      </c>
      <c r="M6" s="190">
        <f t="shared" ref="M6:M8" si="2">N20</f>
        <v>13589</v>
      </c>
      <c r="O6" s="215">
        <v>6.5</v>
      </c>
      <c r="Q6" s="150">
        <f>SUMPRODUCT(L6:M6, $L$3:$M$3)</f>
        <v>434866</v>
      </c>
      <c r="R6" s="150" t="s">
        <v>241</v>
      </c>
      <c r="S6" s="192">
        <f>$V6 * SUM($L6,$M6)</f>
        <v>434864</v>
      </c>
      <c r="T6" s="185" t="b">
        <f>Q6 &gt;= S6</f>
        <v>1</v>
      </c>
      <c r="V6" s="193">
        <v>8</v>
      </c>
      <c r="X6" s="195">
        <f>L6 / SUM($L6:$M6)</f>
        <v>0.75000919827808232</v>
      </c>
      <c r="Y6" s="195">
        <f>M6 / SUM($L6:$M6)</f>
        <v>0.24999080172191765</v>
      </c>
      <c r="Z6" s="214">
        <f>X6 * L$3 + Y6 * M$3</f>
        <v>8.0000367931123293</v>
      </c>
      <c r="AB6" s="211" t="s">
        <v>201</v>
      </c>
      <c r="AC6" s="207">
        <v>0.35</v>
      </c>
      <c r="AD6" s="201">
        <f>AC6 * SUM(L6:M6)</f>
        <v>19025.3</v>
      </c>
    </row>
    <row r="7" spans="11:30" x14ac:dyDescent="0.25">
      <c r="K7" t="s">
        <v>191</v>
      </c>
      <c r="L7" s="190">
        <f t="shared" si="1"/>
        <v>47500</v>
      </c>
      <c r="M7" s="190">
        <f t="shared" si="2"/>
        <v>142499</v>
      </c>
      <c r="O7" s="216">
        <v>14</v>
      </c>
      <c r="Q7" s="150">
        <f>SUMPRODUCT(L7:M7, $L$3:$M$3)</f>
        <v>1139995</v>
      </c>
      <c r="R7" s="150" t="s">
        <v>241</v>
      </c>
      <c r="S7" s="192">
        <f>$V7 * SUM($L7,$M7)</f>
        <v>1139994</v>
      </c>
      <c r="T7" s="185" t="b">
        <f>Q7 &gt;= S7</f>
        <v>1</v>
      </c>
      <c r="V7" s="193">
        <v>6</v>
      </c>
      <c r="X7" s="195">
        <f t="shared" ref="X7:X8" si="3">L7 / SUM($L7:$M7)</f>
        <v>0.25000131579639895</v>
      </c>
      <c r="Y7" s="195">
        <f t="shared" ref="Y7:Y8" si="4">M7 / SUM($L7:$M7)</f>
        <v>0.74999868420360105</v>
      </c>
      <c r="Z7" s="214">
        <f>X7 * L$3 + Y7 * M$3</f>
        <v>6.0000052631855958</v>
      </c>
      <c r="AB7" s="212" t="s">
        <v>191</v>
      </c>
      <c r="AC7" s="208">
        <v>-0.14000000000000001</v>
      </c>
      <c r="AD7" s="196">
        <f t="shared" ref="AD7:AD8" si="5">AC7 * SUM(L7:M7)</f>
        <v>-26599.860000000004</v>
      </c>
    </row>
    <row r="8" spans="11:30" x14ac:dyDescent="0.25">
      <c r="K8" s="156" t="s">
        <v>192</v>
      </c>
      <c r="L8" s="190">
        <f t="shared" si="1"/>
        <v>0</v>
      </c>
      <c r="M8" s="190">
        <f t="shared" si="2"/>
        <v>177038</v>
      </c>
      <c r="O8" s="217">
        <v>18</v>
      </c>
      <c r="Q8" s="150">
        <f>SUMPRODUCT(L8:M8, $L$3:$M$3)</f>
        <v>885190</v>
      </c>
      <c r="R8" s="150" t="s">
        <v>241</v>
      </c>
      <c r="S8" s="192">
        <f>$V8 * SUM($L8,$M8)</f>
        <v>0</v>
      </c>
      <c r="T8" s="185" t="b">
        <f>Q8 &gt;= S8</f>
        <v>1</v>
      </c>
      <c r="V8" s="193">
        <v>0</v>
      </c>
      <c r="X8" s="195">
        <f t="shared" si="3"/>
        <v>0</v>
      </c>
      <c r="Y8" s="195">
        <f t="shared" si="4"/>
        <v>1</v>
      </c>
      <c r="Z8" s="214">
        <f>X8 * L$3 + Y8 * M$3</f>
        <v>5</v>
      </c>
      <c r="AB8" s="213" t="s">
        <v>192</v>
      </c>
      <c r="AC8" s="209">
        <v>0.43</v>
      </c>
      <c r="AD8" s="197">
        <f t="shared" si="5"/>
        <v>76126.34</v>
      </c>
    </row>
    <row r="9" spans="11:30" x14ac:dyDescent="0.25">
      <c r="K9" s="148" t="s">
        <v>240</v>
      </c>
      <c r="L9" s="152">
        <f>SUMPRODUCT(L6:L8, $O$6:$O$8)</f>
        <v>929998.5</v>
      </c>
      <c r="M9" s="152">
        <f>SUMPRODUCT(M6:M8, $O$6:$O$8)</f>
        <v>5269998.5</v>
      </c>
      <c r="O9" s="189"/>
      <c r="Q9" s="150"/>
      <c r="R9" s="150"/>
      <c r="S9" s="192"/>
      <c r="AB9" s="210"/>
      <c r="AC9" s="189"/>
      <c r="AD9" s="198">
        <f>SUM(AD6:AD8)</f>
        <v>68551.78</v>
      </c>
    </row>
    <row r="11" spans="11:30" ht="18" x14ac:dyDescent="0.35">
      <c r="K11" s="184" t="s">
        <v>249</v>
      </c>
      <c r="L11" s="191">
        <f>SUM(L9:M9)</f>
        <v>6199997</v>
      </c>
      <c r="Q11" s="205" t="s">
        <v>254</v>
      </c>
      <c r="R11" s="206" t="s">
        <v>255</v>
      </c>
      <c r="AB11" s="184"/>
    </row>
    <row r="14" spans="11:30" x14ac:dyDescent="0.25">
      <c r="T14"/>
    </row>
    <row r="15" spans="11:30" x14ac:dyDescent="0.25">
      <c r="T15"/>
    </row>
    <row r="16" spans="11:30" x14ac:dyDescent="0.25">
      <c r="T16"/>
    </row>
    <row r="17" spans="12:20" x14ac:dyDescent="0.25">
      <c r="L17" t="s">
        <v>256</v>
      </c>
      <c r="M17" t="s">
        <v>257</v>
      </c>
      <c r="N17">
        <v>40769</v>
      </c>
      <c r="T17"/>
    </row>
    <row r="18" spans="12:20" x14ac:dyDescent="0.25">
      <c r="L18" t="s">
        <v>256</v>
      </c>
      <c r="M18" t="s">
        <v>258</v>
      </c>
      <c r="N18">
        <v>47500</v>
      </c>
      <c r="T18"/>
    </row>
    <row r="19" spans="12:20" x14ac:dyDescent="0.25">
      <c r="L19" t="s">
        <v>256</v>
      </c>
      <c r="M19" t="s">
        <v>259</v>
      </c>
      <c r="N19">
        <v>0</v>
      </c>
      <c r="T19"/>
    </row>
    <row r="20" spans="12:20" x14ac:dyDescent="0.25">
      <c r="L20" t="s">
        <v>260</v>
      </c>
      <c r="M20" t="s">
        <v>257</v>
      </c>
      <c r="N20">
        <v>13589</v>
      </c>
      <c r="T20"/>
    </row>
    <row r="21" spans="12:20" x14ac:dyDescent="0.25">
      <c r="L21" t="s">
        <v>260</v>
      </c>
      <c r="M21" t="s">
        <v>258</v>
      </c>
      <c r="N21">
        <v>142499</v>
      </c>
      <c r="T21"/>
    </row>
    <row r="22" spans="12:20" x14ac:dyDescent="0.25">
      <c r="L22" t="s">
        <v>260</v>
      </c>
      <c r="M22" t="s">
        <v>259</v>
      </c>
      <c r="N22">
        <v>177038</v>
      </c>
      <c r="T22"/>
    </row>
    <row r="23" spans="12:20" x14ac:dyDescent="0.25">
      <c r="T23"/>
    </row>
    <row r="24" spans="12:20" x14ac:dyDescent="0.25">
      <c r="T24"/>
    </row>
    <row r="25" spans="12:20" x14ac:dyDescent="0.25">
      <c r="T25"/>
    </row>
    <row r="26" spans="12:20" x14ac:dyDescent="0.25">
      <c r="T26"/>
    </row>
    <row r="27" spans="12:20" x14ac:dyDescent="0.25">
      <c r="T27"/>
    </row>
    <row r="28" spans="12:20" x14ac:dyDescent="0.25">
      <c r="T28"/>
    </row>
    <row r="29" spans="12:20" x14ac:dyDescent="0.25">
      <c r="T29"/>
    </row>
    <row r="30" spans="12:20" x14ac:dyDescent="0.25">
      <c r="T30"/>
    </row>
    <row r="31" spans="12:20" x14ac:dyDescent="0.25">
      <c r="T3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EB8B-EEA2-48C7-A135-DB48C73C0E00}">
  <dimension ref="B2:AK34"/>
  <sheetViews>
    <sheetView showGridLines="0" zoomScale="85" zoomScaleNormal="85" workbookViewId="0">
      <selection activeCell="B31" sqref="B31"/>
    </sheetView>
  </sheetViews>
  <sheetFormatPr defaultRowHeight="18.75" x14ac:dyDescent="0.3"/>
  <cols>
    <col min="1" max="4" width="9.140625" style="23"/>
    <col min="5" max="5" width="9.140625" style="23" customWidth="1"/>
    <col min="6" max="9" width="9.140625" style="23"/>
    <col min="10" max="11" width="9.140625" style="23" customWidth="1"/>
    <col min="12" max="12" width="9.140625" style="23"/>
    <col min="13" max="14" width="9.140625" style="23" customWidth="1"/>
    <col min="15" max="20" width="9.140625" style="23"/>
    <col min="21" max="21" width="9.5703125" style="23" bestFit="1" customWidth="1"/>
    <col min="22" max="23" width="9.140625" style="23"/>
    <col min="24" max="24" width="9.5703125" style="23" bestFit="1" customWidth="1"/>
    <col min="25" max="32" width="9.140625" style="23"/>
    <col min="33" max="34" width="16.7109375" style="23" customWidth="1"/>
    <col min="35" max="35" width="12.7109375" style="23" customWidth="1"/>
    <col min="36" max="37" width="16.7109375" style="23" customWidth="1"/>
    <col min="38" max="16384" width="9.140625" style="23"/>
  </cols>
  <sheetData>
    <row r="2" spans="2:37" ht="28.5" x14ac:dyDescent="0.45">
      <c r="B2"/>
      <c r="C2" s="143" t="s">
        <v>176</v>
      </c>
      <c r="D2" s="143"/>
      <c r="E2" s="143"/>
      <c r="F2" s="143"/>
      <c r="G2"/>
      <c r="H2" s="144"/>
      <c r="I2" s="143" t="s">
        <v>177</v>
      </c>
      <c r="J2" s="143"/>
      <c r="K2" s="143"/>
      <c r="L2" s="143"/>
      <c r="M2" s="144"/>
      <c r="N2" s="144"/>
      <c r="O2" s="144"/>
      <c r="P2" s="143" t="s">
        <v>178</v>
      </c>
      <c r="Q2" s="143"/>
      <c r="R2" s="143"/>
      <c r="S2" s="143"/>
      <c r="T2" s="143"/>
      <c r="U2" s="144"/>
      <c r="V2" s="144"/>
      <c r="W2" s="144"/>
      <c r="X2" s="143" t="s">
        <v>179</v>
      </c>
      <c r="Y2" s="143"/>
      <c r="Z2" s="143"/>
      <c r="AA2" s="143"/>
      <c r="AB2" s="143"/>
      <c r="AC2" s="143"/>
    </row>
    <row r="3" spans="2:37" x14ac:dyDescent="0.3">
      <c r="G3"/>
    </row>
    <row r="4" spans="2:37" x14ac:dyDescent="0.3">
      <c r="AG4" s="31" t="s">
        <v>184</v>
      </c>
      <c r="AH4" s="31"/>
      <c r="AI4" s="31"/>
      <c r="AJ4" s="31"/>
      <c r="AK4" s="31"/>
    </row>
    <row r="5" spans="2:37" ht="78" x14ac:dyDescent="0.35">
      <c r="AG5" s="129" t="s">
        <v>183</v>
      </c>
      <c r="AH5" s="130" t="s">
        <v>188</v>
      </c>
      <c r="AI5" s="129" t="s">
        <v>187</v>
      </c>
      <c r="AJ5" s="129" t="s">
        <v>186</v>
      </c>
      <c r="AK5" s="130" t="s">
        <v>185</v>
      </c>
    </row>
    <row r="6" spans="2:37" x14ac:dyDescent="0.3">
      <c r="AG6" s="131">
        <v>1</v>
      </c>
      <c r="AH6" s="137">
        <f>E25</f>
        <v>-320</v>
      </c>
      <c r="AI6" s="137">
        <v>3</v>
      </c>
      <c r="AJ6" s="140">
        <f>-AH6 * AI6</f>
        <v>960</v>
      </c>
      <c r="AK6" s="132">
        <v>0</v>
      </c>
    </row>
    <row r="7" spans="2:37" x14ac:dyDescent="0.3">
      <c r="D7" s="113"/>
      <c r="E7" s="113"/>
      <c r="F7" s="113"/>
      <c r="G7" s="113"/>
      <c r="H7" s="113"/>
      <c r="I7" s="114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G7" s="133">
        <v>2</v>
      </c>
      <c r="AH7" s="138">
        <f>J25</f>
        <v>-240</v>
      </c>
      <c r="AI7" s="138">
        <v>3</v>
      </c>
      <c r="AJ7" s="141">
        <f>-AH7 * AI7</f>
        <v>720</v>
      </c>
      <c r="AK7" s="134">
        <f>AH6</f>
        <v>-320</v>
      </c>
    </row>
    <row r="8" spans="2:37" x14ac:dyDescent="0.3">
      <c r="D8" s="113"/>
      <c r="F8" s="113"/>
      <c r="G8" s="113"/>
      <c r="H8" s="113"/>
      <c r="I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G8" s="133">
        <v>3</v>
      </c>
      <c r="AH8" s="138">
        <f>R25</f>
        <v>-400</v>
      </c>
      <c r="AI8" s="138">
        <v>2</v>
      </c>
      <c r="AJ8" s="141">
        <f>-AH8 * AI8</f>
        <v>800</v>
      </c>
      <c r="AK8" s="134">
        <f>AH7 + AH6</f>
        <v>-560</v>
      </c>
    </row>
    <row r="9" spans="2:37" x14ac:dyDescent="0.3">
      <c r="E9" s="113"/>
      <c r="F9" s="113"/>
      <c r="G9" s="113"/>
      <c r="H9" s="113"/>
      <c r="I9" s="2"/>
      <c r="J9" s="113"/>
      <c r="K9" s="113"/>
      <c r="L9" s="113"/>
      <c r="M9" s="113"/>
      <c r="N9" s="113"/>
      <c r="O9" s="113"/>
      <c r="P9" s="113"/>
      <c r="Q9" s="2"/>
      <c r="R9" s="113"/>
      <c r="S9" s="113"/>
      <c r="T9" s="113"/>
      <c r="U9" s="113"/>
      <c r="V9" s="113"/>
      <c r="W9" s="113"/>
      <c r="X9" s="113"/>
      <c r="Y9" s="113"/>
      <c r="Z9" s="2"/>
      <c r="AA9" s="113"/>
      <c r="AB9" s="113"/>
      <c r="AC9" s="113"/>
      <c r="AG9" s="135">
        <v>4</v>
      </c>
      <c r="AH9" s="139">
        <f>AA25</f>
        <v>-520</v>
      </c>
      <c r="AI9" s="139">
        <v>1</v>
      </c>
      <c r="AJ9" s="142">
        <f>-AH9 * AI9</f>
        <v>520</v>
      </c>
      <c r="AK9" s="136">
        <f>AH8 + AH7</f>
        <v>-640</v>
      </c>
    </row>
    <row r="10" spans="2:37" x14ac:dyDescent="0.3">
      <c r="C10" s="125">
        <f>AJ6</f>
        <v>960</v>
      </c>
      <c r="D10" s="117"/>
      <c r="E10" s="113"/>
      <c r="F10" s="113"/>
      <c r="G10" s="113"/>
      <c r="H10" s="125">
        <f>AJ7</f>
        <v>720</v>
      </c>
      <c r="I10" s="117"/>
      <c r="J10" s="113"/>
      <c r="K10" s="113"/>
      <c r="L10" s="120" t="s">
        <v>180</v>
      </c>
      <c r="M10" s="117"/>
      <c r="N10" s="117"/>
      <c r="O10" s="122" t="s">
        <v>180</v>
      </c>
      <c r="P10" s="119"/>
      <c r="Q10" s="126">
        <f>AJ8</f>
        <v>800</v>
      </c>
      <c r="R10" s="113"/>
      <c r="S10" s="113"/>
      <c r="U10" s="117"/>
      <c r="X10" s="118"/>
      <c r="Y10" s="127">
        <f>AJ9</f>
        <v>520</v>
      </c>
      <c r="Z10" s="117"/>
      <c r="AA10" s="113"/>
      <c r="AB10" s="113"/>
      <c r="AC10" s="113"/>
    </row>
    <row r="11" spans="2:37" x14ac:dyDescent="0.3"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20" t="s">
        <v>181</v>
      </c>
      <c r="V11" s="113"/>
      <c r="W11" s="113"/>
      <c r="X11" s="121" t="s">
        <v>181</v>
      </c>
      <c r="AA11" s="113"/>
      <c r="AB11" s="113"/>
      <c r="AC11" s="113"/>
      <c r="AD11" s="120" t="s">
        <v>182</v>
      </c>
    </row>
    <row r="12" spans="2:37" x14ac:dyDescent="0.3">
      <c r="E12" s="113"/>
      <c r="F12" s="113"/>
      <c r="G12" s="113"/>
      <c r="J12" s="113"/>
      <c r="K12" s="113"/>
      <c r="L12" s="113"/>
      <c r="O12" s="113"/>
      <c r="P12" s="113"/>
      <c r="R12" s="117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</row>
    <row r="13" spans="2:37" x14ac:dyDescent="0.3"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</row>
    <row r="14" spans="2:37" x14ac:dyDescent="0.3"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</row>
    <row r="15" spans="2:37" x14ac:dyDescent="0.3">
      <c r="D15" s="113"/>
      <c r="E15" s="113"/>
      <c r="F15" s="113"/>
      <c r="G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  <c r="AB15" s="113"/>
      <c r="AC15" s="113"/>
    </row>
    <row r="16" spans="2:37" x14ac:dyDescent="0.3">
      <c r="D16" s="113"/>
      <c r="E16" s="113"/>
      <c r="F16" s="113"/>
      <c r="G16" s="113"/>
      <c r="H16" s="30" t="s">
        <v>155</v>
      </c>
      <c r="I16" s="117">
        <v>600</v>
      </c>
      <c r="J16" s="27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  <c r="AA16" s="113"/>
      <c r="AB16" s="113"/>
      <c r="AC16" s="113"/>
    </row>
    <row r="17" spans="2:33" x14ac:dyDescent="0.3">
      <c r="D17" s="113"/>
      <c r="E17" s="117">
        <v>600</v>
      </c>
      <c r="F17" s="117"/>
      <c r="G17" s="117"/>
      <c r="H17" s="113"/>
      <c r="I17" s="30" t="s">
        <v>155</v>
      </c>
      <c r="J17" s="113"/>
      <c r="K17" s="113"/>
      <c r="L17" s="113"/>
      <c r="M17" s="113"/>
      <c r="N17" s="113"/>
      <c r="O17" s="113"/>
      <c r="P17" s="113"/>
      <c r="Q17" s="113"/>
      <c r="R17" s="117">
        <v>600</v>
      </c>
      <c r="S17" s="27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</row>
    <row r="18" spans="2:33" x14ac:dyDescent="0.3">
      <c r="D18" s="113"/>
      <c r="E18" s="113"/>
      <c r="F18" s="113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7">
        <v>600</v>
      </c>
      <c r="AA18" s="27"/>
      <c r="AB18" s="113"/>
      <c r="AC18" s="113"/>
    </row>
    <row r="19" spans="2:33" x14ac:dyDescent="0.3">
      <c r="D19" s="113"/>
      <c r="E19" s="113"/>
      <c r="F19" s="113"/>
      <c r="G19" s="113"/>
      <c r="H19" s="113"/>
      <c r="I19" s="115"/>
      <c r="J19" s="113"/>
      <c r="K19" s="117">
        <v>250</v>
      </c>
      <c r="L19" s="117"/>
      <c r="M19" s="113"/>
      <c r="N19" s="113"/>
      <c r="O19" s="113"/>
      <c r="P19" s="117">
        <v>95</v>
      </c>
      <c r="Q19" s="27"/>
      <c r="R19" s="113"/>
      <c r="S19" s="113"/>
      <c r="T19" s="117">
        <v>250</v>
      </c>
      <c r="U19" s="117"/>
      <c r="V19" s="113"/>
      <c r="W19" s="113"/>
      <c r="X19" s="113"/>
      <c r="Y19" s="113"/>
      <c r="Z19" s="113"/>
      <c r="AA19" s="113"/>
      <c r="AB19" s="117">
        <v>250</v>
      </c>
      <c r="AC19" s="117"/>
    </row>
    <row r="20" spans="2:33" x14ac:dyDescent="0.3">
      <c r="D20" s="116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5"/>
      <c r="S20" s="113"/>
      <c r="V20" s="113"/>
      <c r="W20" s="113"/>
      <c r="X20" s="117">
        <v>95</v>
      </c>
      <c r="Y20" s="27"/>
      <c r="Z20" s="113"/>
      <c r="AA20" s="113"/>
      <c r="AC20" s="30" t="s">
        <v>155</v>
      </c>
      <c r="AD20" s="27"/>
    </row>
    <row r="21" spans="2:33" x14ac:dyDescent="0.3"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30" t="s">
        <v>155</v>
      </c>
      <c r="P21" s="113"/>
      <c r="Q21" s="113"/>
      <c r="R21" s="113"/>
      <c r="S21" s="113"/>
      <c r="T21" s="113"/>
      <c r="U21" s="30" t="s">
        <v>155</v>
      </c>
      <c r="V21" s="117"/>
      <c r="W21" s="117"/>
      <c r="X21" s="113"/>
      <c r="Y21" s="113"/>
      <c r="Z21" s="115"/>
      <c r="AA21" s="113"/>
      <c r="AE21" s="113"/>
      <c r="AF21" s="113"/>
    </row>
    <row r="22" spans="2:33" x14ac:dyDescent="0.3"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V22" s="113"/>
      <c r="W22" s="113"/>
      <c r="X22" s="113"/>
      <c r="Y22" s="113"/>
      <c r="Z22" s="113"/>
      <c r="AA22" s="113"/>
      <c r="AB22" s="113"/>
      <c r="AC22" s="113"/>
    </row>
    <row r="23" spans="2:33" x14ac:dyDescent="0.3">
      <c r="D23" s="113"/>
      <c r="E23" s="113"/>
      <c r="F23" s="113"/>
      <c r="G23" s="113"/>
      <c r="H23" s="113"/>
      <c r="I23" s="113"/>
      <c r="J23" s="113"/>
      <c r="K23" s="113"/>
      <c r="L23" s="113"/>
      <c r="M23" s="30" t="s">
        <v>155</v>
      </c>
      <c r="N23" s="30"/>
      <c r="O23" s="113"/>
      <c r="P23" s="113"/>
      <c r="Q23" s="113"/>
      <c r="R23" s="113"/>
      <c r="S23" s="113"/>
      <c r="T23" s="113"/>
      <c r="U23" s="113"/>
      <c r="V23" s="30" t="s">
        <v>155</v>
      </c>
      <c r="W23" s="30"/>
      <c r="X23" s="113"/>
      <c r="Y23" s="113"/>
      <c r="Z23" s="113"/>
      <c r="AA23" s="113"/>
      <c r="AB23" s="113"/>
      <c r="AC23" s="113"/>
      <c r="AD23" s="30" t="s">
        <v>155</v>
      </c>
      <c r="AE23" s="27"/>
      <c r="AF23" s="27"/>
    </row>
    <row r="24" spans="2:33" x14ac:dyDescent="0.3"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</row>
    <row r="25" spans="2:33" x14ac:dyDescent="0.3">
      <c r="D25" s="112"/>
      <c r="E25" s="23">
        <v>-320</v>
      </c>
      <c r="F25" s="112"/>
      <c r="G25" s="112"/>
      <c r="H25" s="112"/>
      <c r="I25" s="112"/>
      <c r="J25" s="23">
        <v>-240</v>
      </c>
      <c r="K25" s="112"/>
      <c r="L25" s="128">
        <f>$AK$7</f>
        <v>-320</v>
      </c>
      <c r="M25" s="112"/>
      <c r="N25" s="112"/>
      <c r="O25" s="112"/>
      <c r="P25" s="112"/>
      <c r="Q25" s="112"/>
      <c r="R25" s="23">
        <v>-400</v>
      </c>
      <c r="T25" s="128">
        <f>$AK$8</f>
        <v>-560</v>
      </c>
      <c r="U25" s="124"/>
      <c r="AA25" s="23">
        <v>-520</v>
      </c>
      <c r="AB25" s="112"/>
      <c r="AC25" s="128">
        <f>$AK$9</f>
        <v>-640</v>
      </c>
      <c r="AD25" s="124"/>
    </row>
    <row r="26" spans="2:33" x14ac:dyDescent="0.3">
      <c r="D26" s="112"/>
      <c r="F26" s="112"/>
      <c r="G26" s="112"/>
      <c r="H26" s="112"/>
      <c r="I26" s="112"/>
      <c r="K26" s="112"/>
      <c r="L26" s="112"/>
      <c r="M26" s="112"/>
      <c r="N26" s="112"/>
      <c r="O26" s="112"/>
      <c r="P26" s="112"/>
      <c r="Q26" s="112"/>
      <c r="S26" s="112"/>
      <c r="T26" s="112"/>
      <c r="U26" s="112"/>
      <c r="V26" s="112"/>
      <c r="W26" s="112"/>
      <c r="X26" s="112"/>
      <c r="Y26" s="112"/>
      <c r="Z26" s="112"/>
      <c r="AB26" s="112"/>
      <c r="AC26" s="112"/>
      <c r="AD26" s="112"/>
      <c r="AE26" s="112"/>
      <c r="AF26" s="112"/>
    </row>
    <row r="27" spans="2:33" x14ac:dyDescent="0.3">
      <c r="C27" s="145" t="s">
        <v>3</v>
      </c>
      <c r="D27" s="104"/>
      <c r="E27" s="105"/>
      <c r="F27" s="106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30" t="s">
        <v>155</v>
      </c>
      <c r="V27" s="112"/>
      <c r="W27" s="112"/>
      <c r="X27" s="112"/>
      <c r="Y27" s="112"/>
      <c r="Z27" s="112"/>
      <c r="AA27" s="112"/>
      <c r="AB27" s="112"/>
      <c r="AC27" s="112"/>
      <c r="AD27" s="30" t="s">
        <v>155</v>
      </c>
      <c r="AE27" s="112"/>
      <c r="AF27" s="112"/>
    </row>
    <row r="28" spans="2:33" x14ac:dyDescent="0.3">
      <c r="C28" s="146" t="s">
        <v>95</v>
      </c>
      <c r="D28" s="107"/>
      <c r="E28" s="108"/>
      <c r="F28" s="109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</row>
    <row r="29" spans="2:33" x14ac:dyDescent="0.3">
      <c r="B29"/>
      <c r="C29"/>
      <c r="D29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spans="2:33" x14ac:dyDescent="0.3">
      <c r="B30"/>
      <c r="C30"/>
      <c r="D30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</row>
    <row r="31" spans="2:33" x14ac:dyDescent="0.3">
      <c r="B31"/>
      <c r="C31"/>
      <c r="D31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</row>
    <row r="32" spans="2:33" x14ac:dyDescent="0.3">
      <c r="B32"/>
      <c r="C32"/>
      <c r="D3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G32" s="23" t="s">
        <v>189</v>
      </c>
    </row>
    <row r="33" spans="2:29" x14ac:dyDescent="0.3">
      <c r="B33"/>
      <c r="C33"/>
      <c r="D33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</row>
    <row r="34" spans="2:29" x14ac:dyDescent="0.3">
      <c r="B34"/>
      <c r="C34"/>
      <c r="D34"/>
    </row>
  </sheetData>
  <phoneticPr fontId="25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D54E-00BB-4469-9873-ACE66827EA4B}">
  <dimension ref="A1:BJ52"/>
  <sheetViews>
    <sheetView showGridLines="0" zoomScale="55" zoomScaleNormal="55" workbookViewId="0">
      <selection activeCell="G5" sqref="G5"/>
    </sheetView>
  </sheetViews>
  <sheetFormatPr defaultRowHeight="18.75" outlineLevelCol="1" x14ac:dyDescent="0.3"/>
  <cols>
    <col min="1" max="1" width="2.7109375" style="8" customWidth="1"/>
    <col min="2" max="2" width="9.140625" style="23"/>
    <col min="3" max="27" width="9.140625" style="1"/>
    <col min="28" max="34" width="15.7109375" style="1" customWidth="1"/>
    <col min="35" max="35" width="9.140625" style="1"/>
    <col min="36" max="36" width="9.140625" style="2"/>
    <col min="37" max="37" width="30.140625" style="2" bestFit="1" customWidth="1"/>
    <col min="38" max="38" width="13" style="1" bestFit="1" customWidth="1"/>
    <col min="39" max="39" width="9.42578125" style="1" bestFit="1" customWidth="1"/>
    <col min="40" max="40" width="9.140625" style="1"/>
    <col min="41" max="41" width="12" style="2" bestFit="1" customWidth="1"/>
    <col min="42" max="42" width="12" style="1" customWidth="1"/>
    <col min="43" max="43" width="42" style="1" bestFit="1" customWidth="1"/>
    <col min="44" max="44" width="12.140625" style="4" bestFit="1" customWidth="1"/>
    <col min="45" max="45" width="15" style="4" bestFit="1" customWidth="1"/>
    <col min="46" max="46" width="11.5703125" style="1" bestFit="1" customWidth="1"/>
    <col min="47" max="47" width="26.85546875" style="1" bestFit="1" customWidth="1"/>
    <col min="48" max="52" width="9.140625" style="1"/>
    <col min="53" max="53" width="27.85546875" style="1" customWidth="1" outlineLevel="1"/>
    <col min="54" max="58" width="9.140625" style="1" customWidth="1" outlineLevel="1"/>
    <col min="59" max="59" width="10.7109375" style="2" customWidth="1" outlineLevel="1"/>
    <col min="60" max="61" width="9.140625" style="1" customWidth="1" outlineLevel="1"/>
    <col min="62" max="16384" width="9.140625" style="1"/>
  </cols>
  <sheetData>
    <row r="1" spans="1:60" x14ac:dyDescent="0.3">
      <c r="A1" s="3"/>
    </row>
    <row r="2" spans="1:60" s="12" customFormat="1" ht="21" x14ac:dyDescent="0.35">
      <c r="A2" s="13"/>
      <c r="B2" s="24"/>
      <c r="C2" s="15" t="s">
        <v>0</v>
      </c>
      <c r="D2" s="15"/>
      <c r="I2" s="15"/>
      <c r="J2" s="15" t="s">
        <v>154</v>
      </c>
      <c r="K2" s="15"/>
      <c r="N2" s="15"/>
      <c r="O2" s="15" t="s">
        <v>1</v>
      </c>
      <c r="P2" s="15"/>
      <c r="W2" s="15"/>
      <c r="X2" s="15" t="s">
        <v>2</v>
      </c>
      <c r="Y2" s="15"/>
      <c r="Z2" s="26"/>
      <c r="AA2" s="1"/>
      <c r="AB2" s="70" t="s">
        <v>117</v>
      </c>
      <c r="AC2" s="70"/>
      <c r="AD2" s="70"/>
      <c r="AE2" s="70"/>
      <c r="AF2" s="70"/>
      <c r="AG2" s="70"/>
      <c r="AH2" s="1"/>
      <c r="AI2" s="1"/>
      <c r="AJ2" s="2"/>
      <c r="AK2" s="2"/>
      <c r="AL2" s="26"/>
      <c r="AM2" s="26"/>
      <c r="AN2" s="26"/>
      <c r="AO2" s="79"/>
      <c r="AP2" s="26"/>
      <c r="AQ2" s="26"/>
      <c r="AR2" s="73"/>
      <c r="AS2" s="73"/>
      <c r="AT2" s="26"/>
      <c r="AU2" s="26"/>
      <c r="AV2" s="26"/>
      <c r="AW2" s="26"/>
      <c r="AX2" s="26"/>
      <c r="AY2" s="26"/>
      <c r="BG2" s="17"/>
    </row>
    <row r="3" spans="1:60" s="12" customFormat="1" ht="21" x14ac:dyDescent="0.35">
      <c r="A3" s="13"/>
      <c r="B3" s="25"/>
      <c r="C3" s="26"/>
      <c r="D3" s="26"/>
      <c r="N3" s="26"/>
      <c r="O3" s="26"/>
      <c r="P3" s="26"/>
      <c r="W3" s="26"/>
      <c r="X3" s="26"/>
      <c r="Y3" s="26"/>
      <c r="Z3" s="26"/>
      <c r="AA3" s="1"/>
      <c r="AI3" s="1"/>
      <c r="AJ3" s="2"/>
      <c r="AK3" s="2"/>
      <c r="AL3" s="26"/>
      <c r="AM3" s="26"/>
      <c r="AN3" s="26"/>
      <c r="AO3" s="79"/>
      <c r="AP3" s="26"/>
      <c r="AQ3" s="26"/>
      <c r="AR3" s="73"/>
      <c r="AS3" s="73"/>
      <c r="AT3" s="26"/>
      <c r="AU3" s="26"/>
      <c r="AV3" s="26"/>
      <c r="AW3" s="26"/>
      <c r="AX3" s="26"/>
      <c r="AY3" s="26"/>
      <c r="BG3" s="17"/>
    </row>
    <row r="4" spans="1:60" x14ac:dyDescent="0.3">
      <c r="A4" s="3"/>
      <c r="AA4" s="6"/>
      <c r="AB4" s="82" t="s">
        <v>108</v>
      </c>
      <c r="AC4" s="82"/>
      <c r="AD4" s="82"/>
      <c r="AE4" s="82"/>
      <c r="AF4" s="82"/>
      <c r="AG4" s="82"/>
    </row>
    <row r="5" spans="1:60" ht="37.5" x14ac:dyDescent="0.3">
      <c r="A5" s="3"/>
      <c r="J5" s="1">
        <v>0</v>
      </c>
      <c r="O5" s="1">
        <v>0</v>
      </c>
      <c r="AB5" s="90" t="s">
        <v>96</v>
      </c>
      <c r="AC5" s="90" t="s">
        <v>98</v>
      </c>
      <c r="AD5" s="90" t="s">
        <v>97</v>
      </c>
      <c r="AE5" s="90" t="s">
        <v>8</v>
      </c>
      <c r="AF5" s="90" t="s">
        <v>99</v>
      </c>
      <c r="AG5" s="90" t="s">
        <v>100</v>
      </c>
      <c r="AK5" s="32"/>
      <c r="AL5" s="32" t="s">
        <v>38</v>
      </c>
      <c r="AM5" s="32" t="s">
        <v>39</v>
      </c>
      <c r="AN5" s="32" t="s">
        <v>10</v>
      </c>
      <c r="AO5" s="2" t="s">
        <v>146</v>
      </c>
      <c r="AQ5" s="75" t="s">
        <v>135</v>
      </c>
      <c r="BB5" s="1" t="s">
        <v>41</v>
      </c>
      <c r="BC5" s="1" t="s">
        <v>42</v>
      </c>
      <c r="BD5" s="1" t="s">
        <v>38</v>
      </c>
      <c r="BE5" s="1" t="s">
        <v>10</v>
      </c>
      <c r="BF5" s="1" t="s">
        <v>39</v>
      </c>
      <c r="BH5" s="1" t="s">
        <v>43</v>
      </c>
    </row>
    <row r="6" spans="1:60" x14ac:dyDescent="0.3">
      <c r="A6" s="3"/>
      <c r="L6" s="27" t="s">
        <v>86</v>
      </c>
      <c r="M6" s="27"/>
      <c r="AB6" s="57" t="s">
        <v>4</v>
      </c>
      <c r="AC6" s="83">
        <v>2000</v>
      </c>
      <c r="AD6" s="58">
        <v>12</v>
      </c>
      <c r="AE6" s="84">
        <f>AC6 / AD6</f>
        <v>166.66666666666666</v>
      </c>
      <c r="AF6" s="58">
        <v>100</v>
      </c>
      <c r="AG6" s="85">
        <f>AF6 * AD6</f>
        <v>1200</v>
      </c>
      <c r="AK6" s="2" t="s">
        <v>121</v>
      </c>
      <c r="AL6" s="39">
        <f t="array" ref="AL6:AL8">TRANSPOSE(AC18:AE18)</f>
        <v>191.66666666666666</v>
      </c>
      <c r="AM6" s="1" t="s">
        <v>40</v>
      </c>
      <c r="AN6" s="1" t="s">
        <v>40</v>
      </c>
      <c r="AO6" s="2" t="s">
        <v>147</v>
      </c>
      <c r="AQ6" s="4" t="str">
        <f>_xlfn.TEXTJOIN(CHAR(9), FALSE, AK6,ROUND(AL6,2),AM6:AO6)</f>
        <v>[Specialist, ScranMult ]	191.67	.	.	# Cost of Transportation + Labor per Unit of Output (see screenshot)</v>
      </c>
      <c r="BA6" t="s">
        <v>29</v>
      </c>
      <c r="BB6" s="1">
        <v>166.7</v>
      </c>
      <c r="BC6" s="1">
        <v>300</v>
      </c>
      <c r="BD6" s="1">
        <v>466.7</v>
      </c>
      <c r="BE6" s="1">
        <v>100</v>
      </c>
      <c r="BF6" s="1" t="s">
        <v>40</v>
      </c>
      <c r="BG6" s="2" t="s">
        <v>56</v>
      </c>
      <c r="BH6" s="1" t="s">
        <v>57</v>
      </c>
    </row>
    <row r="7" spans="1:60" x14ac:dyDescent="0.3">
      <c r="A7" s="3"/>
      <c r="L7" s="27"/>
      <c r="M7" s="27"/>
      <c r="AB7" s="35" t="s">
        <v>5</v>
      </c>
      <c r="AC7" s="38">
        <v>1700</v>
      </c>
      <c r="AD7" s="36">
        <v>10</v>
      </c>
      <c r="AE7" s="42">
        <f>AC7 / AD7</f>
        <v>170</v>
      </c>
      <c r="AF7" s="36">
        <v>200</v>
      </c>
      <c r="AG7" s="43">
        <f>AF7 * AD7</f>
        <v>2000</v>
      </c>
      <c r="AK7" s="2" t="s">
        <v>139</v>
      </c>
      <c r="AL7" s="39">
        <v>187.5</v>
      </c>
      <c r="AM7" s="1" t="s">
        <v>40</v>
      </c>
      <c r="AN7" s="1" t="s">
        <v>40</v>
      </c>
      <c r="AQ7" s="4" t="str">
        <f t="shared" ref="AQ7:AQ11" si="0">_xlfn.TEXTJOIN(CHAR(9), FALSE, AK7,ROUND(AL7,2),AM7:AO7)</f>
        <v xml:space="preserve">[Specialist, UticaMult]	187.5	.	.	</v>
      </c>
      <c r="BA7" t="s">
        <v>30</v>
      </c>
      <c r="BB7" s="1">
        <v>166.7</v>
      </c>
      <c r="BC7" s="1">
        <v>250</v>
      </c>
      <c r="BD7" s="1">
        <v>416.7</v>
      </c>
      <c r="BE7" s="1">
        <v>100</v>
      </c>
      <c r="BF7" s="1" t="s">
        <v>40</v>
      </c>
      <c r="BG7" s="2" t="s">
        <v>58</v>
      </c>
      <c r="BH7" s="1" t="s">
        <v>59</v>
      </c>
    </row>
    <row r="8" spans="1:60" x14ac:dyDescent="0.3">
      <c r="A8" s="3"/>
      <c r="C8" s="1">
        <v>1200</v>
      </c>
      <c r="L8" s="27" t="s">
        <v>85</v>
      </c>
      <c r="M8" s="27"/>
      <c r="X8" s="1">
        <v>-1000</v>
      </c>
      <c r="AB8" s="3"/>
      <c r="AC8" s="23"/>
      <c r="AI8" s="3"/>
      <c r="AK8" s="2" t="s">
        <v>123</v>
      </c>
      <c r="AL8" s="39">
        <v>189.58333333333331</v>
      </c>
      <c r="AM8" s="1" t="s">
        <v>40</v>
      </c>
      <c r="AN8" s="1" t="s">
        <v>40</v>
      </c>
      <c r="AQ8" s="4" t="str">
        <f t="shared" si="0"/>
        <v xml:space="preserve">[Specialist, StamMult ]	189.58	.	.	</v>
      </c>
      <c r="BA8" t="s">
        <v>31</v>
      </c>
      <c r="BB8" s="1">
        <v>166.7</v>
      </c>
      <c r="BC8" s="1">
        <v>275</v>
      </c>
      <c r="BD8" s="1">
        <v>441.7</v>
      </c>
      <c r="BE8" s="1">
        <v>100</v>
      </c>
      <c r="BF8" s="1" t="s">
        <v>40</v>
      </c>
      <c r="BG8" s="2" t="s">
        <v>60</v>
      </c>
      <c r="BH8" s="1" t="s">
        <v>61</v>
      </c>
    </row>
    <row r="9" spans="1:60" x14ac:dyDescent="0.3">
      <c r="A9" s="3"/>
      <c r="F9" s="3" t="str">
        <f>AF18</f>
        <v>(191.67,0,∞)</v>
      </c>
      <c r="L9" s="27"/>
      <c r="M9" s="27"/>
      <c r="T9" s="4" t="s">
        <v>91</v>
      </c>
      <c r="AB9" s="82" t="s">
        <v>101</v>
      </c>
      <c r="AC9" s="82"/>
      <c r="AD9" s="82"/>
      <c r="AE9" s="82"/>
      <c r="AI9" s="3"/>
      <c r="AK9" s="2" t="s">
        <v>122</v>
      </c>
      <c r="AL9" s="39">
        <f t="array" ref="AL9:AL11">TRANSPOSE(AC19:AE19)</f>
        <v>200</v>
      </c>
      <c r="AM9" s="1" t="s">
        <v>40</v>
      </c>
      <c r="AN9" s="1" t="s">
        <v>40</v>
      </c>
      <c r="AQ9" s="4" t="str">
        <f t="shared" si="0"/>
        <v xml:space="preserve">[Generalist, ScranMult ]	200	.	.	</v>
      </c>
      <c r="BA9" t="s">
        <v>32</v>
      </c>
      <c r="BB9" s="1">
        <v>170</v>
      </c>
      <c r="BC9" s="1">
        <v>300</v>
      </c>
      <c r="BD9" s="1">
        <v>470</v>
      </c>
      <c r="BE9" s="1">
        <v>200</v>
      </c>
      <c r="BF9" s="1" t="s">
        <v>40</v>
      </c>
      <c r="BG9" s="2" t="s">
        <v>62</v>
      </c>
      <c r="BH9" s="1" t="s">
        <v>63</v>
      </c>
    </row>
    <row r="10" spans="1:60" x14ac:dyDescent="0.3">
      <c r="A10" s="3"/>
      <c r="E10" s="3"/>
      <c r="L10" s="27"/>
      <c r="M10" s="27"/>
      <c r="AB10" s="91"/>
      <c r="AC10" s="91" t="s">
        <v>102</v>
      </c>
      <c r="AD10" s="91" t="s">
        <v>103</v>
      </c>
      <c r="AE10" s="91" t="s">
        <v>104</v>
      </c>
      <c r="AI10" s="3"/>
      <c r="AK10" s="2" t="s">
        <v>140</v>
      </c>
      <c r="AL10" s="39">
        <v>195</v>
      </c>
      <c r="AM10" s="1" t="s">
        <v>40</v>
      </c>
      <c r="AN10" s="1" t="s">
        <v>40</v>
      </c>
      <c r="AQ10" s="4" t="str">
        <f t="shared" si="0"/>
        <v xml:space="preserve">[Generalist, UticaMult]	195	.	.	</v>
      </c>
      <c r="BA10" t="s">
        <v>33</v>
      </c>
      <c r="BB10" s="1">
        <v>170</v>
      </c>
      <c r="BC10" s="1">
        <v>250</v>
      </c>
      <c r="BD10" s="1">
        <v>420</v>
      </c>
      <c r="BE10" s="1">
        <v>200</v>
      </c>
      <c r="BF10" s="1" t="s">
        <v>40</v>
      </c>
      <c r="BG10" s="2" t="s">
        <v>64</v>
      </c>
      <c r="BH10" s="1" t="s">
        <v>65</v>
      </c>
    </row>
    <row r="11" spans="1:60" x14ac:dyDescent="0.3">
      <c r="A11" s="3"/>
      <c r="H11" s="2" t="str">
        <f>AF19</f>
        <v>(200.00,0,∞)</v>
      </c>
      <c r="I11" s="2"/>
      <c r="J11" s="2"/>
      <c r="K11" s="2"/>
      <c r="L11" s="27"/>
      <c r="M11" s="27"/>
      <c r="AB11" s="86" t="s">
        <v>106</v>
      </c>
      <c r="AC11" s="87">
        <v>300</v>
      </c>
      <c r="AD11" s="88">
        <v>250</v>
      </c>
      <c r="AE11" s="89">
        <v>275</v>
      </c>
      <c r="AK11" s="2" t="s">
        <v>124</v>
      </c>
      <c r="AL11" s="39">
        <v>197.5</v>
      </c>
      <c r="AM11" s="1" t="s">
        <v>40</v>
      </c>
      <c r="AN11" s="1" t="s">
        <v>40</v>
      </c>
      <c r="AQ11" s="4" t="str">
        <f t="shared" si="0"/>
        <v xml:space="preserve">[Generalist, StamMult ]	197.5	.	.	</v>
      </c>
      <c r="BA11" t="s">
        <v>34</v>
      </c>
      <c r="BB11" s="1">
        <v>170</v>
      </c>
      <c r="BC11" s="1">
        <v>275</v>
      </c>
      <c r="BD11" s="1">
        <v>445</v>
      </c>
      <c r="BE11" s="1">
        <v>200</v>
      </c>
      <c r="BF11" s="1" t="s">
        <v>40</v>
      </c>
      <c r="BG11" s="2" t="s">
        <v>66</v>
      </c>
      <c r="BH11" s="1" t="s">
        <v>67</v>
      </c>
    </row>
    <row r="12" spans="1:60" x14ac:dyDescent="0.3">
      <c r="A12" s="3"/>
      <c r="J12" s="1">
        <v>0</v>
      </c>
      <c r="L12" s="27"/>
      <c r="M12" s="27"/>
      <c r="O12" s="1">
        <v>0</v>
      </c>
      <c r="T12" s="4" t="s">
        <v>93</v>
      </c>
      <c r="AB12" s="41" t="s">
        <v>107</v>
      </c>
      <c r="AC12" s="33"/>
      <c r="AD12" s="33"/>
      <c r="AE12" s="34"/>
      <c r="AL12" s="39"/>
      <c r="AU12" s="4"/>
      <c r="BA12" t="s">
        <v>35</v>
      </c>
      <c r="BB12" s="1">
        <v>90</v>
      </c>
      <c r="BC12" s="1">
        <v>8</v>
      </c>
      <c r="BD12" s="1">
        <v>98</v>
      </c>
      <c r="BE12" s="1">
        <v>505</v>
      </c>
      <c r="BF12" s="1" t="s">
        <v>40</v>
      </c>
      <c r="BG12" s="2" t="s">
        <v>68</v>
      </c>
      <c r="BH12" s="1" t="s">
        <v>69</v>
      </c>
    </row>
    <row r="13" spans="1:60" x14ac:dyDescent="0.3">
      <c r="A13" s="3"/>
      <c r="H13" s="1" t="str">
        <f>AG18</f>
        <v>(187.50,0,∞)</v>
      </c>
      <c r="I13" s="3"/>
      <c r="J13" s="3"/>
      <c r="K13" s="3"/>
      <c r="L13" s="27" t="s">
        <v>87</v>
      </c>
      <c r="M13" s="27"/>
      <c r="AB13" s="40" t="s">
        <v>4</v>
      </c>
      <c r="AC13" s="44">
        <f t="shared" ref="AC13:AE14" si="1">AC$11 / $AD6</f>
        <v>25</v>
      </c>
      <c r="AD13" s="44">
        <f t="shared" si="1"/>
        <v>20.833333333333332</v>
      </c>
      <c r="AE13" s="45">
        <f t="shared" si="1"/>
        <v>22.916666666666668</v>
      </c>
      <c r="AK13" s="2" t="s">
        <v>128</v>
      </c>
      <c r="AL13" s="39">
        <v>1</v>
      </c>
      <c r="AM13" s="1" t="s">
        <v>40</v>
      </c>
      <c r="AN13" s="1">
        <f>AC24</f>
        <v>505</v>
      </c>
      <c r="AQ13" s="4" t="str">
        <f t="shared" ref="AQ13:AQ18" si="2">_xlfn.TEXTJOIN(CHAR(9), FALSE, AK13,ROUND(AL13,2),AM13:AO13)</f>
        <v xml:space="preserve">[ScranMult, Scranton]	1	.	505	</v>
      </c>
      <c r="AU13" s="4"/>
      <c r="BA13" t="s">
        <v>36</v>
      </c>
      <c r="BB13" s="1">
        <v>90</v>
      </c>
      <c r="BC13" s="1">
        <v>15</v>
      </c>
      <c r="BD13" s="1">
        <v>105</v>
      </c>
      <c r="BE13" s="1">
        <v>505</v>
      </c>
      <c r="BF13" s="1" t="s">
        <v>40</v>
      </c>
      <c r="BG13" s="2" t="s">
        <v>70</v>
      </c>
      <c r="BH13" s="1" t="s">
        <v>71</v>
      </c>
    </row>
    <row r="14" spans="1:60" x14ac:dyDescent="0.3">
      <c r="A14" s="3"/>
      <c r="L14" s="27"/>
      <c r="M14" s="27"/>
      <c r="V14" s="4" t="s">
        <v>89</v>
      </c>
      <c r="AB14" s="35" t="s">
        <v>5</v>
      </c>
      <c r="AC14" s="46">
        <f t="shared" si="1"/>
        <v>30</v>
      </c>
      <c r="AD14" s="46">
        <f t="shared" si="1"/>
        <v>25</v>
      </c>
      <c r="AE14" s="47">
        <f t="shared" si="1"/>
        <v>27.5</v>
      </c>
      <c r="AK14" s="2" t="s">
        <v>128</v>
      </c>
      <c r="AL14" s="39">
        <f>AE24</f>
        <v>1.5</v>
      </c>
      <c r="AM14" s="1" t="s">
        <v>40</v>
      </c>
      <c r="AN14" s="1">
        <f>AD24</f>
        <v>100</v>
      </c>
      <c r="AO14" s="2" t="s">
        <v>149</v>
      </c>
      <c r="AQ14" s="4" t="str">
        <f t="shared" si="2"/>
        <v>[ScranMult, Scranton]	1.5	.	100	# 1.5 multiplied if using overtime per plant</v>
      </c>
      <c r="AU14" s="4"/>
      <c r="BA14" t="s">
        <v>37</v>
      </c>
      <c r="BB14" s="1">
        <v>105</v>
      </c>
      <c r="BC14" s="1">
        <v>14</v>
      </c>
      <c r="BD14" s="1">
        <v>119</v>
      </c>
      <c r="BE14" s="1">
        <v>465</v>
      </c>
      <c r="BF14" s="1" t="s">
        <v>40</v>
      </c>
      <c r="BG14" s="2" t="s">
        <v>72</v>
      </c>
      <c r="BH14" s="1" t="s">
        <v>73</v>
      </c>
    </row>
    <row r="15" spans="1:60" x14ac:dyDescent="0.3">
      <c r="A15" s="3"/>
      <c r="L15" s="27" t="s">
        <v>85</v>
      </c>
      <c r="M15" s="27"/>
      <c r="AK15" s="2" t="s">
        <v>129</v>
      </c>
      <c r="AL15" s="39">
        <v>1</v>
      </c>
      <c r="AM15" s="1" t="s">
        <v>40</v>
      </c>
      <c r="AN15" s="1">
        <f>AC25</f>
        <v>465</v>
      </c>
      <c r="AQ15" s="4" t="str">
        <f t="shared" si="2"/>
        <v xml:space="preserve">[UticaMult, Utica]	1	.	465	</v>
      </c>
      <c r="AU15" s="4"/>
      <c r="BA15" t="s">
        <v>74</v>
      </c>
      <c r="BB15" s="1">
        <v>105</v>
      </c>
      <c r="BC15" s="1">
        <v>18</v>
      </c>
      <c r="BD15" s="1">
        <v>123</v>
      </c>
      <c r="BE15" s="1">
        <v>465</v>
      </c>
      <c r="BF15" s="1" t="s">
        <v>40</v>
      </c>
      <c r="BG15" s="2" t="s">
        <v>75</v>
      </c>
      <c r="BH15" s="1" t="s">
        <v>76</v>
      </c>
    </row>
    <row r="16" spans="1:60" x14ac:dyDescent="0.3">
      <c r="A16" s="3"/>
      <c r="H16" s="1" t="str">
        <f>AG19</f>
        <v>(195.00,0,∞)</v>
      </c>
      <c r="I16" s="3"/>
      <c r="J16" s="3"/>
      <c r="K16" s="3"/>
      <c r="L16" s="27"/>
      <c r="M16" s="27"/>
      <c r="V16" s="4" t="s">
        <v>92</v>
      </c>
      <c r="AB16" s="31" t="s">
        <v>148</v>
      </c>
      <c r="AC16" s="31"/>
      <c r="AD16" s="31"/>
      <c r="AE16" s="31"/>
      <c r="AK16" s="2" t="s">
        <v>129</v>
      </c>
      <c r="AL16" s="39">
        <f>AE25</f>
        <v>1.5</v>
      </c>
      <c r="AM16" s="1" t="s">
        <v>40</v>
      </c>
      <c r="AN16" s="1">
        <f>AD25</f>
        <v>100</v>
      </c>
      <c r="AQ16" s="4" t="str">
        <f t="shared" si="2"/>
        <v xml:space="preserve">[UticaMult, Utica]	1.5	.	100	</v>
      </c>
      <c r="AU16" s="4"/>
      <c r="BA16" t="s">
        <v>77</v>
      </c>
      <c r="BB16" s="1">
        <v>115</v>
      </c>
      <c r="BC16" s="1">
        <v>24</v>
      </c>
      <c r="BD16" s="1">
        <v>139</v>
      </c>
      <c r="BE16" s="1">
        <v>570</v>
      </c>
      <c r="BF16" s="1" t="s">
        <v>40</v>
      </c>
      <c r="BG16" s="2" t="s">
        <v>78</v>
      </c>
      <c r="BH16" s="1" t="s">
        <v>79</v>
      </c>
    </row>
    <row r="17" spans="1:62" x14ac:dyDescent="0.3">
      <c r="A17" s="3"/>
      <c r="L17" s="27"/>
      <c r="M17" s="27"/>
      <c r="AB17" s="92"/>
      <c r="AC17" s="92" t="s">
        <v>102</v>
      </c>
      <c r="AD17" s="92" t="s">
        <v>103</v>
      </c>
      <c r="AE17" s="92" t="s">
        <v>104</v>
      </c>
      <c r="AF17" s="111" t="str">
        <f t="shared" ref="AF17:AH17" si="3">AC17</f>
        <v>Scranton, PA</v>
      </c>
      <c r="AG17" s="111" t="str">
        <f t="shared" si="3"/>
        <v>Utica, NY</v>
      </c>
      <c r="AH17" s="111" t="str">
        <f t="shared" si="3"/>
        <v>Stamford, CT</v>
      </c>
      <c r="AK17" s="2" t="s">
        <v>130</v>
      </c>
      <c r="AL17" s="39">
        <v>1</v>
      </c>
      <c r="AM17" s="1" t="s">
        <v>40</v>
      </c>
      <c r="AN17" s="1">
        <f>AC26</f>
        <v>570</v>
      </c>
      <c r="AQ17" s="4" t="str">
        <f t="shared" si="2"/>
        <v xml:space="preserve">[StamMult, Stamford]	1	.	570	</v>
      </c>
      <c r="AU17" s="4"/>
      <c r="BA17" t="s">
        <v>80</v>
      </c>
      <c r="BB17" s="1">
        <v>115</v>
      </c>
      <c r="BC17" s="1">
        <v>20</v>
      </c>
      <c r="BD17" s="1">
        <v>135</v>
      </c>
      <c r="BE17" s="1">
        <v>570</v>
      </c>
      <c r="BF17" s="1" t="s">
        <v>40</v>
      </c>
      <c r="BG17" s="2" t="s">
        <v>81</v>
      </c>
      <c r="BH17" s="1" t="s">
        <v>82</v>
      </c>
    </row>
    <row r="18" spans="1:62" x14ac:dyDescent="0.3">
      <c r="A18" s="3"/>
      <c r="L18" s="27"/>
      <c r="M18" s="27"/>
      <c r="U18" s="3" t="s">
        <v>94</v>
      </c>
      <c r="AB18" s="49" t="s">
        <v>4</v>
      </c>
      <c r="AC18" s="50">
        <f t="shared" ref="AC18:AE19" si="4">AC13 + $AE6</f>
        <v>191.66666666666666</v>
      </c>
      <c r="AD18" s="50">
        <f t="shared" si="4"/>
        <v>187.5</v>
      </c>
      <c r="AE18" s="51">
        <f t="shared" si="4"/>
        <v>189.58333333333331</v>
      </c>
      <c r="AF18" s="111" t="str">
        <f>"(" &amp; TEXT(AC18, "#,##0.00") &amp; ",0,∞)"</f>
        <v>(191.67,0,∞)</v>
      </c>
      <c r="AG18" s="111" t="str">
        <f t="shared" ref="AG18:AG19" si="5">"(" &amp; TEXT(AD18, "#,##0.00") &amp; ",0,∞)"</f>
        <v>(187.50,0,∞)</v>
      </c>
      <c r="AH18" s="111" t="str">
        <f t="shared" ref="AH18:AH19" si="6">"(" &amp; TEXT(AE18, "#,##0.00") &amp; ",0,∞)"</f>
        <v>(189.58,0,∞)</v>
      </c>
      <c r="AK18" s="2" t="s">
        <v>130</v>
      </c>
      <c r="AL18" s="39">
        <f>AE26</f>
        <v>1.5</v>
      </c>
      <c r="AM18" s="1" t="s">
        <v>40</v>
      </c>
      <c r="AN18" s="1">
        <f>AD26</f>
        <v>100</v>
      </c>
      <c r="AQ18" s="4" t="str">
        <f t="shared" si="2"/>
        <v xml:space="preserve">[StamMult, Stamford]	1.5	.	100	</v>
      </c>
    </row>
    <row r="19" spans="1:62" x14ac:dyDescent="0.3">
      <c r="A19" s="3"/>
      <c r="H19" s="2" t="str">
        <f>AH18</f>
        <v>(189.58,0,∞)</v>
      </c>
      <c r="I19" s="2"/>
      <c r="J19" s="2">
        <v>0</v>
      </c>
      <c r="K19" s="2"/>
      <c r="L19" s="27"/>
      <c r="M19" s="27"/>
      <c r="O19" s="1">
        <v>0</v>
      </c>
      <c r="AB19" s="48" t="s">
        <v>5</v>
      </c>
      <c r="AC19" s="52">
        <f t="shared" si="4"/>
        <v>200</v>
      </c>
      <c r="AD19" s="52">
        <f t="shared" si="4"/>
        <v>195</v>
      </c>
      <c r="AE19" s="53">
        <f t="shared" si="4"/>
        <v>197.5</v>
      </c>
      <c r="AF19" s="111" t="str">
        <f t="shared" ref="AF19" si="7">"(" &amp; TEXT(AC19, "#,##0.00") &amp; ",0,∞)"</f>
        <v>(200.00,0,∞)</v>
      </c>
      <c r="AG19" s="111" t="str">
        <f t="shared" si="5"/>
        <v>(195.00,0,∞)</v>
      </c>
      <c r="AH19" s="111" t="str">
        <f t="shared" si="6"/>
        <v>(197.50,0,∞)</v>
      </c>
      <c r="AL19" s="39"/>
    </row>
    <row r="20" spans="1:62" x14ac:dyDescent="0.3">
      <c r="A20" s="3"/>
      <c r="L20" s="27" t="s">
        <v>88</v>
      </c>
      <c r="M20" s="27"/>
      <c r="V20" s="2" t="s">
        <v>90</v>
      </c>
      <c r="AK20" s="2" t="s">
        <v>136</v>
      </c>
      <c r="AL20" s="39">
        <f t="array" ref="AL20:AL21">TRANSPOSE(AG31:AH31)</f>
        <v>98</v>
      </c>
      <c r="AM20" s="1" t="s">
        <v>40</v>
      </c>
      <c r="AN20" s="1" t="s">
        <v>40</v>
      </c>
      <c r="AO20" s="2" t="s">
        <v>150</v>
      </c>
      <c r="AQ20" s="4" t="str">
        <f t="shared" ref="AQ20:AQ28" si="8">_xlfn.TEXTJOIN(CHAR(9), FALSE, AK20,ROUND(AL20,2),AM20:AO20)</f>
        <v>[Scranton,   Goggle]	98	.	.	# Cost of manufacturing + transportation to businesses (See calcs in screenshot)</v>
      </c>
    </row>
    <row r="21" spans="1:62" x14ac:dyDescent="0.3">
      <c r="A21" s="3"/>
      <c r="F21" s="2" t="str">
        <f>AH19</f>
        <v>(197.50,0,∞)</v>
      </c>
      <c r="L21" s="27"/>
      <c r="M21" s="27"/>
      <c r="AK21" s="2" t="s">
        <v>118</v>
      </c>
      <c r="AL21" s="76">
        <v>105</v>
      </c>
      <c r="AM21" s="6" t="s">
        <v>40</v>
      </c>
      <c r="AN21" s="6" t="s">
        <v>40</v>
      </c>
      <c r="AQ21" s="4" t="str">
        <f t="shared" si="8"/>
        <v xml:space="preserve">[Scranton,   Faceblock]	105	.	.	</v>
      </c>
    </row>
    <row r="22" spans="1:62" x14ac:dyDescent="0.3">
      <c r="A22" s="3"/>
      <c r="C22" s="1">
        <v>2000</v>
      </c>
      <c r="L22" s="27" t="s">
        <v>85</v>
      </c>
      <c r="M22" s="27"/>
      <c r="R22" s="3"/>
      <c r="S22" s="3"/>
      <c r="T22" s="3"/>
      <c r="U22" s="3"/>
      <c r="V22" s="3"/>
      <c r="X22" s="1">
        <v>-600</v>
      </c>
      <c r="AB22" s="54" t="s">
        <v>109</v>
      </c>
      <c r="AC22" s="54"/>
      <c r="AD22" s="54"/>
      <c r="AE22" s="54"/>
      <c r="AK22" s="2" t="s">
        <v>131</v>
      </c>
      <c r="AL22" s="39">
        <v>0</v>
      </c>
      <c r="AM22" s="1" t="s">
        <v>40</v>
      </c>
      <c r="AN22" s="1" t="s">
        <v>40</v>
      </c>
      <c r="AQ22" s="4" t="str">
        <f t="shared" si="8"/>
        <v xml:space="preserve">[Scranton,   dummy  ]	0	.	.	</v>
      </c>
    </row>
    <row r="23" spans="1:62" x14ac:dyDescent="0.3">
      <c r="A23" s="3"/>
      <c r="G23" s="20"/>
      <c r="L23" s="27"/>
      <c r="M23" s="27"/>
      <c r="Q23" s="29"/>
      <c r="R23" s="28"/>
      <c r="S23" s="28"/>
      <c r="U23" s="30"/>
      <c r="V23" s="28" t="s">
        <v>155</v>
      </c>
      <c r="W23" s="27"/>
      <c r="AB23" s="60"/>
      <c r="AC23" s="60" t="s">
        <v>105</v>
      </c>
      <c r="AD23" s="60" t="s">
        <v>110</v>
      </c>
      <c r="AE23" s="60" t="s">
        <v>111</v>
      </c>
      <c r="AK23" s="2" t="s">
        <v>137</v>
      </c>
      <c r="AL23" s="39">
        <f t="array" ref="AL23:AL24">TRANSPOSE(AG32:AH32)</f>
        <v>119</v>
      </c>
      <c r="AM23" s="1" t="s">
        <v>40</v>
      </c>
      <c r="AN23" s="1" t="s">
        <v>40</v>
      </c>
      <c r="AQ23" s="4" t="str">
        <f t="shared" si="8"/>
        <v xml:space="preserve">[Utica,      Goggle]	119	.	.	</v>
      </c>
      <c r="BJ23" s="23" t="s">
        <v>83</v>
      </c>
    </row>
    <row r="24" spans="1:62" x14ac:dyDescent="0.3">
      <c r="A24" s="3"/>
      <c r="L24" s="30"/>
      <c r="M24" s="27"/>
      <c r="Q24" s="29"/>
      <c r="R24" s="28"/>
      <c r="S24" s="30" t="s">
        <v>155</v>
      </c>
      <c r="T24" s="30"/>
      <c r="U24" s="30"/>
      <c r="V24" s="30"/>
      <c r="AB24" s="57" t="s">
        <v>50</v>
      </c>
      <c r="AC24" s="58">
        <v>505</v>
      </c>
      <c r="AD24" s="59">
        <v>100</v>
      </c>
      <c r="AE24" s="59">
        <v>1.5</v>
      </c>
      <c r="AK24" s="2" t="s">
        <v>119</v>
      </c>
      <c r="AL24" s="39">
        <v>123</v>
      </c>
      <c r="AM24" s="1" t="s">
        <v>40</v>
      </c>
      <c r="AN24" s="1" t="s">
        <v>40</v>
      </c>
      <c r="AQ24" s="4" t="str">
        <f t="shared" si="8"/>
        <v xml:space="preserve">[Utica,      Faceblock]	123	.	.	</v>
      </c>
      <c r="BJ24" s="23" t="s">
        <v>84</v>
      </c>
    </row>
    <row r="25" spans="1:62" x14ac:dyDescent="0.3">
      <c r="A25" s="3"/>
      <c r="L25" s="30" t="s">
        <v>155</v>
      </c>
      <c r="M25" s="27"/>
      <c r="Q25" s="29"/>
      <c r="S25" s="30" t="s">
        <v>155</v>
      </c>
      <c r="T25" s="28"/>
      <c r="U25" s="28"/>
      <c r="V25" s="28"/>
      <c r="AB25" s="40" t="s">
        <v>51</v>
      </c>
      <c r="AC25" s="55">
        <v>465</v>
      </c>
      <c r="AD25" s="56">
        <f t="shared" ref="AD25:AE26" si="9">AD24</f>
        <v>100</v>
      </c>
      <c r="AE25" s="56">
        <f t="shared" si="9"/>
        <v>1.5</v>
      </c>
      <c r="AK25" s="2" t="s">
        <v>132</v>
      </c>
      <c r="AL25" s="39">
        <f>AL$22</f>
        <v>0</v>
      </c>
      <c r="AM25" s="1" t="s">
        <v>40</v>
      </c>
      <c r="AN25" s="1" t="s">
        <v>40</v>
      </c>
      <c r="AQ25" s="4" t="str">
        <f t="shared" si="8"/>
        <v xml:space="preserve">[Utica,      dummy   ]	0	.	.	</v>
      </c>
    </row>
    <row r="26" spans="1:62" x14ac:dyDescent="0.3">
      <c r="A26" s="3"/>
      <c r="Q26" s="29"/>
      <c r="R26" s="28"/>
      <c r="S26" s="28"/>
      <c r="T26" s="28"/>
      <c r="U26" s="28"/>
      <c r="V26" s="28"/>
      <c r="AB26" s="35" t="s">
        <v>52</v>
      </c>
      <c r="AC26" s="36">
        <v>570</v>
      </c>
      <c r="AD26" s="37">
        <f t="shared" si="9"/>
        <v>100</v>
      </c>
      <c r="AE26" s="37">
        <f t="shared" si="9"/>
        <v>1.5</v>
      </c>
      <c r="AK26" s="2" t="s">
        <v>138</v>
      </c>
      <c r="AL26" s="39">
        <f t="array" ref="AL26:AL27">TRANSPOSE(AG33:AH33)</f>
        <v>139</v>
      </c>
      <c r="AM26" s="1" t="s">
        <v>40</v>
      </c>
      <c r="AN26" s="1" t="s">
        <v>40</v>
      </c>
      <c r="AQ26" s="4" t="str">
        <f t="shared" si="8"/>
        <v xml:space="preserve">[Stamford,   Goggle]	139	.	.	</v>
      </c>
    </row>
    <row r="27" spans="1:62" s="6" customFormat="1" x14ac:dyDescent="0.3">
      <c r="N27" s="30" t="s">
        <v>155</v>
      </c>
      <c r="AB27" s="1"/>
      <c r="AC27" s="1"/>
      <c r="AD27" s="1"/>
      <c r="AE27" s="1"/>
      <c r="AF27" s="1"/>
      <c r="AG27" s="1"/>
      <c r="AH27" s="1"/>
      <c r="AJ27" s="2"/>
      <c r="AK27" s="2" t="s">
        <v>120</v>
      </c>
      <c r="AL27" s="39">
        <v>135</v>
      </c>
      <c r="AM27" s="1" t="s">
        <v>40</v>
      </c>
      <c r="AN27" s="1" t="s">
        <v>40</v>
      </c>
      <c r="AO27" s="18"/>
      <c r="AQ27" s="4" t="str">
        <f t="shared" si="8"/>
        <v xml:space="preserve">[Stamford,   Faceblock]	135	.	.	</v>
      </c>
      <c r="AR27" s="74"/>
      <c r="AS27" s="74"/>
      <c r="BG27" s="18"/>
    </row>
    <row r="28" spans="1:62" x14ac:dyDescent="0.3">
      <c r="AB28" s="6"/>
      <c r="AC28" s="6"/>
      <c r="AD28" s="6"/>
      <c r="AE28" s="6"/>
      <c r="AF28" s="6"/>
      <c r="AG28" s="6"/>
      <c r="AH28" s="6"/>
      <c r="AK28" s="2" t="s">
        <v>134</v>
      </c>
      <c r="AL28" s="39">
        <f>AL$22</f>
        <v>0</v>
      </c>
      <c r="AM28" s="1" t="s">
        <v>40</v>
      </c>
      <c r="AN28" s="1" t="s">
        <v>40</v>
      </c>
      <c r="AQ28" s="4" t="str">
        <f t="shared" si="8"/>
        <v xml:space="preserve">[Stamford,   dummy   ]	0	.	.	</v>
      </c>
    </row>
    <row r="29" spans="1:62" x14ac:dyDescent="0.3">
      <c r="C29" s="71"/>
      <c r="M29" s="30" t="s">
        <v>155</v>
      </c>
      <c r="AB29" s="80" t="s">
        <v>115</v>
      </c>
      <c r="AC29" s="80"/>
      <c r="AD29" s="80"/>
      <c r="AE29" s="80"/>
      <c r="AG29" s="80" t="s">
        <v>116</v>
      </c>
      <c r="AH29" s="80"/>
      <c r="AK29" s="2" t="s">
        <v>145</v>
      </c>
      <c r="AQ29" s="4" t="str">
        <f>_xlfn.TEXTJOIN(CHAR(9), FALSE, AK29,AL29,AM29:AO29)</f>
        <v xml:space="preserve">;				</v>
      </c>
    </row>
    <row r="30" spans="1:62" ht="21" x14ac:dyDescent="0.35">
      <c r="C30" s="72"/>
      <c r="X30" s="1">
        <f>-SUM(X22,X8) - SUM(C8,C22,O33)</f>
        <v>-240</v>
      </c>
      <c r="AB30" s="81"/>
      <c r="AC30" s="81" t="s">
        <v>114</v>
      </c>
      <c r="AD30" s="81" t="s">
        <v>112</v>
      </c>
      <c r="AE30" s="81" t="s">
        <v>113</v>
      </c>
      <c r="AG30" s="81" t="str">
        <f>AD30</f>
        <v>Goggle</v>
      </c>
      <c r="AH30" s="81" t="str">
        <f>AE30</f>
        <v>Faceblock</v>
      </c>
    </row>
    <row r="31" spans="1:62" x14ac:dyDescent="0.3">
      <c r="AB31" s="63" t="str">
        <f>AB24</f>
        <v>Scranton</v>
      </c>
      <c r="AC31" s="64">
        <v>90</v>
      </c>
      <c r="AD31" s="64">
        <v>8</v>
      </c>
      <c r="AE31" s="65">
        <v>15</v>
      </c>
      <c r="AG31" s="64">
        <f t="shared" ref="AG31:AH33" si="10">$AC31 + AD31</f>
        <v>98</v>
      </c>
      <c r="AH31" s="65">
        <f t="shared" si="10"/>
        <v>105</v>
      </c>
      <c r="AK31" s="32"/>
      <c r="AL31" s="32" t="s">
        <v>141</v>
      </c>
      <c r="AO31" s="2" t="s">
        <v>142</v>
      </c>
      <c r="AR31" s="4" t="s">
        <v>142</v>
      </c>
      <c r="AS31" s="4" t="s">
        <v>142</v>
      </c>
    </row>
    <row r="32" spans="1:62" x14ac:dyDescent="0.3">
      <c r="AB32" s="61" t="str">
        <f>AB25</f>
        <v>Utica</v>
      </c>
      <c r="AC32" s="66">
        <v>105</v>
      </c>
      <c r="AD32" s="66">
        <v>14</v>
      </c>
      <c r="AE32" s="67">
        <v>18</v>
      </c>
      <c r="AG32" s="66">
        <f t="shared" si="10"/>
        <v>119</v>
      </c>
      <c r="AH32" s="67">
        <f t="shared" si="10"/>
        <v>123</v>
      </c>
      <c r="AK32" s="2" t="s">
        <v>151</v>
      </c>
      <c r="AQ32" s="4" t="str">
        <f>_xlfn.TEXTJOIN(CHAR(9), FALSE, AK32,AL32,AM32:AO32)</f>
        <v xml:space="preserve"># Supply				</v>
      </c>
    </row>
    <row r="33" spans="1:43" x14ac:dyDescent="0.3">
      <c r="O33" s="1">
        <f>SUM(AC24:AD26) - SUM(C22,C8)</f>
        <v>-1360</v>
      </c>
      <c r="AB33" s="62" t="str">
        <f>AB26</f>
        <v>Stamford</v>
      </c>
      <c r="AC33" s="68">
        <v>115</v>
      </c>
      <c r="AD33" s="68">
        <v>24</v>
      </c>
      <c r="AE33" s="69">
        <v>20</v>
      </c>
      <c r="AG33" s="68">
        <f t="shared" si="10"/>
        <v>139</v>
      </c>
      <c r="AH33" s="69">
        <f t="shared" si="10"/>
        <v>135</v>
      </c>
      <c r="AK33" s="2" t="s">
        <v>4</v>
      </c>
      <c r="AL33" s="77">
        <f>AG6</f>
        <v>1200</v>
      </c>
      <c r="AM33" s="78" t="s">
        <v>143</v>
      </c>
      <c r="AQ33" s="4" t="str">
        <f>_xlfn.TEXTJOIN(CHAR(9), FALSE, AK33,AL33,AM33:AO33)</f>
        <v xml:space="preserve">Specialist	1200	# 12 units * 100 labor hours		</v>
      </c>
    </row>
    <row r="34" spans="1:43" x14ac:dyDescent="0.3">
      <c r="A34" s="104" t="s">
        <v>3</v>
      </c>
      <c r="B34" s="104"/>
      <c r="C34" s="105"/>
      <c r="D34" s="106"/>
      <c r="AK34" s="2" t="s">
        <v>5</v>
      </c>
      <c r="AL34" s="77">
        <f>AG7</f>
        <v>2000</v>
      </c>
      <c r="AM34" s="78" t="s">
        <v>144</v>
      </c>
      <c r="AQ34" s="4" t="str">
        <f t="shared" ref="AQ34:AQ46" si="11">_xlfn.TEXTJOIN(CHAR(9), FALSE, AK34,AL34,AM34:AO34)</f>
        <v xml:space="preserve">Generalist	2000	# 10 units * 200 labor hours		</v>
      </c>
    </row>
    <row r="35" spans="1:43" x14ac:dyDescent="0.3">
      <c r="A35" s="107" t="s">
        <v>95</v>
      </c>
      <c r="B35" s="107"/>
      <c r="C35" s="108"/>
      <c r="D35" s="109"/>
      <c r="I35" s="110" t="s">
        <v>175</v>
      </c>
      <c r="AK35" s="2" t="s">
        <v>153</v>
      </c>
      <c r="AQ35" s="4" t="str">
        <f t="shared" si="11"/>
        <v xml:space="preserve"># Transshippment (Plants or OT Multiplier)				</v>
      </c>
    </row>
    <row r="36" spans="1:43" x14ac:dyDescent="0.3">
      <c r="A36" s="1"/>
      <c r="B36" s="1"/>
      <c r="AK36" s="2" t="s">
        <v>125</v>
      </c>
      <c r="AL36" s="1">
        <v>0</v>
      </c>
      <c r="AQ36" s="4" t="str">
        <f t="shared" si="11"/>
        <v xml:space="preserve">ScranMult	0			</v>
      </c>
    </row>
    <row r="37" spans="1:43" x14ac:dyDescent="0.3">
      <c r="A37" s="1"/>
      <c r="B37" s="1"/>
      <c r="AK37" s="2" t="s">
        <v>127</v>
      </c>
      <c r="AL37" s="1">
        <v>0</v>
      </c>
      <c r="AQ37" s="4" t="str">
        <f t="shared" si="11"/>
        <v xml:space="preserve">UticaMult	0			</v>
      </c>
    </row>
    <row r="38" spans="1:43" x14ac:dyDescent="0.3">
      <c r="A38" s="1"/>
      <c r="B38" s="1"/>
      <c r="AK38" s="2" t="s">
        <v>126</v>
      </c>
      <c r="AL38" s="1">
        <v>0</v>
      </c>
      <c r="AQ38" s="4" t="str">
        <f t="shared" si="11"/>
        <v xml:space="preserve">StamMult	0			</v>
      </c>
    </row>
    <row r="39" spans="1:43" x14ac:dyDescent="0.3">
      <c r="C39" s="8" t="s">
        <v>23</v>
      </c>
      <c r="D39" s="23" t="s">
        <v>25</v>
      </c>
      <c r="AK39" s="2" t="s">
        <v>50</v>
      </c>
      <c r="AL39" s="1">
        <v>0</v>
      </c>
      <c r="AQ39" s="4" t="str">
        <f t="shared" si="11"/>
        <v xml:space="preserve">Scranton	0			</v>
      </c>
    </row>
    <row r="40" spans="1:43" x14ac:dyDescent="0.3">
      <c r="C40" s="8" t="s">
        <v>24</v>
      </c>
      <c r="D40" s="23" t="s">
        <v>26</v>
      </c>
      <c r="AK40" s="2" t="s">
        <v>51</v>
      </c>
      <c r="AL40" s="1">
        <v>0</v>
      </c>
      <c r="AQ40" s="4" t="str">
        <f t="shared" si="11"/>
        <v xml:space="preserve">Utica	0			</v>
      </c>
    </row>
    <row r="41" spans="1:43" x14ac:dyDescent="0.3">
      <c r="C41" s="8" t="s">
        <v>27</v>
      </c>
      <c r="D41" s="23" t="s">
        <v>28</v>
      </c>
      <c r="AK41" s="2" t="s">
        <v>52</v>
      </c>
      <c r="AL41" s="1">
        <v>0</v>
      </c>
      <c r="AQ41" s="4" t="str">
        <f t="shared" si="11"/>
        <v xml:space="preserve">Stamford	0			</v>
      </c>
    </row>
    <row r="42" spans="1:43" x14ac:dyDescent="0.3">
      <c r="C42" s="8" t="s">
        <v>47</v>
      </c>
      <c r="D42" s="23" t="s">
        <v>48</v>
      </c>
      <c r="AK42" s="2" t="s">
        <v>152</v>
      </c>
      <c r="AQ42" s="4" t="str">
        <f t="shared" si="11"/>
        <v xml:space="preserve"># Demand				</v>
      </c>
    </row>
    <row r="43" spans="1:43" x14ac:dyDescent="0.3">
      <c r="C43" s="8"/>
      <c r="D43" s="23"/>
      <c r="AK43" s="2" t="s">
        <v>112</v>
      </c>
      <c r="AL43" s="1">
        <f>X8</f>
        <v>-1000</v>
      </c>
      <c r="AQ43" s="4" t="str">
        <f t="shared" si="11"/>
        <v xml:space="preserve">Goggle	-1000			</v>
      </c>
    </row>
    <row r="44" spans="1:43" ht="20.25" x14ac:dyDescent="0.35">
      <c r="C44" s="8" t="s">
        <v>15</v>
      </c>
      <c r="D44" s="23" t="s">
        <v>9</v>
      </c>
      <c r="AK44" s="2" t="s">
        <v>113</v>
      </c>
      <c r="AL44" s="1">
        <f>X22</f>
        <v>-600</v>
      </c>
      <c r="AM44" s="78" t="s">
        <v>156</v>
      </c>
      <c r="AQ44" s="4" t="str">
        <f t="shared" si="11"/>
        <v xml:space="preserve">Faceblock	-600	# 1200 + 2000 - 0 - 600		</v>
      </c>
    </row>
    <row r="45" spans="1:43" x14ac:dyDescent="0.3">
      <c r="C45" s="8"/>
      <c r="D45" s="23"/>
      <c r="AK45" s="2" t="s">
        <v>133</v>
      </c>
      <c r="AL45" s="1">
        <f>X30</f>
        <v>-240</v>
      </c>
      <c r="AQ45" s="4" t="str">
        <f t="shared" si="11"/>
        <v xml:space="preserve">dummy	-240			</v>
      </c>
    </row>
    <row r="46" spans="1:43" ht="20.25" x14ac:dyDescent="0.35">
      <c r="C46" s="8" t="s">
        <v>16</v>
      </c>
      <c r="D46" s="23" t="s">
        <v>11</v>
      </c>
      <c r="AK46" s="2" t="s">
        <v>145</v>
      </c>
      <c r="AQ46" s="4" t="str">
        <f t="shared" si="11"/>
        <v xml:space="preserve">;				</v>
      </c>
    </row>
    <row r="47" spans="1:43" ht="20.25" x14ac:dyDescent="0.35">
      <c r="C47" s="8" t="s">
        <v>14</v>
      </c>
      <c r="D47" s="23" t="s">
        <v>12</v>
      </c>
    </row>
    <row r="48" spans="1:43" ht="20.25" x14ac:dyDescent="0.35">
      <c r="C48" s="8" t="s">
        <v>17</v>
      </c>
      <c r="D48" s="23" t="s">
        <v>13</v>
      </c>
    </row>
    <row r="49" spans="3:4" ht="20.25" x14ac:dyDescent="0.35">
      <c r="C49" s="8" t="s">
        <v>18</v>
      </c>
      <c r="D49" s="23" t="s">
        <v>21</v>
      </c>
    </row>
    <row r="50" spans="3:4" x14ac:dyDescent="0.3">
      <c r="C50" s="8"/>
      <c r="D50" s="23"/>
    </row>
    <row r="51" spans="3:4" x14ac:dyDescent="0.3">
      <c r="C51" s="8"/>
      <c r="D51" s="23"/>
    </row>
    <row r="52" spans="3:4" x14ac:dyDescent="0.3">
      <c r="C52" s="2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39DA1-A367-4818-9935-35E5EE7A4AC9}">
  <dimension ref="A2:P36"/>
  <sheetViews>
    <sheetView showGridLines="0" zoomScale="85" zoomScaleNormal="85" workbookViewId="0">
      <selection activeCell="H34" activeCellId="1" sqref="E34:E36 H34:H36"/>
    </sheetView>
  </sheetViews>
  <sheetFormatPr defaultRowHeight="15" x14ac:dyDescent="0.25"/>
  <cols>
    <col min="2" max="2" width="19" bestFit="1" customWidth="1"/>
    <col min="3" max="3" width="12.140625" bestFit="1" customWidth="1"/>
    <col min="4" max="4" width="10.5703125" bestFit="1" customWidth="1"/>
    <col min="10" max="10" width="10.5703125" bestFit="1" customWidth="1"/>
    <col min="16" max="16" width="11.28515625" bestFit="1" customWidth="1"/>
  </cols>
  <sheetData>
    <row r="2" spans="3:16" x14ac:dyDescent="0.25">
      <c r="C2" s="178" t="s">
        <v>226</v>
      </c>
      <c r="D2" s="178"/>
      <c r="J2" s="178" t="s">
        <v>227</v>
      </c>
      <c r="K2" s="178"/>
    </row>
    <row r="3" spans="3:16" x14ac:dyDescent="0.25">
      <c r="C3" s="179"/>
      <c r="D3" s="179"/>
      <c r="J3" s="179"/>
      <c r="K3" s="179"/>
    </row>
    <row r="4" spans="3:16" x14ac:dyDescent="0.25">
      <c r="C4" s="179"/>
      <c r="D4" s="179"/>
      <c r="J4" s="179"/>
      <c r="K4" s="179">
        <v>0</v>
      </c>
    </row>
    <row r="8" spans="3:16" x14ac:dyDescent="0.25">
      <c r="D8" s="150">
        <v>930000</v>
      </c>
      <c r="H8" t="s">
        <v>239</v>
      </c>
    </row>
    <row r="12" spans="3:16" x14ac:dyDescent="0.25">
      <c r="I12" t="s">
        <v>237</v>
      </c>
      <c r="N12" t="s">
        <v>228</v>
      </c>
    </row>
    <row r="13" spans="3:16" x14ac:dyDescent="0.25">
      <c r="K13">
        <v>0</v>
      </c>
      <c r="P13" s="150">
        <f>-SUM(D8,D27)</f>
        <v>-6200000</v>
      </c>
    </row>
    <row r="15" spans="3:16" x14ac:dyDescent="0.25">
      <c r="I15" s="185" t="str">
        <f>$K$35</f>
        <v>(-0.14, 0.00, 2,660,000.00)</v>
      </c>
    </row>
    <row r="16" spans="3:16" x14ac:dyDescent="0.25">
      <c r="I16" s="185"/>
    </row>
    <row r="17" spans="2:13" x14ac:dyDescent="0.25">
      <c r="I17" s="185"/>
      <c r="M17" t="s">
        <v>228</v>
      </c>
    </row>
    <row r="18" spans="2:13" x14ac:dyDescent="0.25">
      <c r="I18" s="185"/>
    </row>
    <row r="19" spans="2:13" x14ac:dyDescent="0.25">
      <c r="I19" s="185" t="str">
        <f>$K$35</f>
        <v>(-0.14, 0.00, 2,660,000.00)</v>
      </c>
    </row>
    <row r="23" spans="2:13" x14ac:dyDescent="0.25">
      <c r="I23" t="s">
        <v>238</v>
      </c>
      <c r="K23">
        <v>0</v>
      </c>
    </row>
    <row r="24" spans="2:13" x14ac:dyDescent="0.25">
      <c r="M24" t="s">
        <v>228</v>
      </c>
    </row>
    <row r="27" spans="2:13" x14ac:dyDescent="0.25">
      <c r="D27" s="150">
        <v>5270000</v>
      </c>
      <c r="I27" s="184" t="str">
        <f>$K$36</f>
        <v>(0.43, 0.00, 3,780,000.00)</v>
      </c>
    </row>
    <row r="32" spans="2:13" x14ac:dyDescent="0.25">
      <c r="B32" s="177" t="s">
        <v>233</v>
      </c>
      <c r="C32" s="177"/>
      <c r="H32" t="s">
        <v>38</v>
      </c>
      <c r="I32" t="s">
        <v>39</v>
      </c>
      <c r="J32" t="s">
        <v>10</v>
      </c>
    </row>
    <row r="33" spans="1:11" ht="30" x14ac:dyDescent="0.25">
      <c r="B33" s="182" t="s">
        <v>193</v>
      </c>
      <c r="C33" s="182" t="s">
        <v>232</v>
      </c>
      <c r="D33" s="149"/>
      <c r="E33" s="149" t="s">
        <v>229</v>
      </c>
      <c r="F33" s="149"/>
      <c r="G33" s="149"/>
      <c r="H33" s="149" t="s">
        <v>230</v>
      </c>
      <c r="I33" s="183" t="s">
        <v>235</v>
      </c>
      <c r="J33" s="183" t="s">
        <v>234</v>
      </c>
      <c r="K33" s="155" t="s">
        <v>236</v>
      </c>
    </row>
    <row r="34" spans="1:11" x14ac:dyDescent="0.25">
      <c r="A34" t="s">
        <v>190</v>
      </c>
      <c r="B34" s="181">
        <v>6.5</v>
      </c>
      <c r="C34" s="150" t="s">
        <v>231</v>
      </c>
      <c r="D34" t="s">
        <v>190</v>
      </c>
      <c r="E34" s="147">
        <v>1.4</v>
      </c>
      <c r="F34" s="147"/>
      <c r="G34" s="147"/>
      <c r="H34" s="147">
        <v>0.35</v>
      </c>
      <c r="I34" s="180">
        <v>0</v>
      </c>
      <c r="J34" s="150" t="str">
        <f>C34</f>
        <v>Inf</v>
      </c>
      <c r="K34" t="str" cm="1">
        <f t="array" ref="K34">"(" &amp; _xlfn.TEXTJOIN(", ", FALSE, TEXT(H34:J34, "#,##0.00")) &amp; ")"</f>
        <v>(0.35, 0.00, Inf)</v>
      </c>
    </row>
    <row r="35" spans="1:11" x14ac:dyDescent="0.25">
      <c r="A35" t="s">
        <v>191</v>
      </c>
      <c r="B35" s="181">
        <v>14</v>
      </c>
      <c r="C35" s="150">
        <v>190000</v>
      </c>
      <c r="D35" t="s">
        <v>191</v>
      </c>
      <c r="E35" s="147">
        <v>2.46</v>
      </c>
      <c r="F35" s="147"/>
      <c r="G35" s="147"/>
      <c r="H35" s="147">
        <v>-0.14000000000000001</v>
      </c>
      <c r="I35" s="180">
        <v>0</v>
      </c>
      <c r="J35" s="150">
        <f>B35 * C35</f>
        <v>2660000</v>
      </c>
      <c r="K35" t="str" cm="1">
        <f t="array" ref="K35">"(" &amp; _xlfn.TEXTJOIN(", ", FALSE, TEXT(H35:J35, "#,##0.00")) &amp; ")"</f>
        <v>(-0.14, 0.00, 2,660,000.00)</v>
      </c>
    </row>
    <row r="36" spans="1:11" x14ac:dyDescent="0.25">
      <c r="A36" t="s">
        <v>192</v>
      </c>
      <c r="B36" s="181">
        <v>18</v>
      </c>
      <c r="C36" s="150">
        <v>210000</v>
      </c>
      <c r="D36" t="s">
        <v>192</v>
      </c>
      <c r="E36" s="147">
        <v>2.35</v>
      </c>
      <c r="F36" s="147"/>
      <c r="G36" s="147"/>
      <c r="H36" s="147">
        <v>0.43</v>
      </c>
      <c r="I36" s="180">
        <v>0</v>
      </c>
      <c r="J36" s="150">
        <f>B36 * C36</f>
        <v>3780000</v>
      </c>
      <c r="K36" t="str" cm="1">
        <f t="array" ref="K36">"(" &amp; _xlfn.TEXTJOIN(", ", FALSE, TEXT(H36:J36, "#,##0.00")) &amp; ")"</f>
        <v>(0.43, 0.00, 3,780,000.00)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DB666-5CF3-4627-8B70-A129646F75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1D43-9BD8-4A09-A61C-254B47A47DFE}">
  <dimension ref="B1:K22"/>
  <sheetViews>
    <sheetView zoomScale="160" zoomScaleNormal="160" workbookViewId="0"/>
  </sheetViews>
  <sheetFormatPr defaultRowHeight="15" x14ac:dyDescent="0.25"/>
  <cols>
    <col min="3" max="3" width="24.7109375" bestFit="1" customWidth="1"/>
  </cols>
  <sheetData>
    <row r="1" spans="2:11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1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</row>
    <row r="3" spans="2:11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1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1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1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1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1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1" x14ac:dyDescent="0.25">
      <c r="B9" t="s">
        <v>169</v>
      </c>
    </row>
    <row r="11" spans="2:11" ht="15.75" thickBot="1" x14ac:dyDescent="0.3"/>
    <row r="12" spans="2:11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1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1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1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BFC5-285A-4C09-B287-071ADBFF8F1F}">
  <dimension ref="B1:M22"/>
  <sheetViews>
    <sheetView zoomScale="160" zoomScaleNormal="160" workbookViewId="0"/>
  </sheetViews>
  <sheetFormatPr defaultRowHeight="15" x14ac:dyDescent="0.25"/>
  <cols>
    <col min="3" max="3" width="24.7109375" bestFit="1" customWidth="1"/>
  </cols>
  <sheetData>
    <row r="1" spans="2:13" x14ac:dyDescent="0.25">
      <c r="B1" t="s">
        <v>164</v>
      </c>
      <c r="C1" t="s">
        <v>165</v>
      </c>
      <c r="D1" t="s">
        <v>170</v>
      </c>
      <c r="E1" t="s">
        <v>159</v>
      </c>
      <c r="F1" t="s">
        <v>167</v>
      </c>
    </row>
    <row r="2" spans="2:13" x14ac:dyDescent="0.25">
      <c r="B2" t="s">
        <v>157</v>
      </c>
      <c r="C2" t="s">
        <v>158</v>
      </c>
      <c r="D2">
        <v>2000</v>
      </c>
      <c r="E2" t="s">
        <v>159</v>
      </c>
      <c r="F2" t="s">
        <v>160</v>
      </c>
      <c r="G2" t="s">
        <v>161</v>
      </c>
      <c r="H2">
        <v>1840</v>
      </c>
      <c r="I2" t="s">
        <v>162</v>
      </c>
      <c r="J2" t="s">
        <v>163</v>
      </c>
      <c r="K2">
        <v>160</v>
      </c>
      <c r="M2" s="123"/>
    </row>
    <row r="3" spans="2:13" x14ac:dyDescent="0.25">
      <c r="B3" t="s">
        <v>164</v>
      </c>
      <c r="C3" t="s">
        <v>165</v>
      </c>
      <c r="D3" t="s">
        <v>166</v>
      </c>
      <c r="E3" t="s">
        <v>159</v>
      </c>
      <c r="F3" t="s">
        <v>167</v>
      </c>
    </row>
    <row r="4" spans="2:13" x14ac:dyDescent="0.25">
      <c r="B4" t="s">
        <v>157</v>
      </c>
      <c r="C4" t="s">
        <v>161</v>
      </c>
      <c r="D4">
        <v>-1000</v>
      </c>
      <c r="E4" t="s">
        <v>159</v>
      </c>
      <c r="F4" t="s">
        <v>160</v>
      </c>
      <c r="G4" t="s">
        <v>158</v>
      </c>
      <c r="H4">
        <v>-720</v>
      </c>
      <c r="I4" t="s">
        <v>162</v>
      </c>
      <c r="J4" t="s">
        <v>163</v>
      </c>
      <c r="K4">
        <v>-280</v>
      </c>
    </row>
    <row r="5" spans="2:13" x14ac:dyDescent="0.25">
      <c r="B5" t="s">
        <v>164</v>
      </c>
      <c r="C5" t="s">
        <v>165</v>
      </c>
      <c r="D5" t="s">
        <v>168</v>
      </c>
      <c r="E5" t="s">
        <v>159</v>
      </c>
      <c r="F5" t="s">
        <v>167</v>
      </c>
    </row>
    <row r="6" spans="2:13" x14ac:dyDescent="0.25">
      <c r="B6" t="s">
        <v>157</v>
      </c>
      <c r="C6" t="s">
        <v>161</v>
      </c>
      <c r="D6">
        <v>-1600</v>
      </c>
      <c r="E6" t="s">
        <v>159</v>
      </c>
      <c r="F6" t="s">
        <v>160</v>
      </c>
      <c r="G6" t="s">
        <v>158</v>
      </c>
      <c r="H6">
        <v>-1480</v>
      </c>
      <c r="I6" t="s">
        <v>162</v>
      </c>
      <c r="J6" t="s">
        <v>163</v>
      </c>
      <c r="K6">
        <v>-120</v>
      </c>
    </row>
    <row r="7" spans="2:13" x14ac:dyDescent="0.25">
      <c r="B7" t="s">
        <v>164</v>
      </c>
      <c r="C7" t="s">
        <v>165</v>
      </c>
      <c r="D7" t="s">
        <v>166</v>
      </c>
      <c r="E7" t="s">
        <v>159</v>
      </c>
      <c r="F7" t="s">
        <v>167</v>
      </c>
    </row>
    <row r="8" spans="2:13" x14ac:dyDescent="0.25">
      <c r="B8" t="s">
        <v>157</v>
      </c>
      <c r="C8" t="s">
        <v>161</v>
      </c>
      <c r="D8">
        <v>-1000</v>
      </c>
      <c r="E8" t="s">
        <v>159</v>
      </c>
      <c r="F8" t="s">
        <v>160</v>
      </c>
      <c r="G8" t="s">
        <v>158</v>
      </c>
      <c r="H8">
        <v>-360</v>
      </c>
      <c r="I8" t="s">
        <v>162</v>
      </c>
      <c r="J8" t="s">
        <v>163</v>
      </c>
      <c r="K8">
        <v>-640</v>
      </c>
    </row>
    <row r="9" spans="2:13" x14ac:dyDescent="0.25">
      <c r="B9" t="s">
        <v>169</v>
      </c>
    </row>
    <row r="11" spans="2:13" ht="15.75" thickBot="1" x14ac:dyDescent="0.3"/>
    <row r="12" spans="2:13" x14ac:dyDescent="0.25">
      <c r="C12" s="93" t="str">
        <f>D1</f>
        <v>flow_balance['Generalist']</v>
      </c>
      <c r="D12" s="94">
        <f>D2</f>
        <v>2000</v>
      </c>
      <c r="E12" s="94">
        <f>H2</f>
        <v>1840</v>
      </c>
      <c r="F12" s="99">
        <f>D12 - E12</f>
        <v>160</v>
      </c>
    </row>
    <row r="13" spans="2:13" x14ac:dyDescent="0.25">
      <c r="C13" s="95" t="str">
        <f>D3</f>
        <v>flow_balance['Goggle']</v>
      </c>
      <c r="D13" s="96">
        <f>D4</f>
        <v>-1000</v>
      </c>
      <c r="E13" s="96">
        <f>H4</f>
        <v>-720</v>
      </c>
      <c r="F13" s="100">
        <f>D13 - E13</f>
        <v>-280</v>
      </c>
    </row>
    <row r="14" spans="2:13" x14ac:dyDescent="0.25">
      <c r="C14" s="95" t="str">
        <f>D5</f>
        <v>flow_balance['dummy']</v>
      </c>
      <c r="D14" s="96">
        <f>D6</f>
        <v>-1600</v>
      </c>
      <c r="E14" s="96">
        <f>H6</f>
        <v>-1480</v>
      </c>
      <c r="F14" s="100">
        <f>D14 - E14</f>
        <v>-120</v>
      </c>
    </row>
    <row r="15" spans="2:13" ht="15.75" thickBot="1" x14ac:dyDescent="0.3">
      <c r="C15" s="97" t="str">
        <f>D7</f>
        <v>flow_balance['Goggle']</v>
      </c>
      <c r="D15" s="98">
        <f>D8</f>
        <v>-1000</v>
      </c>
      <c r="E15" s="98">
        <f>H8</f>
        <v>-360</v>
      </c>
      <c r="F15" s="101">
        <f>D15 - E15</f>
        <v>-640</v>
      </c>
    </row>
    <row r="17" spans="2:9" x14ac:dyDescent="0.25">
      <c r="B17" t="s">
        <v>174</v>
      </c>
      <c r="C17">
        <f>SUM(C20:C21)</f>
        <v>3200</v>
      </c>
      <c r="E17" t="s">
        <v>174</v>
      </c>
      <c r="F17" s="102">
        <f>SUM(F20:F22)</f>
        <v>1840</v>
      </c>
      <c r="H17" t="s">
        <v>174</v>
      </c>
      <c r="I17">
        <f>SUM(I20:I21)</f>
        <v>-1600</v>
      </c>
    </row>
    <row r="18" spans="2:9" x14ac:dyDescent="0.25">
      <c r="E18" t="s">
        <v>133</v>
      </c>
      <c r="F18" s="103">
        <f>F17 - C17</f>
        <v>-1360</v>
      </c>
      <c r="H18" t="s">
        <v>133</v>
      </c>
      <c r="I18" s="103">
        <f>I17 - F18</f>
        <v>-240</v>
      </c>
    </row>
    <row r="19" spans="2:9" x14ac:dyDescent="0.25">
      <c r="C19" t="s">
        <v>105</v>
      </c>
      <c r="F19" t="s">
        <v>173</v>
      </c>
    </row>
    <row r="20" spans="2:9" x14ac:dyDescent="0.25">
      <c r="B20" t="s">
        <v>171</v>
      </c>
      <c r="C20">
        <v>1200</v>
      </c>
      <c r="E20" t="str">
        <f>'Problem 4'!AB24</f>
        <v>Scranton</v>
      </c>
      <c r="F20">
        <f>SUM('Problem 4'!AC24:AD24)</f>
        <v>605</v>
      </c>
      <c r="H20" t="s">
        <v>112</v>
      </c>
      <c r="I20">
        <v>-1000</v>
      </c>
    </row>
    <row r="21" spans="2:9" x14ac:dyDescent="0.25">
      <c r="B21" t="s">
        <v>172</v>
      </c>
      <c r="C21">
        <v>2000</v>
      </c>
      <c r="E21" t="str">
        <f>'Problem 4'!AB25</f>
        <v>Utica</v>
      </c>
      <c r="F21">
        <f>SUM('Problem 4'!AC25:AD25)</f>
        <v>565</v>
      </c>
      <c r="H21" t="s">
        <v>113</v>
      </c>
      <c r="I21">
        <v>-600</v>
      </c>
    </row>
    <row r="22" spans="2:9" x14ac:dyDescent="0.25">
      <c r="E22" t="str">
        <f>'Problem 4'!AB26</f>
        <v>Stamford</v>
      </c>
      <c r="F22">
        <f>SUM('Problem 4'!AC26:AD26)</f>
        <v>670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7073-B66B-40C8-B48B-0323E1700D94}">
  <dimension ref="A1:AI50"/>
  <sheetViews>
    <sheetView showGridLines="0" zoomScale="81" zoomScaleNormal="81" workbookViewId="0"/>
  </sheetViews>
  <sheetFormatPr defaultRowHeight="18.75" outlineLevelCol="1" x14ac:dyDescent="0.3"/>
  <cols>
    <col min="1" max="2" width="9.140625" style="1" customWidth="1" outlineLevel="1"/>
    <col min="3" max="3" width="9.140625" style="8" customWidth="1" outlineLevel="1"/>
    <col min="4" max="4" width="9.140625" style="4" customWidth="1" outlineLevel="1"/>
    <col min="5" max="9" width="9.140625" style="1" customWidth="1" outlineLevel="1"/>
    <col min="10" max="21" width="9.140625" style="1"/>
    <col min="22" max="22" width="27.85546875" style="1" hidden="1" customWidth="1" outlineLevel="1"/>
    <col min="23" max="27" width="9.140625" style="1" hidden="1" customWidth="1" outlineLevel="1"/>
    <col min="28" max="28" width="10.7109375" style="2" hidden="1" customWidth="1" outlineLevel="1"/>
    <col min="29" max="30" width="9.140625" style="1" hidden="1" customWidth="1" outlineLevel="1"/>
    <col min="31" max="31" width="9.140625" style="1" collapsed="1"/>
    <col min="32" max="16384" width="9.140625" style="1"/>
  </cols>
  <sheetData>
    <row r="1" spans="1:35" x14ac:dyDescent="0.3">
      <c r="A1" s="5" t="s">
        <v>3</v>
      </c>
      <c r="C1" s="3"/>
    </row>
    <row r="2" spans="1:35" s="12" customFormat="1" ht="21" x14ac:dyDescent="0.35">
      <c r="C2" s="13"/>
      <c r="D2" s="14"/>
      <c r="E2" s="15" t="s">
        <v>0</v>
      </c>
      <c r="F2" s="15"/>
      <c r="K2" s="15"/>
      <c r="L2" s="15" t="s">
        <v>1</v>
      </c>
      <c r="M2" s="15"/>
      <c r="R2" s="15"/>
      <c r="S2" s="15" t="s">
        <v>2</v>
      </c>
      <c r="T2" s="15"/>
      <c r="AB2" s="17"/>
    </row>
    <row r="3" spans="1:35" x14ac:dyDescent="0.3">
      <c r="C3" s="3"/>
    </row>
    <row r="4" spans="1:35" x14ac:dyDescent="0.3">
      <c r="C4" s="3"/>
    </row>
    <row r="5" spans="1:35" x14ac:dyDescent="0.3">
      <c r="C5" s="3"/>
      <c r="R5" s="3" t="str">
        <f>"(" &amp; 90 + 8 &amp;  "," &amp; "0,"  &amp; 0 &amp; ")"</f>
        <v>(98,0,0)</v>
      </c>
    </row>
    <row r="6" spans="1:35" x14ac:dyDescent="0.3">
      <c r="C6" s="3"/>
      <c r="U6" s="4" t="s">
        <v>54</v>
      </c>
      <c r="AG6" s="22" t="s">
        <v>53</v>
      </c>
      <c r="AI6" s="1">
        <v>-1000</v>
      </c>
    </row>
    <row r="7" spans="1:35" x14ac:dyDescent="0.3">
      <c r="C7" s="3"/>
      <c r="L7" s="1">
        <v>0</v>
      </c>
      <c r="W7" s="1" t="s">
        <v>41</v>
      </c>
      <c r="X7" s="1" t="s">
        <v>42</v>
      </c>
      <c r="Y7" s="1" t="s">
        <v>38</v>
      </c>
      <c r="Z7" s="1" t="s">
        <v>10</v>
      </c>
      <c r="AA7" s="1" t="s">
        <v>39</v>
      </c>
      <c r="AC7" s="1" t="s">
        <v>43</v>
      </c>
    </row>
    <row r="8" spans="1:35" x14ac:dyDescent="0.3">
      <c r="C8" s="3"/>
      <c r="V8" s="16" t="s">
        <v>29</v>
      </c>
      <c r="W8" s="1">
        <f>$F$35</f>
        <v>166.7</v>
      </c>
      <c r="X8" s="1">
        <v>300</v>
      </c>
      <c r="Y8" s="1">
        <f>W8 + X8</f>
        <v>466.7</v>
      </c>
      <c r="Z8" s="1">
        <f t="shared" ref="Z8:Z13" si="0">VLOOKUP(W8, $F$35:$G$36, 2, FALSE)</f>
        <v>100</v>
      </c>
      <c r="AA8" s="1" t="s">
        <v>40</v>
      </c>
      <c r="AB8" s="2" t="str">
        <f>_xlfn.TEXTJOIN(CHAR(9), FALSE, Y8:AA8)</f>
        <v>466.7	100	.</v>
      </c>
      <c r="AC8" s="1" t="str">
        <f>V8 &amp; " " &amp; AB8</f>
        <v>[Specialist, Scranton ] 466.7	100	.</v>
      </c>
      <c r="AE8" s="22" t="s">
        <v>53</v>
      </c>
    </row>
    <row r="9" spans="1:35" x14ac:dyDescent="0.3">
      <c r="C9" s="3"/>
      <c r="V9" s="16" t="s">
        <v>30</v>
      </c>
      <c r="W9" s="1">
        <f>$F$35</f>
        <v>166.7</v>
      </c>
      <c r="X9" s="1">
        <v>250</v>
      </c>
      <c r="Y9" s="1">
        <f t="shared" ref="Y9:Y16" si="1">W9 + X9</f>
        <v>416.7</v>
      </c>
      <c r="Z9" s="1">
        <f t="shared" si="0"/>
        <v>100</v>
      </c>
      <c r="AA9" s="1" t="s">
        <v>40</v>
      </c>
      <c r="AB9" s="2" t="str">
        <f t="shared" ref="AB9:AB16" si="2">_xlfn.TEXTJOIN(CHAR(9), FALSE, Y9:AA9)</f>
        <v>416.7	100	.</v>
      </c>
      <c r="AC9" s="1" t="str">
        <f t="shared" ref="AC9:AC16" si="3">V9 &amp; " " &amp; AB9</f>
        <v>[Specialist, Utica    ] 416.7	100	.</v>
      </c>
    </row>
    <row r="10" spans="1:35" x14ac:dyDescent="0.3">
      <c r="C10" s="3"/>
      <c r="E10" s="1">
        <f>E35 * G35</f>
        <v>1200</v>
      </c>
      <c r="R10" s="3" t="str">
        <f>"(" &amp; 105+14 &amp;  "," &amp; "0,"  &amp; 0 &amp; ")"</f>
        <v>(119,0,0)</v>
      </c>
      <c r="U10" s="4" t="s">
        <v>54</v>
      </c>
      <c r="V10" s="16" t="s">
        <v>31</v>
      </c>
      <c r="W10" s="1">
        <f>$F$35</f>
        <v>166.7</v>
      </c>
      <c r="X10" s="1">
        <v>275</v>
      </c>
      <c r="Y10" s="1">
        <f t="shared" si="1"/>
        <v>441.7</v>
      </c>
      <c r="Z10" s="1">
        <f t="shared" si="0"/>
        <v>100</v>
      </c>
      <c r="AA10" s="1" t="s">
        <v>40</v>
      </c>
      <c r="AB10" s="2" t="str">
        <f t="shared" si="2"/>
        <v>441.7	100	.</v>
      </c>
      <c r="AC10" s="1" t="str">
        <f t="shared" si="3"/>
        <v>[Specialist, Stamford ] 441.7	100	.</v>
      </c>
    </row>
    <row r="11" spans="1:35" x14ac:dyDescent="0.3">
      <c r="C11" s="3"/>
      <c r="H11" s="3" t="str">
        <f>"(" &amp; 300 + $F$35 &amp;  "," &amp; "0,"  &amp; $G$35 &amp; ")"</f>
        <v>(466.7,0,100)</v>
      </c>
      <c r="V11" s="16" t="s">
        <v>32</v>
      </c>
      <c r="W11" s="1">
        <f>$F$36</f>
        <v>170</v>
      </c>
      <c r="X11" s="1">
        <f>X8</f>
        <v>300</v>
      </c>
      <c r="Y11" s="1">
        <f t="shared" si="1"/>
        <v>470</v>
      </c>
      <c r="Z11" s="1">
        <f t="shared" si="0"/>
        <v>200</v>
      </c>
      <c r="AA11" s="1" t="s">
        <v>40</v>
      </c>
      <c r="AB11" s="2" t="str">
        <f t="shared" si="2"/>
        <v>470	200	.</v>
      </c>
      <c r="AC11" s="1" t="str">
        <f t="shared" si="3"/>
        <v>[Generalist, Scranton ] 470	200	.</v>
      </c>
    </row>
    <row r="12" spans="1:35" x14ac:dyDescent="0.3">
      <c r="C12" s="3"/>
      <c r="G12" s="3"/>
      <c r="U12" s="22" t="s">
        <v>53</v>
      </c>
      <c r="V12" s="16" t="s">
        <v>33</v>
      </c>
      <c r="W12" s="1">
        <f>$F$36</f>
        <v>170</v>
      </c>
      <c r="X12" s="1">
        <f t="shared" ref="X12:X13" si="4">X9</f>
        <v>250</v>
      </c>
      <c r="Y12" s="1">
        <f t="shared" si="1"/>
        <v>420</v>
      </c>
      <c r="Z12" s="1">
        <f t="shared" si="0"/>
        <v>200</v>
      </c>
      <c r="AA12" s="1" t="s">
        <v>40</v>
      </c>
      <c r="AB12" s="2" t="str">
        <f t="shared" si="2"/>
        <v>420	200	.</v>
      </c>
      <c r="AC12" s="1" t="str">
        <f t="shared" si="3"/>
        <v>[Generalist, Utica    ] 420	200	.</v>
      </c>
    </row>
    <row r="13" spans="1:35" x14ac:dyDescent="0.3">
      <c r="C13" s="3"/>
      <c r="J13" s="2" t="str">
        <f>"(" &amp; 300 + $F$36 &amp;  "," &amp; "0,"  &amp; $G$36 &amp; ")"</f>
        <v>(470,0,200)</v>
      </c>
      <c r="V13" s="16" t="s">
        <v>34</v>
      </c>
      <c r="W13" s="1">
        <f>$F$36</f>
        <v>170</v>
      </c>
      <c r="X13" s="1">
        <f t="shared" si="4"/>
        <v>275</v>
      </c>
      <c r="Y13" s="1">
        <f t="shared" si="1"/>
        <v>445</v>
      </c>
      <c r="Z13" s="1">
        <f t="shared" si="0"/>
        <v>200</v>
      </c>
      <c r="AA13" s="1" t="s">
        <v>40</v>
      </c>
      <c r="AB13" s="2" t="str">
        <f t="shared" si="2"/>
        <v>445	200	.</v>
      </c>
      <c r="AC13" s="1" t="str">
        <f t="shared" si="3"/>
        <v>[Generalist, Stamford ] 445	200	.</v>
      </c>
    </row>
    <row r="14" spans="1:35" x14ac:dyDescent="0.3">
      <c r="C14" s="3"/>
      <c r="L14" s="1">
        <v>0</v>
      </c>
      <c r="R14" s="4" t="str">
        <f>"(" &amp; 115+24 &amp;  "," &amp; "0,"  &amp; 0 &amp; ")"</f>
        <v>(139,0,0)</v>
      </c>
      <c r="V14" s="16" t="s">
        <v>35</v>
      </c>
      <c r="W14" s="1">
        <v>90</v>
      </c>
      <c r="X14" s="1">
        <v>8</v>
      </c>
      <c r="Y14" s="1">
        <f t="shared" si="1"/>
        <v>98</v>
      </c>
      <c r="Z14" s="1">
        <v>505</v>
      </c>
      <c r="AA14" s="1" t="s">
        <v>40</v>
      </c>
      <c r="AB14" s="2" t="str">
        <f t="shared" si="2"/>
        <v>98	505	.</v>
      </c>
      <c r="AC14" s="1" t="str">
        <f t="shared" si="3"/>
        <v>[Scranton,   Faceblock] 98	505	.</v>
      </c>
      <c r="AE14" s="4" t="s">
        <v>54</v>
      </c>
    </row>
    <row r="15" spans="1:35" x14ac:dyDescent="0.3">
      <c r="C15" s="3"/>
      <c r="J15" s="3" t="str">
        <f>"(" &amp; 250 + $F$35 &amp;  "," &amp; "0,"  &amp; $G$35 &amp; ")"</f>
        <v>(416.7,0,100)</v>
      </c>
      <c r="V15" s="16" t="s">
        <v>36</v>
      </c>
      <c r="W15" s="1">
        <f>W14</f>
        <v>90</v>
      </c>
      <c r="X15" s="1">
        <v>15</v>
      </c>
      <c r="Y15" s="1">
        <f t="shared" si="1"/>
        <v>105</v>
      </c>
      <c r="Z15" s="1">
        <f>Z14</f>
        <v>505</v>
      </c>
      <c r="AA15" s="1" t="s">
        <v>40</v>
      </c>
      <c r="AB15" s="2" t="str">
        <f t="shared" si="2"/>
        <v>105	505	.</v>
      </c>
      <c r="AC15" s="1" t="str">
        <f t="shared" si="3"/>
        <v>[Scranton,   Goggle   ] 105	505	.</v>
      </c>
    </row>
    <row r="16" spans="1:35" x14ac:dyDescent="0.3">
      <c r="C16" s="3"/>
      <c r="V16" s="16" t="s">
        <v>37</v>
      </c>
      <c r="W16" s="1">
        <v>105</v>
      </c>
      <c r="X16" s="1">
        <v>14</v>
      </c>
      <c r="Y16" s="1">
        <f t="shared" si="1"/>
        <v>119</v>
      </c>
      <c r="Z16" s="1">
        <v>465</v>
      </c>
      <c r="AA16" s="1" t="s">
        <v>40</v>
      </c>
      <c r="AB16" s="2" t="str">
        <f t="shared" si="2"/>
        <v>119	465	.</v>
      </c>
      <c r="AC16" s="1" t="str">
        <f t="shared" si="3"/>
        <v>[Utica,      Faceblock] 119	465	.</v>
      </c>
    </row>
    <row r="17" spans="3:35" x14ac:dyDescent="0.3">
      <c r="C17" s="3"/>
    </row>
    <row r="18" spans="3:35" x14ac:dyDescent="0.3">
      <c r="C18" s="3"/>
      <c r="J18" s="3" t="str">
        <f>"(" &amp; 250 + $F$36 &amp;  "," &amp; "0,"  &amp; $G$36 &amp; ")"</f>
        <v>(420,0,200)</v>
      </c>
      <c r="S18" s="3" t="str">
        <f>"(" &amp; 90+15  &amp;  "," &amp; "0,"  &amp; 0 &amp; ")"</f>
        <v>(105,0,0)</v>
      </c>
    </row>
    <row r="19" spans="3:35" x14ac:dyDescent="0.3">
      <c r="C19" s="3"/>
      <c r="U19" s="4" t="s">
        <v>54</v>
      </c>
      <c r="AG19" s="22" t="s">
        <v>53</v>
      </c>
    </row>
    <row r="20" spans="3:35" x14ac:dyDescent="0.3">
      <c r="C20" s="3"/>
      <c r="R20" s="3" t="str">
        <f>"(" &amp; 105+18 &amp;  "," &amp; "0,"  &amp; 0 &amp; ")"</f>
        <v>(123,0,0)</v>
      </c>
      <c r="W20" s="1" t="s">
        <v>41</v>
      </c>
      <c r="X20" s="1" t="s">
        <v>42</v>
      </c>
      <c r="Y20" s="1" t="s">
        <v>38</v>
      </c>
      <c r="Z20" s="1" t="s">
        <v>10</v>
      </c>
      <c r="AA20" s="1" t="s">
        <v>39</v>
      </c>
      <c r="AC20" s="1" t="s">
        <v>43</v>
      </c>
    </row>
    <row r="21" spans="3:35" x14ac:dyDescent="0.3">
      <c r="C21" s="3"/>
      <c r="J21" s="2" t="str">
        <f>"(" &amp; 275 + $F$35 &amp;  "," &amp; "0,"  &amp; $G$35 &amp; ")"</f>
        <v>(441.7,0,100)</v>
      </c>
      <c r="L21" s="1">
        <v>0</v>
      </c>
      <c r="V21" s="16" t="s">
        <v>29</v>
      </c>
      <c r="W21" s="1">
        <f>$F$35</f>
        <v>166.7</v>
      </c>
      <c r="X21" s="1">
        <v>300</v>
      </c>
      <c r="Y21" s="1">
        <f>W21 + X21</f>
        <v>466.7</v>
      </c>
      <c r="Z21" s="1">
        <f t="shared" ref="Z21:Z26" si="5">VLOOKUP(W21, $F$35:$G$36, 2, FALSE)</f>
        <v>100</v>
      </c>
      <c r="AA21" s="1" t="s">
        <v>40</v>
      </c>
      <c r="AB21" s="2" t="str">
        <f>_xlfn.TEXTJOIN(CHAR(9), FALSE, Y21:AA21)</f>
        <v>466.7	100	.</v>
      </c>
      <c r="AC21" s="1" t="str">
        <f>V21 &amp; " " &amp; AB21</f>
        <v>[Specialist, Scranton ] 466.7	100	.</v>
      </c>
      <c r="AE21" s="22" t="s">
        <v>53</v>
      </c>
    </row>
    <row r="22" spans="3:35" x14ac:dyDescent="0.3">
      <c r="C22" s="3"/>
      <c r="V22" s="16" t="s">
        <v>30</v>
      </c>
      <c r="W22" s="1">
        <f>$F$35</f>
        <v>166.7</v>
      </c>
      <c r="X22" s="1">
        <v>250</v>
      </c>
      <c r="Y22" s="1">
        <f t="shared" ref="Y22:Y27" si="6">W22 + X22</f>
        <v>416.7</v>
      </c>
      <c r="Z22" s="1">
        <f t="shared" si="5"/>
        <v>100</v>
      </c>
      <c r="AA22" s="1" t="s">
        <v>40</v>
      </c>
      <c r="AB22" s="2" t="str">
        <f t="shared" ref="AB22:AB27" si="7">_xlfn.TEXTJOIN(CHAR(9), FALSE, Y22:AA22)</f>
        <v>416.7	100	.</v>
      </c>
      <c r="AC22" s="1" t="str">
        <f t="shared" ref="AC22:AC27" si="8">V22 &amp; " " &amp; AB22</f>
        <v>[Specialist, Utica    ] 416.7	100	.</v>
      </c>
    </row>
    <row r="23" spans="3:35" x14ac:dyDescent="0.3">
      <c r="C23" s="3"/>
      <c r="H23" s="2" t="str">
        <f>"(" &amp; 275 + $F$36 &amp;  "," &amp; "0,"  &amp; $G$36 &amp; ")"</f>
        <v>(445,0,200)</v>
      </c>
      <c r="U23" s="4" t="s">
        <v>54</v>
      </c>
      <c r="V23" s="16" t="s">
        <v>31</v>
      </c>
      <c r="W23" s="1">
        <f>$F$35</f>
        <v>166.7</v>
      </c>
      <c r="X23" s="1">
        <v>275</v>
      </c>
      <c r="Y23" s="1">
        <f t="shared" si="6"/>
        <v>441.7</v>
      </c>
      <c r="Z23" s="1">
        <f t="shared" si="5"/>
        <v>100</v>
      </c>
      <c r="AA23" s="1" t="s">
        <v>40</v>
      </c>
      <c r="AB23" s="2" t="str">
        <f t="shared" si="7"/>
        <v>441.7	100	.</v>
      </c>
      <c r="AC23" s="1" t="str">
        <f t="shared" si="8"/>
        <v>[Specialist, Stamford ] 441.7	100	.</v>
      </c>
    </row>
    <row r="24" spans="3:35" x14ac:dyDescent="0.3">
      <c r="C24" s="3"/>
      <c r="E24" s="1">
        <f>E36 * G36</f>
        <v>2000</v>
      </c>
      <c r="V24" s="16" t="s">
        <v>32</v>
      </c>
      <c r="W24" s="1">
        <f>$F$36</f>
        <v>170</v>
      </c>
      <c r="X24" s="1">
        <f>X21</f>
        <v>300</v>
      </c>
      <c r="Y24" s="1">
        <f t="shared" si="6"/>
        <v>470</v>
      </c>
      <c r="Z24" s="1">
        <f t="shared" si="5"/>
        <v>200</v>
      </c>
      <c r="AA24" s="1" t="s">
        <v>40</v>
      </c>
      <c r="AB24" s="2" t="str">
        <f t="shared" si="7"/>
        <v>470	200	.</v>
      </c>
      <c r="AC24" s="1" t="str">
        <f t="shared" si="8"/>
        <v>[Generalist, Scranton ] 470	200	.</v>
      </c>
    </row>
    <row r="25" spans="3:35" x14ac:dyDescent="0.3">
      <c r="C25" s="3"/>
      <c r="I25" s="20"/>
      <c r="R25" s="2" t="str">
        <f>"(" &amp; 115+20 &amp;  "," &amp; "0,"  &amp; 0 &amp; ")"</f>
        <v>(135,0,0)</v>
      </c>
      <c r="U25" s="22" t="s">
        <v>53</v>
      </c>
      <c r="V25" s="16" t="s">
        <v>33</v>
      </c>
      <c r="W25" s="1">
        <f>$F$36</f>
        <v>170</v>
      </c>
      <c r="X25" s="1">
        <f t="shared" ref="X25:X26" si="9">X22</f>
        <v>250</v>
      </c>
      <c r="Y25" s="1">
        <f t="shared" si="6"/>
        <v>420</v>
      </c>
      <c r="Z25" s="1">
        <f t="shared" si="5"/>
        <v>200</v>
      </c>
      <c r="AA25" s="1" t="s">
        <v>40</v>
      </c>
      <c r="AB25" s="2" t="str">
        <f t="shared" si="7"/>
        <v>420	200	.</v>
      </c>
      <c r="AC25" s="1" t="str">
        <f t="shared" si="8"/>
        <v>[Generalist, Utica    ] 420	200	.</v>
      </c>
      <c r="AI25" s="1">
        <v>-600</v>
      </c>
    </row>
    <row r="26" spans="3:35" x14ac:dyDescent="0.3">
      <c r="C26" s="3"/>
      <c r="V26" s="16" t="s">
        <v>34</v>
      </c>
      <c r="W26" s="1">
        <f>$F$36</f>
        <v>170</v>
      </c>
      <c r="X26" s="1">
        <f t="shared" si="9"/>
        <v>275</v>
      </c>
      <c r="Y26" s="1">
        <f t="shared" si="6"/>
        <v>445</v>
      </c>
      <c r="Z26" s="1">
        <f t="shared" si="5"/>
        <v>200</v>
      </c>
      <c r="AA26" s="1" t="s">
        <v>40</v>
      </c>
      <c r="AB26" s="2" t="str">
        <f t="shared" si="7"/>
        <v>445	200	.</v>
      </c>
      <c r="AC26" s="1" t="str">
        <f t="shared" si="8"/>
        <v>[Generalist, Stamford ] 445	200	.</v>
      </c>
    </row>
    <row r="27" spans="3:35" x14ac:dyDescent="0.3">
      <c r="C27" s="3"/>
      <c r="Q27" s="21" t="s">
        <v>53</v>
      </c>
      <c r="V27" s="16" t="s">
        <v>35</v>
      </c>
      <c r="W27" s="1">
        <v>90</v>
      </c>
      <c r="X27" s="1">
        <v>8</v>
      </c>
      <c r="Y27" s="1">
        <f t="shared" si="6"/>
        <v>98</v>
      </c>
      <c r="Z27" s="1">
        <v>505</v>
      </c>
      <c r="AA27" s="1" t="s">
        <v>40</v>
      </c>
      <c r="AB27" s="2" t="str">
        <f t="shared" si="7"/>
        <v>98	505	.</v>
      </c>
      <c r="AC27" s="1" t="str">
        <f t="shared" si="8"/>
        <v>[Scranton,   Faceblock] 98	505	.</v>
      </c>
      <c r="AE27" s="4" t="s">
        <v>54</v>
      </c>
    </row>
    <row r="28" spans="3:35" x14ac:dyDescent="0.3">
      <c r="C28" s="3"/>
      <c r="S28" s="21" t="s">
        <v>53</v>
      </c>
    </row>
    <row r="29" spans="3:35" s="6" customFormat="1" x14ac:dyDescent="0.3">
      <c r="AB29" s="18"/>
    </row>
    <row r="30" spans="3:35" x14ac:dyDescent="0.3">
      <c r="Q30" s="21" t="s">
        <v>53</v>
      </c>
      <c r="AI30" s="4" t="s">
        <v>55</v>
      </c>
    </row>
    <row r="33" spans="2:28" x14ac:dyDescent="0.3">
      <c r="L33" s="1">
        <v>0</v>
      </c>
    </row>
    <row r="34" spans="2:28" ht="37.5" x14ac:dyDescent="0.3">
      <c r="B34" s="6"/>
      <c r="C34" s="7"/>
      <c r="D34" s="6" t="s">
        <v>6</v>
      </c>
      <c r="E34" s="6" t="s">
        <v>7</v>
      </c>
      <c r="F34" s="6" t="s">
        <v>8</v>
      </c>
      <c r="G34" s="6" t="s">
        <v>19</v>
      </c>
      <c r="H34" s="6" t="s">
        <v>20</v>
      </c>
      <c r="I34" s="6"/>
      <c r="J34" s="1" t="s">
        <v>49</v>
      </c>
    </row>
    <row r="35" spans="2:28" x14ac:dyDescent="0.3">
      <c r="C35" s="3" t="s">
        <v>4</v>
      </c>
      <c r="D35" s="4">
        <v>2000</v>
      </c>
      <c r="E35" s="1">
        <v>12</v>
      </c>
      <c r="F35" s="1">
        <f>ROUND(D35 / E35, 1)</f>
        <v>166.7</v>
      </c>
      <c r="G35" s="1">
        <v>100</v>
      </c>
      <c r="I35" s="3" t="s">
        <v>50</v>
      </c>
      <c r="J35" s="1">
        <v>505</v>
      </c>
      <c r="U35" s="1">
        <f>-(SUM(E24, E10) + SUM(AI25, AI6))</f>
        <v>-1600</v>
      </c>
    </row>
    <row r="36" spans="2:28" x14ac:dyDescent="0.3">
      <c r="C36" s="3" t="s">
        <v>5</v>
      </c>
      <c r="D36" s="4">
        <v>1700</v>
      </c>
      <c r="E36" s="1">
        <v>10</v>
      </c>
      <c r="F36" s="1">
        <f>ROUND(D36 / E36, 1)</f>
        <v>170</v>
      </c>
      <c r="G36" s="1">
        <v>200</v>
      </c>
      <c r="I36" s="3" t="s">
        <v>51</v>
      </c>
      <c r="J36" s="1">
        <v>465</v>
      </c>
    </row>
    <row r="37" spans="2:28" x14ac:dyDescent="0.3">
      <c r="C37" s="3"/>
      <c r="I37" s="3" t="s">
        <v>52</v>
      </c>
      <c r="J37" s="1">
        <v>570</v>
      </c>
    </row>
    <row r="38" spans="2:28" s="11" customFormat="1" x14ac:dyDescent="0.3">
      <c r="B38" s="1"/>
      <c r="C38" s="8" t="s">
        <v>23</v>
      </c>
      <c r="D38" s="4" t="s">
        <v>25</v>
      </c>
      <c r="E38" s="1"/>
      <c r="F38" s="1"/>
      <c r="G38" s="1"/>
      <c r="H38" s="1"/>
      <c r="I38" s="1"/>
      <c r="AB38" s="19"/>
    </row>
    <row r="39" spans="2:28" x14ac:dyDescent="0.3">
      <c r="C39" s="8" t="s">
        <v>24</v>
      </c>
      <c r="D39" s="4" t="s">
        <v>26</v>
      </c>
    </row>
    <row r="40" spans="2:28" x14ac:dyDescent="0.3">
      <c r="C40" s="8" t="s">
        <v>27</v>
      </c>
      <c r="D40" s="4" t="s">
        <v>28</v>
      </c>
    </row>
    <row r="41" spans="2:28" x14ac:dyDescent="0.3">
      <c r="C41" s="8" t="s">
        <v>47</v>
      </c>
      <c r="D41" s="4" t="s">
        <v>48</v>
      </c>
    </row>
    <row r="43" spans="2:28" ht="20.25" x14ac:dyDescent="0.35">
      <c r="B43" s="11"/>
      <c r="C43" s="9" t="s">
        <v>15</v>
      </c>
      <c r="D43" s="10" t="s">
        <v>9</v>
      </c>
      <c r="E43" s="11"/>
      <c r="F43" s="11"/>
      <c r="G43" s="11"/>
      <c r="H43" s="11"/>
      <c r="I43" s="11"/>
    </row>
    <row r="45" spans="2:28" ht="20.25" x14ac:dyDescent="0.35">
      <c r="C45" s="8" t="s">
        <v>16</v>
      </c>
      <c r="D45" s="4" t="s">
        <v>11</v>
      </c>
    </row>
    <row r="46" spans="2:28" ht="20.25" x14ac:dyDescent="0.35">
      <c r="C46" s="8" t="s">
        <v>14</v>
      </c>
      <c r="D46" s="4" t="s">
        <v>12</v>
      </c>
    </row>
    <row r="47" spans="2:28" ht="20.25" x14ac:dyDescent="0.35">
      <c r="C47" s="8" t="s">
        <v>17</v>
      </c>
      <c r="D47" s="4" t="s">
        <v>13</v>
      </c>
    </row>
    <row r="48" spans="2:28" ht="20.25" x14ac:dyDescent="0.35">
      <c r="C48" s="8" t="s">
        <v>18</v>
      </c>
      <c r="D48" s="4" t="s">
        <v>21</v>
      </c>
    </row>
    <row r="49" spans="3:4" ht="20.25" x14ac:dyDescent="0.35">
      <c r="C49" s="8" t="s">
        <v>22</v>
      </c>
      <c r="D49" s="4" t="s">
        <v>46</v>
      </c>
    </row>
    <row r="50" spans="3:4" ht="20.25" x14ac:dyDescent="0.35">
      <c r="C50" s="8" t="s">
        <v>44</v>
      </c>
      <c r="D50" s="4" t="s">
        <v>45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Problem 1(b) Scratch</vt:lpstr>
      <vt:lpstr>Problem 1 LP</vt:lpstr>
      <vt:lpstr>Problem 3</vt:lpstr>
      <vt:lpstr>Problem 4</vt:lpstr>
      <vt:lpstr>Sheet1</vt:lpstr>
      <vt:lpstr>Sheet2</vt:lpstr>
      <vt:lpstr>P4 Scratch</vt:lpstr>
      <vt:lpstr>P3 Scratch</vt:lpstr>
      <vt:lpstr>P4 V1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2022-02-15T20:50:31Z</dcterms:created>
  <dcterms:modified xsi:type="dcterms:W3CDTF">2022-02-23T03:39:33Z</dcterms:modified>
</cp:coreProperties>
</file>